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analytics\"/>
    </mc:Choice>
  </mc:AlternateContent>
  <xr:revisionPtr revIDLastSave="0" documentId="13_ncr:1_{C1007054-F67F-4496-915B-C8B7DA239297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Лист2" sheetId="12" r:id="rId1"/>
    <sheet name="Лист4" sheetId="14" r:id="rId2"/>
    <sheet name="Cвод 2020" sheetId="1" r:id="rId3"/>
    <sheet name="Адреса" sheetId="4" r:id="rId4"/>
    <sheet name="Лист3" sheetId="13" r:id="rId5"/>
    <sheet name="Cвод 2021" sheetId="5" r:id="rId6"/>
    <sheet name="Кадры" sheetId="8" r:id="rId7"/>
    <sheet name="балласт" sheetId="6" r:id="rId8"/>
    <sheet name="Общежития" sheetId="7" r:id="rId9"/>
    <sheet name="Учебные корпуса" sheetId="9" r:id="rId10"/>
    <sheet name="иное" sheetId="10" r:id="rId11"/>
    <sheet name="Категории" sheetId="11" r:id="rId12"/>
  </sheets>
  <definedNames>
    <definedName name="_xlnm._FilterDatabase" localSheetId="3" hidden="1">Адреса!$A$1:$B$46</definedName>
    <definedName name="_xlnm._FilterDatabase" localSheetId="7" hidden="1">балласт!$A$1:$AY$59</definedName>
    <definedName name="_xlnm._FilterDatabase" localSheetId="10" hidden="1">иное!$A$1:$AY$76</definedName>
    <definedName name="_xlnm._FilterDatabase" localSheetId="6" hidden="1">Кадры!$B$4:$Q$107</definedName>
    <definedName name="_xlnm._FilterDatabase" localSheetId="8" hidden="1">Общежития!$A$1:$D$44</definedName>
    <definedName name="_xlnm._FilterDatabase" localSheetId="9" hidden="1">'Учебные корпуса'!$A$1:$AY$94</definedName>
    <definedName name="ExternalData_1" localSheetId="0" hidden="1">Лист2!$A$1:$I$2379</definedName>
    <definedName name="ExternalData_1" localSheetId="4" hidden="1">Лист3!$A$1:$H$1195</definedName>
    <definedName name="ExternalData_1" localSheetId="1" hidden="1">Лист4!$A$1:$I$2379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D2380" i="14"/>
  <c r="W81" i="9" l="1"/>
  <c r="V81" i="9"/>
  <c r="W53" i="10"/>
  <c r="W82" i="9"/>
  <c r="V82" i="9"/>
  <c r="W56" i="10"/>
  <c r="W54" i="10"/>
  <c r="V78" i="9"/>
  <c r="W78" i="9"/>
  <c r="W77" i="9"/>
  <c r="W49" i="10"/>
  <c r="W66" i="9" l="1"/>
  <c r="V66" i="9"/>
  <c r="W60" i="9"/>
  <c r="V60" i="9"/>
  <c r="W83" i="9"/>
  <c r="V83" i="9"/>
  <c r="W57" i="10"/>
  <c r="W63" i="9"/>
  <c r="V63" i="9"/>
  <c r="W69" i="9"/>
  <c r="W71" i="9" s="1"/>
  <c r="V69" i="9"/>
  <c r="V71" i="9" s="1"/>
  <c r="W70" i="9"/>
  <c r="V70" i="9"/>
  <c r="W59" i="9"/>
  <c r="V59" i="9"/>
  <c r="W89" i="9"/>
  <c r="V89" i="9"/>
  <c r="W88" i="9"/>
  <c r="V88" i="9"/>
  <c r="W86" i="9"/>
  <c r="V86" i="9"/>
  <c r="W85" i="9"/>
  <c r="V85" i="9"/>
  <c r="W55" i="6"/>
  <c r="V55" i="6"/>
  <c r="W29" i="7"/>
  <c r="V29" i="7"/>
  <c r="W25" i="7"/>
  <c r="V25" i="7"/>
  <c r="W27" i="7"/>
  <c r="V27" i="7"/>
  <c r="W35" i="7"/>
  <c r="V35" i="7"/>
  <c r="W34" i="7"/>
  <c r="V34" i="7"/>
  <c r="W36" i="7"/>
  <c r="W37" i="7" s="1"/>
  <c r="V36" i="7"/>
  <c r="V37" i="7" s="1"/>
  <c r="W33" i="7"/>
  <c r="V33" i="7"/>
  <c r="W31" i="7"/>
  <c r="V31" i="7"/>
  <c r="K50" i="10" l="1"/>
  <c r="K49" i="10"/>
  <c r="K70" i="9"/>
  <c r="J70" i="9"/>
  <c r="I33" i="7"/>
  <c r="H33" i="7"/>
  <c r="K63" i="9"/>
  <c r="J63" i="9"/>
  <c r="K33" i="9"/>
  <c r="J33" i="9"/>
  <c r="K69" i="9"/>
  <c r="J69" i="9"/>
  <c r="K72" i="9"/>
  <c r="J72" i="9"/>
  <c r="K67" i="9"/>
  <c r="J67" i="9"/>
  <c r="K61" i="9"/>
  <c r="J61" i="9"/>
  <c r="K66" i="9"/>
  <c r="J66" i="9"/>
  <c r="K73" i="9"/>
  <c r="J73" i="9"/>
  <c r="K60" i="9"/>
  <c r="J60" i="9"/>
  <c r="K56" i="10" l="1"/>
  <c r="K57" i="10" s="1"/>
  <c r="K89" i="9" l="1"/>
  <c r="J89" i="9"/>
  <c r="K88" i="9"/>
  <c r="J88" i="9"/>
  <c r="K87" i="9"/>
  <c r="J87" i="9"/>
  <c r="K86" i="9"/>
  <c r="J86" i="9"/>
  <c r="K85" i="9"/>
  <c r="J85" i="9"/>
  <c r="K30" i="7"/>
  <c r="J30" i="7"/>
  <c r="K54" i="9"/>
  <c r="J54" i="9"/>
  <c r="K62" i="9"/>
  <c r="J62" i="9"/>
  <c r="K59" i="9"/>
  <c r="J59" i="9"/>
  <c r="K71" i="9"/>
  <c r="J71" i="9"/>
  <c r="AG85" i="9" l="1"/>
  <c r="AF85" i="9"/>
  <c r="AG89" i="9"/>
  <c r="AF89" i="9"/>
  <c r="AG88" i="9"/>
  <c r="AF88" i="9"/>
  <c r="AG87" i="9"/>
  <c r="AF87" i="9"/>
  <c r="AG86" i="9"/>
  <c r="AF86" i="9"/>
  <c r="AG77" i="9"/>
  <c r="AF77" i="9"/>
  <c r="AG50" i="10"/>
  <c r="AF50" i="10"/>
  <c r="AG68" i="9"/>
  <c r="AF68" i="9"/>
  <c r="AG49" i="10"/>
  <c r="AF49" i="10"/>
  <c r="AG76" i="9"/>
  <c r="AF76" i="9"/>
  <c r="AG60" i="9"/>
  <c r="AF60" i="9"/>
  <c r="AG61" i="9"/>
  <c r="AF61" i="9"/>
  <c r="AG78" i="9"/>
  <c r="AF78" i="9"/>
  <c r="AG63" i="9"/>
  <c r="AF63" i="9"/>
  <c r="AG62" i="9"/>
  <c r="AF62" i="9"/>
  <c r="AG71" i="9"/>
  <c r="AF71" i="9"/>
  <c r="AG69" i="9"/>
  <c r="AF69" i="9"/>
  <c r="AG59" i="9"/>
  <c r="AF59" i="9"/>
  <c r="G77" i="9" l="1"/>
  <c r="F77" i="9"/>
  <c r="AG53" i="10" l="1"/>
  <c r="AF53" i="10"/>
  <c r="AG57" i="10"/>
  <c r="AF57" i="10"/>
  <c r="AG54" i="10"/>
  <c r="AF54" i="10"/>
  <c r="AG56" i="10"/>
  <c r="AF56" i="10"/>
  <c r="AG72" i="9"/>
  <c r="AF72" i="9"/>
  <c r="AG67" i="9"/>
  <c r="AF67" i="9"/>
  <c r="AG66" i="9"/>
  <c r="AF66" i="9"/>
  <c r="AG73" i="9"/>
  <c r="AF73" i="9"/>
  <c r="AG70" i="9"/>
  <c r="AF70" i="9"/>
  <c r="I89" i="9" l="1"/>
  <c r="H89" i="9"/>
  <c r="I88" i="9"/>
  <c r="H88" i="9"/>
  <c r="I85" i="9"/>
  <c r="H85" i="9"/>
  <c r="I51" i="9"/>
  <c r="H51" i="9"/>
  <c r="I78" i="9"/>
  <c r="H78" i="9"/>
  <c r="I22" i="10"/>
  <c r="I21" i="10"/>
  <c r="I77" i="9"/>
  <c r="H77" i="9"/>
  <c r="I76" i="9"/>
  <c r="H76" i="9"/>
  <c r="I70" i="9"/>
  <c r="I71" i="9"/>
  <c r="I72" i="9"/>
  <c r="I73" i="9"/>
  <c r="I74" i="9"/>
  <c r="I75" i="9"/>
  <c r="I69" i="9"/>
  <c r="H69" i="9"/>
  <c r="H70" i="9" s="1"/>
  <c r="H71" i="9" s="1"/>
  <c r="H72" i="9" s="1"/>
  <c r="H73" i="9" s="1"/>
  <c r="H74" i="9" s="1"/>
  <c r="H75" i="9" s="1"/>
  <c r="I61" i="9"/>
  <c r="H61" i="9"/>
  <c r="AS67" i="9"/>
  <c r="AR67" i="9"/>
  <c r="AS66" i="9"/>
  <c r="AR66" i="9"/>
  <c r="AS76" i="9"/>
  <c r="AR76" i="9"/>
  <c r="AS73" i="9"/>
  <c r="AR73" i="9"/>
  <c r="AS61" i="9"/>
  <c r="AR61" i="9"/>
  <c r="AS78" i="9"/>
  <c r="AR78" i="9"/>
  <c r="AS62" i="9"/>
  <c r="AR62" i="9"/>
  <c r="AS71" i="9"/>
  <c r="AR71" i="9"/>
  <c r="AS69" i="9"/>
  <c r="AR69" i="9"/>
  <c r="AS59" i="9"/>
  <c r="AR59" i="9"/>
  <c r="AS54" i="10"/>
  <c r="AS57" i="10"/>
  <c r="AS56" i="10"/>
  <c r="AS82" i="9"/>
  <c r="AS83" i="9"/>
  <c r="AR83" i="9"/>
  <c r="AR82" i="9"/>
  <c r="AS84" i="9"/>
  <c r="AR84" i="9"/>
  <c r="AS60" i="9" l="1"/>
  <c r="AR60" i="9"/>
  <c r="AS70" i="9"/>
  <c r="AR70" i="9"/>
  <c r="AS63" i="9"/>
  <c r="AR63" i="9"/>
  <c r="AS80" i="9"/>
  <c r="AR80" i="9"/>
  <c r="AS87" i="9"/>
  <c r="AR87" i="9"/>
  <c r="AS86" i="9"/>
  <c r="AR86" i="9"/>
  <c r="AS53" i="9"/>
  <c r="AR53" i="9"/>
  <c r="AS50" i="9"/>
  <c r="AR50" i="9"/>
  <c r="AS49" i="9"/>
  <c r="AR49" i="9"/>
  <c r="AS48" i="9"/>
  <c r="AR48" i="9"/>
  <c r="AS52" i="9"/>
  <c r="AR52" i="9"/>
  <c r="G47" i="10"/>
  <c r="AS55" i="9"/>
  <c r="AR55" i="9"/>
  <c r="AS54" i="9"/>
  <c r="AR54" i="9"/>
  <c r="AS30" i="7"/>
  <c r="AR30" i="7"/>
  <c r="G39" i="7" l="1"/>
  <c r="F39" i="7"/>
  <c r="G81" i="9"/>
  <c r="F81" i="9"/>
  <c r="G84" i="9"/>
  <c r="F84" i="9"/>
  <c r="G56" i="10"/>
  <c r="G62" i="9"/>
  <c r="F62" i="9"/>
  <c r="G63" i="9"/>
  <c r="F63" i="9"/>
  <c r="G76" i="9"/>
  <c r="F76" i="9"/>
  <c r="G35" i="7"/>
  <c r="F35" i="7"/>
  <c r="G37" i="7"/>
  <c r="F37" i="7"/>
  <c r="G36" i="7"/>
  <c r="F36" i="7"/>
  <c r="G31" i="7"/>
  <c r="F31" i="7"/>
  <c r="F27" i="7"/>
  <c r="G71" i="9"/>
  <c r="F71" i="9"/>
  <c r="G70" i="9"/>
  <c r="F70" i="9"/>
  <c r="G69" i="9"/>
  <c r="F69" i="9"/>
  <c r="F83" i="9"/>
  <c r="G89" i="9"/>
  <c r="F89" i="9"/>
  <c r="G88" i="9"/>
  <c r="F88" i="9"/>
  <c r="G86" i="9"/>
  <c r="F86" i="9"/>
  <c r="G87" i="9"/>
  <c r="F87" i="9"/>
  <c r="G85" i="9"/>
  <c r="G83" i="9"/>
  <c r="G82" i="9"/>
  <c r="G78" i="9"/>
  <c r="G55" i="9"/>
  <c r="G54" i="9"/>
  <c r="G50" i="9"/>
  <c r="G49" i="9"/>
  <c r="G48" i="9"/>
  <c r="F85" i="9"/>
  <c r="F82" i="9"/>
  <c r="F78" i="9"/>
  <c r="F55" i="9"/>
  <c r="F54" i="9"/>
  <c r="F50" i="9"/>
  <c r="F49" i="9"/>
  <c r="F48" i="9"/>
  <c r="G38" i="7"/>
  <c r="F38" i="7"/>
  <c r="G55" i="6"/>
  <c r="G34" i="7"/>
  <c r="F34" i="7"/>
  <c r="G53" i="10"/>
  <c r="G59" i="9"/>
  <c r="G60" i="9"/>
  <c r="F60" i="9"/>
  <c r="F59" i="9"/>
  <c r="G67" i="9"/>
  <c r="F67" i="9"/>
  <c r="G61" i="9"/>
  <c r="F61" i="9"/>
  <c r="G19" i="10"/>
  <c r="F73" i="9"/>
  <c r="F25" i="7"/>
  <c r="G34" i="9"/>
  <c r="F34" i="9"/>
  <c r="G26" i="7"/>
  <c r="F26" i="7"/>
  <c r="G33" i="7"/>
  <c r="F33" i="7"/>
  <c r="J76" i="10" l="1"/>
  <c r="N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H76" i="10"/>
  <c r="AL76" i="10"/>
  <c r="AM76" i="10"/>
  <c r="AN76" i="10"/>
  <c r="AO76" i="10"/>
  <c r="AP76" i="10"/>
  <c r="AT76" i="10"/>
  <c r="AU76" i="10"/>
  <c r="AV76" i="10"/>
  <c r="AW76" i="10"/>
  <c r="AX76" i="10"/>
  <c r="AY76" i="10"/>
  <c r="N94" i="9"/>
  <c r="O94" i="9"/>
  <c r="P94" i="9"/>
  <c r="R94" i="9"/>
  <c r="U94" i="9"/>
  <c r="V94" i="9"/>
  <c r="Y94" i="9"/>
  <c r="Z94" i="9"/>
  <c r="AC94" i="9"/>
  <c r="AD94" i="9"/>
  <c r="AE94" i="9"/>
  <c r="AH94" i="9"/>
  <c r="AJ94" i="9"/>
  <c r="AL94" i="9"/>
  <c r="AM94" i="9"/>
  <c r="AN94" i="9"/>
  <c r="AO94" i="9"/>
  <c r="AP94" i="9"/>
  <c r="AQ94" i="9"/>
  <c r="AT94" i="9"/>
  <c r="AU94" i="9"/>
  <c r="AV94" i="9"/>
  <c r="AW94" i="9"/>
  <c r="AX94" i="9"/>
  <c r="AY94" i="9"/>
  <c r="G57" i="10"/>
  <c r="D71" i="10" l="1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5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D37" i="10"/>
  <c r="D75" i="10" s="1"/>
  <c r="E57" i="10" l="1"/>
  <c r="E54" i="10"/>
  <c r="E56" i="10"/>
  <c r="E89" i="9"/>
  <c r="E88" i="9"/>
  <c r="E87" i="9"/>
  <c r="E86" i="9"/>
  <c r="E85" i="9"/>
  <c r="E84" i="9"/>
  <c r="E83" i="9"/>
  <c r="E82" i="9"/>
  <c r="D82" i="9"/>
  <c r="D90" i="9" s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8" i="9"/>
  <c r="E57" i="9"/>
  <c r="E56" i="9"/>
  <c r="E55" i="9"/>
  <c r="E54" i="9"/>
  <c r="E53" i="9"/>
  <c r="E52" i="9"/>
  <c r="E51" i="9"/>
  <c r="E50" i="9"/>
  <c r="E49" i="9"/>
  <c r="E48" i="9"/>
  <c r="E36" i="10"/>
  <c r="E35" i="10"/>
  <c r="E34" i="10"/>
  <c r="E33" i="10"/>
  <c r="E32" i="10"/>
  <c r="E31" i="10"/>
  <c r="E30" i="10"/>
  <c r="AS29" i="10"/>
  <c r="AK29" i="10"/>
  <c r="AG29" i="10"/>
  <c r="AF29" i="10"/>
  <c r="K29" i="10"/>
  <c r="H29" i="10"/>
  <c r="AS28" i="10"/>
  <c r="AR28" i="10"/>
  <c r="AI28" i="10"/>
  <c r="AI76" i="10" s="1"/>
  <c r="AG28" i="10"/>
  <c r="AF28" i="10"/>
  <c r="M28" i="10"/>
  <c r="H28" i="10"/>
  <c r="G28" i="10"/>
  <c r="F28" i="10"/>
  <c r="F76" i="10" s="1"/>
  <c r="E27" i="10"/>
  <c r="E26" i="10"/>
  <c r="E25" i="10"/>
  <c r="E24" i="10"/>
  <c r="E23" i="10"/>
  <c r="AS22" i="10"/>
  <c r="O22" i="10"/>
  <c r="M22" i="10"/>
  <c r="L22" i="10"/>
  <c r="G22" i="10"/>
  <c r="AS21" i="10"/>
  <c r="AQ21" i="10"/>
  <c r="AQ76" i="10" s="1"/>
  <c r="AK21" i="10"/>
  <c r="AK76" i="10" s="1"/>
  <c r="AJ21" i="10"/>
  <c r="AJ76" i="10" s="1"/>
  <c r="O21" i="10"/>
  <c r="O76" i="10" s="1"/>
  <c r="M21" i="10"/>
  <c r="L21" i="10"/>
  <c r="K21" i="10"/>
  <c r="G21" i="10"/>
  <c r="E20" i="10"/>
  <c r="AS19" i="10"/>
  <c r="AR19" i="10"/>
  <c r="M19" i="10"/>
  <c r="L19" i="10"/>
  <c r="M18" i="10"/>
  <c r="L18" i="10"/>
  <c r="L76" i="10" s="1"/>
  <c r="I18" i="10"/>
  <c r="I76" i="10" s="1"/>
  <c r="E17" i="10"/>
  <c r="AS16" i="10"/>
  <c r="AR16" i="10"/>
  <c r="AR76" i="10" s="1"/>
  <c r="E15" i="10"/>
  <c r="E14" i="10"/>
  <c r="AS13" i="10"/>
  <c r="G13" i="10"/>
  <c r="AS12" i="10"/>
  <c r="G12" i="10"/>
  <c r="G11" i="10"/>
  <c r="E11" i="10" s="1"/>
  <c r="G10" i="10"/>
  <c r="E10" i="10" s="1"/>
  <c r="G9" i="10"/>
  <c r="E9" i="10" s="1"/>
  <c r="G8" i="10"/>
  <c r="E8" i="10" s="1"/>
  <c r="G7" i="10"/>
  <c r="E7" i="10" s="1"/>
  <c r="E6" i="10"/>
  <c r="G5" i="10"/>
  <c r="E5" i="10" s="1"/>
  <c r="G4" i="10"/>
  <c r="AS45" i="9"/>
  <c r="AG45" i="9"/>
  <c r="AF45" i="9"/>
  <c r="AS44" i="9"/>
  <c r="AG44" i="9"/>
  <c r="AF44" i="9"/>
  <c r="I44" i="9"/>
  <c r="H44" i="9"/>
  <c r="AG43" i="9"/>
  <c r="AF43" i="9"/>
  <c r="M43" i="9"/>
  <c r="L43" i="9"/>
  <c r="K43" i="9"/>
  <c r="AG42" i="9"/>
  <c r="AF42" i="9"/>
  <c r="M42" i="9"/>
  <c r="L42" i="9"/>
  <c r="L94" i="9" s="1"/>
  <c r="K42" i="9"/>
  <c r="I42" i="9"/>
  <c r="H42" i="9"/>
  <c r="AS41" i="9"/>
  <c r="AK41" i="9"/>
  <c r="AG41" i="9"/>
  <c r="AF41" i="9"/>
  <c r="K41" i="9"/>
  <c r="H41" i="9"/>
  <c r="AS40" i="9"/>
  <c r="AR40" i="9"/>
  <c r="AI40" i="9"/>
  <c r="AG40" i="9"/>
  <c r="AF40" i="9"/>
  <c r="M40" i="9"/>
  <c r="H40" i="9"/>
  <c r="H94" i="9" s="1"/>
  <c r="G40" i="9"/>
  <c r="F40" i="9"/>
  <c r="AG39" i="9"/>
  <c r="AF39" i="9"/>
  <c r="AB39" i="9"/>
  <c r="AB94" i="9" s="1"/>
  <c r="J39" i="9"/>
  <c r="F39" i="9"/>
  <c r="F94" i="9" s="1"/>
  <c r="AR38" i="9"/>
  <c r="T38" i="9"/>
  <c r="T94" i="9" s="1"/>
  <c r="J38" i="9"/>
  <c r="D38" i="9"/>
  <c r="S37" i="9"/>
  <c r="Q37" i="9"/>
  <c r="Q94" i="9" s="1"/>
  <c r="M37" i="9"/>
  <c r="E36" i="9"/>
  <c r="E35" i="9"/>
  <c r="AS34" i="9"/>
  <c r="AR34" i="9"/>
  <c r="AG34" i="9"/>
  <c r="AF34" i="9"/>
  <c r="X34" i="9"/>
  <c r="AS33" i="9"/>
  <c r="AR33" i="9"/>
  <c r="AG33" i="9"/>
  <c r="AF33" i="9"/>
  <c r="X33" i="9"/>
  <c r="M33" i="9"/>
  <c r="I33" i="9"/>
  <c r="AG32" i="9"/>
  <c r="AF32" i="9"/>
  <c r="E31" i="9"/>
  <c r="E30" i="9"/>
  <c r="E29" i="9"/>
  <c r="E28" i="9"/>
  <c r="AS27" i="9"/>
  <c r="AR27" i="9"/>
  <c r="AG27" i="9"/>
  <c r="AF27" i="9"/>
  <c r="X27" i="9"/>
  <c r="AK26" i="9"/>
  <c r="AG26" i="9"/>
  <c r="AF26" i="9"/>
  <c r="X26" i="9"/>
  <c r="M26" i="9"/>
  <c r="K26" i="9"/>
  <c r="I26" i="9"/>
  <c r="I94" i="9" s="1"/>
  <c r="AG25" i="9"/>
  <c r="AF25" i="9"/>
  <c r="AA25" i="9"/>
  <c r="AA94" i="9" s="1"/>
  <c r="X25" i="9"/>
  <c r="M25" i="9"/>
  <c r="E24" i="9"/>
  <c r="E23" i="9"/>
  <c r="E22" i="9"/>
  <c r="E21" i="9"/>
  <c r="E20" i="9"/>
  <c r="AS19" i="9"/>
  <c r="AR19" i="9"/>
  <c r="AG19" i="9"/>
  <c r="AF19" i="9"/>
  <c r="AG18" i="9"/>
  <c r="AF18" i="9"/>
  <c r="X17" i="9"/>
  <c r="E17" i="9" s="1"/>
  <c r="AS16" i="9"/>
  <c r="AR16" i="9"/>
  <c r="M16" i="9"/>
  <c r="AS15" i="9"/>
  <c r="AR15" i="9"/>
  <c r="AK15" i="9"/>
  <c r="AI15" i="9"/>
  <c r="AG15" i="9"/>
  <c r="AF15" i="9"/>
  <c r="AF94" i="9" s="1"/>
  <c r="X15" i="9"/>
  <c r="W15" i="9"/>
  <c r="W94" i="9" s="1"/>
  <c r="S15" i="9"/>
  <c r="M15" i="9"/>
  <c r="K15" i="9"/>
  <c r="E14" i="9"/>
  <c r="E13" i="9"/>
  <c r="AS12" i="9"/>
  <c r="S12" i="9"/>
  <c r="K12" i="9"/>
  <c r="G12" i="9"/>
  <c r="AS11" i="9"/>
  <c r="K11" i="9"/>
  <c r="G11" i="9"/>
  <c r="S10" i="9"/>
  <c r="S94" i="9" s="1"/>
  <c r="K10" i="9"/>
  <c r="G10" i="9"/>
  <c r="AI9" i="9"/>
  <c r="G9" i="9"/>
  <c r="AI8" i="9"/>
  <c r="M8" i="9"/>
  <c r="K8" i="9"/>
  <c r="G8" i="9"/>
  <c r="E7" i="9"/>
  <c r="M6" i="9"/>
  <c r="G6" i="9"/>
  <c r="AI5" i="9"/>
  <c r="G5" i="9"/>
  <c r="AI4" i="9"/>
  <c r="M4" i="9"/>
  <c r="G4" i="9"/>
  <c r="G94" i="9" s="1"/>
  <c r="AF76" i="10" l="1"/>
  <c r="E4" i="10"/>
  <c r="G76" i="10"/>
  <c r="AS76" i="10"/>
  <c r="AI94" i="9"/>
  <c r="AK94" i="9"/>
  <c r="AR94" i="9"/>
  <c r="M76" i="10"/>
  <c r="K94" i="9"/>
  <c r="M94" i="9"/>
  <c r="AS94" i="9"/>
  <c r="AG94" i="9"/>
  <c r="J94" i="9"/>
  <c r="AG76" i="10"/>
  <c r="X94" i="9"/>
  <c r="H76" i="10"/>
  <c r="K76" i="10"/>
  <c r="E71" i="10"/>
  <c r="E59" i="9"/>
  <c r="E90" i="9" s="1"/>
  <c r="D46" i="9"/>
  <c r="D93" i="9" s="1"/>
  <c r="E16" i="10"/>
  <c r="E12" i="10"/>
  <c r="E29" i="10"/>
  <c r="E19" i="10"/>
  <c r="E22" i="10"/>
  <c r="E13" i="10"/>
  <c r="E28" i="10"/>
  <c r="E18" i="10"/>
  <c r="E21" i="10"/>
  <c r="E18" i="9"/>
  <c r="E5" i="9"/>
  <c r="E37" i="9"/>
  <c r="E39" i="9"/>
  <c r="E27" i="9"/>
  <c r="E12" i="9"/>
  <c r="E44" i="9"/>
  <c r="E6" i="9"/>
  <c r="E9" i="9"/>
  <c r="E11" i="9"/>
  <c r="E34" i="9"/>
  <c r="E19" i="9"/>
  <c r="E38" i="9"/>
  <c r="E16" i="9"/>
  <c r="E26" i="9"/>
  <c r="E4" i="9"/>
  <c r="E15" i="9"/>
  <c r="E25" i="9"/>
  <c r="E33" i="9"/>
  <c r="E45" i="9"/>
  <c r="E32" i="9"/>
  <c r="E40" i="9"/>
  <c r="E43" i="9"/>
  <c r="E42" i="9"/>
  <c r="E8" i="9"/>
  <c r="E41" i="9"/>
  <c r="E10" i="9"/>
  <c r="AS26" i="7"/>
  <c r="AR26" i="7"/>
  <c r="AS24" i="7"/>
  <c r="AR24" i="7"/>
  <c r="AS33" i="7"/>
  <c r="AR33" i="7"/>
  <c r="AS31" i="7"/>
  <c r="AR31" i="7"/>
  <c r="AS34" i="7"/>
  <c r="AR34" i="7"/>
  <c r="AS35" i="7"/>
  <c r="AR35" i="7"/>
  <c r="AR37" i="7"/>
  <c r="AS36" i="7"/>
  <c r="AS37" i="7" s="1"/>
  <c r="AR36" i="7"/>
  <c r="AS27" i="7"/>
  <c r="AR27" i="7"/>
  <c r="AS25" i="7"/>
  <c r="AR25" i="7"/>
  <c r="AS29" i="7"/>
  <c r="AR29" i="7"/>
  <c r="AS38" i="7"/>
  <c r="AR38" i="7"/>
  <c r="AS39" i="7"/>
  <c r="AR39" i="7"/>
  <c r="E37" i="10" l="1"/>
  <c r="D76" i="10" s="1"/>
  <c r="E46" i="9"/>
  <c r="D94" i="9" s="1"/>
  <c r="AG27" i="7"/>
  <c r="AF27" i="7"/>
  <c r="AG37" i="7"/>
  <c r="AF37" i="7"/>
  <c r="AG36" i="7"/>
  <c r="AF36" i="7"/>
  <c r="AG35" i="7"/>
  <c r="AF35" i="7"/>
  <c r="AG34" i="7"/>
  <c r="AF34" i="7"/>
  <c r="AG29" i="7"/>
  <c r="AF29" i="7"/>
  <c r="AG25" i="7"/>
  <c r="AF25" i="7"/>
  <c r="AG31" i="7"/>
  <c r="AF31" i="7"/>
  <c r="AG33" i="7"/>
  <c r="AF33" i="7"/>
  <c r="AG39" i="7" l="1"/>
  <c r="AF39" i="7"/>
  <c r="AG38" i="7"/>
  <c r="AF38" i="7"/>
  <c r="AG26" i="7"/>
  <c r="AF26" i="7"/>
  <c r="H36" i="7" l="1"/>
  <c r="I38" i="7"/>
  <c r="H38" i="7"/>
  <c r="I39" i="7"/>
  <c r="H39" i="7"/>
  <c r="I31" i="7" l="1"/>
  <c r="H31" i="7"/>
  <c r="H37" i="7"/>
  <c r="Y37" i="7" l="1"/>
  <c r="Y36" i="7"/>
  <c r="X37" i="7"/>
  <c r="X36" i="7"/>
  <c r="Y24" i="7"/>
  <c r="X24" i="7"/>
  <c r="Y35" i="7"/>
  <c r="X35" i="7"/>
  <c r="Y34" i="7"/>
  <c r="X34" i="7"/>
  <c r="Y31" i="7"/>
  <c r="X31" i="7"/>
  <c r="Y33" i="7"/>
  <c r="X33" i="7"/>
  <c r="AS55" i="6" l="1"/>
  <c r="AR55" i="6"/>
  <c r="M55" i="6"/>
  <c r="L55" i="6"/>
  <c r="K55" i="6"/>
  <c r="J55" i="6"/>
  <c r="E55" i="6"/>
  <c r="D55" i="6"/>
  <c r="E54" i="6"/>
  <c r="K27" i="7" l="1"/>
  <c r="J27" i="7"/>
  <c r="M39" i="7" l="1"/>
  <c r="L39" i="7"/>
  <c r="M29" i="7"/>
  <c r="L29" i="7"/>
  <c r="M38" i="7"/>
  <c r="L38" i="7"/>
  <c r="M25" i="7"/>
  <c r="L25" i="7"/>
  <c r="M27" i="7"/>
  <c r="L27" i="7"/>
  <c r="M35" i="7"/>
  <c r="L35" i="7"/>
  <c r="M34" i="7"/>
  <c r="L34" i="7"/>
  <c r="M36" i="7"/>
  <c r="L36" i="7"/>
  <c r="M31" i="7"/>
  <c r="L31" i="7"/>
  <c r="M33" i="7"/>
  <c r="L33" i="7"/>
  <c r="T39" i="7" l="1"/>
  <c r="T38" i="7"/>
  <c r="T34" i="7"/>
  <c r="T33" i="7"/>
  <c r="T27" i="7"/>
  <c r="T25" i="7"/>
  <c r="U39" i="7"/>
  <c r="U38" i="7"/>
  <c r="U25" i="7"/>
  <c r="U27" i="7"/>
  <c r="U34" i="7"/>
  <c r="U33" i="7"/>
  <c r="K35" i="7"/>
  <c r="J35" i="7"/>
  <c r="K31" i="7"/>
  <c r="J31" i="7"/>
  <c r="J36" i="7"/>
  <c r="K36" i="7"/>
  <c r="K39" i="7"/>
  <c r="K38" i="7"/>
  <c r="J39" i="7"/>
  <c r="J38" i="7"/>
  <c r="K37" i="7" l="1"/>
  <c r="J37" i="7"/>
  <c r="K29" i="7"/>
  <c r="J29" i="7"/>
  <c r="M37" i="7"/>
  <c r="E20" i="7"/>
  <c r="E19" i="7"/>
  <c r="L37" i="7"/>
  <c r="E39" i="7" l="1"/>
  <c r="E38" i="7"/>
  <c r="E24" i="7"/>
  <c r="E25" i="7"/>
  <c r="E26" i="7"/>
  <c r="E27" i="7"/>
  <c r="E28" i="7"/>
  <c r="E30" i="7"/>
  <c r="E31" i="7"/>
  <c r="E32" i="7"/>
  <c r="E33" i="7"/>
  <c r="E34" i="7"/>
  <c r="E35" i="7"/>
  <c r="E36" i="7"/>
  <c r="E37" i="7"/>
  <c r="E23" i="7"/>
  <c r="H46" i="5"/>
  <c r="G46" i="5"/>
  <c r="H23" i="5"/>
  <c r="G23" i="5"/>
  <c r="H40" i="5"/>
  <c r="G40" i="5"/>
  <c r="E29" i="7" l="1"/>
  <c r="E40" i="7" s="1"/>
  <c r="D29" i="7"/>
  <c r="D40" i="7" s="1"/>
  <c r="AU44" i="7"/>
  <c r="AT44" i="7"/>
  <c r="AP44" i="7"/>
  <c r="AO44" i="7"/>
  <c r="AN44" i="7"/>
  <c r="AM44" i="7"/>
  <c r="AL44" i="7"/>
  <c r="AJ44" i="7"/>
  <c r="AH44" i="7"/>
  <c r="AE44" i="7"/>
  <c r="AD44" i="7"/>
  <c r="Z44" i="7"/>
  <c r="V44" i="7"/>
  <c r="U44" i="7"/>
  <c r="T44" i="7"/>
  <c r="R44" i="7"/>
  <c r="P44" i="7"/>
  <c r="N44" i="7"/>
  <c r="L44" i="7"/>
  <c r="H44" i="7"/>
  <c r="AB44" i="7"/>
  <c r="Q44" i="7"/>
  <c r="AG18" i="7"/>
  <c r="AF18" i="7"/>
  <c r="Y18" i="7"/>
  <c r="X18" i="7"/>
  <c r="K18" i="7"/>
  <c r="J18" i="7"/>
  <c r="G18" i="7"/>
  <c r="F18" i="7"/>
  <c r="AG17" i="7"/>
  <c r="AF17" i="7"/>
  <c r="Y17" i="7"/>
  <c r="X17" i="7"/>
  <c r="K17" i="7"/>
  <c r="J17" i="7"/>
  <c r="G17" i="7"/>
  <c r="F17" i="7"/>
  <c r="AS16" i="7"/>
  <c r="AR16" i="7"/>
  <c r="AG16" i="7"/>
  <c r="AF16" i="7"/>
  <c r="Y16" i="7"/>
  <c r="X16" i="7"/>
  <c r="O16" i="7"/>
  <c r="AS15" i="7"/>
  <c r="AR15" i="7"/>
  <c r="AG15" i="7"/>
  <c r="AF15" i="7"/>
  <c r="Y15" i="7"/>
  <c r="X15" i="7"/>
  <c r="AQ44" i="7"/>
  <c r="AS14" i="7"/>
  <c r="AR14" i="7"/>
  <c r="AG14" i="7"/>
  <c r="AF14" i="7"/>
  <c r="X14" i="7"/>
  <c r="W14" i="7"/>
  <c r="G14" i="7"/>
  <c r="E13" i="7"/>
  <c r="AG12" i="7"/>
  <c r="AF12" i="7"/>
  <c r="X12" i="7"/>
  <c r="O12" i="7"/>
  <c r="K12" i="7"/>
  <c r="G12" i="7"/>
  <c r="AA44" i="7"/>
  <c r="AS11" i="7"/>
  <c r="Y11" i="7"/>
  <c r="S11" i="7"/>
  <c r="K11" i="7"/>
  <c r="G11" i="7"/>
  <c r="AG10" i="7"/>
  <c r="AF10" i="7"/>
  <c r="I10" i="7"/>
  <c r="D10" i="7"/>
  <c r="E9" i="7"/>
  <c r="AS8" i="7"/>
  <c r="AR8" i="7"/>
  <c r="AG8" i="7"/>
  <c r="AF8" i="7"/>
  <c r="K8" i="7"/>
  <c r="G8" i="7"/>
  <c r="F8" i="7"/>
  <c r="G7" i="7"/>
  <c r="E7" i="7" s="1"/>
  <c r="AS6" i="7"/>
  <c r="AR6" i="7"/>
  <c r="AG6" i="7"/>
  <c r="AF6" i="7"/>
  <c r="G6" i="7"/>
  <c r="F6" i="7"/>
  <c r="G5" i="7"/>
  <c r="E5" i="7" s="1"/>
  <c r="AC44" i="7"/>
  <c r="E4" i="7"/>
  <c r="D21" i="7" l="1"/>
  <c r="D43" i="7" s="1"/>
  <c r="O44" i="7"/>
  <c r="W44" i="7"/>
  <c r="AI44" i="7"/>
  <c r="I44" i="7"/>
  <c r="F44" i="7"/>
  <c r="AK44" i="7"/>
  <c r="AG44" i="7"/>
  <c r="AS44" i="7"/>
  <c r="E12" i="7"/>
  <c r="S44" i="7"/>
  <c r="E11" i="7"/>
  <c r="E16" i="7"/>
  <c r="AR44" i="7"/>
  <c r="E14" i="7"/>
  <c r="E8" i="7"/>
  <c r="G44" i="7"/>
  <c r="Y44" i="7"/>
  <c r="X44" i="7"/>
  <c r="E17" i="7"/>
  <c r="E18" i="7"/>
  <c r="M44" i="7"/>
  <c r="AF44" i="7"/>
  <c r="E10" i="7"/>
  <c r="E15" i="7"/>
  <c r="J44" i="7"/>
  <c r="K44" i="7"/>
  <c r="E6" i="7"/>
  <c r="E21" i="7" l="1"/>
  <c r="D44" i="7" s="1"/>
  <c r="D56" i="6" l="1"/>
  <c r="D52" i="6"/>
  <c r="D48" i="6"/>
  <c r="D31" i="6"/>
  <c r="D14" i="6"/>
  <c r="D8" i="6"/>
  <c r="D58" i="6" s="1"/>
  <c r="E56" i="6"/>
  <c r="E52" i="6"/>
  <c r="E19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13" i="6"/>
  <c r="E12" i="6"/>
  <c r="E11" i="6"/>
  <c r="E10" i="6"/>
  <c r="E4" i="6"/>
  <c r="E48" i="6" l="1"/>
  <c r="E14" i="6"/>
  <c r="AY59" i="6"/>
  <c r="AX59" i="6"/>
  <c r="AW59" i="6"/>
  <c r="AV59" i="6"/>
  <c r="AU59" i="6"/>
  <c r="AT59" i="6"/>
  <c r="AP59" i="6"/>
  <c r="AO59" i="6"/>
  <c r="AN59" i="6"/>
  <c r="AM59" i="6"/>
  <c r="AL59" i="6"/>
  <c r="AH59" i="6"/>
  <c r="AE59" i="6"/>
  <c r="AD59" i="6"/>
  <c r="Z59" i="6"/>
  <c r="V59" i="6"/>
  <c r="U59" i="6"/>
  <c r="R59" i="6"/>
  <c r="P59" i="6"/>
  <c r="N59" i="6"/>
  <c r="AB59" i="6"/>
  <c r="T59" i="6"/>
  <c r="AQ59" i="6"/>
  <c r="AJ59" i="6"/>
  <c r="O59" i="6"/>
  <c r="AA59" i="6"/>
  <c r="AK59" i="6"/>
  <c r="W59" i="6"/>
  <c r="AI59" i="6"/>
  <c r="E30" i="6"/>
  <c r="E29" i="6"/>
  <c r="E28" i="6"/>
  <c r="E27" i="6"/>
  <c r="E26" i="6"/>
  <c r="E25" i="6"/>
  <c r="AC24" i="6"/>
  <c r="AC59" i="6" s="1"/>
  <c r="E23" i="6"/>
  <c r="E22" i="6"/>
  <c r="E21" i="6"/>
  <c r="E20" i="6"/>
  <c r="E18" i="6"/>
  <c r="E17" i="6"/>
  <c r="E16" i="6"/>
  <c r="E7" i="6"/>
  <c r="E6" i="6"/>
  <c r="E5" i="6"/>
  <c r="E8" i="6" l="1"/>
  <c r="Y59" i="6"/>
  <c r="E24" i="6"/>
  <c r="E31" i="6" s="1"/>
  <c r="I59" i="6"/>
  <c r="J59" i="6"/>
  <c r="L59" i="6"/>
  <c r="M59" i="6"/>
  <c r="X59" i="6"/>
  <c r="G59" i="6"/>
  <c r="S59" i="6"/>
  <c r="AF59" i="6"/>
  <c r="AG59" i="6"/>
  <c r="AS59" i="6"/>
  <c r="K59" i="6"/>
  <c r="AR59" i="6"/>
  <c r="F59" i="6"/>
  <c r="H59" i="6"/>
  <c r="Q59" i="6"/>
  <c r="AL96" i="5"/>
  <c r="D59" i="6" l="1"/>
  <c r="J89" i="5"/>
  <c r="I89" i="5"/>
  <c r="J99" i="5"/>
  <c r="I99" i="5"/>
  <c r="J103" i="5"/>
  <c r="I103" i="5"/>
  <c r="I96" i="5"/>
  <c r="J70" i="5"/>
  <c r="AH90" i="5" l="1"/>
  <c r="AH89" i="5"/>
  <c r="AH87" i="5"/>
  <c r="AG90" i="5"/>
  <c r="AG89" i="5"/>
  <c r="AH86" i="5"/>
  <c r="AG86" i="5"/>
  <c r="AH71" i="5"/>
  <c r="AG71" i="5"/>
  <c r="AH38" i="5"/>
  <c r="AG38" i="5"/>
  <c r="AG87" i="5"/>
  <c r="AH40" i="5"/>
  <c r="AG40" i="5"/>
  <c r="AH29" i="5"/>
  <c r="AG29" i="5"/>
  <c r="AH73" i="5"/>
  <c r="AG73" i="5"/>
  <c r="L87" i="5" l="1"/>
  <c r="L90" i="5"/>
  <c r="K90" i="5"/>
  <c r="L89" i="5"/>
  <c r="K89" i="5"/>
  <c r="K87" i="5"/>
  <c r="L86" i="5"/>
  <c r="K86" i="5"/>
  <c r="L73" i="5"/>
  <c r="K73" i="5"/>
  <c r="L71" i="5"/>
  <c r="K71" i="5"/>
  <c r="L40" i="5"/>
  <c r="K40" i="5"/>
  <c r="L38" i="5"/>
  <c r="K38" i="5"/>
  <c r="L29" i="5"/>
  <c r="K29" i="5"/>
  <c r="L9" i="5"/>
  <c r="K9" i="5"/>
  <c r="AG105" i="5" l="1"/>
  <c r="AH96" i="5"/>
  <c r="AG96" i="5"/>
  <c r="AH104" i="5"/>
  <c r="AG104" i="5"/>
  <c r="AH103" i="5"/>
  <c r="AG103" i="5"/>
  <c r="AH100" i="5"/>
  <c r="AG100" i="5"/>
  <c r="AH94" i="5"/>
  <c r="AG94" i="5"/>
  <c r="AH95" i="5"/>
  <c r="AG95" i="5"/>
  <c r="AG99" i="5"/>
  <c r="AH99" i="5"/>
  <c r="P76" i="5" l="1"/>
  <c r="P77" i="5"/>
  <c r="N100" i="5"/>
  <c r="M100" i="5"/>
  <c r="N99" i="5"/>
  <c r="M99" i="5"/>
  <c r="N74" i="5"/>
  <c r="M74" i="5"/>
  <c r="N77" i="5"/>
  <c r="M77" i="5"/>
  <c r="N76" i="5"/>
  <c r="M76" i="5"/>
  <c r="N70" i="5"/>
  <c r="M70" i="5"/>
  <c r="L100" i="5"/>
  <c r="L99" i="5"/>
  <c r="L96" i="5"/>
  <c r="AT77" i="5" l="1"/>
  <c r="AT76" i="5"/>
  <c r="AT74" i="5"/>
  <c r="AS93" i="5"/>
  <c r="AS95" i="5"/>
  <c r="AT95" i="5"/>
  <c r="AR76" i="5" l="1"/>
  <c r="AK76" i="5"/>
  <c r="AL76" i="5"/>
  <c r="H77" i="5"/>
  <c r="H76" i="5"/>
  <c r="L76" i="5" l="1"/>
  <c r="H95" i="5" l="1"/>
  <c r="N95" i="5" l="1"/>
  <c r="I95" i="5"/>
  <c r="AJ95" i="5"/>
  <c r="G95" i="5"/>
  <c r="H92" i="1"/>
  <c r="K94" i="5" l="1"/>
  <c r="K93" i="5"/>
  <c r="G94" i="5"/>
  <c r="U93" i="5"/>
  <c r="AC94" i="5"/>
  <c r="T92" i="5" l="1"/>
  <c r="N92" i="5" l="1"/>
  <c r="R92" i="5"/>
  <c r="AT104" i="5" l="1"/>
  <c r="AT103" i="5"/>
  <c r="AT96" i="5"/>
  <c r="D93" i="5"/>
  <c r="Z90" i="5"/>
  <c r="Y90" i="5"/>
  <c r="Z89" i="5"/>
  <c r="Y89" i="5"/>
  <c r="AT87" i="5"/>
  <c r="AS87" i="5"/>
  <c r="Z87" i="5"/>
  <c r="Y87" i="5"/>
  <c r="P87" i="5"/>
  <c r="AT86" i="5"/>
  <c r="AS86" i="5"/>
  <c r="Z86" i="5"/>
  <c r="Y86" i="5"/>
  <c r="AT85" i="5"/>
  <c r="AS85" i="5"/>
  <c r="AH85" i="5"/>
  <c r="AG85" i="5"/>
  <c r="Y85" i="5"/>
  <c r="AT84" i="5"/>
  <c r="AS84" i="5"/>
  <c r="AH84" i="5"/>
  <c r="AG84" i="5"/>
  <c r="Y84" i="5"/>
  <c r="N84" i="5"/>
  <c r="L84" i="5"/>
  <c r="J84" i="5"/>
  <c r="AH79" i="5"/>
  <c r="AG79" i="5"/>
  <c r="AS74" i="5"/>
  <c r="AT73" i="5"/>
  <c r="AS73" i="5"/>
  <c r="Y73" i="5"/>
  <c r="X73" i="5"/>
  <c r="Y71" i="5"/>
  <c r="P71" i="5"/>
  <c r="AT64" i="5"/>
  <c r="AS64" i="5"/>
  <c r="AT63" i="5"/>
  <c r="AS63" i="5"/>
  <c r="AH63" i="5"/>
  <c r="AG63" i="5"/>
  <c r="Y63" i="5"/>
  <c r="AL62" i="5"/>
  <c r="AH62" i="5"/>
  <c r="AG62" i="5"/>
  <c r="Y62" i="5"/>
  <c r="N62" i="5"/>
  <c r="L62" i="5"/>
  <c r="J62" i="5"/>
  <c r="AH61" i="5"/>
  <c r="AG61" i="5"/>
  <c r="AB61" i="5"/>
  <c r="Y61" i="5"/>
  <c r="N61" i="5"/>
  <c r="AT53" i="5"/>
  <c r="AS53" i="5"/>
  <c r="AH53" i="5"/>
  <c r="AG53" i="5"/>
  <c r="AH52" i="5"/>
  <c r="AG52" i="5"/>
  <c r="Y51" i="5"/>
  <c r="AT50" i="5"/>
  <c r="AS50" i="5"/>
  <c r="N50" i="5"/>
  <c r="AT49" i="5"/>
  <c r="AS49" i="5"/>
  <c r="AL49" i="5"/>
  <c r="AJ49" i="5"/>
  <c r="AH49" i="5"/>
  <c r="AG49" i="5"/>
  <c r="Y49" i="5"/>
  <c r="X49" i="5"/>
  <c r="T49" i="5"/>
  <c r="N49" i="5"/>
  <c r="L49" i="5"/>
  <c r="AT46" i="5"/>
  <c r="Z46" i="5"/>
  <c r="T46" i="5"/>
  <c r="L46" i="5"/>
  <c r="AT45" i="5"/>
  <c r="H45" i="5"/>
  <c r="AT44" i="5"/>
  <c r="T44" i="5"/>
  <c r="L44" i="5"/>
  <c r="H44" i="5"/>
  <c r="AT43" i="5"/>
  <c r="H43" i="5"/>
  <c r="AT42" i="5"/>
  <c r="L42" i="5"/>
  <c r="H42" i="5"/>
  <c r="T41" i="5"/>
  <c r="L41" i="5"/>
  <c r="H41" i="5"/>
  <c r="D40" i="5"/>
  <c r="AT38" i="5"/>
  <c r="AS38" i="5"/>
  <c r="H37" i="5"/>
  <c r="H36" i="5"/>
  <c r="H35" i="5"/>
  <c r="H34" i="5"/>
  <c r="H32" i="5"/>
  <c r="AJ31" i="5"/>
  <c r="H31" i="5"/>
  <c r="AJ30" i="5"/>
  <c r="N30" i="5"/>
  <c r="L30" i="5"/>
  <c r="H30" i="5"/>
  <c r="AT29" i="5"/>
  <c r="AS29" i="5"/>
  <c r="H26" i="5"/>
  <c r="H25" i="5"/>
  <c r="N24" i="5"/>
  <c r="H24" i="5"/>
  <c r="AJ22" i="5"/>
  <c r="H22" i="5"/>
  <c r="AJ21" i="5"/>
  <c r="N21" i="5"/>
  <c r="H21" i="5"/>
  <c r="AD14" i="5"/>
  <c r="AJ49" i="1" l="1"/>
  <c r="J84" i="1"/>
  <c r="J62" i="1"/>
  <c r="Z90" i="1" l="1"/>
  <c r="T44" i="1"/>
  <c r="T46" i="1"/>
  <c r="AH90" i="1"/>
  <c r="AG90" i="1"/>
  <c r="AH89" i="1"/>
  <c r="AG89" i="1"/>
  <c r="AH87" i="1"/>
  <c r="AG87" i="1"/>
  <c r="AH86" i="1"/>
  <c r="AG86" i="1"/>
  <c r="AH85" i="1"/>
  <c r="AG85" i="1"/>
  <c r="AH84" i="1"/>
  <c r="AG84" i="1"/>
  <c r="AH79" i="1"/>
  <c r="AG79" i="1"/>
  <c r="AH73" i="1"/>
  <c r="AG73" i="1"/>
  <c r="AH71" i="1"/>
  <c r="AG71" i="1"/>
  <c r="AH63" i="1"/>
  <c r="AG63" i="1"/>
  <c r="AH62" i="1"/>
  <c r="AG62" i="1"/>
  <c r="AH61" i="1"/>
  <c r="AG61" i="1"/>
  <c r="AH53" i="1"/>
  <c r="AG53" i="1"/>
  <c r="AH52" i="1"/>
  <c r="AG52" i="1"/>
  <c r="AH49" i="1"/>
  <c r="AG49" i="1"/>
  <c r="AH40" i="1"/>
  <c r="AG40" i="1"/>
  <c r="AH38" i="1"/>
  <c r="AG38" i="1"/>
  <c r="AH29" i="1"/>
  <c r="AG29" i="1"/>
  <c r="H96" i="1" l="1"/>
  <c r="L76" i="1"/>
  <c r="H104" i="1"/>
  <c r="H100" i="1"/>
  <c r="H103" i="1"/>
  <c r="H99" i="1"/>
  <c r="L77" i="1"/>
  <c r="AL77" i="1"/>
  <c r="AL76" i="1"/>
  <c r="AL62" i="1"/>
  <c r="L103" i="1"/>
  <c r="L99" i="1"/>
  <c r="L96" i="1"/>
  <c r="L62" i="1"/>
  <c r="N62" i="1"/>
  <c r="N61" i="1"/>
  <c r="N50" i="1"/>
  <c r="N49" i="1"/>
  <c r="N30" i="1"/>
  <c r="N24" i="1"/>
  <c r="N21" i="1"/>
  <c r="N84" i="1" l="1"/>
  <c r="L84" i="1"/>
  <c r="L49" i="1"/>
  <c r="AT46" i="1"/>
  <c r="AT45" i="1"/>
  <c r="AT44" i="1"/>
  <c r="AT43" i="1"/>
  <c r="AT42" i="1"/>
  <c r="AL49" i="1"/>
  <c r="N96" i="1"/>
  <c r="AT104" i="1" l="1"/>
  <c r="AT103" i="1"/>
  <c r="AT100" i="1"/>
  <c r="AT99" i="1"/>
  <c r="AT96" i="1"/>
  <c r="G38" i="1" l="1"/>
  <c r="H38" i="1"/>
  <c r="L71" i="1"/>
  <c r="L38" i="1"/>
  <c r="AT87" i="1"/>
  <c r="AT86" i="1"/>
  <c r="AS87" i="1"/>
  <c r="AS86" i="1"/>
  <c r="AT84" i="1"/>
  <c r="AS84" i="1"/>
  <c r="AT85" i="1"/>
  <c r="AS85" i="1"/>
  <c r="AT74" i="1"/>
  <c r="AT73" i="1"/>
  <c r="AS74" i="1"/>
  <c r="AS73" i="1"/>
  <c r="AT64" i="1"/>
  <c r="AS64" i="1"/>
  <c r="AT63" i="1"/>
  <c r="AS63" i="1"/>
  <c r="AT53" i="1"/>
  <c r="AS53" i="1"/>
  <c r="AT50" i="1"/>
  <c r="AS50" i="1"/>
  <c r="AT49" i="1"/>
  <c r="AS49" i="1"/>
  <c r="AT38" i="1"/>
  <c r="AS38" i="1"/>
  <c r="AT29" i="1"/>
  <c r="AS29" i="1"/>
  <c r="L30" i="1" l="1"/>
  <c r="H37" i="1"/>
  <c r="H36" i="1"/>
  <c r="H35" i="1"/>
  <c r="H34" i="1"/>
  <c r="H33" i="1"/>
  <c r="H32" i="1"/>
  <c r="H31" i="1"/>
  <c r="H30" i="1"/>
  <c r="H26" i="1"/>
  <c r="H25" i="1"/>
  <c r="H24" i="1"/>
  <c r="H23" i="1"/>
  <c r="H22" i="1"/>
  <c r="H21" i="1"/>
  <c r="H71" i="1"/>
  <c r="AJ31" i="1"/>
  <c r="AJ30" i="1"/>
  <c r="AJ22" i="1"/>
  <c r="AJ21" i="1"/>
  <c r="P71" i="1"/>
  <c r="H90" i="1" l="1"/>
  <c r="H89" i="1"/>
  <c r="G90" i="1"/>
  <c r="G89" i="1"/>
  <c r="H73" i="1"/>
  <c r="H29" i="1"/>
  <c r="G29" i="1"/>
  <c r="AR76" i="1" l="1"/>
  <c r="L46" i="1"/>
  <c r="L44" i="1"/>
  <c r="L42" i="1"/>
  <c r="L41" i="1"/>
  <c r="AH96" i="1"/>
  <c r="T41" i="1"/>
  <c r="AD14" i="1"/>
  <c r="H95" i="1"/>
  <c r="Z46" i="1"/>
  <c r="D93" i="1" l="1"/>
  <c r="H41" i="1" l="1"/>
  <c r="H46" i="1"/>
  <c r="H45" i="1"/>
  <c r="H44" i="1"/>
  <c r="H43" i="1"/>
  <c r="H42" i="1"/>
  <c r="H94" i="1"/>
  <c r="H93" i="1"/>
  <c r="G94" i="1"/>
  <c r="G93" i="1"/>
  <c r="L90" i="1"/>
  <c r="K90" i="1"/>
  <c r="L89" i="1"/>
  <c r="K89" i="1"/>
  <c r="T49" i="1" l="1"/>
  <c r="AJ94" i="1"/>
  <c r="AJ93" i="1"/>
  <c r="Y85" i="1"/>
  <c r="Y84" i="1"/>
  <c r="Y73" i="1"/>
  <c r="Y71" i="1"/>
  <c r="Y63" i="1"/>
  <c r="Y62" i="1"/>
  <c r="Y61" i="1"/>
  <c r="Y51" i="1"/>
  <c r="Y49" i="1"/>
  <c r="AB61" i="1"/>
  <c r="P87" i="1" l="1"/>
  <c r="P76" i="1"/>
  <c r="X49" i="1"/>
  <c r="H77" i="1" l="1"/>
  <c r="X73" i="1"/>
  <c r="Z89" i="1" l="1"/>
  <c r="Z87" i="1"/>
  <c r="Z86" i="1"/>
  <c r="Y90" i="1"/>
  <c r="Y89" i="1"/>
  <c r="Y87" i="1"/>
  <c r="Y86" i="1"/>
  <c r="AC94" i="1" l="1"/>
  <c r="R92" i="1"/>
  <c r="L70" i="1" l="1"/>
  <c r="K70" i="1"/>
  <c r="J40" i="1" l="1"/>
  <c r="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0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6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7" authorId="0" shapeId="0" xr:uid="{00000000-0006-0000-0000-000003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8" authorId="0" shapeId="0" xr:uid="{00000000-0006-0000-0000-000004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4" authorId="0" shapeId="0" xr:uid="{00000000-0006-0000-0000-000005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5" authorId="0" shapeId="0" xr:uid="{00000000-0006-0000-0000-000006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6" authorId="0" shapeId="0" xr:uid="{00000000-0006-0000-0000-000007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8" authorId="0" shapeId="0" xr:uid="{00000000-0006-0000-0000-000008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9" authorId="0" shapeId="0" xr:uid="{00000000-0006-0000-0000-000009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2" authorId="0" shapeId="0" xr:uid="{00000000-0006-0000-0000-00000A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2" authorId="0" shapeId="0" xr:uid="{00000000-0006-0000-0000-00000B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3" authorId="0" shapeId="0" xr:uid="{00000000-0006-0000-0000-00000C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0" authorId="0" shapeId="0" xr:uid="{00000000-0006-0000-0200-000001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6" authorId="0" shapeId="0" xr:uid="{00000000-0006-0000-0200-00000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7" authorId="0" shapeId="0" xr:uid="{00000000-0006-0000-0200-000003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8" authorId="0" shapeId="0" xr:uid="{00000000-0006-0000-0200-000004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4" authorId="0" shapeId="0" xr:uid="{00000000-0006-0000-0200-000005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5" authorId="0" shapeId="0" xr:uid="{00000000-0006-0000-0200-000006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6" authorId="0" shapeId="0" xr:uid="{00000000-0006-0000-0200-000007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8" authorId="0" shapeId="0" xr:uid="{00000000-0006-0000-0200-000008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9" authorId="0" shapeId="0" xr:uid="{00000000-0006-0000-0200-000009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2" authorId="0" shapeId="0" xr:uid="{00000000-0006-0000-0200-00000A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2" authorId="0" shapeId="0" xr:uid="{00000000-0006-0000-0200-00000B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3" authorId="0" shapeId="0" xr:uid="{00000000-0006-0000-0200-00000C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16" authorId="0" shapeId="0" xr:uid="{00000000-0006-0000-0600-000001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22" authorId="0" shapeId="0" xr:uid="{00000000-0006-0000-0600-00000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23" authorId="0" shapeId="0" xr:uid="{00000000-0006-0000-0600-000003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24" authorId="0" shapeId="0" xr:uid="{00000000-0006-0000-0600-000004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28" authorId="0" shapeId="0" xr:uid="{00000000-0006-0000-0600-000005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29" authorId="0" shapeId="0" xr:uid="{00000000-0006-0000-0600-000006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31" authorId="0" shapeId="0" xr:uid="{00000000-0006-0000-0600-000007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32" authorId="0" shapeId="0" xr:uid="{00000000-0006-0000-0600-000008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37" authorId="0" shapeId="0" xr:uid="{00000000-0006-0000-0600-000009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44" authorId="0" shapeId="0" xr:uid="{00000000-0006-0000-0600-00000A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  <comment ref="B60" authorId="0" shapeId="0" xr:uid="{00000000-0006-0000-0600-00000B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66" authorId="0" shapeId="0" xr:uid="{00000000-0006-0000-0600-00000C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
</t>
        </r>
      </text>
    </comment>
    <comment ref="B67" authorId="0" shapeId="0" xr:uid="{00000000-0006-0000-0600-00000D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68" authorId="0" shapeId="0" xr:uid="{00000000-0006-0000-0600-00000E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72" authorId="0" shapeId="0" xr:uid="{00000000-0006-0000-0600-00000F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73" authorId="0" shapeId="0" xr:uid="{00000000-0006-0000-0600-000010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75" authorId="0" shapeId="0" xr:uid="{00000000-0006-0000-0600-000011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6" authorId="0" shapeId="0" xr:uid="{00000000-0006-0000-0600-00001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81" authorId="0" shapeId="0" xr:uid="{00000000-0006-0000-0600-000013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88" authorId="0" shapeId="0" xr:uid="{00000000-0006-0000-0600-000014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16" authorId="0" shapeId="0" xr:uid="{00000000-0006-0000-0700-000001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D33" authorId="0" shapeId="0" xr:uid="{00000000-0006-0000-0700-000002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B51" authorId="0" shapeId="0" xr:uid="{00000000-0006-0000-0700-000003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D67" authorId="0" shapeId="0" xr:uid="{00000000-0006-0000-0700-000004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0B280-3F31-4ED8-8FC2-B3A796B9D761}" keepAlive="1" name="Запрос — Таблица2" description="Соединение с запросом &quot;Таблица2&quot; в книге." type="5" refreshedVersion="6" background="1" saveData="1">
    <dbPr connection="Provider=Microsoft.Mashup.OleDb.1;Data Source=$Workbook$;Location=Таблица2;Extended Properties=&quot;&quot;" command="SELECT * FROM [Таблица2]"/>
  </connection>
  <connection id="2" xr16:uid="{89C56FBC-CD98-469A-A581-177DAFE1A09E}" keepAlive="1" name="Запрос — Таблица2 (2)" description="Соединение с запросом &quot;Таблица2 (2)&quot; в книге." type="5" refreshedVersion="6" background="1" saveData="1">
    <dbPr connection="Provider=Microsoft.Mashup.OleDb.1;Data Source=$Workbook$;Location=&quot;Таблица2 (2)&quot;;Extended Properties=&quot;&quot;" command="SELECT * FROM [Таблица2 (2)]"/>
  </connection>
  <connection id="3" xr16:uid="{3FE75AFA-73BA-4377-9617-CD6ACF11DC61}" keepAlive="1" name="Запрос — Таблица4" description="Соединение с запросом &quot;Таблица4&quot; в книге." type="5" refreshedVersion="6" background="1" saveData="1">
    <dbPr connection="Provider=Microsoft.Mashup.OleDb.1;Data Source=$Workbook$;Location=Таблица4;Extended Properties=&quot;&quot;" command="SELECT * FROM [Таблица4]"/>
  </connection>
</connections>
</file>

<file path=xl/sharedStrings.xml><?xml version="1.0" encoding="utf-8"?>
<sst xmlns="http://schemas.openxmlformats.org/spreadsheetml/2006/main" count="30861" uniqueCount="637">
  <si>
    <t>№ п/п</t>
  </si>
  <si>
    <t>Наименование</t>
  </si>
  <si>
    <t>Адрес</t>
  </si>
  <si>
    <t>Площадь, кв.м.</t>
  </si>
  <si>
    <t>Учебный корпус</t>
  </si>
  <si>
    <t>Липецкая область, г. Елец, пер. Мельничный, д. 17</t>
  </si>
  <si>
    <t>Подземное хранилище</t>
  </si>
  <si>
    <t>Уборная</t>
  </si>
  <si>
    <t>Штаб школы (2-этажное здание)</t>
  </si>
  <si>
    <t>Здание административно-учебного корпуса</t>
  </si>
  <si>
    <t>Московская обл., Пушкинский р-н, город Пушкино, м-н Мамонтовка, ул. Октябрьская, 23</t>
  </si>
  <si>
    <t>Здание спального корпуса № 1</t>
  </si>
  <si>
    <t>Московская область, г. Пушкино, мкр-н Мамонтовка, ул. Октябрьская, д. 23</t>
  </si>
  <si>
    <t>Здание спального корпуса № 2</t>
  </si>
  <si>
    <t>Здание общежития № 3 (Здание спальный корпус № 3)</t>
  </si>
  <si>
    <t>Здание башни (пожарная вышка)</t>
  </si>
  <si>
    <t>Здание санитарного узла дворового</t>
  </si>
  <si>
    <t>Здание столярной мастерской</t>
  </si>
  <si>
    <t>Здание трансформаторной подстанции</t>
  </si>
  <si>
    <t>Здание котельной с пристроенным душем</t>
  </si>
  <si>
    <t>Здание склада</t>
  </si>
  <si>
    <t>Здание гаража</t>
  </si>
  <si>
    <t>Здание сарая для стоянки автомашин</t>
  </si>
  <si>
    <t>Здание котельной</t>
  </si>
  <si>
    <t>Здание КПП</t>
  </si>
  <si>
    <t>Здание овощехранилища</t>
  </si>
  <si>
    <t>Московская обл., г. Пушкино, мрн.Мамонтовка, ул. Октябрьская, 23</t>
  </si>
  <si>
    <t>Здание учебного корпуса</t>
  </si>
  <si>
    <t>129626, г. Москва, р-н Алексеевский, Кучин пер., д. 14,стр. 1</t>
  </si>
  <si>
    <t>129626, г. Москва,р-н Алексеевский, Кучин пер., д. 14, стр. 2</t>
  </si>
  <si>
    <t>Здание общежития</t>
  </si>
  <si>
    <t>129626, г. Москва, р-н Алексеевский,Кучин пер., д. 14, стр. 9</t>
  </si>
  <si>
    <t>Здание учебного корпуса (стр. 15)</t>
  </si>
  <si>
    <t>129626, г. Москва, р-н Алексеевский, Кучин пер., д. 14,стр. 15</t>
  </si>
  <si>
    <t>Здание проходной</t>
  </si>
  <si>
    <t>129626, г. Москва, р-н Алексеевский,Кучин пер., д. 14,стр. 4</t>
  </si>
  <si>
    <t>129626, г. Москва, р-н Алексеевский, Кучин пер., д. 14,стр. 6</t>
  </si>
  <si>
    <t xml:space="preserve">Здание учебного корпуса </t>
  </si>
  <si>
    <t>127635, г. Москва, р-н Западное Дегунино, ул. Талдомская, д. 5</t>
  </si>
  <si>
    <t>Здание ТП</t>
  </si>
  <si>
    <t>127635, г. Москва, ул. Талдомская, д. 5 стр. 2</t>
  </si>
  <si>
    <t>127635, г. Москва, р-н Западное Дегунино, ул. Новая, д. 4</t>
  </si>
  <si>
    <t>109382, г. Москва, р-н Люблино, ул. Люблинская, д. 88, стр. 1</t>
  </si>
  <si>
    <t>Здание учебной мастерской (строение №2)</t>
  </si>
  <si>
    <t>109382, г. Москва, р-н Люблино, ул. Люблинская, д. 88, стр. 2</t>
  </si>
  <si>
    <t>Строение бойлерной (стр. 3)</t>
  </si>
  <si>
    <t>109382, г. Москва, р-н Люблино, ул. Люблинская, д. 88, стр. 3</t>
  </si>
  <si>
    <t>109382, г. Москва, р-н Люблино, ул. Люблинская, д. 88, стр. 4</t>
  </si>
  <si>
    <t>Здание сарая</t>
  </si>
  <si>
    <t>г. Москва, ул. Люблинская, д. 88, стр. 6</t>
  </si>
  <si>
    <t>г. Москва, ул. Люблинская, д. 88, стр. 10</t>
  </si>
  <si>
    <t>г. Москва, ул. Люблинская, д. 88, стр. 11</t>
  </si>
  <si>
    <t>109382, г. Москва, ул. Люблинская, д. 88, стр. 13</t>
  </si>
  <si>
    <t>Здание общежития "Лось"</t>
  </si>
  <si>
    <t>129347, г. Москва, р-н Ярославский, ул. Палехская, д. 145</t>
  </si>
  <si>
    <t>Здание общежития "Кратово-I"</t>
  </si>
  <si>
    <t>140100, МО, Раменский район, пос. Кратово, ул. Муромская, д. 2</t>
  </si>
  <si>
    <t>Здание общежития "Кратово-II"</t>
  </si>
  <si>
    <t>140100, МО, Раменский район, пос. Кратово, ул. Симбирская, д. 13</t>
  </si>
  <si>
    <t>125315 г. Москва, р-н Аэропорт, ул. Часовая д. 22/2 стр. 1</t>
  </si>
  <si>
    <t>Здание учебного корпуса №2</t>
  </si>
  <si>
    <t>125315, г. Москва, р-н Аэропорт, ул. Часовая д. 22/2 стр. 2</t>
  </si>
  <si>
    <t>Здание столовой</t>
  </si>
  <si>
    <t>125315 г. Москва, р-н Аэропорт, ул. Часовая д. 22/2 стр. 3</t>
  </si>
  <si>
    <t>Здание учебно-лабораторного корпуса</t>
  </si>
  <si>
    <t xml:space="preserve">125315 Москва, р-н Аэропорт, 3-й Балтийский пер., д. 3 </t>
  </si>
  <si>
    <t>Здание под склад</t>
  </si>
  <si>
    <t xml:space="preserve">г. Москва, 3-й Балтийский пер., д. 3, стр. 2 </t>
  </si>
  <si>
    <t>125315 Москва, р-н Аэропорт, 3-й Балтийский пер., д. 4, корп. 5</t>
  </si>
  <si>
    <t>125635 Москва, р-н Западное Дегунино, ул. Новая, д. 6а</t>
  </si>
  <si>
    <t>125635 Москва, р-н Западное Дегунино, ул. Новая, д. 6</t>
  </si>
  <si>
    <t>Здание учебного корпуса № 1</t>
  </si>
  <si>
    <t>127994 Москва, р-н Марьина Роща,  ул. Образцова, д. 9, стр. 9</t>
  </si>
  <si>
    <t>Учебно-административное здание</t>
  </si>
  <si>
    <t>127055 Москва, р-н Марьина Роща,  ул. Образцова, д. 9, стр 1</t>
  </si>
  <si>
    <t>Здание учебного корпуса № 8</t>
  </si>
  <si>
    <t>127055 Москва, р-н Марьина Роща,  ул. Образцова, д. 9, стр 2</t>
  </si>
  <si>
    <t>Здание уче6но-лабораторного корпуса № 5</t>
  </si>
  <si>
    <t>127055 Москва, р-н Марьина Роща,  ул. Образцова, д. 9, стр 3</t>
  </si>
  <si>
    <t>Здание учебного корпуса № 6</t>
  </si>
  <si>
    <t>127055 Москва, р-н Марьина Роща,  ул. Образцова, д. 9, стр 4</t>
  </si>
  <si>
    <t>Учебно-лабораторное здание</t>
  </si>
  <si>
    <t>127055 Москва, р-н Марьина Роща,  ул. Образцова, д. 9, стр 5</t>
  </si>
  <si>
    <t>127055 Москва, р-н Марьина Роща,  ул. Образцова, д. 9, стр 6</t>
  </si>
  <si>
    <t>127055 Москва, р-н Марьина Роща,  ул. Образцова, д. 9, стр 7</t>
  </si>
  <si>
    <t>127055 Москва, р-н Марьина Роща,  ул. Образцова, д. 9, стр 8</t>
  </si>
  <si>
    <t>127055 Москва, р-н Марьина Роща,  ул. Образцова, д. 9, стр 12</t>
  </si>
  <si>
    <t>127055 Москва, р-н Марьина Роща,  ул. Образцова, д. 9, стр 10</t>
  </si>
  <si>
    <t>127055 Москва, р-н Марьина Роща, ул. Новосущевская, д. 22, стр 9</t>
  </si>
  <si>
    <t>127055 Москва, р-н Марьина Роща, ул. Новосущевская, д. 22, стр 1</t>
  </si>
  <si>
    <t>Здание учебного корпуса №3</t>
  </si>
  <si>
    <t>127055 Москва, р-н Марьина Роща, ул. Новосущевская, д. 22, стр 2</t>
  </si>
  <si>
    <t>Здание учебного корпуса №4</t>
  </si>
  <si>
    <t>127055 Москва, р-н Марьина Роща, ул. Новосущевская, д. 22, стр 3</t>
  </si>
  <si>
    <t>Вспомогательное здание</t>
  </si>
  <si>
    <t>127055 Москва, р-н Марьина Роща, ул. Новосущевская, д. 22, стр 4</t>
  </si>
  <si>
    <t>127055 Москва, р-н Марьина Роща, ул. Новосущевская, д. 22, стр 5</t>
  </si>
  <si>
    <t>127055 Москва, р-н Марьина Роща, ул. Новосущевская, д. 22, стр 7</t>
  </si>
  <si>
    <t>Здание криогенной лаборатории</t>
  </si>
  <si>
    <t>127055 Москва, р-н Марьина Роща, ул. Новосущевская, д. 22, стр 8</t>
  </si>
  <si>
    <t>127055 Москва, р-н Марьина Роща, ул. Новосущевская, д. 22, стр 11</t>
  </si>
  <si>
    <t xml:space="preserve">Здание распределительного пункта №12142 </t>
  </si>
  <si>
    <t>127055, г. Москва, ул. Новосущевская, д. 22, стр. 6</t>
  </si>
  <si>
    <t>127018 Москва, р-н Марьина Роща, ул. Образцова, д. 21</t>
  </si>
  <si>
    <t>Здание общежития № 2</t>
  </si>
  <si>
    <t>127055 Москва, р-н Марьина Роща, ул. Образцова, д. 22</t>
  </si>
  <si>
    <t>Нежилое помещение (Здание общежития № 1)</t>
  </si>
  <si>
    <t>г. Москва, 2-й Вышеславцев пер., д. 17</t>
  </si>
  <si>
    <t>Жилые помещения (Здание общежития № 1)</t>
  </si>
  <si>
    <t>Здание дворца культуры</t>
  </si>
  <si>
    <t>127018, Москва, р-н Марьина Роща, пер. Новосущевский, д. 6, стр. 1</t>
  </si>
  <si>
    <t>Гараж-пристройка к профилакторию</t>
  </si>
  <si>
    <t>г. Москва, 2-й Вышеславцев пер., д. 15</t>
  </si>
  <si>
    <t>Здание дворца спорта с бассейном</t>
  </si>
  <si>
    <t>127055, Москва, р-н Марьина Роща, ул. Новосущевская, д. 24, стр. 1</t>
  </si>
  <si>
    <t>Здание дворца спорта (манеж)</t>
  </si>
  <si>
    <t>127055, Москва, р-н Марьина Роща, ул. Новосущевская, д. 24, стр. 2</t>
  </si>
  <si>
    <t>Здание тира</t>
  </si>
  <si>
    <t>127018, Москва, р-н Марьина Роща, Новосущевский пер., д. 6, стр. 2</t>
  </si>
  <si>
    <t>Здание Института международных транспортных коммуникаций</t>
  </si>
  <si>
    <t>г. Москва, ул. Новосущевская, д. 26а</t>
  </si>
  <si>
    <t xml:space="preserve">Склад </t>
  </si>
  <si>
    <t>г. Москва, ул. Новосущевская, д. 26а, стр 10</t>
  </si>
  <si>
    <t>Склад</t>
  </si>
  <si>
    <t>г. Москва, ул. Новосущевская, д. 26а, стр 7</t>
  </si>
  <si>
    <t>г. Москва, ул. Новосущевская, д. 26а, стр 6</t>
  </si>
  <si>
    <t>Гараж</t>
  </si>
  <si>
    <t>г. Москва, ул. Новосущевская, д. 26а, стр 8</t>
  </si>
  <si>
    <t xml:space="preserve">Здание учебно-медико профилактического корпуса </t>
  </si>
  <si>
    <t>127055, Москва, р-н Марьина Роща, ул. Новосущевская, д. 18</t>
  </si>
  <si>
    <t xml:space="preserve">Здание учебного корпуса №7 </t>
  </si>
  <si>
    <t>127055, Москва, р-н Марьина Роща, Минаевский пер., д. 2</t>
  </si>
  <si>
    <t>Здание общежития № 4</t>
  </si>
  <si>
    <t>127322, Москва, р-н Бутырский, Огородный проезд, д. 25/20</t>
  </si>
  <si>
    <t xml:space="preserve">Здание общежития № 5 </t>
  </si>
  <si>
    <t>129301, Москва, р-н Алексеевский, ул. Космонавтов, д. 11</t>
  </si>
  <si>
    <t>Учебно-спортивное здание</t>
  </si>
  <si>
    <t>129301, Москва, р-н Алексеевский, ул. Космонавтов, д. 11, стр. 2</t>
  </si>
  <si>
    <t xml:space="preserve">Здание общежития № 6 </t>
  </si>
  <si>
    <t>129323, Москва, р-н Свиблово, ул. Снежная, д. 16, корп. 3</t>
  </si>
  <si>
    <t>Здание общежития № 7</t>
  </si>
  <si>
    <t>129323, Москва, р-н Свиблово, ул. Снежная, д. 16, корп. 4</t>
  </si>
  <si>
    <t>Учебно-спортивные помещения</t>
  </si>
  <si>
    <t>г. Москва, ул. Снежная, д. 16, корп. 5</t>
  </si>
  <si>
    <t>Здание Российской академии путей сообщения (РАПС)</t>
  </si>
  <si>
    <t xml:space="preserve">127018, Москва, р-н Марьина Роща, Октябрьский пер., д. 7 </t>
  </si>
  <si>
    <t>Здание №1 гимназии</t>
  </si>
  <si>
    <t>129626, Москва, р-н Алексеевский, ул. Мытищинская 3-я, д. 12, стр. 1</t>
  </si>
  <si>
    <t>Здание №2 гимназии</t>
  </si>
  <si>
    <t xml:space="preserve">107014, Москва, р-н Сокольники, просек Лучевой 2-й, д. 5а </t>
  </si>
  <si>
    <t xml:space="preserve">Здание медицинского колледжа со спортивным залом </t>
  </si>
  <si>
    <t>129128, Москва, р-н Ростокино, ул. Будайская, д. 2, стр. 18</t>
  </si>
  <si>
    <t>Нежилое здание (Учебно-лабораторный корпус)</t>
  </si>
  <si>
    <t>117105, Москва, р-н Донской, Новоданиловская наб., д. 2, корп. 1</t>
  </si>
  <si>
    <t>Склад-ангар</t>
  </si>
  <si>
    <t>Москва, Новоданиловская наб., д. 2, корп. 1, стр. 3</t>
  </si>
  <si>
    <t>Трансформаторная подстанция</t>
  </si>
  <si>
    <t>Москва, Новоданиловская наб., д. 2, корп. 1, стр. 4</t>
  </si>
  <si>
    <t>учебный корпус</t>
  </si>
  <si>
    <t xml:space="preserve">Москва, р-н Нагатинский Затон, ул. Судостроительная, д. 44, строен. 1 </t>
  </si>
  <si>
    <t>Москва, р-н Нагатинский Затон, ул. Судостроительная, д. 44, строен. 2</t>
  </si>
  <si>
    <t>Ангар № 1 (сооружение)</t>
  </si>
  <si>
    <t>Москва, ул. Судостроительная, д. 44, строен. 3</t>
  </si>
  <si>
    <t>Ангар № 2 сборно-разборный металлический утепленный</t>
  </si>
  <si>
    <t>Москва, ул. Судостроительная, д. 44, строен. 4</t>
  </si>
  <si>
    <t>Здание-учебный корпус</t>
  </si>
  <si>
    <t xml:space="preserve">Москва, р-н Нагатинский Затон, ул. Судостроительная, д. 46, строен. 1 </t>
  </si>
  <si>
    <t>лабораторный корпус</t>
  </si>
  <si>
    <t>Москва, р-н Нагатинский Затон, ул. Судостроительная, д. 46, строен. 2</t>
  </si>
  <si>
    <t>Нежилое здание (Смешанное здание)</t>
  </si>
  <si>
    <t>г. Москва, ул. Судостроительная, д. 32, корп. 2</t>
  </si>
  <si>
    <t>Нежилое здание (Столовая)</t>
  </si>
  <si>
    <t>Москва, Нагатинский Затон, ул. Судостроительная, д. 42</t>
  </si>
  <si>
    <t>Нежилое здание</t>
  </si>
  <si>
    <t>Москва, ул. Судостроительная, д. 42, строен. 2</t>
  </si>
  <si>
    <t>Жилой дом</t>
  </si>
  <si>
    <t>г. Москва, р-н Южнопортовый, 2-й Южнопортовый проезд, д. 5, корп. 2</t>
  </si>
  <si>
    <t>Жилое помещение</t>
  </si>
  <si>
    <t>г. Москва, ул. Бутырская, д. 79</t>
  </si>
  <si>
    <t>ИТОГО</t>
  </si>
  <si>
    <t>Количество, ед.</t>
  </si>
  <si>
    <t xml:space="preserve">* - </t>
  </si>
  <si>
    <t>Обращение к губернатору Московской области по вопросу передачи зданий из собственности Российской Федерации в собственность субъекта РФ</t>
  </si>
  <si>
    <t xml:space="preserve">** - </t>
  </si>
  <si>
    <t>Принятие решения о сносе по результатам проектных и исследовательских работ</t>
  </si>
  <si>
    <t>Вывоз мусора</t>
  </si>
  <si>
    <t>бюджет</t>
  </si>
  <si>
    <t>внебюджет</t>
  </si>
  <si>
    <t>Дератизация и дезинфекция</t>
  </si>
  <si>
    <t>ТО кондиционеров</t>
  </si>
  <si>
    <t>Очистка от снега,наледи и сосулек</t>
  </si>
  <si>
    <t>ТО лифтов</t>
  </si>
  <si>
    <t>Охрана и ТО, пожарная сигнализация</t>
  </si>
  <si>
    <t>ТО сантехнического оборудования</t>
  </si>
  <si>
    <t>ТО газовой котельни, оборудовани\</t>
  </si>
  <si>
    <t>ТО ворот и шлагбаумов</t>
  </si>
  <si>
    <t>ТО инженерных сетей</t>
  </si>
  <si>
    <t>Ремонт</t>
  </si>
  <si>
    <t>ТО вентиляции, системы дымоудаления</t>
  </si>
  <si>
    <t>ТО и ремонт ПТ 23603 и КЛ ТП 23603-ТП 11347</t>
  </si>
  <si>
    <t>ТО инфраструктуры центра обработки данных</t>
  </si>
  <si>
    <t>ТО СКУД, ТО турникетов Стрелец-Мониторинг, ТО комплекс систем безопасности, пожарных кранов</t>
  </si>
  <si>
    <t>Круглосусточное сервисное обслуживание системы бесперебойного электропитания, обслуживание АИИС К учета электроэнергии, ТО УУТЭ</t>
  </si>
  <si>
    <t>ТО водоподготовки, канализации, лабораторные исследования воды</t>
  </si>
  <si>
    <t>Подготовка к зиме</t>
  </si>
  <si>
    <t>Огнезащитная обработка</t>
  </si>
  <si>
    <t>Утилизация отходов, обезвреживание, утилизация объектов</t>
  </si>
  <si>
    <t>Сумма, руб.</t>
  </si>
  <si>
    <t>Всего, руб.</t>
  </si>
  <si>
    <t>Вид</t>
  </si>
  <si>
    <t xml:space="preserve">ул.Образцова д.9 стр.2 </t>
  </si>
  <si>
    <t>ГУК-8 (Технопарк, АВИШ, АБП)</t>
  </si>
  <si>
    <t>ул.Образцова д.9 стр.1</t>
  </si>
  <si>
    <t>Администрация</t>
  </si>
  <si>
    <t>ул.Образцова д.9 стр.7</t>
  </si>
  <si>
    <t>ГУК-13</t>
  </si>
  <si>
    <t>ул.Образцова д.9 стр.3</t>
  </si>
  <si>
    <t>дом химии</t>
  </si>
  <si>
    <t>ул.Образцова д.9 стр.4</t>
  </si>
  <si>
    <t>ЮИ</t>
  </si>
  <si>
    <t>ул.Образцова д.9 стр.9</t>
  </si>
  <si>
    <t>ИУЦТ</t>
  </si>
  <si>
    <t>ул.Образцова д.9 стр.8</t>
  </si>
  <si>
    <t>дом физики</t>
  </si>
  <si>
    <t>ул.Образцова д.9 стр.12</t>
  </si>
  <si>
    <t>ул. Образцова д.9 стр.10</t>
  </si>
  <si>
    <t>КПП-1</t>
  </si>
  <si>
    <t>ул.Новосущевская д.22 стр.1</t>
  </si>
  <si>
    <t>ИТТСУ</t>
  </si>
  <si>
    <t>ул.Новосущевская д.22 стр.2</t>
  </si>
  <si>
    <t>ИЭФ</t>
  </si>
  <si>
    <t>ул.Новосущевская д.22 стр.3</t>
  </si>
  <si>
    <t>ул. Новосущевская д.22 стр.5</t>
  </si>
  <si>
    <t>ул. Новосущевская д.22 стр.4</t>
  </si>
  <si>
    <t>ул. Новосущевская д.22 стр.9</t>
  </si>
  <si>
    <t>КПП-2</t>
  </si>
  <si>
    <t>2-й Минаевский пер. д.2</t>
  </si>
  <si>
    <t>ИПСС</t>
  </si>
  <si>
    <t>ул.Новосущевская д.26А</t>
  </si>
  <si>
    <t>ИМТК</t>
  </si>
  <si>
    <t>Октябрьский пер.д.7</t>
  </si>
  <si>
    <t>РАПС</t>
  </si>
  <si>
    <t>ул. 3-я Мытищинская д.12</t>
  </si>
  <si>
    <t>Гимназия</t>
  </si>
  <si>
    <t>2-й Лучевой просек 5А</t>
  </si>
  <si>
    <t>ул. Судостроительная д.44 стр.1</t>
  </si>
  <si>
    <t>АВТ колледж</t>
  </si>
  <si>
    <t>ул. Судостроительная д.44 стр.2</t>
  </si>
  <si>
    <t>ул. Судостроительная д.46 стр.1</t>
  </si>
  <si>
    <t>АВТ ВО</t>
  </si>
  <si>
    <t>ул. Судостроительная д.46 стр.2</t>
  </si>
  <si>
    <t>Новоданиловская наб.д.2к.4</t>
  </si>
  <si>
    <t>ул.Будайская д.2 к.8</t>
  </si>
  <si>
    <t>Мед.колледж</t>
  </si>
  <si>
    <t>ул.Новосущевская д.24</t>
  </si>
  <si>
    <t>ДФ/ДС</t>
  </si>
  <si>
    <t>Новосущевский пер.д6. стр.1</t>
  </si>
  <si>
    <t>ДК</t>
  </si>
  <si>
    <t>ул.Образцова д.21</t>
  </si>
  <si>
    <t>ДМ</t>
  </si>
  <si>
    <t>ул.Новосущевская д. 18</t>
  </si>
  <si>
    <t>Поликлиника</t>
  </si>
  <si>
    <t>2-й Вышеславцев пер д.17 стр.1</t>
  </si>
  <si>
    <t>Общ 1</t>
  </si>
  <si>
    <t>ул.Образцова д.22</t>
  </si>
  <si>
    <t>Общ 2</t>
  </si>
  <si>
    <t>ул. Снежная д.16 к3</t>
  </si>
  <si>
    <t>Общаги 3</t>
  </si>
  <si>
    <t>ул. Снежная д.16 к4</t>
  </si>
  <si>
    <t>ул. Снежная д.16 к5</t>
  </si>
  <si>
    <t>Огородный проезд 25/20</t>
  </si>
  <si>
    <t>Общ 4</t>
  </si>
  <si>
    <t>ул. Палехская д.145</t>
  </si>
  <si>
    <t>Общ 8</t>
  </si>
  <si>
    <t>ул.Космонавтов д.11</t>
  </si>
  <si>
    <t>Общ 5</t>
  </si>
  <si>
    <t>ул.Новая д.4</t>
  </si>
  <si>
    <t>Общ Новая</t>
  </si>
  <si>
    <t>ул. Симбирская д.13</t>
  </si>
  <si>
    <t>общ КРАТОВО</t>
  </si>
  <si>
    <t>3-й Балтийский пер. д.4 к.5</t>
  </si>
  <si>
    <t>Общаги РОАТ</t>
  </si>
  <si>
    <t>ул. Судостроительная, д. 32, корпус 2</t>
  </si>
  <si>
    <t>АВТ общ</t>
  </si>
  <si>
    <t>2-й Южнопортовый проезд  д.5, к.2</t>
  </si>
  <si>
    <t>ул. Бутырская д. 79</t>
  </si>
  <si>
    <t>Общ</t>
  </si>
  <si>
    <t>ул. Люблинская д. 88 стр. 4</t>
  </si>
  <si>
    <t>Общ МКТ</t>
  </si>
  <si>
    <t>ТО кранов</t>
  </si>
  <si>
    <t>ТО  и ремонт копировальной техники</t>
  </si>
  <si>
    <t>Дом молодежи</t>
  </si>
  <si>
    <t>ТО инженерных сетей/ электросетей</t>
  </si>
  <si>
    <t xml:space="preserve">образцова 9, новосущевская 22- внутри забора </t>
  </si>
  <si>
    <t xml:space="preserve">Здание общежития "Лось" </t>
  </si>
  <si>
    <t>2020 год</t>
  </si>
  <si>
    <t>2021 год</t>
  </si>
  <si>
    <t>Итог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</si>
  <si>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</si>
  <si>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</si>
  <si>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</si>
  <si>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</si>
  <si>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</si>
  <si>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</si>
  <si>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</si>
  <si>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</si>
  <si>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</si>
  <si>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</si>
  <si>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</si>
  <si>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</si>
  <si>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</si>
  <si>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</si>
  <si>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</si>
  <si>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</si>
  <si>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2021год</t>
  </si>
  <si>
    <t>Итого</t>
  </si>
  <si>
    <t>Наименование структурного подразделения</t>
  </si>
  <si>
    <t>Занимаемая площадь, кв.м</t>
  </si>
  <si>
    <t>количество работников</t>
  </si>
  <si>
    <t>количество студентов</t>
  </si>
  <si>
    <t xml:space="preserve">Академия базовой подготовки, АБП </t>
  </si>
  <si>
    <r>
      <t>127055, г. Москва, ул Образцова, д. 9, стр. 2</t>
    </r>
    <r>
      <rPr>
        <sz val="11"/>
        <color rgb="FFFF000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127055, г. Москва, ул Образцова, д. 9, стр. 2</t>
    </r>
    <r>
      <rPr>
        <sz val="11"/>
        <color rgb="FF0070C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127055, г. Москва, ул Новосущёвская, д. 22, стр. 1</t>
    </r>
  </si>
  <si>
    <t xml:space="preserve">Академия водного транспорта, АВТ </t>
  </si>
  <si>
    <t>127055, г. Москва, ул Новосущёвская, д. 22, стр. 3 
г. Москва, Новоданиловская наб., д. 2, корп. 1</t>
  </si>
  <si>
    <t xml:space="preserve">Академия "Высшая инженерная школа", АВИШ </t>
  </si>
  <si>
    <t xml:space="preserve">127055, г. Москва, ул Образцова, д. 9, стр. 2 </t>
  </si>
  <si>
    <t xml:space="preserve">Академия интеллектуальных транспортных систем в автомобильно-дорожном комплексе, Академия ИТСвАДК </t>
  </si>
  <si>
    <t>127055, г. Москва, ул Образцова, д. 9, стр. 2</t>
  </si>
  <si>
    <t xml:space="preserve">Институт международных транспортных коммуникаций, ИМТК </t>
  </si>
  <si>
    <t>127055, г. Москва, ул Новосущёвская, д. 26А</t>
  </si>
  <si>
    <t xml:space="preserve">Институт пути, строительства и сооружений, ИПСС </t>
  </si>
  <si>
    <r>
      <t>127055, г. Москва, Минаевский пер, д. 2</t>
    </r>
    <r>
      <rPr>
        <sz val="11"/>
        <color theme="1"/>
        <rFont val="Calibri"/>
        <family val="2"/>
        <charset val="204"/>
        <scheme val="minor"/>
      </rPr>
      <t xml:space="preserve">
127055, г. Москва, ул Новосущёвская, д. 22, стр. 2</t>
    </r>
  </si>
  <si>
    <t>16895,7</t>
  </si>
  <si>
    <t xml:space="preserve">Институт транспортной техники и систем управления, ИТТСУ </t>
  </si>
  <si>
    <t>127055, г. Москва, ул Новосущёвская, д. 22, стр. 1</t>
  </si>
  <si>
    <t>30290,9</t>
  </si>
  <si>
    <t xml:space="preserve">Институт управления и цифровых технологий, ИУЦТ </t>
  </si>
  <si>
    <t>127055, г. Москва, ул Образцова, д. 9, стр. 9</t>
  </si>
  <si>
    <t>16186,7</t>
  </si>
  <si>
    <t xml:space="preserve">Институт экономики и финансов, ИЭФ </t>
  </si>
  <si>
    <t>127055, г. Москва, ул Новосущёвская, д. 22, стр. 2</t>
  </si>
  <si>
    <t>14183,7</t>
  </si>
  <si>
    <t xml:space="preserve">Научно-исследовательский институт транспорта и транспортного строительства, НИИ ТТС </t>
  </si>
  <si>
    <t xml:space="preserve">127055, г. Москва, ул Образцова, д. 9, стр. 9 </t>
  </si>
  <si>
    <t xml:space="preserve">Российская академия путей сообщения, РАПС </t>
  </si>
  <si>
    <t xml:space="preserve">127018, г. Москва, Октябрьский пер, д. 7 </t>
  </si>
  <si>
    <t xml:space="preserve">Российская открытая академия транспорта, РОАТ </t>
  </si>
  <si>
    <t xml:space="preserve">125315, г. Москва, ул Часовая, д. 22/2, стр. 1 </t>
  </si>
  <si>
    <t>21889,4</t>
  </si>
  <si>
    <t xml:space="preserve">Юридический институт, ЮИ </t>
  </si>
  <si>
    <t>127055, г. Москва, ул Образцова, д. 9, стр. 4</t>
  </si>
  <si>
    <t xml:space="preserve">Отраслевой центр подготовки научно-педагогических кадров высшей квалификации, ОЦПНПКВК </t>
  </si>
  <si>
    <t xml:space="preserve"> 127055, г. Москва, ул Новосущёвская, д. 22, стр. 1</t>
  </si>
  <si>
    <t xml:space="preserve">Гимназия </t>
  </si>
  <si>
    <t>3-я Мытищинская ул., д. 12, стр. 1
г. Москва, 2-й Лучевой просек, 5А</t>
  </si>
  <si>
    <t>5174,2</t>
  </si>
  <si>
    <t xml:space="preserve">Колледж Академии водного транспорта им. Министра речного флота Л.В. Багрова, Колледж АВТ </t>
  </si>
  <si>
    <t>127055, г. Москва, ул Новосущёвская, д. 22, стр. 3
г. Москва, ул. Судостроительная, д. 44, стр. 1</t>
  </si>
  <si>
    <t xml:space="preserve">Колледж международных транспортных коммуникаций, Колледж МТК </t>
  </si>
  <si>
    <t xml:space="preserve">Медицинский колледж, Мед. колледж </t>
  </si>
  <si>
    <t>ул. Будайская, д. 2, стр. 18
127055, г. Москва, ул Новосущёвская, д. 18</t>
  </si>
  <si>
    <t xml:space="preserve">Московский колледж транспорта, МКТ </t>
  </si>
  <si>
    <t xml:space="preserve">129626, г. Москва, Кучин пер, д. 14, стр. 1 </t>
  </si>
  <si>
    <t>29156,1</t>
  </si>
  <si>
    <t xml:space="preserve">Правовой колледж Юридического института, ПК ЮИ </t>
  </si>
  <si>
    <t xml:space="preserve">127055, г. Москва, ул Образцова, д. 9, стр. 4 </t>
  </si>
  <si>
    <t>69,8</t>
  </si>
  <si>
    <t xml:space="preserve">Военный учебный центр, ВУЦ </t>
  </si>
  <si>
    <t>127055, г. Москва, ул Новосущёвская, д. 26А
г. Москва, 2-й Вышеславцев пер., д. 17</t>
  </si>
  <si>
    <t xml:space="preserve">Лингвистический центр, ЛЦ </t>
  </si>
  <si>
    <t>58,7</t>
  </si>
  <si>
    <t xml:space="preserve">Центр «Высшая школа педагогического мастерства», ЦВШПМ </t>
  </si>
  <si>
    <t xml:space="preserve">127055, г. Москва, ул Новосущёвская, д. 22, стр. 1 </t>
  </si>
  <si>
    <t xml:space="preserve">Центр изучения русского языка как иностранного, ЦИРКИ </t>
  </si>
  <si>
    <t>127055, г. Москва, ул Новосущёвская, д. 22, стр. 8</t>
  </si>
  <si>
    <t xml:space="preserve">Центр подготовки научных сотрудников, ЦПНС </t>
  </si>
  <si>
    <t xml:space="preserve">127055, г. Москва, ул Образцова, д. 9, стр. 1 </t>
  </si>
  <si>
    <t xml:space="preserve">Издательство "Транспорт РУТ" </t>
  </si>
  <si>
    <t xml:space="preserve">127055, г. Москва, ул Образцова, д. 9, стр. 7 </t>
  </si>
  <si>
    <t xml:space="preserve">Межкафедральная учебно-научная лаборатория высокопроизводительных параллельных вычислений, МУНЛ ВПВ </t>
  </si>
  <si>
    <t>формируется</t>
  </si>
  <si>
    <t xml:space="preserve">Научно-исследовательский центр экспертиз на транспорте, НИЦЭТ </t>
  </si>
  <si>
    <t>г. Москва, Октябрьский пер, д. 7</t>
  </si>
  <si>
    <t xml:space="preserve">Научно-образовательный центр воздушного транспорта, НОЦ ВТ </t>
  </si>
  <si>
    <t xml:space="preserve">Научно-образовательный центр морского, внутреннего водного транспорта и технологий автономного судовождения, НОЦ МВВТиТАС </t>
  </si>
  <si>
    <t xml:space="preserve">г. Москва, Новоданиловская наб., д. 2, корп. 1 </t>
  </si>
  <si>
    <t xml:space="preserve">Научно-образовательный центр Повышения квалификации, профессиональной переподготовки и сертификации кадров для национального проекта "Безопасные и качественные автомобильные дороги", НОЦ ПКППС </t>
  </si>
  <si>
    <t xml:space="preserve">Отраслевой центр мониторинга и контроля качества транспортного образования, ОЦМиККТО </t>
  </si>
  <si>
    <t xml:space="preserve">Управление научно-исследовательской работы, УНИР </t>
  </si>
  <si>
    <t>127055, г. Москва, ул Образцова, д. 9, стр. 9
127055, г. Москва, ул Образцова, д. 9, стр. 1
г.Москва, 2-й Вышеславцев пер., д. 17</t>
  </si>
  <si>
    <t xml:space="preserve">Центр комплексных проектов, ЦКП </t>
  </si>
  <si>
    <t>127055, г. Москва, Минаевский пер, д. 2</t>
  </si>
  <si>
    <t xml:space="preserve">Центр координации деятельности диссертационных советов, ЦКДДС </t>
  </si>
  <si>
    <t>127055, г. Москва, ул Новосущёвская, д. 22, стр. 3</t>
  </si>
  <si>
    <t xml:space="preserve">Центр научно-технологического предпринимательства, Центр НТП </t>
  </si>
  <si>
    <t>г. Москва, Новоданиловская наб., д. 2, корп. 1</t>
  </si>
  <si>
    <t xml:space="preserve">Центр по продвижению в Международной морской организации, иных международных организациях, в иностранных государствах технологий автономного судовождения и внедрению стандартов правового регулирования, направленных на реализацию проектов автономного судовождения (Центр по продвижению технологий автономного судовождения МАРИНЕТ РУТ(МИИТ), Центр МАРИНЕТ РУТ(МИИТ) </t>
  </si>
  <si>
    <t xml:space="preserve">Центр стратегических программ, ЦСП </t>
  </si>
  <si>
    <t>103,2</t>
  </si>
  <si>
    <t xml:space="preserve">Центр стратегического анализа, ЦСА </t>
  </si>
  <si>
    <t>дистант</t>
  </si>
  <si>
    <t xml:space="preserve">Библиотека Гимназии, БГ </t>
  </si>
  <si>
    <t>129626, г. Москва, ул Мытищинская 3-я, д. 12, стр. 1</t>
  </si>
  <si>
    <t xml:space="preserve">Библиотека Московского колледжа транспорта, Библиотека МКТ </t>
  </si>
  <si>
    <t>109382, г. Москва, ул Люблинская, д. 88, стр. 1;
127055, г. Москва, ул Образцова, д. 9, стр. 9 
 г. Москва, Кучин пер., д. 14, стр. 1</t>
  </si>
  <si>
    <t xml:space="preserve">Библиотека Российской открытой академии транспорта, Библиотека РОАТ </t>
  </si>
  <si>
    <t xml:space="preserve">Издательство, типография и библиотека учебной литературы и учебно-методических пособий для студентов Юридического института, ИТБ УЛУПС </t>
  </si>
  <si>
    <t>291,7</t>
  </si>
  <si>
    <t xml:space="preserve">Научно-техническая библиотека, НТБ </t>
  </si>
  <si>
    <t xml:space="preserve">127055, г. Москва, Минаевский пер, д. 2;
127055, г. Москва, ул Новосущёвская, д. 22, стр. 1;
127055, г. Москва, ул Новосущёвская, д. 22, стр. 2;
127055, г. Москва, ул Новосущёвская, д. 22, стр. 3;
127055, г. Москва, ул Образцова, д. 9, стр. 2;
127055, г. Москва, ул Образцова, д. 9, стр. 9 </t>
  </si>
  <si>
    <t xml:space="preserve">Административное управление, АУ </t>
  </si>
  <si>
    <t>127055, г. Москва, ул Образцова, д. 9, стр. 9 
127055, г. Москва, ул Новосущёвская, д. 22, стр. 1
127055, г. Москва, ул Новосущёвская, д. 22, стр. 3
г. Москва, Новоданиловская наб., д. 2, корпус 1</t>
  </si>
  <si>
    <t xml:space="preserve">Второй отдел, 2 отдел </t>
  </si>
  <si>
    <t xml:space="preserve"> 127055, г. Москва, ул Образцова, д. 9, стр. 1 </t>
  </si>
  <si>
    <t>51,0</t>
  </si>
  <si>
    <t xml:space="preserve">Дирекция по развитию, ДР </t>
  </si>
  <si>
    <t xml:space="preserve">Единый общеуниверситетский многофункциональный центр предоставления административных услуг, МФЦ РУТ </t>
  </si>
  <si>
    <t xml:space="preserve">Испытательный центр, ИЦ РУТ (МИИТ) </t>
  </si>
  <si>
    <t xml:space="preserve">127055, г. Москва, Минаевский пер, д. 2 </t>
  </si>
  <si>
    <t xml:space="preserve">Научно-образовательный центр автомобильных дорог, НОЦ АД </t>
  </si>
  <si>
    <t xml:space="preserve">Первый отдел, 1 отдел </t>
  </si>
  <si>
    <t>53,4</t>
  </si>
  <si>
    <t xml:space="preserve">Планово-финансовое управление, ПФУ </t>
  </si>
  <si>
    <t xml:space="preserve"> 127055, г. Москва, ул Образцова, д. 9, стр. 1</t>
  </si>
  <si>
    <t xml:space="preserve">Правовое управление, ПУ </t>
  </si>
  <si>
    <t xml:space="preserve">Ремонтно-эксплуатационное управление, РЭУ </t>
  </si>
  <si>
    <t>г. Москва, ул. Судостроительная, д. 46, стр. 1</t>
  </si>
  <si>
    <t xml:space="preserve">Служба охраны труда, экологии и управления профессиональными рисками, СОТЭиУПР </t>
  </si>
  <si>
    <t>127055, г. Москва, ул Новосущёвская, д. 22, стр. 1
г. Москва, Новоданиловская наб., д. 2, корпус 1
127055, г. Москва, ул Новосущёвская, д. 22, стр. 3</t>
  </si>
  <si>
    <t xml:space="preserve">Транспортный отдел, ТО </t>
  </si>
  <si>
    <t>127055, г. Москва, ул Новосущёвская, д. 22, стр. 4</t>
  </si>
  <si>
    <t xml:space="preserve">Управление безопасности, УБ </t>
  </si>
  <si>
    <t>127055, г. Москва, ул Образцова, д. 9, стр. 1
127055, г. Москва, ул Образцова, д. 9, стр. 7
127055, г. Москва, ул Новосущёвская, д. 22, стр. 3</t>
  </si>
  <si>
    <t xml:space="preserve">Управление имущественным комплексом, УИК </t>
  </si>
  <si>
    <r>
      <t>127055, г. Москва, ул Образцова, д. 9, стр. 1</t>
    </r>
    <r>
      <rPr>
        <sz val="11"/>
        <rFont val="Calibri"/>
        <family val="2"/>
        <charset val="204"/>
        <scheme val="minor"/>
      </rPr>
      <t/>
    </r>
  </si>
  <si>
    <t xml:space="preserve">Управление информатизации, УИ </t>
  </si>
  <si>
    <t xml:space="preserve"> 127055, г. Москва, ул Образцова, д. 9, стр. 4
127055, г. Москва, ул Образцова, д. 9, стр. 9 
 127055, г. Москва, ул Образцова, д. 9, стр. 7</t>
  </si>
  <si>
    <t xml:space="preserve">Управление кадров, УК </t>
  </si>
  <si>
    <t xml:space="preserve">Управление контрактной службы, УКС </t>
  </si>
  <si>
    <t>27055, г. Москва, ул Образцова, д. 9, стр. 7</t>
  </si>
  <si>
    <t xml:space="preserve">Управление материально-технического обеспечения, УМТО </t>
  </si>
  <si>
    <t>127055, г. Москва, ул Новосущёвская, д. 22, стр. 7
г. Москва, ул. Судостроительная, д. 46, стр. 1</t>
  </si>
  <si>
    <t xml:space="preserve">Управление международного сотрудничества, УМС </t>
  </si>
  <si>
    <t xml:space="preserve">Управление мониторинга и контроля исполнения поручений, УМКИП </t>
  </si>
  <si>
    <t>42,6</t>
  </si>
  <si>
    <t xml:space="preserve">Управление по взаимодействию с ассоциациями и иными структурами, УВАИС </t>
  </si>
  <si>
    <t xml:space="preserve">Управление продвижения и новых сервисов Российской открытой академии транспорта, УПиНС </t>
  </si>
  <si>
    <t xml:space="preserve">Управление развития профессионального образования, УРПО </t>
  </si>
  <si>
    <t xml:space="preserve">Управление среднего профессионального образования, Управление СПО РУТ (МИИТ) </t>
  </si>
  <si>
    <t>127055, г. Москва, ул Образцова, д. 9, стр. 1 
г. Москва, Кучин пер., д.14</t>
  </si>
  <si>
    <t xml:space="preserve">Управление талантами, УТ </t>
  </si>
  <si>
    <t>127055, г. Москва, ул Новосущёвская, д. 22, стр. 3
127055, г. Москва, ул Образцова, д. 9, стр. 2</t>
  </si>
  <si>
    <t xml:space="preserve">Управление финансов и бухгалтерского учёта, УФБУ </t>
  </si>
  <si>
    <t>127055, г. Москва, ул Образцова, д. 9, стр. 1 
г. Москва, Октябрьский пер., д. 7</t>
  </si>
  <si>
    <t xml:space="preserve">Учебно-методический центр «Наследие митрополита Питирима», УМЦ НМП </t>
  </si>
  <si>
    <t xml:space="preserve">127055, г. Москва, ул Новосущёвская, д. 22, стр. 3 </t>
  </si>
  <si>
    <t>34,3</t>
  </si>
  <si>
    <t xml:space="preserve">Учебно-методическое управление, УМУ </t>
  </si>
  <si>
    <t xml:space="preserve">127055, г. Москва, ул Новосущёвская, д. 22, стр. 1;
127055, г. Москва, ул Образцова, д. 9, стр. 1;
127055, г. Москва, ул Образцова, д. 9, стр. 2 </t>
  </si>
  <si>
    <t xml:space="preserve">Центр обеспечения учебного процесса "Пушкино" - обособленное структурное подразделение, ЦОУП "Пушкино" - ОСП МИИТ </t>
  </si>
  <si>
    <t>Московская область, г. Пушкино, мкр. Мамонтовка, ул. Октябрьская, д. 23</t>
  </si>
  <si>
    <t xml:space="preserve">Центр переводов ИКАО, ЦП ИКАО </t>
  </si>
  <si>
    <t xml:space="preserve">Центр по взаимодействию с ОАО "РЖД", ЦПВ ОАО "РЖД" </t>
  </si>
  <si>
    <t xml:space="preserve">Центр по связям с общественностью, ЦСО </t>
  </si>
  <si>
    <t>127055, г. Москва, ул Образцова, д. 9, стр. 2
127055, г. Москва, ул Образцова, д. 9, стр. 7</t>
  </si>
  <si>
    <t xml:space="preserve">Центр по связям с производством и целевого обучения, ЦСПЦО </t>
  </si>
  <si>
    <t>127055, г. Москва, ул Образцова, д. 9, стр. 1 
127055, г. Москва, ул Новосущёвская, д. 22, стр. 2</t>
  </si>
  <si>
    <t xml:space="preserve">Центр развития высшего образования, ЦРВО </t>
  </si>
  <si>
    <t>127055, г. Москва, ул Образцова, д. 9, стр. 2
127055, г. Москва, ул Образцова, д. 9, стр. 9</t>
  </si>
  <si>
    <t xml:space="preserve">Комплекс общежитий № 3 управления по взаимодействию с проживающими, Общ3 </t>
  </si>
  <si>
    <t>129323, г. Москва, ул. Снежная, д. 16, корп. 3, 4</t>
  </si>
  <si>
    <t xml:space="preserve">Общежитие Российской академии путей сообщения, Общ РАПС </t>
  </si>
  <si>
    <t xml:space="preserve">Общежитие "Дмитровское" управления по взаимодействию с проживающими, Дмитровское </t>
  </si>
  <si>
    <t xml:space="preserve">Общежитие "Кратово" управления по взаимодействию с проживающими, Кратово </t>
  </si>
  <si>
    <t xml:space="preserve">140130, Московская область, Раменский р-н, Кратово дп, ул Симбирская, д. 13 </t>
  </si>
  <si>
    <t xml:space="preserve">Общежитие "Люблино" управления по взаимодействию с проживающими, Люблино </t>
  </si>
  <si>
    <t>109382, г. Москва, ул. Люблинская, д. 88, стр. 4</t>
  </si>
  <si>
    <t xml:space="preserve">Общежитие "Новое" управления по взаимодействию с проживающими, Новое </t>
  </si>
  <si>
    <t xml:space="preserve">125635, г. Москва, ул Новая, д. 4 </t>
  </si>
  <si>
    <t xml:space="preserve">Общежитие Российской открытой академии транспорта, Общежитие РОАТ </t>
  </si>
  <si>
    <t>125315, г. Москва, Балтийский 3-й пер, д. 4, к. 5</t>
  </si>
  <si>
    <t xml:space="preserve">Общежитие "Судостроительное" управления по взаимодействию с проживающими, Судостроительное </t>
  </si>
  <si>
    <t>115407, г. Москва, ул. Судостроительная, д. 32, корпус 2</t>
  </si>
  <si>
    <t xml:space="preserve">Общежитие "Южнопортовое" управления по взаимодействию с проживающими, Южнопортовое </t>
  </si>
  <si>
    <t>г. Москва, 2-й Южнопортовый пр., д. 5, корп. 2</t>
  </si>
  <si>
    <t xml:space="preserve">Общежитие №1 управления по взаимодействию с проживающими, Общ1 </t>
  </si>
  <si>
    <t>127018, г. Москва, Вышеславцев 2-й пер, д. 17</t>
  </si>
  <si>
    <t xml:space="preserve">Общежитие №2 управления по взаимодействию с проживающими, Общ2 </t>
  </si>
  <si>
    <t>127055, г. Москва, ул Образцова, д. 9, стр. 22</t>
  </si>
  <si>
    <t xml:space="preserve">Общежитие №4 управления по взаимодействию с проживающими, Общ4 </t>
  </si>
  <si>
    <t>127322, г. Москва, Огородный проезд, д. 25/20</t>
  </si>
  <si>
    <t xml:space="preserve">Общежитие №5 управления по взаимодействию с проживающими, Общ5 </t>
  </si>
  <si>
    <t>129301, г. Москва, ул. Космонавтов, д. 11</t>
  </si>
  <si>
    <t xml:space="preserve">Общежитие №8 управления по взаимодействию с проживающими, Общ8 </t>
  </si>
  <si>
    <t>129347, г. Москва, ул. Палехская, д. 145</t>
  </si>
  <si>
    <t xml:space="preserve">Сочинский институт транспорта - филиал федерального государственного автономного образовательного учреждения высшего образования "Российский университет транспорта", Сочинский филиал РУТ (МИИТ) </t>
  </si>
  <si>
    <t xml:space="preserve">354002, Краснодарский край, г Сочи, Хостинский р-н, ул Я.Фабрициуса, д. 26а/1 </t>
  </si>
  <si>
    <t xml:space="preserve">Дворец культуры, ДК </t>
  </si>
  <si>
    <t xml:space="preserve">127018, г. Москва, Новосущёвский пер, д. 6, стр. 1 </t>
  </si>
  <si>
    <t>5491,1</t>
  </si>
  <si>
    <t xml:space="preserve">Дом физкультуры, ДФ </t>
  </si>
  <si>
    <t>127055, г. Москва, ул Новосущёвская, д. 24, стр. 1 
г. Москва, ул. Судостроительная,  д. 44, стр. 1
г. Москва, ул. Судостроительная,  д. 46, стр. 1
г. Москва, ул. Судостроительная,  д. 46, стр. 2</t>
  </si>
  <si>
    <t xml:space="preserve">Музей </t>
  </si>
  <si>
    <t xml:space="preserve"> 127055, г. Москва, ул Образцова, д. 9, стр. 9 </t>
  </si>
  <si>
    <t>437,2</t>
  </si>
  <si>
    <t xml:space="preserve">Поликлиника </t>
  </si>
  <si>
    <t>127055, г. Москва, ул Новосущёвская, д. 18</t>
  </si>
  <si>
    <t xml:space="preserve">Ресурсный учебно-методический центр по обучению инвалидов и лиц с ограниченными возможностями здоровья, РУМЦ </t>
  </si>
  <si>
    <t xml:space="preserve">127055, г. Москва, ул Новосущёвская, д. 26А </t>
  </si>
  <si>
    <t xml:space="preserve">Спортивный клуб, СК РУТ (МИИТ) </t>
  </si>
  <si>
    <t xml:space="preserve">127055, г. Москва, ул Новосущёвская, д. 24 </t>
  </si>
  <si>
    <t>95,7</t>
  </si>
  <si>
    <t xml:space="preserve">Столовая </t>
  </si>
  <si>
    <t xml:space="preserve">Управление по взаимодействию с проживающими, УВП </t>
  </si>
  <si>
    <t>г. Москва, Новосущевский пер, д. 6, стр. 1</t>
  </si>
  <si>
    <t xml:space="preserve">Центр организационного обеспечения социальной работы, ЦООСР </t>
  </si>
  <si>
    <t xml:space="preserve">Центр по социальной и молодежной политике, ЦСМП </t>
  </si>
  <si>
    <t>17</t>
  </si>
  <si>
    <t>Нежилое здание (Смешанное здание) АВТ Общ</t>
  </si>
  <si>
    <t>Жилой дом АВТ общ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</si>
  <si>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</si>
  <si>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</si>
  <si>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</si>
  <si>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</si>
  <si>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</si>
  <si>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</si>
  <si>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</si>
  <si>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</si>
  <si>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</si>
  <si>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</si>
  <si>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</si>
  <si>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</si>
  <si>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</si>
  <si>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</si>
  <si>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</si>
  <si>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</si>
  <si>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</si>
  <si>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</si>
  <si>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</si>
  <si>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</si>
  <si>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</si>
  <si>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</si>
  <si>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</si>
  <si>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</si>
  <si>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</si>
  <si>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</si>
  <si>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УИК</t>
  </si>
  <si>
    <t>Уборка комплексная и прилегающая территория ( вкл дератизация общежитий)</t>
  </si>
  <si>
    <t>Охрана и ТО, пожарная сигнализация - бюджет</t>
  </si>
  <si>
    <t>Охрана и ТО, пожарная сигнализация - внебюджет</t>
  </si>
  <si>
    <t>Вывоз мусора - бюджет</t>
  </si>
  <si>
    <t>Вывоз мусора - внебюджет</t>
  </si>
  <si>
    <t>Уборка - бюджет</t>
  </si>
  <si>
    <t>Уборка - внебюджет</t>
  </si>
  <si>
    <t>Дератизация и дезинфекция - бюджет</t>
  </si>
  <si>
    <t>Дератизация и дезинфекция - внебюджет</t>
  </si>
  <si>
    <t>ТО вентиляции, системы дымоудаления - бюджет</t>
  </si>
  <si>
    <t>ТО вентиляции, системы дымоудаления - внебюджет</t>
  </si>
  <si>
    <t>ТО кондиционеров - бюджет</t>
  </si>
  <si>
    <t>ТО кондиционеров - внебюджет</t>
  </si>
  <si>
    <t>Круглосусточное сервисное обслуживание системы бесперебойного электропитания, обслуживание АИИС К учета электроэнергии, ТО УУТЭ - внебюджет</t>
  </si>
  <si>
    <t>Очистка от снега,наледи и сосулек - бюджет</t>
  </si>
  <si>
    <t>Очистка от снега,наледи и сосулек - внебюджет</t>
  </si>
  <si>
    <t>ТО СКУД, ТО турникетов Стрелец-Мониторинг, ТО комплекс систем безопасности, пожарных кранов - бюджет</t>
  </si>
  <si>
    <t>ТО СКУД, ТО турникетов Стрелец-Мониторинг, ТО комплекс систем безопасности, пожарных кранов - внебюджет</t>
  </si>
  <si>
    <t>ТО лифтов - бюджет</t>
  </si>
  <si>
    <t>ТО лифтов - внебюджет</t>
  </si>
  <si>
    <t>ТО сантехнического оборудования - бюджет</t>
  </si>
  <si>
    <t>ТО сантехнического оборудования - внебюджет</t>
  </si>
  <si>
    <t>ТО газовой котельни, оборудовани\ - бюджет</t>
  </si>
  <si>
    <t>ТО газовой котельни, оборудовани\ - внебюджет</t>
  </si>
  <si>
    <t>ТО ворот и шлагбаумов - бюджет</t>
  </si>
  <si>
    <t>ТО ворот и шлагбаумов - внебюджет</t>
  </si>
  <si>
    <t>ТО инженерных сетей - бюджет</t>
  </si>
  <si>
    <t>ТО инженерных сетей - внебюджет</t>
  </si>
  <si>
    <t>Утилизация отходов, обезвреживание, утилизация объектов - бюджет</t>
  </si>
  <si>
    <t>Утилизация отходов, обезвреживание, утилизация объектов - внебюджет</t>
  </si>
  <si>
    <t>Ремонт - бюджет</t>
  </si>
  <si>
    <t>Ремонт - внебюджет</t>
  </si>
  <si>
    <t>ТО и ремонт ПТ 23603 и КЛ ТП 23603-ТП 11347 - бюджет</t>
  </si>
  <si>
    <t>ТО и ремонт ПТ 23603 и КЛ ТП 23603-ТП 11347 - внебюджет</t>
  </si>
  <si>
    <t>ТО инфраструктуры центра обработки данных - бюджет</t>
  </si>
  <si>
    <t>ТО инфраструктуры центра обработки данных - внебюджет</t>
  </si>
  <si>
    <t>ТО водоподготовки, канализации, лабораторные исследования воды - бюджет</t>
  </si>
  <si>
    <t>ТО водоподготовки, канализации, лабораторные исследования воды - внебюджет</t>
  </si>
  <si>
    <t>Подготовка к зиме - бюджет</t>
  </si>
  <si>
    <t>Подготовка к зиме - внебюджет</t>
  </si>
  <si>
    <t>Огнезащитная обработка - бюджет</t>
  </si>
  <si>
    <t>Огнезащитная обработка - внебюджет</t>
  </si>
  <si>
    <t>Год</t>
  </si>
  <si>
    <t>балласт</t>
  </si>
  <si>
    <t>общежития</t>
  </si>
  <si>
    <t>Учебные корпуса</t>
  </si>
  <si>
    <t>Иное</t>
  </si>
  <si>
    <t>Категория</t>
  </si>
  <si>
    <t>Круглосусточное сервисное обслуживание системы бесперебойного электропитания, обслуживание АИИС К учета электроэнергии, ТО УУТЭ - бюджет</t>
  </si>
  <si>
    <t>Атрибут</t>
  </si>
  <si>
    <t>Значение</t>
  </si>
  <si>
    <t>Уборка ( вкл дератизация общежитий) - бюджет</t>
  </si>
  <si>
    <t>Уборка ( вкл дератизация общежитий) - внебюджет</t>
  </si>
  <si>
    <t>ТО инженерных сетей/ электросетей - бюджет</t>
  </si>
  <si>
    <t>ТО инженерных сетей/ электросетей - внебюджет</t>
  </si>
  <si>
    <t>ТО  и ремонт копировальной техники - бюджет</t>
  </si>
  <si>
    <t>ТО  и ремонт копировальной техники - внебюджет</t>
  </si>
  <si>
    <t>ТО кранов - бюджет</t>
  </si>
  <si>
    <t>ТО кранов - внебюджет</t>
  </si>
  <si>
    <t>Столбец1</t>
  </si>
  <si>
    <t xml:space="preserve">Охрана и ТО, пожарная сигнализация </t>
  </si>
  <si>
    <t xml:space="preserve"> бюджет</t>
  </si>
  <si>
    <t xml:space="preserve"> внебюджет</t>
  </si>
  <si>
    <t xml:space="preserve">Круглосусточное сервисное обслуживание системы бесперебойного электропитания, обслуживание АИИС К учета электроэнергии, ТО УУТЭ </t>
  </si>
  <si>
    <t xml:space="preserve">Утилизация отходов, обезвреживание, утилизация объектов </t>
  </si>
  <si>
    <t xml:space="preserve">Вывоз мусора </t>
  </si>
  <si>
    <t xml:space="preserve">Подготовка к зиме </t>
  </si>
  <si>
    <t xml:space="preserve">ТО газовой котельни, оборудовани\ </t>
  </si>
  <si>
    <t xml:space="preserve">ТО ворот и шлагбаумов </t>
  </si>
  <si>
    <t xml:space="preserve">Уборка </t>
  </si>
  <si>
    <t xml:space="preserve">Дератизация и дезинфекция </t>
  </si>
  <si>
    <t xml:space="preserve">ТО вентиляции, системы дымоудаления </t>
  </si>
  <si>
    <t xml:space="preserve">ТО кондиционеров </t>
  </si>
  <si>
    <t xml:space="preserve">Очистка от снега,наледи и сосулек </t>
  </si>
  <si>
    <t xml:space="preserve">Ремонт </t>
  </si>
  <si>
    <t xml:space="preserve">Огнезащитная обработка </t>
  </si>
  <si>
    <t xml:space="preserve">ТО лифтов </t>
  </si>
  <si>
    <t xml:space="preserve">ТО инженерных сетей </t>
  </si>
  <si>
    <t xml:space="preserve">ТО сантехнического оборудования </t>
  </si>
  <si>
    <t xml:space="preserve">ТО водоподготовки, канализации, лабораторные исследования воды </t>
  </si>
  <si>
    <t xml:space="preserve">ТО инфраструктуры центра обработки данных </t>
  </si>
  <si>
    <t>ТО и ремонт ПТ 23603 и КЛ ТП 23603</t>
  </si>
  <si>
    <t xml:space="preserve">Уборка ( вкл дератизация общежитий) </t>
  </si>
  <si>
    <t xml:space="preserve">ТО инженерных сетей/ электросетей </t>
  </si>
  <si>
    <t xml:space="preserve">ТО  и ремонт копировальной техники </t>
  </si>
  <si>
    <t xml:space="preserve">ТО кранов </t>
  </si>
  <si>
    <t xml:space="preserve">ТО СКУД, ТО турникетов СтрелецМониторинг, ТО комплекс систем безопасности, пожарных кранов </t>
  </si>
  <si>
    <t>Статья расходов</t>
  </si>
  <si>
    <t>Источник</t>
  </si>
  <si>
    <t>Расходы,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</si>
</sst>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3" fillId="0" borderId="0"/>
  </cellStyleXfs>
  <cellXfs count="181">
    <xf numFmtId="0" fontId="0" fillId="0" borderId="0" xfId="0"/>
    <xf numFmtId="4" fontId="1" fillId="0" borderId="0" xfId="0" applyNumberFormat="1" applyFont="1" applyFill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 applyProtection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11" fillId="0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vertical="center" wrapText="1"/>
    </xf>
    <xf numFmtId="4" fontId="12" fillId="2" borderId="1" xfId="0" applyNumberFormat="1" applyFont="1" applyFill="1" applyBorder="1" applyAlignment="1" applyProtection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 applyProtection="1">
      <alignment horizontal="center" vertical="center" wrapText="1"/>
    </xf>
    <xf numFmtId="4" fontId="14" fillId="0" borderId="0" xfId="0" applyNumberFormat="1" applyFont="1" applyFill="1" applyAlignment="1">
      <alignment horizontal="center" vertical="center" wrapText="1"/>
    </xf>
    <xf numFmtId="4" fontId="12" fillId="0" borderId="0" xfId="0" applyNumberFormat="1" applyFont="1" applyFill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4" fontId="12" fillId="2" borderId="0" xfId="0" applyNumberFormat="1" applyFont="1" applyFill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5" fillId="0" borderId="1" xfId="0" applyNumberFormat="1" applyFont="1" applyFill="1" applyBorder="1" applyAlignment="1">
      <alignment horizontal="center" vertical="center" wrapText="1"/>
    </xf>
    <xf numFmtId="4" fontId="15" fillId="0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right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 applyProtection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15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3" fillId="0" borderId="14" xfId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1" xfId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3" fillId="5" borderId="1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3" fillId="0" borderId="20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>
      <alignment horizontal="center" vertical="center" wrapText="1"/>
    </xf>
    <xf numFmtId="4" fontId="1" fillId="0" borderId="23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4" fontId="5" fillId="0" borderId="4" xfId="0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 applyAlignment="1">
      <alignment horizontal="center" vertical="center" wrapText="1"/>
    </xf>
    <xf numFmtId="4" fontId="4" fillId="0" borderId="4" xfId="0" applyNumberFormat="1" applyFont="1" applyFill="1" applyBorder="1" applyAlignment="1">
      <alignment horizontal="center" vertical="center" wrapText="1"/>
    </xf>
    <xf numFmtId="4" fontId="4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" fontId="16" fillId="0" borderId="2" xfId="0" applyNumberFormat="1" applyFont="1" applyFill="1" applyBorder="1" applyAlignment="1">
      <alignment horizontal="center" vertical="center" wrapText="1"/>
    </xf>
    <xf numFmtId="4" fontId="16" fillId="0" borderId="6" xfId="0" applyNumberFormat="1" applyFont="1" applyFill="1" applyBorder="1" applyAlignment="1">
      <alignment horizontal="center" vertical="center" wrapText="1"/>
    </xf>
    <xf numFmtId="4" fontId="16" fillId="0" borderId="3" xfId="0" applyNumberFormat="1" applyFont="1" applyFill="1" applyBorder="1" applyAlignment="1">
      <alignment horizontal="center" vertical="center" wrapText="1"/>
    </xf>
    <xf numFmtId="4" fontId="17" fillId="0" borderId="4" xfId="0" applyNumberFormat="1" applyFont="1" applyFill="1" applyBorder="1" applyAlignment="1">
      <alignment horizontal="center" vertical="center" wrapText="1"/>
    </xf>
    <xf numFmtId="4" fontId="17" fillId="0" borderId="5" xfId="0" applyNumberFormat="1" applyFont="1" applyFill="1" applyBorder="1" applyAlignment="1">
      <alignment horizontal="center" vertical="center" wrapText="1"/>
    </xf>
    <xf numFmtId="4" fontId="15" fillId="0" borderId="4" xfId="0" applyNumberFormat="1" applyFont="1" applyFill="1" applyBorder="1" applyAlignment="1">
      <alignment horizontal="center" vertical="center" wrapText="1"/>
    </xf>
    <xf numFmtId="4" fontId="15" fillId="0" borderId="5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4" xfId="0" applyNumberFormat="1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4" fontId="1" fillId="7" borderId="23" xfId="0" applyNumberFormat="1" applyFont="1" applyFill="1" applyBorder="1" applyAlignment="1">
      <alignment horizontal="center" vertical="center" wrapText="1"/>
    </xf>
    <xf numFmtId="4" fontId="3" fillId="7" borderId="23" xfId="0" applyNumberFormat="1" applyFont="1" applyFill="1" applyBorder="1" applyAlignment="1">
      <alignment horizontal="center" vertical="center" wrapText="1"/>
    </xf>
    <xf numFmtId="4" fontId="1" fillId="0" borderId="23" xfId="0" applyNumberFormat="1" applyFont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1" fillId="7" borderId="26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vertical="center" wrapText="1"/>
    </xf>
    <xf numFmtId="4" fontId="3" fillId="6" borderId="27" xfId="0" applyNumberFormat="1" applyFont="1" applyFill="1" applyBorder="1" applyAlignment="1">
      <alignment vertical="center" wrapText="1"/>
    </xf>
    <xf numFmtId="4" fontId="3" fillId="6" borderId="27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49" fontId="12" fillId="0" borderId="5" xfId="0" applyNumberFormat="1" applyFont="1" applyFill="1" applyBorder="1" applyAlignment="1">
      <alignment horizontal="center" vertical="center" wrapText="1"/>
    </xf>
    <xf numFmtId="49" fontId="12" fillId="2" borderId="5" xfId="0" applyNumberFormat="1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center" vertical="center" wrapText="1"/>
    </xf>
    <xf numFmtId="49" fontId="13" fillId="0" borderId="25" xfId="0" applyNumberFormat="1" applyFont="1" applyFill="1" applyBorder="1" applyAlignment="1">
      <alignment vertical="center" wrapText="1"/>
    </xf>
    <xf numFmtId="4" fontId="13" fillId="0" borderId="6" xfId="0" applyNumberFormat="1" applyFont="1" applyFill="1" applyBorder="1" applyAlignment="1">
      <alignment vertical="center" wrapText="1"/>
    </xf>
    <xf numFmtId="4" fontId="12" fillId="0" borderId="3" xfId="0" applyNumberFormat="1" applyFont="1" applyFill="1" applyBorder="1" applyAlignment="1">
      <alignment horizontal="center" vertical="center" wrapText="1"/>
    </xf>
    <xf numFmtId="4" fontId="12" fillId="0" borderId="12" xfId="0" applyNumberFormat="1" applyFont="1" applyFill="1" applyBorder="1" applyAlignment="1">
      <alignment horizontal="center" vertical="center" wrapText="1"/>
    </xf>
    <xf numFmtId="49" fontId="12" fillId="2" borderId="24" xfId="0" applyNumberFormat="1" applyFont="1" applyFill="1" applyBorder="1" applyAlignment="1">
      <alignment horizontal="center" vertical="center" wrapText="1"/>
    </xf>
    <xf numFmtId="4" fontId="12" fillId="2" borderId="2" xfId="0" applyNumberFormat="1" applyFont="1" applyFill="1" applyBorder="1" applyAlignment="1">
      <alignment horizontal="center" vertical="center" wrapText="1"/>
    </xf>
    <xf numFmtId="4" fontId="12" fillId="2" borderId="23" xfId="0" applyNumberFormat="1" applyFont="1" applyFill="1" applyBorder="1" applyAlignment="1">
      <alignment horizontal="center" vertical="center" wrapText="1"/>
    </xf>
    <xf numFmtId="4" fontId="1" fillId="0" borderId="27" xfId="0" applyNumberFormat="1" applyFont="1" applyFill="1" applyBorder="1" applyAlignment="1">
      <alignment horizontal="center" vertical="center" wrapText="1"/>
    </xf>
    <xf numFmtId="4" fontId="3" fillId="6" borderId="6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6DF2DF-D2B0-409C-A0CB-6BEE1E1856D3}" autoFormatId="16" applyNumberFormats="0" applyBorderFormats="0" applyFontFormats="0" applyPatternFormats="0" applyAlignmentFormats="0" applyWidthHeightFormats="0">
  <queryTableRefresh nextId="12">
    <queryTableFields count="9">
      <queryTableField id="1" name="№ п/п" tableColumnId="1"/>
      <queryTableField id="2" name="Наименование" tableColumnId="2"/>
      <queryTableField id="3" name="Адрес" tableColumnId="3"/>
      <queryTableField id="4" name="Площадь, кв.м." tableColumnId="4"/>
      <queryTableField id="5" name="Год" tableColumnId="5"/>
      <queryTableField id="6" name="Категория" tableColumnId="6"/>
      <queryTableField id="7" name="Атрибут" tableColumnId="7"/>
      <queryTableField id="10" dataBound="0" tableColumnId="10"/>
      <queryTableField id="8" name="Значение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4EDD5EC-8F8B-495F-9C1A-C766E496A0D3}" autoFormatId="16" applyNumberFormats="0" applyBorderFormats="0" applyFontFormats="0" applyPatternFormats="0" applyAlignmentFormats="0" applyWidthHeightFormats="0">
  <queryTableRefresh nextId="12">
    <queryTableFields count="9">
      <queryTableField id="1" name="№ п/п" tableColumnId="1"/>
      <queryTableField id="2" name="Наименование" tableColumnId="2"/>
      <queryTableField id="3" name="Адрес" tableColumnId="3"/>
      <queryTableField id="4" name="Площадь, кв.м." tableColumnId="4"/>
      <queryTableField id="5" name="Год" tableColumnId="5"/>
      <queryTableField id="6" name="Категория" tableColumnId="6"/>
      <queryTableField id="7" name="Атрибут" tableColumnId="7"/>
      <queryTableField id="10" dataBound="0" tableColumnId="10"/>
      <queryTableField id="8" name="Значение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F6A1B8E-7083-4E06-B09B-9AB76F1261B7}" autoFormatId="16" applyNumberFormats="0" applyBorderFormats="0" applyFontFormats="0" applyPatternFormats="0" applyAlignmentFormats="0" applyWidthHeightFormats="0">
  <queryTableRefresh nextId="9">
    <queryTableFields count="8">
      <queryTableField id="1" name="№ п/п" tableColumnId="1"/>
      <queryTableField id="2" name="Наименование" tableColumnId="2"/>
      <queryTableField id="3" name="Адрес" tableColumnId="3"/>
      <queryTableField id="4" name="Площадь, кв.м." tableColumnId="4"/>
      <queryTableField id="5" name="Год" tableColumnId="5"/>
      <queryTableField id="6" name="Категория" tableColumnId="6"/>
      <queryTableField id="7" name="Атрибут" tableColumnId="7"/>
      <queryTableField id="8" name="Значение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C621D-6C9A-41D6-8F8D-BA372DBF642E}" name="Таблица2_2" displayName="Таблица2_2" ref="A1:I2379" tableType="queryTable" totalsRowShown="0">
  <autoFilter ref="A1:I2379" xr:uid="{B7984FA3-31C8-46BA-89F6-FA5F312BA2CE}"/>
  <tableColumns count="9">
    <tableColumn id="1" xr3:uid="{F04CE846-C0C5-4DF5-813B-64D729FCCF0B}" uniqueName="1" name="№ п/п" queryTableFieldId="1"/>
    <tableColumn id="2" xr3:uid="{609E523E-5193-4886-B8AA-59BE07B95BBA}" uniqueName="2" name="Наименование" queryTableFieldId="2" dataDxfId="74"/>
    <tableColumn id="3" xr3:uid="{A5829178-77B8-488A-801F-CC61026AEE1B}" uniqueName="3" name="Адрес" queryTableFieldId="3" dataDxfId="73"/>
    <tableColumn id="4" xr3:uid="{79A6D5E7-67C0-4F84-808B-861E9989233F}" uniqueName="4" name="Площадь, кв.м." queryTableFieldId="4"/>
    <tableColumn id="5" xr3:uid="{0E9885AC-A16C-4B62-8CFC-4EF80A57C449}" uniqueName="5" name="Год" queryTableFieldId="5"/>
    <tableColumn id="6" xr3:uid="{6B67CF11-86D8-47B0-BA24-E93C1B5CAF66}" uniqueName="6" name="Категория" queryTableFieldId="6" dataDxfId="72"/>
    <tableColumn id="7" xr3:uid="{A981C56C-57F5-46A9-B37B-FAF60E46E845}" uniqueName="7" name="Статья расходов" queryTableFieldId="7" dataDxfId="71"/>
    <tableColumn id="10" xr3:uid="{14BE1391-565C-457F-B58B-4E5B13E82E71}" uniqueName="10" name="Источник" queryTableFieldId="10" dataDxfId="11"/>
    <tableColumn id="8" xr3:uid="{2A4DB00C-42DA-488C-AC6A-B8B81F412704}" uniqueName="8" name="Расходы, руб.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B7D1F4-0DA4-48F4-A50C-EEE2B81122BF}" name="Таблица2_27" displayName="Таблица2_27" ref="A1:I2380" tableType="queryTable" totalsRowCount="1">
  <autoFilter ref="A1:I2379" xr:uid="{B4BE8D38-2AD4-4FE2-A003-3C50BEEF9BA8}">
    <filterColumn colId="5">
      <filters>
        <filter val="Учебные корпуса"/>
      </filters>
    </filterColumn>
  </autoFilter>
  <tableColumns count="9">
    <tableColumn id="1" xr3:uid="{30C59601-AA7D-4C0B-BF42-701C0E223DD4}" uniqueName="1" name="№ п/п" queryTableFieldId="1"/>
    <tableColumn id="2" xr3:uid="{A9DB6686-AB23-4741-80F0-C6E8FE6580AD}" uniqueName="2" name="Наименование" queryTableFieldId="2" dataDxfId="10" totalsRowDxfId="4"/>
    <tableColumn id="3" xr3:uid="{A0D0A047-0974-407F-A540-DB8D8949D73D}" uniqueName="3" name="Адрес" queryTableFieldId="3" dataDxfId="9" totalsRowDxfId="3"/>
    <tableColumn id="4" xr3:uid="{F39B2524-CCF6-43A0-85DF-C7C0D2B2DD2C}" uniqueName="4" name="Площадь, кв.м." totalsRowFunction="custom" queryTableFieldId="4">
      <totalsRowFormula>SUM(D108:D2370)</totalsRowFormula>
    </tableColumn>
    <tableColumn id="5" xr3:uid="{BAC68B5C-B2F1-4361-888B-3C563C132C89}" uniqueName="5" name="Год" queryTableFieldId="5"/>
    <tableColumn id="6" xr3:uid="{CF7E30DF-D832-45DB-AC12-C52AE597A63F}" uniqueName="6" name="Категория" queryTableFieldId="6" dataDxfId="8" totalsRowDxfId="2"/>
    <tableColumn id="7" xr3:uid="{C7E12AC2-D73F-4483-9EB9-0A5172B3A69A}" uniqueName="7" name="Статья расходов" queryTableFieldId="7" dataDxfId="7" totalsRowDxfId="1"/>
    <tableColumn id="10" xr3:uid="{3A2856DD-7B1F-49D3-B99E-CBDE78B8E667}" uniqueName="10" name="Источник" queryTableFieldId="10" dataDxfId="6" totalsRowDxfId="0"/>
    <tableColumn id="8" xr3:uid="{37F5C6B1-240C-4721-B724-9E3F53DA50BE}" uniqueName="8" name="Расходы, руб.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C56D37-064C-4756-8FFB-9934DBCB92B4}" name="Таблица2" displayName="Таблица2" ref="A1:AW109" totalsRowShown="0" headerRowDxfId="75" dataDxfId="76" tableBorderDxfId="125">
  <autoFilter ref="A1:AW109" xr:uid="{69CFC35E-428C-440F-9910-659CFDB2316F}">
    <filterColumn colId="1">
      <filters>
        <filter val="Ангар № 1 (сооружение)"/>
      </filters>
    </filterColumn>
  </autoFilter>
  <tableColumns count="49">
    <tableColumn id="1" xr3:uid="{2C637F15-7847-4B50-8543-23B32C320F38}" name="№ п/п" dataDxfId="124"/>
    <tableColumn id="2" xr3:uid="{A7F5D68F-5E67-4A01-8B25-19A7000B0A77}" name="Наименование" dataDxfId="123"/>
    <tableColumn id="3" xr3:uid="{B80B993F-2F62-4DB9-8064-67F299855949}" name="Адрес" dataDxfId="122"/>
    <tableColumn id="4" xr3:uid="{960CD4D7-24C2-4883-A187-6F01CE279B80}" name="Площадь, кв.м." dataDxfId="121"/>
    <tableColumn id="5" xr3:uid="{5A0E2CB1-6B41-4958-8765-BEF0D70866CE}" name="Год" dataDxfId="120"/>
    <tableColumn id="6" xr3:uid="{2EE34A65-27BC-439A-9402-B094567F0410}" name="Категория" dataDxfId="119"/>
    <tableColumn id="7" xr3:uid="{5C79F5A6-C54C-40C0-8C50-F48BC5F12367}" name="Охрана и ТО, пожарная сигнализация - бюджет" dataDxfId="118"/>
    <tableColumn id="8" xr3:uid="{6A4AF74C-42A1-42CE-BE21-11271B12F8DB}" name="Охрана и ТО, пожарная сигнализация - внебюджет" dataDxfId="117"/>
    <tableColumn id="9" xr3:uid="{9B3B32FE-3C18-409C-9E4F-BE4A4CCCDB40}" name="Вывоз мусора - бюджет" dataDxfId="116"/>
    <tableColumn id="10" xr3:uid="{B85970FB-DF15-49DC-B1D2-BE64D3C8FB61}" name="Вывоз мусора - внебюджет" dataDxfId="115"/>
    <tableColumn id="11" xr3:uid="{B0C583D6-2434-425C-BFDB-B8E8CB61715B}" name="Уборка - бюджет" dataDxfId="114"/>
    <tableColumn id="12" xr3:uid="{7DFC7DE4-A07E-4F0F-9F68-C1EA091BE997}" name="Уборка - внебюджет" dataDxfId="113"/>
    <tableColumn id="13" xr3:uid="{337A9B4C-E583-4940-927C-C5EAB132D200}" name="Дератизация и дезинфекция - бюджет" dataDxfId="112"/>
    <tableColumn id="14" xr3:uid="{3DCFF27B-BA33-4978-815E-E29C3EC418F0}" name="Дератизация и дезинфекция - внебюджет" dataDxfId="111"/>
    <tableColumn id="15" xr3:uid="{791FBA33-5E10-4DB2-AAC2-13953DB4BFA4}" name="ТО вентиляции, системы дымоудаления - бюджет" dataDxfId="110"/>
    <tableColumn id="16" xr3:uid="{C96E7A2D-C57C-45CC-B8A0-0D453E6DB89E}" name="ТО вентиляции, системы дымоудаления - внебюджет" dataDxfId="109"/>
    <tableColumn id="17" xr3:uid="{9B922D55-68C9-49DD-9B02-97FA88734B2D}" name="ТО кондиционеров - бюджет" dataDxfId="108"/>
    <tableColumn id="18" xr3:uid="{CBE8B965-A01A-484D-A93E-6F3DC4716E44}" name="ТО кондиционеров - внебюджет" dataDxfId="107"/>
    <tableColumn id="19" xr3:uid="{7C689D52-43AC-4206-B0A2-AB1A0565BD7A}" name="Круглосусточное сервисное обслуживание системы бесперебойного электропитания, обслуживание АИИС К учета электроэнергии, ТО УУТЭ - бюджет" dataDxfId="106"/>
    <tableColumn id="20" xr3:uid="{0CD0732D-18A8-4550-9640-B90E6AB0AEC5}" name="Круглосусточное сервисное обслуживание системы бесперебойного электропитания, обслуживание АИИС К учета электроэнергии, ТО УУТЭ - внебюджет" dataDxfId="105"/>
    <tableColumn id="21" xr3:uid="{E2CE331B-7373-4E09-829B-D832C5FC701B}" name="Очистка от снега,наледи и сосулек - бюджет" dataDxfId="104"/>
    <tableColumn id="22" xr3:uid="{55AFA1C1-5423-44DA-A0B2-B1B9E224F9FA}" name="Очистка от снега,наледи и сосулек - внебюджет" dataDxfId="103"/>
    <tableColumn id="23" xr3:uid="{32C005E6-C6CE-41D0-B2A6-600D2D959973}" name="ТО СКУД, ТО турникетов Стрелец-Мониторинг, ТО комплекс систем безопасности, пожарных кранов - бюджет" dataDxfId="102"/>
    <tableColumn id="24" xr3:uid="{DA8F4318-4B8E-455F-8998-C42DAA8C01F8}" name="ТО СКУД, ТО турникетов Стрелец-Мониторинг, ТО комплекс систем безопасности, пожарных кранов - внебюджет" dataDxfId="101"/>
    <tableColumn id="25" xr3:uid="{FA8DAF20-9803-49FD-B857-1344EEE7C7D5}" name="ТО лифтов - бюджет" dataDxfId="100"/>
    <tableColumn id="26" xr3:uid="{8E9B149C-7358-45CA-9D1E-728A78053FA5}" name="ТО лифтов - внебюджет" dataDxfId="99"/>
    <tableColumn id="27" xr3:uid="{FAB641DB-4D9D-4BB3-8044-A50D9E1362CD}" name="ТО сантехнического оборудования - бюджет" dataDxfId="98"/>
    <tableColumn id="28" xr3:uid="{DFF30516-DA2A-445B-BE6A-3B4AC5CCF117}" name="ТО сантехнического оборудования - внебюджет" dataDxfId="97"/>
    <tableColumn id="29" xr3:uid="{7B978309-8718-472E-AD32-78FA11B59A43}" name="ТО газовой котельни, оборудовани\ - бюджет" dataDxfId="96"/>
    <tableColumn id="30" xr3:uid="{4E7231BB-E74A-4E6C-B62C-C76EC8079547}" name="ТО газовой котельни, оборудовани\ - внебюджет" dataDxfId="95"/>
    <tableColumn id="31" xr3:uid="{BF25CC0F-A6B9-4D4F-A038-3CD2944B970F}" name="ТО ворот и шлагбаумов - бюджет" dataDxfId="94"/>
    <tableColumn id="32" xr3:uid="{F59F4F90-710D-436C-8F8E-5E1CC0FB77EF}" name="ТО ворот и шлагбаумов - внебюджет" dataDxfId="93"/>
    <tableColumn id="33" xr3:uid="{BCE3AD23-D68A-40B7-8A87-3A55F330794D}" name="ТО инженерных сетей - бюджет" dataDxfId="92"/>
    <tableColumn id="34" xr3:uid="{5E82BBCA-28A7-44E9-B8F1-49CA5CA70790}" name="ТО инженерных сетей - внебюджет" dataDxfId="91"/>
    <tableColumn id="35" xr3:uid="{ECB2651B-5926-40C5-9237-BADC75FAF35B}" name="Утилизация отходов, обезвреживание, утилизация объектов - бюджет" dataDxfId="90"/>
    <tableColumn id="36" xr3:uid="{08A2DAE9-432F-4863-92C3-40AE2EC2BEC9}" name="Утилизация отходов, обезвреживание, утилизация объектов - внебюджет" dataDxfId="89"/>
    <tableColumn id="37" xr3:uid="{D0F4BDF5-9844-4BF4-BB52-F3BC3248DAEB}" name="Ремонт - бюджет" dataDxfId="88"/>
    <tableColumn id="38" xr3:uid="{D9BF2C88-AED2-4F32-AB5D-349FA0BDCCB7}" name="Ремонт - внебюджет" dataDxfId="87"/>
    <tableColumn id="39" xr3:uid="{8A8F6A73-33B1-466C-82A0-025A07FBC3E4}" name="ТО и ремонт ПТ 23603 и КЛ ТП 23603-ТП 11347 - бюджет" dataDxfId="86"/>
    <tableColumn id="40" xr3:uid="{34E771F3-6781-4EB7-B59D-F024EB6F2F7E}" name="ТО и ремонт ПТ 23603 и КЛ ТП 23603-ТП 11347 - внебюджет" dataDxfId="85"/>
    <tableColumn id="41" xr3:uid="{AF81B7A9-EAE0-49A2-B69C-92A8955DA9FD}" name="ТО инфраструктуры центра обработки данных - бюджет" dataDxfId="84"/>
    <tableColumn id="42" xr3:uid="{FB6F5847-C952-4A71-AFD9-0AE535044E05}" name="ТО инфраструктуры центра обработки данных - внебюджет" dataDxfId="83"/>
    <tableColumn id="43" xr3:uid="{EAC6E9AE-F70A-410C-883D-77C913D2F450}" name="ТО водоподготовки, канализации, лабораторные исследования воды - бюджет" dataDxfId="82"/>
    <tableColumn id="44" xr3:uid="{9843AE6F-205D-4D92-BFA8-E067587B25BF}" name="ТО водоподготовки, канализации, лабораторные исследования воды - внебюджет" dataDxfId="81"/>
    <tableColumn id="45" xr3:uid="{721BA6AC-B109-4052-A230-974E10C459B5}" name="Подготовка к зиме - бюджет" dataDxfId="80"/>
    <tableColumn id="46" xr3:uid="{343D85D4-6D6D-4871-8247-28E65C6F37DA}" name="Подготовка к зиме - внебюджет" dataDxfId="79"/>
    <tableColumn id="47" xr3:uid="{27DC3009-E1AB-44C2-ADD1-6AE7628A9277}" name="Огнезащитная обработка - бюджет" dataDxfId="78"/>
    <tableColumn id="48" xr3:uid="{1EE88074-DEB4-4B9C-BB22-C218FFA93E1D}" name="Огнезащитная обработка - внебюджет" dataDxfId="77"/>
    <tableColumn id="49" xr3:uid="{46BE3242-151A-4EB4-AB76-2E0276146C66}" name="Столбец1" dataDxfId="5">
      <calculatedColumnFormula>SUM(Таблица2[[#This Row],[Охрана и ТО, пожарная сигнализация - бюджет]:[Огнезащитная обработка - внебюджет]])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458CC7-35EC-4F1C-92D8-A75EB6272FF1}" name="Таблица4_2" displayName="Таблица4_2" ref="A1:H1195" tableType="queryTable" totalsRowShown="0">
  <autoFilter ref="A1:H1195" xr:uid="{3A2372AD-A7A7-4D39-BD27-83D4041FC1E4}"/>
  <tableColumns count="8">
    <tableColumn id="1" xr3:uid="{1D50CC09-CF57-45E4-B300-15146037CE52}" uniqueName="1" name="№ п/п" queryTableFieldId="1"/>
    <tableColumn id="2" xr3:uid="{B1F7BC8D-76EC-4EB4-A33A-36F58F003FD2}" uniqueName="2" name="Наименование" queryTableFieldId="2" dataDxfId="15"/>
    <tableColumn id="3" xr3:uid="{957F8B64-99BC-48E6-A18E-6F865868670A}" uniqueName="3" name="Адрес" queryTableFieldId="3" dataDxfId="14"/>
    <tableColumn id="4" xr3:uid="{B915B05D-2BF8-4DB3-8248-0CBE1FEB7F52}" uniqueName="4" name="Площадь, кв.м." queryTableFieldId="4"/>
    <tableColumn id="5" xr3:uid="{54FC4234-6A09-4657-A890-7263FEB8B32E}" uniqueName="5" name="Год" queryTableFieldId="5"/>
    <tableColumn id="6" xr3:uid="{FE19EFB5-B6C5-44AB-ADF9-0406D343B895}" uniqueName="6" name="Категория" queryTableFieldId="6" dataDxfId="13"/>
    <tableColumn id="7" xr3:uid="{1E3D7A77-AA3C-4045-A880-46D2A1D1889E}" uniqueName="7" name="Атрибут" queryTableFieldId="7" dataDxfId="12"/>
    <tableColumn id="8" xr3:uid="{29C9F8D2-689E-4B4E-B5B1-3A40B62072C5}" uniqueName="8" name="Значение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43E615-DCA0-4F17-B932-F44423FD63D9}" name="Таблица4" displayName="Таблица4" ref="A1:AZ109" totalsRowShown="0" headerRowDxfId="16" dataDxfId="17" tableBorderDxfId="70">
  <autoFilter ref="A1:AZ109" xr:uid="{0E8404C6-35AD-416D-B2C4-6C147B199120}"/>
  <tableColumns count="52">
    <tableColumn id="1" xr3:uid="{6F950DA4-6013-49CD-9FC0-0F4995EBA465}" name="№ п/п" dataDxfId="69"/>
    <tableColumn id="2" xr3:uid="{1A191648-D4A1-411E-96F5-FED1F05046DF}" name="Наименование" dataDxfId="68"/>
    <tableColumn id="3" xr3:uid="{92A7E75D-BC5A-40C2-A69F-D637FF8BD764}" name="Адрес" dataDxfId="67"/>
    <tableColumn id="4" xr3:uid="{55C21E0D-35D6-4D72-AE07-B56D6DAF0E99}" name="Площадь, кв.м." dataDxfId="66"/>
    <tableColumn id="5" xr3:uid="{2D513011-230A-4E39-8E2E-8CB0402200DC}" name="Год" dataDxfId="65"/>
    <tableColumn id="6" xr3:uid="{7B4C33BB-0147-4BF3-9057-81FF48856D7A}" name="Категория" dataDxfId="64"/>
    <tableColumn id="7" xr3:uid="{40F15DDF-E3DC-4282-BEB1-473EF7FE5118}" name="Охрана и ТО, пожарная сигнализация - бюджет" dataDxfId="63"/>
    <tableColumn id="8" xr3:uid="{62F5D3A3-B10E-486E-A139-18B931F50011}" name="Охрана и ТО, пожарная сигнализация - внебюджет" dataDxfId="62"/>
    <tableColumn id="9" xr3:uid="{21A5B4D5-B3BF-4543-8E24-EB41E64F31E2}" name="Вывоз мусора - бюджет" dataDxfId="61"/>
    <tableColumn id="10" xr3:uid="{EDE08E4F-ECE3-48F6-AC2C-E0DCCD03B168}" name="Вывоз мусора - внебюджет" dataDxfId="60"/>
    <tableColumn id="11" xr3:uid="{474FE800-C1C3-4E3A-9A4C-7BBFD49E8CC3}" name="Уборка ( вкл дератизация общежитий) - бюджет" dataDxfId="59"/>
    <tableColumn id="12" xr3:uid="{C1D7A07C-2D18-4D3F-AD02-26C4A098770C}" name="Уборка ( вкл дератизация общежитий) - внебюджет" dataDxfId="58"/>
    <tableColumn id="13" xr3:uid="{427D5F78-F422-458B-9D1B-AECAE39061BF}" name="Дератизация и дезинфекция - бюджет" dataDxfId="57"/>
    <tableColumn id="14" xr3:uid="{271C9BEB-7CF2-43AD-9BB3-BA563BCAD9EB}" name="Дератизация и дезинфекция - внебюджет" dataDxfId="56"/>
    <tableColumn id="15" xr3:uid="{BA5B20F7-B278-4162-85D9-942CB8DFA3B0}" name="ТО вентиляции, системы дымоудаления - бюджет" dataDxfId="55"/>
    <tableColumn id="16" xr3:uid="{23E15EEB-E20F-425A-91AB-C7D8BCB0D32B}" name="ТО вентиляции, системы дымоудаления - внебюджет" dataDxfId="54"/>
    <tableColumn id="17" xr3:uid="{DCBF5B7B-33DF-4F8E-A6DE-FEEEE721B4B3}" name="ТО кондиционеров - бюджет" dataDxfId="53"/>
    <tableColumn id="18" xr3:uid="{8A9BA4F5-3895-402A-BFBE-16CC069B09BF}" name="ТО кондиционеров - внебюджет" dataDxfId="52"/>
    <tableColumn id="19" xr3:uid="{D0E0CC71-3141-45F9-B3D4-8DF40FE06834}" name="Круглосусточное сервисное обслуживание системы бесперебойного электропитания, обслуживание АИИС К учета электроэнергии, ТО УУТЭ - бюджет" dataDxfId="51"/>
    <tableColumn id="20" xr3:uid="{9294A95B-FCB3-4FFE-97A5-73E1FCA070D2}" name="Круглосусточное сервисное обслуживание системы бесперебойного электропитания, обслуживание АИИС К учета электроэнергии, ТО УУТЭ - внебюджет" dataDxfId="50"/>
    <tableColumn id="21" xr3:uid="{295FC989-4DA3-48E4-A88E-A72B369455A6}" name="Очистка от снега,наледи и сосулек - бюджет" dataDxfId="49"/>
    <tableColumn id="22" xr3:uid="{CD28BAD6-FC2F-4781-B2EB-EEC5E0323D22}" name="Очистка от снега,наледи и сосулек - внебюджет" dataDxfId="48"/>
    <tableColumn id="23" xr3:uid="{9B7132CB-3050-4C04-9DB5-24D2E0DB4C27}" name="ТО СКУД, ТО турникетов Стрелец-Мониторинг, ТО комплекс систем безопасности, пожарных кранов - бюджет" dataDxfId="47"/>
    <tableColumn id="24" xr3:uid="{3B86EB64-2D23-4FAA-97A3-81B044134809}" name="ТО СКУД, ТО турникетов Стрелец-Мониторинг, ТО комплекс систем безопасности, пожарных кранов - внебюджет" dataDxfId="46"/>
    <tableColumn id="25" xr3:uid="{1B0AC59A-6C92-49DC-843A-AE94ED9C38BB}" name="ТО лифтов - бюджет" dataDxfId="45"/>
    <tableColumn id="26" xr3:uid="{7A8C201B-1F89-4751-B55F-3208416F604C}" name="ТО лифтов - внебюджет" dataDxfId="44"/>
    <tableColumn id="27" xr3:uid="{8F807453-DF19-48E0-B9D0-400C0FCE8A19}" name="ТО сантехнического оборудования - бюджет" dataDxfId="43"/>
    <tableColumn id="28" xr3:uid="{04BF202E-FDDE-44EF-8F33-A0237085EBE6}" name="ТО сантехнического оборудования - внебюджет" dataDxfId="42"/>
    <tableColumn id="29" xr3:uid="{DE8D7F3E-72DF-48F1-9DED-839E9CB24858}" name="ТО газовой котельни, оборудовани\ - бюджет" dataDxfId="41"/>
    <tableColumn id="30" xr3:uid="{C793B0BF-E5CC-44B7-AE30-FFEBA74A8702}" name="ТО газовой котельни, оборудовани\ - внебюджет" dataDxfId="40"/>
    <tableColumn id="31" xr3:uid="{AB7B43FE-E3C8-460E-B6EC-0B7427AB7EF0}" name="ТО ворот и шлагбаумов - бюджет" dataDxfId="39"/>
    <tableColumn id="32" xr3:uid="{C9B51D6A-C087-4033-BEC4-68C5BA614922}" name="ТО ворот и шлагбаумов - внебюджет" dataDxfId="38"/>
    <tableColumn id="33" xr3:uid="{DDACF176-0C29-4C7B-BA4E-2B088AA884EC}" name="ТО инженерных сетей/ электросетей - бюджет" dataDxfId="37"/>
    <tableColumn id="34" xr3:uid="{2D2F6E30-8ADD-4127-B0A3-E052243C518F}" name="ТО инженерных сетей/ электросетей - внебюджет" dataDxfId="36"/>
    <tableColumn id="35" xr3:uid="{9A88C1E4-60C4-4BCB-8D7B-00501D943C3D}" name="Утилизация отходов, обезвреживание, утилизация объектов - бюджет" dataDxfId="35"/>
    <tableColumn id="36" xr3:uid="{18981C82-601A-46A0-8615-C54BBD50291B}" name="Утилизация отходов, обезвреживание, утилизация объектов - внебюджет" dataDxfId="34"/>
    <tableColumn id="37" xr3:uid="{1D382B9A-4211-4A74-B198-168BE3AEAC3C}" name="Ремонт - бюджет" dataDxfId="33"/>
    <tableColumn id="38" xr3:uid="{3D1CBCB9-5196-476A-8D3C-471A075CCC64}" name="Ремонт - внебюджет" dataDxfId="32"/>
    <tableColumn id="39" xr3:uid="{D153E565-9A47-4852-8AD3-15453E893267}" name="ТО и ремонт ПТ 23603 и КЛ ТП 23603-ТП 11347 - бюджет" dataDxfId="31"/>
    <tableColumn id="40" xr3:uid="{CD97203B-0F40-4BAE-9709-22EDFF9919A7}" name="ТО и ремонт ПТ 23603 и КЛ ТП 23603-ТП 11347 - внебюджет" dataDxfId="30"/>
    <tableColumn id="41" xr3:uid="{244DCE33-D76B-4969-8C36-FF318694C9E3}" name="ТО инфраструктуры центра обработки данных - бюджет" dataDxfId="29"/>
    <tableColumn id="42" xr3:uid="{E9D89A8F-817B-4050-A8F0-48B13504333C}" name="ТО инфраструктуры центра обработки данных - внебюджет" dataDxfId="28"/>
    <tableColumn id="43" xr3:uid="{045FEADF-4F92-437F-BBB8-507F38A0040A}" name="ТО водоподготовки, канализации, лабораторные исследования воды - бюджет" dataDxfId="27"/>
    <tableColumn id="44" xr3:uid="{9F7CF403-83DF-4466-A66A-6D8507697CFC}" name="ТО водоподготовки, канализации, лабораторные исследования воды - внебюджет" dataDxfId="26"/>
    <tableColumn id="45" xr3:uid="{5CA70206-3858-4298-A1E1-3D0ED6B39C38}" name="Подготовка к зиме - бюджет" dataDxfId="25"/>
    <tableColumn id="46" xr3:uid="{2025A384-3F3D-488F-B5D8-2898F1D1C362}" name="Подготовка к зиме - внебюджет" dataDxfId="24"/>
    <tableColumn id="47" xr3:uid="{78185724-93E8-4F48-AB7C-A02ADDB6DEFA}" name="Огнезащитная обработка - бюджет" dataDxfId="23"/>
    <tableColumn id="48" xr3:uid="{AD71829E-495E-4CB2-9E50-F57181E352A6}" name="Огнезащитная обработка - внебюджет" dataDxfId="22"/>
    <tableColumn id="49" xr3:uid="{81ACA334-F724-49AD-B782-2AD33361B541}" name="ТО  и ремонт копировальной техники - бюджет" dataDxfId="21"/>
    <tableColumn id="50" xr3:uid="{BF74CA43-619C-4E96-851E-9441160E7E0B}" name="ТО  и ремонт копировальной техники - внебюджет" dataDxfId="20"/>
    <tableColumn id="51" xr3:uid="{F678465E-EF9D-45D5-A704-AD4FB36BA0F9}" name="ТО кранов - бюджет" dataDxfId="19"/>
    <tableColumn id="52" xr3:uid="{F52AD2F2-DAE9-48AD-8B66-5588B6681041}" name="ТО кранов - внебюджет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A33-9EF7-461E-BD79-BB06C5238CE5}">
  <dimension ref="A1:I2379"/>
  <sheetViews>
    <sheetView zoomScale="70" zoomScaleNormal="70" workbookViewId="0">
      <selection activeCell="B18" sqref="B18"/>
    </sheetView>
  </sheetViews>
  <sheetFormatPr defaultRowHeight="14.4" x14ac:dyDescent="0.3"/>
  <cols>
    <col min="2" max="2" width="58.44140625" bestFit="1" customWidth="1"/>
    <col min="3" max="3" width="79.33203125" bestFit="1" customWidth="1"/>
    <col min="4" max="4" width="16.88671875" bestFit="1" customWidth="1"/>
    <col min="5" max="5" width="6.33203125" bestFit="1" customWidth="1"/>
    <col min="6" max="6" width="15.88671875" bestFit="1" customWidth="1"/>
    <col min="7" max="7" width="80.88671875" bestFit="1" customWidth="1"/>
    <col min="8" max="8" width="80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589</v>
      </c>
      <c r="F1" t="s">
        <v>594</v>
      </c>
      <c r="G1" t="s">
        <v>634</v>
      </c>
      <c r="H1" t="s">
        <v>635</v>
      </c>
      <c r="I1" t="s">
        <v>636</v>
      </c>
    </row>
    <row r="2" spans="1:9" x14ac:dyDescent="0.3">
      <c r="A2">
        <v>1</v>
      </c>
      <c r="B2" s="168" t="s">
        <v>4</v>
      </c>
      <c r="C2" s="168" t="s">
        <v>5</v>
      </c>
      <c r="D2">
        <v>896.1</v>
      </c>
      <c r="E2">
        <v>2020</v>
      </c>
      <c r="F2" s="168" t="s">
        <v>590</v>
      </c>
      <c r="G2" s="168" t="s">
        <v>607</v>
      </c>
      <c r="H2" s="168" t="s">
        <v>608</v>
      </c>
      <c r="I2">
        <v>0</v>
      </c>
    </row>
    <row r="3" spans="1:9" x14ac:dyDescent="0.3">
      <c r="A3">
        <v>1</v>
      </c>
      <c r="B3" s="168" t="s">
        <v>4</v>
      </c>
      <c r="C3" s="168" t="s">
        <v>5</v>
      </c>
      <c r="D3">
        <v>896.1</v>
      </c>
      <c r="E3">
        <v>2020</v>
      </c>
      <c r="F3" s="168" t="s">
        <v>590</v>
      </c>
      <c r="G3" s="168" t="s">
        <v>607</v>
      </c>
      <c r="H3" s="168" t="s">
        <v>609</v>
      </c>
      <c r="I3">
        <v>535097.6291738305</v>
      </c>
    </row>
    <row r="4" spans="1:9" x14ac:dyDescent="0.3">
      <c r="A4">
        <v>2</v>
      </c>
      <c r="B4" s="168" t="s">
        <v>6</v>
      </c>
      <c r="C4" s="168" t="s">
        <v>5</v>
      </c>
      <c r="D4">
        <v>189</v>
      </c>
      <c r="E4">
        <v>2020</v>
      </c>
      <c r="F4" s="168" t="s">
        <v>590</v>
      </c>
      <c r="G4" s="168" t="s">
        <v>607</v>
      </c>
      <c r="H4" s="168" t="s">
        <v>608</v>
      </c>
      <c r="I4">
        <v>0</v>
      </c>
    </row>
    <row r="5" spans="1:9" x14ac:dyDescent="0.3">
      <c r="A5">
        <v>2</v>
      </c>
      <c r="B5" s="168" t="s">
        <v>6</v>
      </c>
      <c r="C5" s="168" t="s">
        <v>5</v>
      </c>
      <c r="D5">
        <v>189</v>
      </c>
      <c r="E5">
        <v>2020</v>
      </c>
      <c r="F5" s="168" t="s">
        <v>590</v>
      </c>
      <c r="G5" s="168" t="s">
        <v>607</v>
      </c>
      <c r="H5" s="168" t="s">
        <v>609</v>
      </c>
      <c r="I5">
        <v>112859.5602207945</v>
      </c>
    </row>
    <row r="6" spans="1:9" x14ac:dyDescent="0.3">
      <c r="A6">
        <v>3</v>
      </c>
      <c r="B6" s="168" t="s">
        <v>7</v>
      </c>
      <c r="C6" s="168" t="s">
        <v>5</v>
      </c>
      <c r="D6">
        <v>20</v>
      </c>
      <c r="E6">
        <v>2020</v>
      </c>
      <c r="F6" s="168" t="s">
        <v>590</v>
      </c>
      <c r="G6" s="168" t="s">
        <v>607</v>
      </c>
      <c r="H6" s="168" t="s">
        <v>608</v>
      </c>
      <c r="I6">
        <v>0</v>
      </c>
    </row>
    <row r="7" spans="1:9" x14ac:dyDescent="0.3">
      <c r="A7">
        <v>3</v>
      </c>
      <c r="B7" s="168" t="s">
        <v>7</v>
      </c>
      <c r="C7" s="168" t="s">
        <v>5</v>
      </c>
      <c r="D7">
        <v>20</v>
      </c>
      <c r="E7">
        <v>2020</v>
      </c>
      <c r="F7" s="168" t="s">
        <v>590</v>
      </c>
      <c r="G7" s="168" t="s">
        <v>607</v>
      </c>
      <c r="H7" s="168" t="s">
        <v>609</v>
      </c>
      <c r="I7">
        <v>11942.81060537508</v>
      </c>
    </row>
    <row r="8" spans="1:9" x14ac:dyDescent="0.3">
      <c r="A8">
        <v>4</v>
      </c>
      <c r="B8" s="168" t="s">
        <v>8</v>
      </c>
      <c r="C8" s="168" t="s">
        <v>5</v>
      </c>
      <c r="D8">
        <v>243</v>
      </c>
      <c r="E8">
        <v>2020</v>
      </c>
      <c r="F8" s="168" t="s">
        <v>590</v>
      </c>
      <c r="G8" s="168" t="s">
        <v>610</v>
      </c>
      <c r="H8" s="168" t="s">
        <v>608</v>
      </c>
      <c r="I8">
        <v>0</v>
      </c>
    </row>
    <row r="9" spans="1:9" x14ac:dyDescent="0.3">
      <c r="A9">
        <v>4</v>
      </c>
      <c r="B9" s="168" t="s">
        <v>8</v>
      </c>
      <c r="C9" s="168" t="s">
        <v>5</v>
      </c>
      <c r="D9">
        <v>243</v>
      </c>
      <c r="E9">
        <v>2020</v>
      </c>
      <c r="F9" s="168" t="s">
        <v>590</v>
      </c>
      <c r="G9" s="168" t="s">
        <v>610</v>
      </c>
      <c r="H9" s="168" t="s">
        <v>609</v>
      </c>
      <c r="I9">
        <v>6545.454545454545</v>
      </c>
    </row>
    <row r="10" spans="1:9" x14ac:dyDescent="0.3">
      <c r="A10">
        <v>4</v>
      </c>
      <c r="B10" s="168" t="s">
        <v>8</v>
      </c>
      <c r="C10" s="168" t="s">
        <v>5</v>
      </c>
      <c r="D10">
        <v>243</v>
      </c>
      <c r="E10">
        <v>2020</v>
      </c>
      <c r="F10" s="168" t="s">
        <v>590</v>
      </c>
      <c r="G10" s="168" t="s">
        <v>611</v>
      </c>
      <c r="H10" s="168" t="s">
        <v>608</v>
      </c>
      <c r="I10">
        <v>0</v>
      </c>
    </row>
    <row r="11" spans="1:9" x14ac:dyDescent="0.3">
      <c r="A11">
        <v>4</v>
      </c>
      <c r="B11" s="168" t="s">
        <v>8</v>
      </c>
      <c r="C11" s="168" t="s">
        <v>5</v>
      </c>
      <c r="D11">
        <v>243</v>
      </c>
      <c r="E11">
        <v>2020</v>
      </c>
      <c r="F11" s="168" t="s">
        <v>590</v>
      </c>
      <c r="G11" s="168" t="s">
        <v>611</v>
      </c>
      <c r="H11" s="168" t="s">
        <v>609</v>
      </c>
      <c r="I11">
        <v>1015.6383004596636</v>
      </c>
    </row>
    <row r="12" spans="1:9" x14ac:dyDescent="0.3">
      <c r="A12">
        <v>5</v>
      </c>
      <c r="B12" s="168" t="s">
        <v>9</v>
      </c>
      <c r="C12" s="168" t="s">
        <v>10</v>
      </c>
      <c r="D12">
        <v>7098.7</v>
      </c>
      <c r="E12">
        <v>2020</v>
      </c>
      <c r="F12" s="168" t="s">
        <v>590</v>
      </c>
      <c r="G12" s="168" t="s">
        <v>612</v>
      </c>
      <c r="H12" s="168" t="s">
        <v>608</v>
      </c>
      <c r="I12">
        <v>0</v>
      </c>
    </row>
    <row r="13" spans="1:9" x14ac:dyDescent="0.3">
      <c r="A13">
        <v>5</v>
      </c>
      <c r="B13" s="168" t="s">
        <v>9</v>
      </c>
      <c r="C13" s="168" t="s">
        <v>10</v>
      </c>
      <c r="D13">
        <v>7098.7</v>
      </c>
      <c r="E13">
        <v>2020</v>
      </c>
      <c r="F13" s="168" t="s">
        <v>590</v>
      </c>
      <c r="G13" s="168" t="s">
        <v>612</v>
      </c>
      <c r="H13" s="168" t="s">
        <v>609</v>
      </c>
      <c r="I13">
        <v>13594.866730341048</v>
      </c>
    </row>
    <row r="14" spans="1:9" x14ac:dyDescent="0.3">
      <c r="A14">
        <v>5</v>
      </c>
      <c r="B14" s="168" t="s">
        <v>9</v>
      </c>
      <c r="C14" s="168" t="s">
        <v>10</v>
      </c>
      <c r="D14">
        <v>7098.7</v>
      </c>
      <c r="E14">
        <v>2020</v>
      </c>
      <c r="F14" s="168" t="s">
        <v>590</v>
      </c>
      <c r="G14" s="168" t="s">
        <v>611</v>
      </c>
      <c r="H14" s="168" t="s">
        <v>608</v>
      </c>
      <c r="I14">
        <v>0</v>
      </c>
    </row>
    <row r="15" spans="1:9" x14ac:dyDescent="0.3">
      <c r="A15">
        <v>5</v>
      </c>
      <c r="B15" s="168" t="s">
        <v>9</v>
      </c>
      <c r="C15" s="168" t="s">
        <v>10</v>
      </c>
      <c r="D15">
        <v>7098.7</v>
      </c>
      <c r="E15">
        <v>2020</v>
      </c>
      <c r="F15" s="168" t="s">
        <v>590</v>
      </c>
      <c r="G15" s="168" t="s">
        <v>611</v>
      </c>
      <c r="H15" s="168" t="s">
        <v>609</v>
      </c>
      <c r="I15">
        <v>2969.0865668145902</v>
      </c>
    </row>
    <row r="16" spans="1:9" x14ac:dyDescent="0.3">
      <c r="A16">
        <v>5</v>
      </c>
      <c r="B16" s="168" t="s">
        <v>9</v>
      </c>
      <c r="C16" s="168" t="s">
        <v>10</v>
      </c>
      <c r="D16">
        <v>7098.7</v>
      </c>
      <c r="E16">
        <v>2020</v>
      </c>
      <c r="F16" s="168" t="s">
        <v>590</v>
      </c>
      <c r="G16" s="168" t="s">
        <v>613</v>
      </c>
      <c r="H16" s="168" t="s">
        <v>608</v>
      </c>
      <c r="I16">
        <v>235082.01970278387</v>
      </c>
    </row>
    <row r="17" spans="1:9" x14ac:dyDescent="0.3">
      <c r="A17">
        <v>5</v>
      </c>
      <c r="B17" s="168" t="s">
        <v>9</v>
      </c>
      <c r="C17" s="168" t="s">
        <v>10</v>
      </c>
      <c r="D17">
        <v>7098.7</v>
      </c>
      <c r="E17">
        <v>2020</v>
      </c>
      <c r="F17" s="168" t="s">
        <v>590</v>
      </c>
      <c r="G17" s="168" t="s">
        <v>613</v>
      </c>
      <c r="H17" s="168" t="s">
        <v>609</v>
      </c>
      <c r="I17">
        <v>150726.75510166027</v>
      </c>
    </row>
    <row r="18" spans="1:9" x14ac:dyDescent="0.3">
      <c r="A18">
        <v>6</v>
      </c>
      <c r="B18" s="168" t="s">
        <v>11</v>
      </c>
      <c r="C18" s="168" t="s">
        <v>12</v>
      </c>
      <c r="D18">
        <v>1070.3</v>
      </c>
      <c r="E18">
        <v>2020</v>
      </c>
      <c r="F18" s="168" t="s">
        <v>590</v>
      </c>
      <c r="G18" s="168" t="s">
        <v>612</v>
      </c>
      <c r="H18" s="168" t="s">
        <v>608</v>
      </c>
      <c r="I18">
        <v>0</v>
      </c>
    </row>
    <row r="19" spans="1:9" x14ac:dyDescent="0.3">
      <c r="A19">
        <v>6</v>
      </c>
      <c r="B19" s="168" t="s">
        <v>11</v>
      </c>
      <c r="C19" s="168" t="s">
        <v>12</v>
      </c>
      <c r="D19">
        <v>1070.3</v>
      </c>
      <c r="E19">
        <v>2020</v>
      </c>
      <c r="F19" s="168" t="s">
        <v>590</v>
      </c>
      <c r="G19" s="168" t="s">
        <v>612</v>
      </c>
      <c r="H19" s="168" t="s">
        <v>609</v>
      </c>
      <c r="I19">
        <v>2049.7535973465597</v>
      </c>
    </row>
    <row r="20" spans="1:9" x14ac:dyDescent="0.3">
      <c r="A20">
        <v>6</v>
      </c>
      <c r="B20" s="168" t="s">
        <v>11</v>
      </c>
      <c r="C20" s="168" t="s">
        <v>12</v>
      </c>
      <c r="D20">
        <v>1070.3</v>
      </c>
      <c r="E20">
        <v>2020</v>
      </c>
      <c r="F20" s="168" t="s">
        <v>590</v>
      </c>
      <c r="G20" s="168" t="s">
        <v>611</v>
      </c>
      <c r="H20" s="168" t="s">
        <v>608</v>
      </c>
      <c r="I20">
        <v>0</v>
      </c>
    </row>
    <row r="21" spans="1:9" x14ac:dyDescent="0.3">
      <c r="A21">
        <v>6</v>
      </c>
      <c r="B21" s="168" t="s">
        <v>11</v>
      </c>
      <c r="C21" s="168" t="s">
        <v>12</v>
      </c>
      <c r="D21">
        <v>1070.3</v>
      </c>
      <c r="E21">
        <v>2020</v>
      </c>
      <c r="F21" s="168" t="s">
        <v>590</v>
      </c>
      <c r="G21" s="168" t="s">
        <v>611</v>
      </c>
      <c r="H21" s="168" t="s">
        <v>609</v>
      </c>
      <c r="I21">
        <v>447.66131157277471</v>
      </c>
    </row>
    <row r="22" spans="1:9" x14ac:dyDescent="0.3">
      <c r="A22">
        <v>6</v>
      </c>
      <c r="B22" s="168" t="s">
        <v>11</v>
      </c>
      <c r="C22" s="168" t="s">
        <v>12</v>
      </c>
      <c r="D22">
        <v>1070.3</v>
      </c>
      <c r="E22">
        <v>2020</v>
      </c>
      <c r="F22" s="168" t="s">
        <v>590</v>
      </c>
      <c r="G22" s="168" t="s">
        <v>613</v>
      </c>
      <c r="H22" s="168" t="s">
        <v>608</v>
      </c>
      <c r="I22">
        <v>35444.276513712313</v>
      </c>
    </row>
    <row r="23" spans="1:9" x14ac:dyDescent="0.3">
      <c r="A23">
        <v>6</v>
      </c>
      <c r="B23" s="168" t="s">
        <v>11</v>
      </c>
      <c r="C23" s="168" t="s">
        <v>12</v>
      </c>
      <c r="D23">
        <v>1070.3</v>
      </c>
      <c r="E23">
        <v>2020</v>
      </c>
      <c r="F23" s="168" t="s">
        <v>590</v>
      </c>
      <c r="G23" s="168" t="s">
        <v>613</v>
      </c>
      <c r="H23" s="168" t="s">
        <v>609</v>
      </c>
      <c r="I23">
        <v>22725.688645147278</v>
      </c>
    </row>
    <row r="24" spans="1:9" x14ac:dyDescent="0.3">
      <c r="A24">
        <v>7</v>
      </c>
      <c r="B24" s="168" t="s">
        <v>13</v>
      </c>
      <c r="C24" s="168" t="s">
        <v>12</v>
      </c>
      <c r="D24">
        <v>1076.9000000000001</v>
      </c>
      <c r="E24">
        <v>2020</v>
      </c>
      <c r="F24" s="168" t="s">
        <v>590</v>
      </c>
      <c r="G24" s="168" t="s">
        <v>612</v>
      </c>
      <c r="H24" s="168" t="s">
        <v>608</v>
      </c>
      <c r="I24">
        <v>0</v>
      </c>
    </row>
    <row r="25" spans="1:9" x14ac:dyDescent="0.3">
      <c r="A25">
        <v>7</v>
      </c>
      <c r="B25" s="168" t="s">
        <v>13</v>
      </c>
      <c r="C25" s="168" t="s">
        <v>12</v>
      </c>
      <c r="D25">
        <v>1076.9000000000001</v>
      </c>
      <c r="E25">
        <v>2020</v>
      </c>
      <c r="F25" s="168" t="s">
        <v>590</v>
      </c>
      <c r="G25" s="168" t="s">
        <v>612</v>
      </c>
      <c r="H25" s="168" t="s">
        <v>609</v>
      </c>
      <c r="I25">
        <v>2062.3933934247507</v>
      </c>
    </row>
    <row r="26" spans="1:9" x14ac:dyDescent="0.3">
      <c r="A26">
        <v>7</v>
      </c>
      <c r="B26" s="168" t="s">
        <v>13</v>
      </c>
      <c r="C26" s="168" t="s">
        <v>12</v>
      </c>
      <c r="D26">
        <v>1076.9000000000001</v>
      </c>
      <c r="E26">
        <v>2020</v>
      </c>
      <c r="F26" s="168" t="s">
        <v>590</v>
      </c>
      <c r="G26" s="168" t="s">
        <v>611</v>
      </c>
      <c r="H26" s="168" t="s">
        <v>608</v>
      </c>
      <c r="I26">
        <v>0</v>
      </c>
    </row>
    <row r="27" spans="1:9" x14ac:dyDescent="0.3">
      <c r="A27">
        <v>7</v>
      </c>
      <c r="B27" s="168" t="s">
        <v>13</v>
      </c>
      <c r="C27" s="168" t="s">
        <v>12</v>
      </c>
      <c r="D27">
        <v>1076.9000000000001</v>
      </c>
      <c r="E27">
        <v>2020</v>
      </c>
      <c r="F27" s="168" t="s">
        <v>590</v>
      </c>
      <c r="G27" s="168" t="s">
        <v>611</v>
      </c>
      <c r="H27" s="168" t="s">
        <v>609</v>
      </c>
      <c r="I27">
        <v>450.42181298021222</v>
      </c>
    </row>
    <row r="28" spans="1:9" x14ac:dyDescent="0.3">
      <c r="A28">
        <v>7</v>
      </c>
      <c r="B28" s="168" t="s">
        <v>13</v>
      </c>
      <c r="C28" s="168" t="s">
        <v>12</v>
      </c>
      <c r="D28">
        <v>1076.9000000000001</v>
      </c>
      <c r="E28">
        <v>2020</v>
      </c>
      <c r="F28" s="168" t="s">
        <v>590</v>
      </c>
      <c r="G28" s="168" t="s">
        <v>613</v>
      </c>
      <c r="H28" s="168" t="s">
        <v>608</v>
      </c>
      <c r="I28">
        <v>35662.843480908901</v>
      </c>
    </row>
    <row r="29" spans="1:9" x14ac:dyDescent="0.3">
      <c r="A29">
        <v>7</v>
      </c>
      <c r="B29" s="168" t="s">
        <v>13</v>
      </c>
      <c r="C29" s="168" t="s">
        <v>12</v>
      </c>
      <c r="D29">
        <v>1076.9000000000001</v>
      </c>
      <c r="E29">
        <v>2020</v>
      </c>
      <c r="F29" s="168" t="s">
        <v>590</v>
      </c>
      <c r="G29" s="168" t="s">
        <v>613</v>
      </c>
      <c r="H29" s="168" t="s">
        <v>609</v>
      </c>
      <c r="I29">
        <v>22865.826499074192</v>
      </c>
    </row>
    <row r="30" spans="1:9" x14ac:dyDescent="0.3">
      <c r="A30">
        <v>8</v>
      </c>
      <c r="B30" s="168" t="s">
        <v>14</v>
      </c>
      <c r="C30" s="168" t="s">
        <v>12</v>
      </c>
      <c r="D30">
        <v>1909.4</v>
      </c>
      <c r="E30">
        <v>2020</v>
      </c>
      <c r="F30" s="168" t="s">
        <v>590</v>
      </c>
      <c r="G30" s="168" t="s">
        <v>612</v>
      </c>
      <c r="H30" s="168" t="s">
        <v>608</v>
      </c>
      <c r="I30">
        <v>0</v>
      </c>
    </row>
    <row r="31" spans="1:9" x14ac:dyDescent="0.3">
      <c r="A31">
        <v>8</v>
      </c>
      <c r="B31" s="168" t="s">
        <v>14</v>
      </c>
      <c r="C31" s="168" t="s">
        <v>12</v>
      </c>
      <c r="D31">
        <v>1909.4</v>
      </c>
      <c r="E31">
        <v>2020</v>
      </c>
      <c r="F31" s="168" t="s">
        <v>590</v>
      </c>
      <c r="G31" s="168" t="s">
        <v>612</v>
      </c>
      <c r="H31" s="168" t="s">
        <v>609</v>
      </c>
      <c r="I31">
        <v>3656.7313078328712</v>
      </c>
    </row>
    <row r="32" spans="1:9" x14ac:dyDescent="0.3">
      <c r="A32">
        <v>8</v>
      </c>
      <c r="B32" s="168" t="s">
        <v>14</v>
      </c>
      <c r="C32" s="168" t="s">
        <v>12</v>
      </c>
      <c r="D32">
        <v>1909.4</v>
      </c>
      <c r="E32">
        <v>2020</v>
      </c>
      <c r="F32" s="168" t="s">
        <v>590</v>
      </c>
      <c r="G32" s="168" t="s">
        <v>611</v>
      </c>
      <c r="H32" s="168" t="s">
        <v>608</v>
      </c>
      <c r="I32">
        <v>0</v>
      </c>
    </row>
    <row r="33" spans="1:9" x14ac:dyDescent="0.3">
      <c r="A33">
        <v>8</v>
      </c>
      <c r="B33" s="168" t="s">
        <v>14</v>
      </c>
      <c r="C33" s="168" t="s">
        <v>12</v>
      </c>
      <c r="D33">
        <v>1909.4</v>
      </c>
      <c r="E33">
        <v>2020</v>
      </c>
      <c r="F33" s="168" t="s">
        <v>590</v>
      </c>
      <c r="G33" s="168" t="s">
        <v>611</v>
      </c>
      <c r="H33" s="168" t="s">
        <v>609</v>
      </c>
      <c r="I33">
        <v>798.62142232743736</v>
      </c>
    </row>
    <row r="34" spans="1:9" x14ac:dyDescent="0.3">
      <c r="A34">
        <v>8</v>
      </c>
      <c r="B34" s="168" t="s">
        <v>14</v>
      </c>
      <c r="C34" s="168" t="s">
        <v>12</v>
      </c>
      <c r="D34">
        <v>1909.4</v>
      </c>
      <c r="E34">
        <v>2020</v>
      </c>
      <c r="F34" s="168" t="s">
        <v>590</v>
      </c>
      <c r="G34" s="168" t="s">
        <v>613</v>
      </c>
      <c r="H34" s="168" t="s">
        <v>608</v>
      </c>
      <c r="I34">
        <v>63232.085934114075</v>
      </c>
    </row>
    <row r="35" spans="1:9" x14ac:dyDescent="0.3">
      <c r="A35">
        <v>8</v>
      </c>
      <c r="B35" s="168" t="s">
        <v>14</v>
      </c>
      <c r="C35" s="168" t="s">
        <v>12</v>
      </c>
      <c r="D35">
        <v>1909.4</v>
      </c>
      <c r="E35">
        <v>2020</v>
      </c>
      <c r="F35" s="168" t="s">
        <v>590</v>
      </c>
      <c r="G35" s="168" t="s">
        <v>613</v>
      </c>
      <c r="H35" s="168" t="s">
        <v>609</v>
      </c>
      <c r="I35">
        <v>40542.30580121855</v>
      </c>
    </row>
    <row r="36" spans="1:9" x14ac:dyDescent="0.3">
      <c r="A36">
        <v>9</v>
      </c>
      <c r="B36" s="168" t="s">
        <v>15</v>
      </c>
      <c r="C36" s="168" t="s">
        <v>10</v>
      </c>
      <c r="D36">
        <v>161.19999999999999</v>
      </c>
      <c r="E36">
        <v>2020</v>
      </c>
      <c r="F36" s="168" t="s">
        <v>590</v>
      </c>
      <c r="G36" s="168" t="s">
        <v>612</v>
      </c>
      <c r="H36" s="168" t="s">
        <v>608</v>
      </c>
      <c r="I36">
        <v>0</v>
      </c>
    </row>
    <row r="37" spans="1:9" x14ac:dyDescent="0.3">
      <c r="A37">
        <v>9</v>
      </c>
      <c r="B37" s="168" t="s">
        <v>15</v>
      </c>
      <c r="C37" s="168" t="s">
        <v>10</v>
      </c>
      <c r="D37">
        <v>161.19999999999999</v>
      </c>
      <c r="E37">
        <v>2020</v>
      </c>
      <c r="F37" s="168" t="s">
        <v>590</v>
      </c>
      <c r="G37" s="168" t="s">
        <v>612</v>
      </c>
      <c r="H37" s="168" t="s">
        <v>609</v>
      </c>
      <c r="I37">
        <v>308.71744360671346</v>
      </c>
    </row>
    <row r="38" spans="1:9" x14ac:dyDescent="0.3">
      <c r="A38">
        <v>9</v>
      </c>
      <c r="B38" s="168" t="s">
        <v>15</v>
      </c>
      <c r="C38" s="168" t="s">
        <v>10</v>
      </c>
      <c r="D38">
        <v>161.19999999999999</v>
      </c>
      <c r="E38">
        <v>2020</v>
      </c>
      <c r="F38" s="168" t="s">
        <v>590</v>
      </c>
      <c r="G38" s="168" t="s">
        <v>611</v>
      </c>
      <c r="H38" s="168" t="s">
        <v>608</v>
      </c>
      <c r="I38">
        <v>0</v>
      </c>
    </row>
    <row r="39" spans="1:9" x14ac:dyDescent="0.3">
      <c r="A39">
        <v>9</v>
      </c>
      <c r="B39" s="168" t="s">
        <v>15</v>
      </c>
      <c r="C39" s="168" t="s">
        <v>10</v>
      </c>
      <c r="D39">
        <v>161.19999999999999</v>
      </c>
      <c r="E39">
        <v>2020</v>
      </c>
      <c r="F39" s="168" t="s">
        <v>590</v>
      </c>
      <c r="G39" s="168" t="s">
        <v>611</v>
      </c>
      <c r="H39" s="168" t="s">
        <v>609</v>
      </c>
      <c r="I39">
        <v>67.423155587714916</v>
      </c>
    </row>
    <row r="40" spans="1:9" x14ac:dyDescent="0.3">
      <c r="A40">
        <v>9</v>
      </c>
      <c r="B40" s="168" t="s">
        <v>15</v>
      </c>
      <c r="C40" s="168" t="s">
        <v>10</v>
      </c>
      <c r="D40">
        <v>161.19999999999999</v>
      </c>
      <c r="E40">
        <v>2020</v>
      </c>
      <c r="F40" s="168" t="s">
        <v>590</v>
      </c>
      <c r="G40" s="168" t="s">
        <v>613</v>
      </c>
      <c r="H40" s="168" t="s">
        <v>608</v>
      </c>
      <c r="I40">
        <v>5338.3325927407495</v>
      </c>
    </row>
    <row r="41" spans="1:9" x14ac:dyDescent="0.3">
      <c r="A41">
        <v>9</v>
      </c>
      <c r="B41" s="168" t="s">
        <v>15</v>
      </c>
      <c r="C41" s="168" t="s">
        <v>10</v>
      </c>
      <c r="D41">
        <v>161.19999999999999</v>
      </c>
      <c r="E41">
        <v>2020</v>
      </c>
      <c r="F41" s="168" t="s">
        <v>590</v>
      </c>
      <c r="G41" s="168" t="s">
        <v>613</v>
      </c>
      <c r="H41" s="168" t="s">
        <v>609</v>
      </c>
      <c r="I41">
        <v>3422.7609171239287</v>
      </c>
    </row>
    <row r="42" spans="1:9" x14ac:dyDescent="0.3">
      <c r="A42">
        <v>10</v>
      </c>
      <c r="B42" s="168" t="s">
        <v>16</v>
      </c>
      <c r="C42" s="168" t="s">
        <v>10</v>
      </c>
      <c r="D42">
        <v>32.200000000000003</v>
      </c>
      <c r="E42">
        <v>2020</v>
      </c>
      <c r="F42" s="168" t="s">
        <v>590</v>
      </c>
      <c r="G42" s="168" t="s">
        <v>612</v>
      </c>
      <c r="H42" s="168" t="s">
        <v>608</v>
      </c>
      <c r="I42">
        <v>0</v>
      </c>
    </row>
    <row r="43" spans="1:9" x14ac:dyDescent="0.3">
      <c r="A43">
        <v>10</v>
      </c>
      <c r="B43" s="168" t="s">
        <v>16</v>
      </c>
      <c r="C43" s="168" t="s">
        <v>10</v>
      </c>
      <c r="D43">
        <v>32.200000000000003</v>
      </c>
      <c r="E43">
        <v>2020</v>
      </c>
      <c r="F43" s="168" t="s">
        <v>590</v>
      </c>
      <c r="G43" s="168" t="s">
        <v>612</v>
      </c>
      <c r="H43" s="168" t="s">
        <v>609</v>
      </c>
      <c r="I43">
        <v>61.666883896626395</v>
      </c>
    </row>
    <row r="44" spans="1:9" x14ac:dyDescent="0.3">
      <c r="A44">
        <v>10</v>
      </c>
      <c r="B44" s="168" t="s">
        <v>16</v>
      </c>
      <c r="C44" s="168" t="s">
        <v>10</v>
      </c>
      <c r="D44">
        <v>32.200000000000003</v>
      </c>
      <c r="E44">
        <v>2020</v>
      </c>
      <c r="F44" s="168" t="s">
        <v>590</v>
      </c>
      <c r="G44" s="168" t="s">
        <v>611</v>
      </c>
      <c r="H44" s="168" t="s">
        <v>608</v>
      </c>
      <c r="I44">
        <v>0</v>
      </c>
    </row>
    <row r="45" spans="1:9" x14ac:dyDescent="0.3">
      <c r="A45">
        <v>10</v>
      </c>
      <c r="B45" s="168" t="s">
        <v>16</v>
      </c>
      <c r="C45" s="168" t="s">
        <v>10</v>
      </c>
      <c r="D45">
        <v>32.200000000000003</v>
      </c>
      <c r="E45">
        <v>2020</v>
      </c>
      <c r="F45" s="168" t="s">
        <v>590</v>
      </c>
      <c r="G45" s="168" t="s">
        <v>611</v>
      </c>
      <c r="H45" s="168" t="s">
        <v>609</v>
      </c>
      <c r="I45">
        <v>13.46790080598276</v>
      </c>
    </row>
    <row r="46" spans="1:9" x14ac:dyDescent="0.3">
      <c r="A46">
        <v>10</v>
      </c>
      <c r="B46" s="168" t="s">
        <v>16</v>
      </c>
      <c r="C46" s="168" t="s">
        <v>10</v>
      </c>
      <c r="D46">
        <v>32.200000000000003</v>
      </c>
      <c r="E46">
        <v>2020</v>
      </c>
      <c r="F46" s="168" t="s">
        <v>590</v>
      </c>
      <c r="G46" s="168" t="s">
        <v>613</v>
      </c>
      <c r="H46" s="168" t="s">
        <v>608</v>
      </c>
      <c r="I46">
        <v>1066.3418702621102</v>
      </c>
    </row>
    <row r="47" spans="1:9" x14ac:dyDescent="0.3">
      <c r="A47">
        <v>10</v>
      </c>
      <c r="B47" s="168" t="s">
        <v>16</v>
      </c>
      <c r="C47" s="168" t="s">
        <v>10</v>
      </c>
      <c r="D47">
        <v>32.200000000000003</v>
      </c>
      <c r="E47">
        <v>2020</v>
      </c>
      <c r="F47" s="168" t="s">
        <v>590</v>
      </c>
      <c r="G47" s="168" t="s">
        <v>613</v>
      </c>
      <c r="H47" s="168" t="s">
        <v>609</v>
      </c>
      <c r="I47">
        <v>683.70286309795608</v>
      </c>
    </row>
    <row r="48" spans="1:9" x14ac:dyDescent="0.3">
      <c r="A48">
        <v>11</v>
      </c>
      <c r="B48" s="168" t="s">
        <v>17</v>
      </c>
      <c r="C48" s="168" t="s">
        <v>12</v>
      </c>
      <c r="D48">
        <v>67.099999999999994</v>
      </c>
      <c r="E48">
        <v>2020</v>
      </c>
      <c r="F48" s="168" t="s">
        <v>590</v>
      </c>
      <c r="G48" s="168" t="s">
        <v>612</v>
      </c>
      <c r="H48" s="168" t="s">
        <v>608</v>
      </c>
      <c r="I48">
        <v>0</v>
      </c>
    </row>
    <row r="49" spans="1:9" x14ac:dyDescent="0.3">
      <c r="A49">
        <v>11</v>
      </c>
      <c r="B49" s="168" t="s">
        <v>17</v>
      </c>
      <c r="C49" s="168" t="s">
        <v>12</v>
      </c>
      <c r="D49">
        <v>67.099999999999994</v>
      </c>
      <c r="E49">
        <v>2020</v>
      </c>
      <c r="F49" s="168" t="s">
        <v>590</v>
      </c>
      <c r="G49" s="168" t="s">
        <v>612</v>
      </c>
      <c r="H49" s="168" t="s">
        <v>609</v>
      </c>
      <c r="I49">
        <v>128.50459346160343</v>
      </c>
    </row>
    <row r="50" spans="1:9" x14ac:dyDescent="0.3">
      <c r="A50">
        <v>11</v>
      </c>
      <c r="B50" s="168" t="s">
        <v>17</v>
      </c>
      <c r="C50" s="168" t="s">
        <v>12</v>
      </c>
      <c r="D50">
        <v>67.099999999999994</v>
      </c>
      <c r="E50">
        <v>2020</v>
      </c>
      <c r="F50" s="168" t="s">
        <v>590</v>
      </c>
      <c r="G50" s="168" t="s">
        <v>611</v>
      </c>
      <c r="H50" s="168" t="s">
        <v>608</v>
      </c>
      <c r="I50">
        <v>0</v>
      </c>
    </row>
    <row r="51" spans="1:9" x14ac:dyDescent="0.3">
      <c r="A51">
        <v>11</v>
      </c>
      <c r="B51" s="168" t="s">
        <v>17</v>
      </c>
      <c r="C51" s="168" t="s">
        <v>12</v>
      </c>
      <c r="D51">
        <v>67.099999999999994</v>
      </c>
      <c r="E51">
        <v>2020</v>
      </c>
      <c r="F51" s="168" t="s">
        <v>590</v>
      </c>
      <c r="G51" s="168" t="s">
        <v>611</v>
      </c>
      <c r="H51" s="168" t="s">
        <v>609</v>
      </c>
      <c r="I51">
        <v>28.06509764228084</v>
      </c>
    </row>
    <row r="52" spans="1:9" x14ac:dyDescent="0.3">
      <c r="A52">
        <v>11</v>
      </c>
      <c r="B52" s="168" t="s">
        <v>17</v>
      </c>
      <c r="C52" s="168" t="s">
        <v>12</v>
      </c>
      <c r="D52">
        <v>67.099999999999994</v>
      </c>
      <c r="E52">
        <v>2020</v>
      </c>
      <c r="F52" s="168" t="s">
        <v>590</v>
      </c>
      <c r="G52" s="168" t="s">
        <v>613</v>
      </c>
      <c r="H52" s="168" t="s">
        <v>608</v>
      </c>
      <c r="I52">
        <v>2222.0974998319125</v>
      </c>
    </row>
    <row r="53" spans="1:9" x14ac:dyDescent="0.3">
      <c r="A53">
        <v>11</v>
      </c>
      <c r="B53" s="168" t="s">
        <v>17</v>
      </c>
      <c r="C53" s="168" t="s">
        <v>12</v>
      </c>
      <c r="D53">
        <v>67.099999999999994</v>
      </c>
      <c r="E53">
        <v>2020</v>
      </c>
      <c r="F53" s="168" t="s">
        <v>590</v>
      </c>
      <c r="G53" s="168" t="s">
        <v>613</v>
      </c>
      <c r="H53" s="168" t="s">
        <v>609</v>
      </c>
      <c r="I53">
        <v>1424.7348482569207</v>
      </c>
    </row>
    <row r="54" spans="1:9" x14ac:dyDescent="0.3">
      <c r="A54">
        <v>12</v>
      </c>
      <c r="B54" s="168" t="s">
        <v>18</v>
      </c>
      <c r="C54" s="168" t="s">
        <v>12</v>
      </c>
      <c r="D54">
        <v>43.9</v>
      </c>
      <c r="E54">
        <v>2020</v>
      </c>
      <c r="F54" s="168" t="s">
        <v>590</v>
      </c>
      <c r="G54" s="168" t="s">
        <v>612</v>
      </c>
      <c r="H54" s="168" t="s">
        <v>608</v>
      </c>
      <c r="I54">
        <v>0</v>
      </c>
    </row>
    <row r="55" spans="1:9" x14ac:dyDescent="0.3">
      <c r="A55">
        <v>12</v>
      </c>
      <c r="B55" s="168" t="s">
        <v>18</v>
      </c>
      <c r="C55" s="168" t="s">
        <v>12</v>
      </c>
      <c r="D55">
        <v>43.9</v>
      </c>
      <c r="E55">
        <v>2020</v>
      </c>
      <c r="F55" s="168" t="s">
        <v>590</v>
      </c>
      <c r="G55" s="168" t="s">
        <v>612</v>
      </c>
      <c r="H55" s="168" t="s">
        <v>609</v>
      </c>
      <c r="I55">
        <v>84.07379512614591</v>
      </c>
    </row>
    <row r="56" spans="1:9" x14ac:dyDescent="0.3">
      <c r="A56">
        <v>12</v>
      </c>
      <c r="B56" s="168" t="s">
        <v>18</v>
      </c>
      <c r="C56" s="168" t="s">
        <v>12</v>
      </c>
      <c r="D56">
        <v>43.9</v>
      </c>
      <c r="E56">
        <v>2020</v>
      </c>
      <c r="F56" s="168" t="s">
        <v>590</v>
      </c>
      <c r="G56" s="168" t="s">
        <v>611</v>
      </c>
      <c r="H56" s="168" t="s">
        <v>608</v>
      </c>
      <c r="I56">
        <v>0</v>
      </c>
    </row>
    <row r="57" spans="1:9" x14ac:dyDescent="0.3">
      <c r="A57">
        <v>12</v>
      </c>
      <c r="B57" s="168" t="s">
        <v>18</v>
      </c>
      <c r="C57" s="168" t="s">
        <v>12</v>
      </c>
      <c r="D57">
        <v>43.9</v>
      </c>
      <c r="E57">
        <v>2020</v>
      </c>
      <c r="F57" s="168" t="s">
        <v>590</v>
      </c>
      <c r="G57" s="168" t="s">
        <v>611</v>
      </c>
      <c r="H57" s="168" t="s">
        <v>609</v>
      </c>
      <c r="I57">
        <v>18.361516937349165</v>
      </c>
    </row>
    <row r="58" spans="1:9" x14ac:dyDescent="0.3">
      <c r="A58">
        <v>12</v>
      </c>
      <c r="B58" s="168" t="s">
        <v>18</v>
      </c>
      <c r="C58" s="168" t="s">
        <v>12</v>
      </c>
      <c r="D58">
        <v>43.9</v>
      </c>
      <c r="E58">
        <v>2020</v>
      </c>
      <c r="F58" s="168" t="s">
        <v>590</v>
      </c>
      <c r="G58" s="168" t="s">
        <v>613</v>
      </c>
      <c r="H58" s="168" t="s">
        <v>608</v>
      </c>
      <c r="I58">
        <v>1453.8014939287775</v>
      </c>
    </row>
    <row r="59" spans="1:9" x14ac:dyDescent="0.3">
      <c r="A59">
        <v>12</v>
      </c>
      <c r="B59" s="168" t="s">
        <v>18</v>
      </c>
      <c r="C59" s="168" t="s">
        <v>12</v>
      </c>
      <c r="D59">
        <v>43.9</v>
      </c>
      <c r="E59">
        <v>2020</v>
      </c>
      <c r="F59" s="168" t="s">
        <v>590</v>
      </c>
      <c r="G59" s="168" t="s">
        <v>613</v>
      </c>
      <c r="H59" s="168" t="s">
        <v>609</v>
      </c>
      <c r="I59">
        <v>932.12905869566066</v>
      </c>
    </row>
    <row r="60" spans="1:9" x14ac:dyDescent="0.3">
      <c r="A60">
        <v>13</v>
      </c>
      <c r="B60" s="168" t="s">
        <v>19</v>
      </c>
      <c r="C60" s="168" t="s">
        <v>10</v>
      </c>
      <c r="D60">
        <v>93.8</v>
      </c>
      <c r="E60">
        <v>2020</v>
      </c>
      <c r="F60" s="168" t="s">
        <v>590</v>
      </c>
      <c r="G60" s="168" t="s">
        <v>612</v>
      </c>
      <c r="H60" s="168" t="s">
        <v>608</v>
      </c>
      <c r="I60">
        <v>0</v>
      </c>
    </row>
    <row r="61" spans="1:9" x14ac:dyDescent="0.3">
      <c r="A61">
        <v>13</v>
      </c>
      <c r="B61" s="168" t="s">
        <v>19</v>
      </c>
      <c r="C61" s="168" t="s">
        <v>10</v>
      </c>
      <c r="D61">
        <v>93.8</v>
      </c>
      <c r="E61">
        <v>2020</v>
      </c>
      <c r="F61" s="168" t="s">
        <v>590</v>
      </c>
      <c r="G61" s="168" t="s">
        <v>612</v>
      </c>
      <c r="H61" s="168" t="s">
        <v>609</v>
      </c>
      <c r="I61">
        <v>179.63831395973773</v>
      </c>
    </row>
    <row r="62" spans="1:9" x14ac:dyDescent="0.3">
      <c r="A62">
        <v>13</v>
      </c>
      <c r="B62" s="168" t="s">
        <v>19</v>
      </c>
      <c r="C62" s="168" t="s">
        <v>10</v>
      </c>
      <c r="D62">
        <v>93.8</v>
      </c>
      <c r="E62">
        <v>2020</v>
      </c>
      <c r="F62" s="168" t="s">
        <v>590</v>
      </c>
      <c r="G62" s="168" t="s">
        <v>614</v>
      </c>
      <c r="H62" s="168" t="s">
        <v>608</v>
      </c>
      <c r="I62">
        <v>0</v>
      </c>
    </row>
    <row r="63" spans="1:9" x14ac:dyDescent="0.3">
      <c r="A63">
        <v>13</v>
      </c>
      <c r="B63" s="168" t="s">
        <v>19</v>
      </c>
      <c r="C63" s="168" t="s">
        <v>10</v>
      </c>
      <c r="D63">
        <v>93.8</v>
      </c>
      <c r="E63">
        <v>2020</v>
      </c>
      <c r="F63" s="168" t="s">
        <v>590</v>
      </c>
      <c r="G63" s="168" t="s">
        <v>614</v>
      </c>
      <c r="H63" s="168" t="s">
        <v>609</v>
      </c>
      <c r="I63">
        <v>277200</v>
      </c>
    </row>
    <row r="64" spans="1:9" x14ac:dyDescent="0.3">
      <c r="A64">
        <v>13</v>
      </c>
      <c r="B64" s="168" t="s">
        <v>19</v>
      </c>
      <c r="C64" s="168" t="s">
        <v>10</v>
      </c>
      <c r="D64">
        <v>93.8</v>
      </c>
      <c r="E64">
        <v>2020</v>
      </c>
      <c r="F64" s="168" t="s">
        <v>590</v>
      </c>
      <c r="G64" s="168" t="s">
        <v>611</v>
      </c>
      <c r="H64" s="168" t="s">
        <v>608</v>
      </c>
      <c r="I64">
        <v>0</v>
      </c>
    </row>
    <row r="65" spans="1:9" x14ac:dyDescent="0.3">
      <c r="A65">
        <v>13</v>
      </c>
      <c r="B65" s="168" t="s">
        <v>19</v>
      </c>
      <c r="C65" s="168" t="s">
        <v>10</v>
      </c>
      <c r="D65">
        <v>93.8</v>
      </c>
      <c r="E65">
        <v>2020</v>
      </c>
      <c r="F65" s="168" t="s">
        <v>590</v>
      </c>
      <c r="G65" s="168" t="s">
        <v>611</v>
      </c>
      <c r="H65" s="168" t="s">
        <v>609</v>
      </c>
      <c r="I65">
        <v>39.232580608732384</v>
      </c>
    </row>
    <row r="66" spans="1:9" x14ac:dyDescent="0.3">
      <c r="A66">
        <v>13</v>
      </c>
      <c r="B66" s="168" t="s">
        <v>19</v>
      </c>
      <c r="C66" s="168" t="s">
        <v>10</v>
      </c>
      <c r="D66">
        <v>93.8</v>
      </c>
      <c r="E66">
        <v>2020</v>
      </c>
      <c r="F66" s="168" t="s">
        <v>590</v>
      </c>
      <c r="G66" s="168" t="s">
        <v>613</v>
      </c>
      <c r="H66" s="168" t="s">
        <v>608</v>
      </c>
      <c r="I66">
        <v>3106.3002307635384</v>
      </c>
    </row>
    <row r="67" spans="1:9" x14ac:dyDescent="0.3">
      <c r="A67">
        <v>13</v>
      </c>
      <c r="B67" s="168" t="s">
        <v>19</v>
      </c>
      <c r="C67" s="168" t="s">
        <v>10</v>
      </c>
      <c r="D67">
        <v>93.8</v>
      </c>
      <c r="E67">
        <v>2020</v>
      </c>
      <c r="F67" s="168" t="s">
        <v>590</v>
      </c>
      <c r="G67" s="168" t="s">
        <v>613</v>
      </c>
      <c r="H67" s="168" t="s">
        <v>609</v>
      </c>
      <c r="I67">
        <v>1991.656166415785</v>
      </c>
    </row>
    <row r="68" spans="1:9" x14ac:dyDescent="0.3">
      <c r="A68">
        <v>14</v>
      </c>
      <c r="B68" s="168" t="s">
        <v>20</v>
      </c>
      <c r="C68" s="168" t="s">
        <v>10</v>
      </c>
      <c r="D68">
        <v>53.7</v>
      </c>
      <c r="E68">
        <v>2020</v>
      </c>
      <c r="F68" s="168" t="s">
        <v>590</v>
      </c>
      <c r="G68" s="168" t="s">
        <v>612</v>
      </c>
      <c r="H68" s="168" t="s">
        <v>608</v>
      </c>
      <c r="I68">
        <v>0</v>
      </c>
    </row>
    <row r="69" spans="1:9" x14ac:dyDescent="0.3">
      <c r="A69">
        <v>14</v>
      </c>
      <c r="B69" s="168" t="s">
        <v>20</v>
      </c>
      <c r="C69" s="168" t="s">
        <v>10</v>
      </c>
      <c r="D69">
        <v>53.7</v>
      </c>
      <c r="E69">
        <v>2020</v>
      </c>
      <c r="F69" s="168" t="s">
        <v>590</v>
      </c>
      <c r="G69" s="168" t="s">
        <v>612</v>
      </c>
      <c r="H69" s="168" t="s">
        <v>609</v>
      </c>
      <c r="I69">
        <v>102.84197718164091</v>
      </c>
    </row>
    <row r="70" spans="1:9" x14ac:dyDescent="0.3">
      <c r="A70">
        <v>14</v>
      </c>
      <c r="B70" s="168" t="s">
        <v>20</v>
      </c>
      <c r="C70" s="168" t="s">
        <v>10</v>
      </c>
      <c r="D70">
        <v>53.7</v>
      </c>
      <c r="E70">
        <v>2020</v>
      </c>
      <c r="F70" s="168" t="s">
        <v>590</v>
      </c>
      <c r="G70" s="168" t="s">
        <v>611</v>
      </c>
      <c r="H70" s="168" t="s">
        <v>608</v>
      </c>
      <c r="I70">
        <v>0</v>
      </c>
    </row>
    <row r="71" spans="1:9" x14ac:dyDescent="0.3">
      <c r="A71">
        <v>14</v>
      </c>
      <c r="B71" s="168" t="s">
        <v>20</v>
      </c>
      <c r="C71" s="168" t="s">
        <v>10</v>
      </c>
      <c r="D71">
        <v>53.7</v>
      </c>
      <c r="E71">
        <v>2020</v>
      </c>
      <c r="F71" s="168" t="s">
        <v>590</v>
      </c>
      <c r="G71" s="168" t="s">
        <v>611</v>
      </c>
      <c r="H71" s="168" t="s">
        <v>609</v>
      </c>
      <c r="I71">
        <v>22.460443269604788</v>
      </c>
    </row>
    <row r="72" spans="1:9" x14ac:dyDescent="0.3">
      <c r="A72">
        <v>14</v>
      </c>
      <c r="B72" s="168" t="s">
        <v>20</v>
      </c>
      <c r="C72" s="168" t="s">
        <v>10</v>
      </c>
      <c r="D72">
        <v>53.7</v>
      </c>
      <c r="E72">
        <v>2020</v>
      </c>
      <c r="F72" s="168" t="s">
        <v>590</v>
      </c>
      <c r="G72" s="168" t="s">
        <v>613</v>
      </c>
      <c r="H72" s="168" t="s">
        <v>608</v>
      </c>
      <c r="I72">
        <v>1778.3403240085502</v>
      </c>
    </row>
    <row r="73" spans="1:9" x14ac:dyDescent="0.3">
      <c r="A73">
        <v>14</v>
      </c>
      <c r="B73" s="168" t="s">
        <v>20</v>
      </c>
      <c r="C73" s="168" t="s">
        <v>10</v>
      </c>
      <c r="D73">
        <v>53.7</v>
      </c>
      <c r="E73">
        <v>2020</v>
      </c>
      <c r="F73" s="168" t="s">
        <v>590</v>
      </c>
      <c r="G73" s="168" t="s">
        <v>613</v>
      </c>
      <c r="H73" s="168" t="s">
        <v>609</v>
      </c>
      <c r="I73">
        <v>1140.2125387689516</v>
      </c>
    </row>
    <row r="74" spans="1:9" x14ac:dyDescent="0.3">
      <c r="A74">
        <v>15</v>
      </c>
      <c r="B74" s="168" t="s">
        <v>21</v>
      </c>
      <c r="C74" s="168" t="s">
        <v>12</v>
      </c>
      <c r="D74">
        <v>454.3</v>
      </c>
      <c r="E74">
        <v>2020</v>
      </c>
      <c r="F74" s="168" t="s">
        <v>590</v>
      </c>
      <c r="G74" s="168" t="s">
        <v>612</v>
      </c>
      <c r="H74" s="168" t="s">
        <v>608</v>
      </c>
      <c r="I74">
        <v>0</v>
      </c>
    </row>
    <row r="75" spans="1:9" x14ac:dyDescent="0.3">
      <c r="A75">
        <v>15</v>
      </c>
      <c r="B75" s="168" t="s">
        <v>21</v>
      </c>
      <c r="C75" s="168" t="s">
        <v>12</v>
      </c>
      <c r="D75">
        <v>454.3</v>
      </c>
      <c r="E75">
        <v>2020</v>
      </c>
      <c r="F75" s="168" t="s">
        <v>590</v>
      </c>
      <c r="G75" s="168" t="s">
        <v>612</v>
      </c>
      <c r="H75" s="168" t="s">
        <v>609</v>
      </c>
      <c r="I75">
        <v>870.03929671544631</v>
      </c>
    </row>
    <row r="76" spans="1:9" x14ac:dyDescent="0.3">
      <c r="A76">
        <v>15</v>
      </c>
      <c r="B76" s="168" t="s">
        <v>21</v>
      </c>
      <c r="C76" s="168" t="s">
        <v>12</v>
      </c>
      <c r="D76">
        <v>454.3</v>
      </c>
      <c r="E76">
        <v>2020</v>
      </c>
      <c r="F76" s="168" t="s">
        <v>590</v>
      </c>
      <c r="G76" s="168" t="s">
        <v>611</v>
      </c>
      <c r="H76" s="168" t="s">
        <v>608</v>
      </c>
      <c r="I76">
        <v>0</v>
      </c>
    </row>
    <row r="77" spans="1:9" x14ac:dyDescent="0.3">
      <c r="A77">
        <v>15</v>
      </c>
      <c r="B77" s="168" t="s">
        <v>21</v>
      </c>
      <c r="C77" s="168" t="s">
        <v>12</v>
      </c>
      <c r="D77">
        <v>454.3</v>
      </c>
      <c r="E77">
        <v>2020</v>
      </c>
      <c r="F77" s="168" t="s">
        <v>590</v>
      </c>
      <c r="G77" s="168" t="s">
        <v>611</v>
      </c>
      <c r="H77" s="168" t="s">
        <v>609</v>
      </c>
      <c r="I77">
        <v>190.01451354527848</v>
      </c>
    </row>
    <row r="78" spans="1:9" x14ac:dyDescent="0.3">
      <c r="A78">
        <v>15</v>
      </c>
      <c r="B78" s="168" t="s">
        <v>21</v>
      </c>
      <c r="C78" s="168" t="s">
        <v>12</v>
      </c>
      <c r="D78">
        <v>454.3</v>
      </c>
      <c r="E78">
        <v>2020</v>
      </c>
      <c r="F78" s="168" t="s">
        <v>590</v>
      </c>
      <c r="G78" s="168" t="s">
        <v>613</v>
      </c>
      <c r="H78" s="168" t="s">
        <v>608</v>
      </c>
      <c r="I78">
        <v>15044.692908698033</v>
      </c>
    </row>
    <row r="79" spans="1:9" x14ac:dyDescent="0.3">
      <c r="A79">
        <v>15</v>
      </c>
      <c r="B79" s="168" t="s">
        <v>21</v>
      </c>
      <c r="C79" s="168" t="s">
        <v>12</v>
      </c>
      <c r="D79">
        <v>454.3</v>
      </c>
      <c r="E79">
        <v>2020</v>
      </c>
      <c r="F79" s="168" t="s">
        <v>590</v>
      </c>
      <c r="G79" s="168" t="s">
        <v>613</v>
      </c>
      <c r="H79" s="168" t="s">
        <v>609</v>
      </c>
      <c r="I79">
        <v>9646.1556119689885</v>
      </c>
    </row>
    <row r="80" spans="1:9" x14ac:dyDescent="0.3">
      <c r="A80">
        <v>16</v>
      </c>
      <c r="B80" s="168" t="s">
        <v>22</v>
      </c>
      <c r="C80" s="168" t="s">
        <v>10</v>
      </c>
      <c r="D80">
        <v>91</v>
      </c>
      <c r="E80">
        <v>2020</v>
      </c>
      <c r="F80" s="168" t="s">
        <v>590</v>
      </c>
      <c r="G80" s="168" t="s">
        <v>612</v>
      </c>
      <c r="H80" s="168" t="s">
        <v>608</v>
      </c>
      <c r="I80">
        <v>0</v>
      </c>
    </row>
    <row r="81" spans="1:9" x14ac:dyDescent="0.3">
      <c r="A81">
        <v>16</v>
      </c>
      <c r="B81" s="168" t="s">
        <v>22</v>
      </c>
      <c r="C81" s="168" t="s">
        <v>10</v>
      </c>
      <c r="D81">
        <v>91</v>
      </c>
      <c r="E81">
        <v>2020</v>
      </c>
      <c r="F81" s="168" t="s">
        <v>590</v>
      </c>
      <c r="G81" s="168" t="s">
        <v>612</v>
      </c>
      <c r="H81" s="168" t="s">
        <v>609</v>
      </c>
      <c r="I81">
        <v>174.27597622959632</v>
      </c>
    </row>
    <row r="82" spans="1:9" x14ac:dyDescent="0.3">
      <c r="A82">
        <v>16</v>
      </c>
      <c r="B82" s="168" t="s">
        <v>22</v>
      </c>
      <c r="C82" s="168" t="s">
        <v>10</v>
      </c>
      <c r="D82">
        <v>91</v>
      </c>
      <c r="E82">
        <v>2020</v>
      </c>
      <c r="F82" s="168" t="s">
        <v>590</v>
      </c>
      <c r="G82" s="168" t="s">
        <v>611</v>
      </c>
      <c r="H82" s="168" t="s">
        <v>608</v>
      </c>
      <c r="I82">
        <v>0</v>
      </c>
    </row>
    <row r="83" spans="1:9" x14ac:dyDescent="0.3">
      <c r="A83">
        <v>16</v>
      </c>
      <c r="B83" s="168" t="s">
        <v>22</v>
      </c>
      <c r="C83" s="168" t="s">
        <v>10</v>
      </c>
      <c r="D83">
        <v>91</v>
      </c>
      <c r="E83">
        <v>2020</v>
      </c>
      <c r="F83" s="168" t="s">
        <v>590</v>
      </c>
      <c r="G83" s="168" t="s">
        <v>611</v>
      </c>
      <c r="H83" s="168" t="s">
        <v>609</v>
      </c>
      <c r="I83">
        <v>38.061458799516487</v>
      </c>
    </row>
    <row r="84" spans="1:9" x14ac:dyDescent="0.3">
      <c r="A84">
        <v>16</v>
      </c>
      <c r="B84" s="168" t="s">
        <v>22</v>
      </c>
      <c r="C84" s="168" t="s">
        <v>10</v>
      </c>
      <c r="D84">
        <v>91</v>
      </c>
      <c r="E84">
        <v>2020</v>
      </c>
      <c r="F84" s="168" t="s">
        <v>590</v>
      </c>
      <c r="G84" s="168" t="s">
        <v>613</v>
      </c>
      <c r="H84" s="168" t="s">
        <v>608</v>
      </c>
      <c r="I84">
        <v>3013.5748507407461</v>
      </c>
    </row>
    <row r="85" spans="1:9" x14ac:dyDescent="0.3">
      <c r="A85">
        <v>16</v>
      </c>
      <c r="B85" s="168" t="s">
        <v>22</v>
      </c>
      <c r="C85" s="168" t="s">
        <v>10</v>
      </c>
      <c r="D85">
        <v>91</v>
      </c>
      <c r="E85">
        <v>2020</v>
      </c>
      <c r="F85" s="168" t="s">
        <v>590</v>
      </c>
      <c r="G85" s="168" t="s">
        <v>613</v>
      </c>
      <c r="H85" s="168" t="s">
        <v>609</v>
      </c>
      <c r="I85">
        <v>1932.2037435377019</v>
      </c>
    </row>
    <row r="86" spans="1:9" x14ac:dyDescent="0.3">
      <c r="A86">
        <v>17</v>
      </c>
      <c r="B86" s="168" t="s">
        <v>23</v>
      </c>
      <c r="C86" s="168" t="s">
        <v>12</v>
      </c>
      <c r="D86">
        <v>420.5</v>
      </c>
      <c r="E86">
        <v>2020</v>
      </c>
      <c r="F86" s="168" t="s">
        <v>590</v>
      </c>
      <c r="G86" s="168" t="s">
        <v>612</v>
      </c>
      <c r="H86" s="168" t="s">
        <v>608</v>
      </c>
      <c r="I86">
        <v>0</v>
      </c>
    </row>
    <row r="87" spans="1:9" x14ac:dyDescent="0.3">
      <c r="A87">
        <v>17</v>
      </c>
      <c r="B87" s="168" t="s">
        <v>23</v>
      </c>
      <c r="C87" s="168" t="s">
        <v>12</v>
      </c>
      <c r="D87">
        <v>420.5</v>
      </c>
      <c r="E87">
        <v>2020</v>
      </c>
      <c r="F87" s="168" t="s">
        <v>590</v>
      </c>
      <c r="G87" s="168" t="s">
        <v>612</v>
      </c>
      <c r="H87" s="168" t="s">
        <v>609</v>
      </c>
      <c r="I87">
        <v>805.30821983016756</v>
      </c>
    </row>
    <row r="88" spans="1:9" x14ac:dyDescent="0.3">
      <c r="A88">
        <v>17</v>
      </c>
      <c r="B88" s="168" t="s">
        <v>23</v>
      </c>
      <c r="C88" s="168" t="s">
        <v>12</v>
      </c>
      <c r="D88">
        <v>420.5</v>
      </c>
      <c r="E88">
        <v>2020</v>
      </c>
      <c r="F88" s="168" t="s">
        <v>590</v>
      </c>
      <c r="G88" s="168" t="s">
        <v>614</v>
      </c>
      <c r="H88" s="168" t="s">
        <v>608</v>
      </c>
      <c r="I88">
        <v>0</v>
      </c>
    </row>
    <row r="89" spans="1:9" x14ac:dyDescent="0.3">
      <c r="A89">
        <v>17</v>
      </c>
      <c r="B89" s="168" t="s">
        <v>23</v>
      </c>
      <c r="C89" s="168" t="s">
        <v>12</v>
      </c>
      <c r="D89">
        <v>420.5</v>
      </c>
      <c r="E89">
        <v>2020</v>
      </c>
      <c r="F89" s="168" t="s">
        <v>590</v>
      </c>
      <c r="G89" s="168" t="s">
        <v>614</v>
      </c>
      <c r="H89" s="168" t="s">
        <v>609</v>
      </c>
      <c r="I89">
        <v>30000</v>
      </c>
    </row>
    <row r="90" spans="1:9" x14ac:dyDescent="0.3">
      <c r="A90">
        <v>17</v>
      </c>
      <c r="B90" s="168" t="s">
        <v>23</v>
      </c>
      <c r="C90" s="168" t="s">
        <v>12</v>
      </c>
      <c r="D90">
        <v>420.5</v>
      </c>
      <c r="E90">
        <v>2020</v>
      </c>
      <c r="F90" s="168" t="s">
        <v>590</v>
      </c>
      <c r="G90" s="168" t="s">
        <v>611</v>
      </c>
      <c r="H90" s="168" t="s">
        <v>608</v>
      </c>
      <c r="I90">
        <v>0</v>
      </c>
    </row>
    <row r="91" spans="1:9" x14ac:dyDescent="0.3">
      <c r="A91">
        <v>17</v>
      </c>
      <c r="B91" s="168" t="s">
        <v>23</v>
      </c>
      <c r="C91" s="168" t="s">
        <v>12</v>
      </c>
      <c r="D91">
        <v>420.5</v>
      </c>
      <c r="E91">
        <v>2020</v>
      </c>
      <c r="F91" s="168" t="s">
        <v>590</v>
      </c>
      <c r="G91" s="168" t="s">
        <v>611</v>
      </c>
      <c r="H91" s="168" t="s">
        <v>609</v>
      </c>
      <c r="I91">
        <v>175.87740027688665</v>
      </c>
    </row>
    <row r="92" spans="1:9" x14ac:dyDescent="0.3">
      <c r="A92">
        <v>17</v>
      </c>
      <c r="B92" s="168" t="s">
        <v>23</v>
      </c>
      <c r="C92" s="168" t="s">
        <v>12</v>
      </c>
      <c r="D92">
        <v>420.5</v>
      </c>
      <c r="E92">
        <v>2020</v>
      </c>
      <c r="F92" s="168" t="s">
        <v>590</v>
      </c>
      <c r="G92" s="168" t="s">
        <v>613</v>
      </c>
      <c r="H92" s="168" t="s">
        <v>608</v>
      </c>
      <c r="I92">
        <v>13925.365106994328</v>
      </c>
    </row>
    <row r="93" spans="1:9" x14ac:dyDescent="0.3">
      <c r="A93">
        <v>17</v>
      </c>
      <c r="B93" s="168" t="s">
        <v>23</v>
      </c>
      <c r="C93" s="168" t="s">
        <v>12</v>
      </c>
      <c r="D93">
        <v>420.5</v>
      </c>
      <c r="E93">
        <v>2020</v>
      </c>
      <c r="F93" s="168" t="s">
        <v>590</v>
      </c>
      <c r="G93" s="168" t="s">
        <v>613</v>
      </c>
      <c r="H93" s="168" t="s">
        <v>609</v>
      </c>
      <c r="I93">
        <v>8928.4799357978427</v>
      </c>
    </row>
    <row r="94" spans="1:9" x14ac:dyDescent="0.3">
      <c r="A94">
        <v>18</v>
      </c>
      <c r="B94" s="168" t="s">
        <v>24</v>
      </c>
      <c r="C94" s="168" t="s">
        <v>10</v>
      </c>
      <c r="D94">
        <v>9.8000000000000007</v>
      </c>
      <c r="E94">
        <v>2020</v>
      </c>
      <c r="F94" s="168" t="s">
        <v>590</v>
      </c>
      <c r="G94" s="168" t="s">
        <v>612</v>
      </c>
      <c r="H94" s="168" t="s">
        <v>608</v>
      </c>
      <c r="I94">
        <v>0</v>
      </c>
    </row>
    <row r="95" spans="1:9" x14ac:dyDescent="0.3">
      <c r="A95">
        <v>18</v>
      </c>
      <c r="B95" s="168" t="s">
        <v>24</v>
      </c>
      <c r="C95" s="168" t="s">
        <v>10</v>
      </c>
      <c r="D95">
        <v>9.8000000000000007</v>
      </c>
      <c r="E95">
        <v>2020</v>
      </c>
      <c r="F95" s="168" t="s">
        <v>590</v>
      </c>
      <c r="G95" s="168" t="s">
        <v>612</v>
      </c>
      <c r="H95" s="168" t="s">
        <v>609</v>
      </c>
      <c r="I95">
        <v>18.768182055494989</v>
      </c>
    </row>
    <row r="96" spans="1:9" x14ac:dyDescent="0.3">
      <c r="A96">
        <v>18</v>
      </c>
      <c r="B96" s="168" t="s">
        <v>24</v>
      </c>
      <c r="C96" s="168" t="s">
        <v>10</v>
      </c>
      <c r="D96">
        <v>9.8000000000000007</v>
      </c>
      <c r="E96">
        <v>2020</v>
      </c>
      <c r="F96" s="168" t="s">
        <v>590</v>
      </c>
      <c r="G96" s="168" t="s">
        <v>615</v>
      </c>
      <c r="H96" s="168" t="s">
        <v>608</v>
      </c>
      <c r="I96">
        <v>0</v>
      </c>
    </row>
    <row r="97" spans="1:9" x14ac:dyDescent="0.3">
      <c r="A97">
        <v>18</v>
      </c>
      <c r="B97" s="168" t="s">
        <v>24</v>
      </c>
      <c r="C97" s="168" t="s">
        <v>10</v>
      </c>
      <c r="D97">
        <v>9.8000000000000007</v>
      </c>
      <c r="E97">
        <v>2020</v>
      </c>
      <c r="F97" s="168" t="s">
        <v>590</v>
      </c>
      <c r="G97" s="168" t="s">
        <v>615</v>
      </c>
      <c r="H97" s="168" t="s">
        <v>609</v>
      </c>
      <c r="I97">
        <v>15073.170731707318</v>
      </c>
    </row>
    <row r="98" spans="1:9" x14ac:dyDescent="0.3">
      <c r="A98">
        <v>18</v>
      </c>
      <c r="B98" s="168" t="s">
        <v>24</v>
      </c>
      <c r="C98" s="168" t="s">
        <v>10</v>
      </c>
      <c r="D98">
        <v>9.8000000000000007</v>
      </c>
      <c r="E98">
        <v>2020</v>
      </c>
      <c r="F98" s="168" t="s">
        <v>590</v>
      </c>
      <c r="G98" s="168" t="s">
        <v>611</v>
      </c>
      <c r="H98" s="168" t="s">
        <v>608</v>
      </c>
      <c r="I98">
        <v>0</v>
      </c>
    </row>
    <row r="99" spans="1:9" x14ac:dyDescent="0.3">
      <c r="A99">
        <v>18</v>
      </c>
      <c r="B99" s="168" t="s">
        <v>24</v>
      </c>
      <c r="C99" s="168" t="s">
        <v>10</v>
      </c>
      <c r="D99">
        <v>9.8000000000000007</v>
      </c>
      <c r="E99">
        <v>2020</v>
      </c>
      <c r="F99" s="168" t="s">
        <v>590</v>
      </c>
      <c r="G99" s="168" t="s">
        <v>611</v>
      </c>
      <c r="H99" s="168" t="s">
        <v>609</v>
      </c>
      <c r="I99">
        <v>4.0989263322556226</v>
      </c>
    </row>
    <row r="100" spans="1:9" x14ac:dyDescent="0.3">
      <c r="A100">
        <v>18</v>
      </c>
      <c r="B100" s="168" t="s">
        <v>24</v>
      </c>
      <c r="C100" s="168" t="s">
        <v>10</v>
      </c>
      <c r="D100">
        <v>9.8000000000000007</v>
      </c>
      <c r="E100">
        <v>2020</v>
      </c>
      <c r="F100" s="168" t="s">
        <v>590</v>
      </c>
      <c r="G100" s="168" t="s">
        <v>613</v>
      </c>
      <c r="H100" s="168" t="s">
        <v>608</v>
      </c>
      <c r="I100">
        <v>324.53883007977265</v>
      </c>
    </row>
    <row r="101" spans="1:9" x14ac:dyDescent="0.3">
      <c r="A101">
        <v>18</v>
      </c>
      <c r="B101" s="168" t="s">
        <v>24</v>
      </c>
      <c r="C101" s="168" t="s">
        <v>10</v>
      </c>
      <c r="D101">
        <v>9.8000000000000007</v>
      </c>
      <c r="E101">
        <v>2020</v>
      </c>
      <c r="F101" s="168" t="s">
        <v>590</v>
      </c>
      <c r="G101" s="168" t="s">
        <v>613</v>
      </c>
      <c r="H101" s="168" t="s">
        <v>609</v>
      </c>
      <c r="I101">
        <v>208.08348007329099</v>
      </c>
    </row>
    <row r="102" spans="1:9" x14ac:dyDescent="0.3">
      <c r="A102">
        <v>19</v>
      </c>
      <c r="B102" s="168" t="s">
        <v>25</v>
      </c>
      <c r="C102" s="168" t="s">
        <v>26</v>
      </c>
      <c r="D102">
        <v>441.8</v>
      </c>
      <c r="E102">
        <v>2020</v>
      </c>
      <c r="F102" s="168" t="s">
        <v>590</v>
      </c>
      <c r="G102" s="168" t="s">
        <v>612</v>
      </c>
      <c r="H102" s="168" t="s">
        <v>608</v>
      </c>
      <c r="I102">
        <v>0</v>
      </c>
    </row>
    <row r="103" spans="1:9" x14ac:dyDescent="0.3">
      <c r="A103">
        <v>19</v>
      </c>
      <c r="B103" s="168" t="s">
        <v>25</v>
      </c>
      <c r="C103" s="168" t="s">
        <v>26</v>
      </c>
      <c r="D103">
        <v>441.8</v>
      </c>
      <c r="E103">
        <v>2020</v>
      </c>
      <c r="F103" s="168" t="s">
        <v>590</v>
      </c>
      <c r="G103" s="168" t="s">
        <v>612</v>
      </c>
      <c r="H103" s="168" t="s">
        <v>609</v>
      </c>
      <c r="I103">
        <v>846.10028899160056</v>
      </c>
    </row>
    <row r="104" spans="1:9" x14ac:dyDescent="0.3">
      <c r="A104">
        <v>19</v>
      </c>
      <c r="B104" s="168" t="s">
        <v>25</v>
      </c>
      <c r="C104" s="168" t="s">
        <v>26</v>
      </c>
      <c r="D104">
        <v>441.8</v>
      </c>
      <c r="E104">
        <v>2020</v>
      </c>
      <c r="F104" s="168" t="s">
        <v>590</v>
      </c>
      <c r="G104" s="168" t="s">
        <v>611</v>
      </c>
      <c r="H104" s="168" t="s">
        <v>608</v>
      </c>
      <c r="I104">
        <v>0</v>
      </c>
    </row>
    <row r="105" spans="1:9" x14ac:dyDescent="0.3">
      <c r="A105">
        <v>19</v>
      </c>
      <c r="B105" s="168" t="s">
        <v>25</v>
      </c>
      <c r="C105" s="168" t="s">
        <v>26</v>
      </c>
      <c r="D105">
        <v>441.8</v>
      </c>
      <c r="E105">
        <v>2020</v>
      </c>
      <c r="F105" s="168" t="s">
        <v>590</v>
      </c>
      <c r="G105" s="168" t="s">
        <v>611</v>
      </c>
      <c r="H105" s="168" t="s">
        <v>609</v>
      </c>
      <c r="I105">
        <v>184.78629118270754</v>
      </c>
    </row>
    <row r="106" spans="1:9" x14ac:dyDescent="0.3">
      <c r="A106">
        <v>19</v>
      </c>
      <c r="B106" s="168" t="s">
        <v>25</v>
      </c>
      <c r="C106" s="168" t="s">
        <v>26</v>
      </c>
      <c r="D106">
        <v>441.8</v>
      </c>
      <c r="E106">
        <v>2020</v>
      </c>
      <c r="F106" s="168" t="s">
        <v>590</v>
      </c>
      <c r="G106" s="168" t="s">
        <v>613</v>
      </c>
      <c r="H106" s="168" t="s">
        <v>608</v>
      </c>
      <c r="I106">
        <v>14630.740319310567</v>
      </c>
    </row>
    <row r="107" spans="1:9" x14ac:dyDescent="0.3">
      <c r="A107">
        <v>19</v>
      </c>
      <c r="B107" s="168" t="s">
        <v>25</v>
      </c>
      <c r="C107" s="168" t="s">
        <v>26</v>
      </c>
      <c r="D107">
        <v>441.8</v>
      </c>
      <c r="E107">
        <v>2020</v>
      </c>
      <c r="F107" s="168" t="s">
        <v>590</v>
      </c>
      <c r="G107" s="168" t="s">
        <v>613</v>
      </c>
      <c r="H107" s="168" t="s">
        <v>609</v>
      </c>
      <c r="I107">
        <v>9380.7430098346886</v>
      </c>
    </row>
    <row r="108" spans="1:9" x14ac:dyDescent="0.3">
      <c r="A108">
        <v>20</v>
      </c>
      <c r="B108" s="168" t="s">
        <v>27</v>
      </c>
      <c r="C108" s="168" t="s">
        <v>28</v>
      </c>
      <c r="D108">
        <v>4528.3999999999996</v>
      </c>
      <c r="E108">
        <v>2020</v>
      </c>
      <c r="F108" s="168" t="s">
        <v>592</v>
      </c>
      <c r="G108" s="168" t="s">
        <v>607</v>
      </c>
      <c r="H108" s="168" t="s">
        <v>608</v>
      </c>
      <c r="I108">
        <v>73451.22121333034</v>
      </c>
    </row>
    <row r="109" spans="1:9" x14ac:dyDescent="0.3">
      <c r="A109">
        <v>20</v>
      </c>
      <c r="B109" s="168" t="s">
        <v>27</v>
      </c>
      <c r="C109" s="168" t="s">
        <v>28</v>
      </c>
      <c r="D109">
        <v>4528.3999999999996</v>
      </c>
      <c r="E109">
        <v>2020</v>
      </c>
      <c r="F109" s="168" t="s">
        <v>592</v>
      </c>
      <c r="G109" s="168" t="s">
        <v>607</v>
      </c>
      <c r="H109" s="168" t="s">
        <v>609</v>
      </c>
      <c r="I109">
        <v>543724.50077737519</v>
      </c>
    </row>
    <row r="110" spans="1:9" x14ac:dyDescent="0.3">
      <c r="A110">
        <v>20</v>
      </c>
      <c r="B110" s="168" t="s">
        <v>27</v>
      </c>
      <c r="C110" s="168" t="s">
        <v>28</v>
      </c>
      <c r="D110">
        <v>4528.3999999999996</v>
      </c>
      <c r="E110">
        <v>2020</v>
      </c>
      <c r="F110" s="168" t="s">
        <v>592</v>
      </c>
      <c r="G110" s="168" t="s">
        <v>612</v>
      </c>
      <c r="H110" s="168" t="s">
        <v>608</v>
      </c>
      <c r="I110">
        <v>25207.001450053856</v>
      </c>
    </row>
    <row r="111" spans="1:9" x14ac:dyDescent="0.3">
      <c r="A111">
        <v>20</v>
      </c>
      <c r="B111" s="168" t="s">
        <v>27</v>
      </c>
      <c r="C111" s="168" t="s">
        <v>28</v>
      </c>
      <c r="D111">
        <v>4528.3999999999996</v>
      </c>
      <c r="E111">
        <v>2020</v>
      </c>
      <c r="F111" s="168" t="s">
        <v>592</v>
      </c>
      <c r="G111" s="168" t="s">
        <v>612</v>
      </c>
      <c r="H111" s="168" t="s">
        <v>609</v>
      </c>
      <c r="I111">
        <v>27072.319557357841</v>
      </c>
    </row>
    <row r="112" spans="1:9" x14ac:dyDescent="0.3">
      <c r="A112">
        <v>20</v>
      </c>
      <c r="B112" s="168" t="s">
        <v>27</v>
      </c>
      <c r="C112" s="168" t="s">
        <v>28</v>
      </c>
      <c r="D112">
        <v>4528.3999999999996</v>
      </c>
      <c r="E112">
        <v>2020</v>
      </c>
      <c r="F112" s="168" t="s">
        <v>592</v>
      </c>
      <c r="G112" s="168" t="s">
        <v>616</v>
      </c>
      <c r="H112" s="168" t="s">
        <v>608</v>
      </c>
      <c r="I112">
        <v>0</v>
      </c>
    </row>
    <row r="113" spans="1:9" x14ac:dyDescent="0.3">
      <c r="A113">
        <v>20</v>
      </c>
      <c r="B113" s="168" t="s">
        <v>27</v>
      </c>
      <c r="C113" s="168" t="s">
        <v>28</v>
      </c>
      <c r="D113">
        <v>4528.3999999999996</v>
      </c>
      <c r="E113">
        <v>2020</v>
      </c>
      <c r="F113" s="168" t="s">
        <v>592</v>
      </c>
      <c r="G113" s="168" t="s">
        <v>616</v>
      </c>
      <c r="H113" s="168" t="s">
        <v>609</v>
      </c>
      <c r="I113">
        <v>2980.1011310491226</v>
      </c>
    </row>
    <row r="114" spans="1:9" x14ac:dyDescent="0.3">
      <c r="A114">
        <v>20</v>
      </c>
      <c r="B114" s="168" t="s">
        <v>27</v>
      </c>
      <c r="C114" s="168" t="s">
        <v>28</v>
      </c>
      <c r="D114">
        <v>4528.3999999999996</v>
      </c>
      <c r="E114">
        <v>2020</v>
      </c>
      <c r="F114" s="168" t="s">
        <v>592</v>
      </c>
      <c r="G114" s="168" t="s">
        <v>617</v>
      </c>
      <c r="H114" s="168" t="s">
        <v>608</v>
      </c>
      <c r="I114">
        <v>0</v>
      </c>
    </row>
    <row r="115" spans="1:9" x14ac:dyDescent="0.3">
      <c r="A115">
        <v>20</v>
      </c>
      <c r="B115" s="168" t="s">
        <v>27</v>
      </c>
      <c r="C115" s="168" t="s">
        <v>28</v>
      </c>
      <c r="D115">
        <v>4528.3999999999996</v>
      </c>
      <c r="E115">
        <v>2020</v>
      </c>
      <c r="F115" s="168" t="s">
        <v>592</v>
      </c>
      <c r="G115" s="168" t="s">
        <v>617</v>
      </c>
      <c r="H115" s="168" t="s">
        <v>609</v>
      </c>
      <c r="I115">
        <v>11426.144365413569</v>
      </c>
    </row>
    <row r="116" spans="1:9" x14ac:dyDescent="0.3">
      <c r="A116">
        <v>20</v>
      </c>
      <c r="B116" s="168" t="s">
        <v>27</v>
      </c>
      <c r="C116" s="168" t="s">
        <v>28</v>
      </c>
      <c r="D116">
        <v>4528.3999999999996</v>
      </c>
      <c r="E116">
        <v>2020</v>
      </c>
      <c r="F116" s="168" t="s">
        <v>592</v>
      </c>
      <c r="G116" s="168" t="s">
        <v>618</v>
      </c>
      <c r="H116" s="168" t="s">
        <v>608</v>
      </c>
      <c r="I116">
        <v>0</v>
      </c>
    </row>
    <row r="117" spans="1:9" x14ac:dyDescent="0.3">
      <c r="A117">
        <v>20</v>
      </c>
      <c r="B117" s="168" t="s">
        <v>27</v>
      </c>
      <c r="C117" s="168" t="s">
        <v>28</v>
      </c>
      <c r="D117">
        <v>4528.3999999999996</v>
      </c>
      <c r="E117">
        <v>2020</v>
      </c>
      <c r="F117" s="168" t="s">
        <v>592</v>
      </c>
      <c r="G117" s="168" t="s">
        <v>618</v>
      </c>
      <c r="H117" s="168" t="s">
        <v>609</v>
      </c>
      <c r="I117">
        <v>41000</v>
      </c>
    </row>
    <row r="118" spans="1:9" x14ac:dyDescent="0.3">
      <c r="A118">
        <v>20</v>
      </c>
      <c r="B118" s="168" t="s">
        <v>27</v>
      </c>
      <c r="C118" s="168" t="s">
        <v>28</v>
      </c>
      <c r="D118">
        <v>4528.3999999999996</v>
      </c>
      <c r="E118">
        <v>2020</v>
      </c>
      <c r="F118" s="168" t="s">
        <v>592</v>
      </c>
      <c r="G118" s="168" t="s">
        <v>619</v>
      </c>
      <c r="H118" s="168" t="s">
        <v>608</v>
      </c>
      <c r="I118">
        <v>0</v>
      </c>
    </row>
    <row r="119" spans="1:9" x14ac:dyDescent="0.3">
      <c r="A119">
        <v>20</v>
      </c>
      <c r="B119" s="168" t="s">
        <v>27</v>
      </c>
      <c r="C119" s="168" t="s">
        <v>28</v>
      </c>
      <c r="D119">
        <v>4528.3999999999996</v>
      </c>
      <c r="E119">
        <v>2020</v>
      </c>
      <c r="F119" s="168" t="s">
        <v>592</v>
      </c>
      <c r="G119" s="168" t="s">
        <v>619</v>
      </c>
      <c r="H119" s="168" t="s">
        <v>609</v>
      </c>
      <c r="I119">
        <v>16000</v>
      </c>
    </row>
    <row r="120" spans="1:9" x14ac:dyDescent="0.3">
      <c r="A120">
        <v>20</v>
      </c>
      <c r="B120" s="168" t="s">
        <v>27</v>
      </c>
      <c r="C120" s="168" t="s">
        <v>28</v>
      </c>
      <c r="D120">
        <v>4528.3999999999996</v>
      </c>
      <c r="E120">
        <v>2020</v>
      </c>
      <c r="F120" s="168" t="s">
        <v>592</v>
      </c>
      <c r="G120" s="168" t="s">
        <v>610</v>
      </c>
      <c r="H120" s="168" t="s">
        <v>608</v>
      </c>
      <c r="I120">
        <v>0</v>
      </c>
    </row>
    <row r="121" spans="1:9" x14ac:dyDescent="0.3">
      <c r="A121">
        <v>20</v>
      </c>
      <c r="B121" s="168" t="s">
        <v>27</v>
      </c>
      <c r="C121" s="168" t="s">
        <v>28</v>
      </c>
      <c r="D121">
        <v>4528.3999999999996</v>
      </c>
      <c r="E121">
        <v>2020</v>
      </c>
      <c r="F121" s="168" t="s">
        <v>592</v>
      </c>
      <c r="G121" s="168" t="s">
        <v>610</v>
      </c>
      <c r="H121" s="168" t="s">
        <v>609</v>
      </c>
      <c r="I121">
        <v>6545.454545454545</v>
      </c>
    </row>
    <row r="122" spans="1:9" x14ac:dyDescent="0.3">
      <c r="A122">
        <v>20</v>
      </c>
      <c r="B122" s="168" t="s">
        <v>27</v>
      </c>
      <c r="C122" s="168" t="s">
        <v>28</v>
      </c>
      <c r="D122">
        <v>4528.3999999999996</v>
      </c>
      <c r="E122">
        <v>2020</v>
      </c>
      <c r="F122" s="168" t="s">
        <v>592</v>
      </c>
      <c r="G122" s="168" t="s">
        <v>620</v>
      </c>
      <c r="H122" s="168" t="s">
        <v>608</v>
      </c>
      <c r="I122">
        <v>20379.761552049386</v>
      </c>
    </row>
    <row r="123" spans="1:9" x14ac:dyDescent="0.3">
      <c r="A123">
        <v>20</v>
      </c>
      <c r="B123" s="168" t="s">
        <v>27</v>
      </c>
      <c r="C123" s="168" t="s">
        <v>28</v>
      </c>
      <c r="D123">
        <v>4528.3999999999996</v>
      </c>
      <c r="E123">
        <v>2020</v>
      </c>
      <c r="F123" s="168" t="s">
        <v>592</v>
      </c>
      <c r="G123" s="168" t="s">
        <v>620</v>
      </c>
      <c r="H123" s="168" t="s">
        <v>609</v>
      </c>
      <c r="I123">
        <v>2207.8075014720166</v>
      </c>
    </row>
    <row r="124" spans="1:9" x14ac:dyDescent="0.3">
      <c r="A124">
        <v>20</v>
      </c>
      <c r="B124" s="168" t="s">
        <v>27</v>
      </c>
      <c r="C124" s="168" t="s">
        <v>28</v>
      </c>
      <c r="D124">
        <v>4528.3999999999996</v>
      </c>
      <c r="E124">
        <v>2020</v>
      </c>
      <c r="F124" s="168" t="s">
        <v>592</v>
      </c>
      <c r="G124" s="168" t="s">
        <v>633</v>
      </c>
      <c r="H124" s="168" t="s">
        <v>608</v>
      </c>
      <c r="I124">
        <v>24515.383921320943</v>
      </c>
    </row>
    <row r="125" spans="1:9" x14ac:dyDescent="0.3">
      <c r="A125">
        <v>20</v>
      </c>
      <c r="B125" s="168" t="s">
        <v>27</v>
      </c>
      <c r="C125" s="168" t="s">
        <v>28</v>
      </c>
      <c r="D125">
        <v>4528.3999999999996</v>
      </c>
      <c r="E125">
        <v>2020</v>
      </c>
      <c r="F125" s="168" t="s">
        <v>592</v>
      </c>
      <c r="G125" s="168" t="s">
        <v>633</v>
      </c>
      <c r="H125" s="168" t="s">
        <v>609</v>
      </c>
      <c r="I125">
        <v>11810.956371103519</v>
      </c>
    </row>
    <row r="126" spans="1:9" x14ac:dyDescent="0.3">
      <c r="A126">
        <v>20</v>
      </c>
      <c r="B126" s="168" t="s">
        <v>27</v>
      </c>
      <c r="C126" s="168" t="s">
        <v>28</v>
      </c>
      <c r="D126">
        <v>4528.3999999999996</v>
      </c>
      <c r="E126">
        <v>2020</v>
      </c>
      <c r="F126" s="168" t="s">
        <v>592</v>
      </c>
      <c r="G126" s="168" t="s">
        <v>611</v>
      </c>
      <c r="H126" s="168" t="s">
        <v>608</v>
      </c>
      <c r="I126">
        <v>0</v>
      </c>
    </row>
    <row r="127" spans="1:9" x14ac:dyDescent="0.3">
      <c r="A127">
        <v>20</v>
      </c>
      <c r="B127" s="168" t="s">
        <v>27</v>
      </c>
      <c r="C127" s="168" t="s">
        <v>28</v>
      </c>
      <c r="D127">
        <v>4528.3999999999996</v>
      </c>
      <c r="E127">
        <v>2020</v>
      </c>
      <c r="F127" s="168" t="s">
        <v>592</v>
      </c>
      <c r="G127" s="168" t="s">
        <v>611</v>
      </c>
      <c r="H127" s="168" t="s">
        <v>609</v>
      </c>
      <c r="I127">
        <v>7010</v>
      </c>
    </row>
    <row r="128" spans="1:9" x14ac:dyDescent="0.3">
      <c r="A128">
        <v>20</v>
      </c>
      <c r="B128" s="168" t="s">
        <v>27</v>
      </c>
      <c r="C128" s="168" t="s">
        <v>28</v>
      </c>
      <c r="D128">
        <v>4528.3999999999996</v>
      </c>
      <c r="E128">
        <v>2020</v>
      </c>
      <c r="F128" s="168" t="s">
        <v>592</v>
      </c>
      <c r="G128" s="168" t="s">
        <v>621</v>
      </c>
      <c r="H128" s="168" t="s">
        <v>608</v>
      </c>
      <c r="I128">
        <v>0</v>
      </c>
    </row>
    <row r="129" spans="1:9" x14ac:dyDescent="0.3">
      <c r="A129">
        <v>20</v>
      </c>
      <c r="B129" s="168" t="s">
        <v>27</v>
      </c>
      <c r="C129" s="168" t="s">
        <v>28</v>
      </c>
      <c r="D129">
        <v>4528.3999999999996</v>
      </c>
      <c r="E129">
        <v>2020</v>
      </c>
      <c r="F129" s="168" t="s">
        <v>592</v>
      </c>
      <c r="G129" s="168" t="s">
        <v>621</v>
      </c>
      <c r="H129" s="168" t="s">
        <v>609</v>
      </c>
      <c r="I129">
        <v>460983.03281321691</v>
      </c>
    </row>
    <row r="130" spans="1:9" x14ac:dyDescent="0.3">
      <c r="A130">
        <v>20</v>
      </c>
      <c r="B130" s="168" t="s">
        <v>27</v>
      </c>
      <c r="C130" s="168" t="s">
        <v>28</v>
      </c>
      <c r="D130">
        <v>4528.3999999999996</v>
      </c>
      <c r="E130">
        <v>2020</v>
      </c>
      <c r="F130" s="168" t="s">
        <v>592</v>
      </c>
      <c r="G130" s="168" t="s">
        <v>613</v>
      </c>
      <c r="H130" s="168" t="s">
        <v>608</v>
      </c>
      <c r="I130">
        <v>12823.061348737769</v>
      </c>
    </row>
    <row r="131" spans="1:9" x14ac:dyDescent="0.3">
      <c r="A131">
        <v>20</v>
      </c>
      <c r="B131" s="168" t="s">
        <v>27</v>
      </c>
      <c r="C131" s="168" t="s">
        <v>28</v>
      </c>
      <c r="D131">
        <v>4528.3999999999996</v>
      </c>
      <c r="E131">
        <v>2020</v>
      </c>
      <c r="F131" s="168" t="s">
        <v>592</v>
      </c>
      <c r="G131" s="168" t="s">
        <v>613</v>
      </c>
      <c r="H131" s="168" t="s">
        <v>609</v>
      </c>
      <c r="I131">
        <v>281466.19660479401</v>
      </c>
    </row>
    <row r="132" spans="1:9" x14ac:dyDescent="0.3">
      <c r="A132">
        <v>20</v>
      </c>
      <c r="B132" s="168" t="s">
        <v>27</v>
      </c>
      <c r="C132" s="168" t="s">
        <v>28</v>
      </c>
      <c r="D132">
        <v>4528.3999999999996</v>
      </c>
      <c r="E132">
        <v>2020</v>
      </c>
      <c r="F132" s="168" t="s">
        <v>592</v>
      </c>
      <c r="G132" s="168" t="s">
        <v>622</v>
      </c>
      <c r="H132" s="168" t="s">
        <v>608</v>
      </c>
      <c r="I132">
        <v>50483.343475403446</v>
      </c>
    </row>
    <row r="133" spans="1:9" x14ac:dyDescent="0.3">
      <c r="A133">
        <v>20</v>
      </c>
      <c r="B133" s="168" t="s">
        <v>27</v>
      </c>
      <c r="C133" s="168" t="s">
        <v>28</v>
      </c>
      <c r="D133">
        <v>4528.3999999999996</v>
      </c>
      <c r="E133">
        <v>2020</v>
      </c>
      <c r="F133" s="168" t="s">
        <v>592</v>
      </c>
      <c r="G133" s="168" t="s">
        <v>622</v>
      </c>
      <c r="H133" s="168" t="s">
        <v>609</v>
      </c>
      <c r="I133">
        <v>0</v>
      </c>
    </row>
    <row r="134" spans="1:9" x14ac:dyDescent="0.3">
      <c r="A134">
        <v>21</v>
      </c>
      <c r="B134" s="168" t="s">
        <v>27</v>
      </c>
      <c r="C134" s="168" t="s">
        <v>29</v>
      </c>
      <c r="D134">
        <v>4779.7</v>
      </c>
      <c r="E134">
        <v>2020</v>
      </c>
      <c r="F134" s="168" t="s">
        <v>592</v>
      </c>
      <c r="G134" s="168" t="s">
        <v>607</v>
      </c>
      <c r="H134" s="168" t="s">
        <v>608</v>
      </c>
      <c r="I134">
        <v>77527.339023353736</v>
      </c>
    </row>
    <row r="135" spans="1:9" x14ac:dyDescent="0.3">
      <c r="A135">
        <v>21</v>
      </c>
      <c r="B135" s="168" t="s">
        <v>27</v>
      </c>
      <c r="C135" s="168" t="s">
        <v>29</v>
      </c>
      <c r="D135">
        <v>4779.7</v>
      </c>
      <c r="E135">
        <v>2020</v>
      </c>
      <c r="F135" s="168" t="s">
        <v>592</v>
      </c>
      <c r="G135" s="168" t="s">
        <v>607</v>
      </c>
      <c r="H135" s="168" t="s">
        <v>609</v>
      </c>
      <c r="I135">
        <v>573898.06473933824</v>
      </c>
    </row>
    <row r="136" spans="1:9" x14ac:dyDescent="0.3">
      <c r="A136">
        <v>21</v>
      </c>
      <c r="B136" s="168" t="s">
        <v>27</v>
      </c>
      <c r="C136" s="168" t="s">
        <v>29</v>
      </c>
      <c r="D136">
        <v>4779.7</v>
      </c>
      <c r="E136">
        <v>2020</v>
      </c>
      <c r="F136" s="168" t="s">
        <v>592</v>
      </c>
      <c r="G136" s="168" t="s">
        <v>612</v>
      </c>
      <c r="H136" s="168" t="s">
        <v>608</v>
      </c>
      <c r="I136">
        <v>26605.844190182495</v>
      </c>
    </row>
    <row r="137" spans="1:9" x14ac:dyDescent="0.3">
      <c r="A137">
        <v>21</v>
      </c>
      <c r="B137" s="168" t="s">
        <v>27</v>
      </c>
      <c r="C137" s="168" t="s">
        <v>29</v>
      </c>
      <c r="D137">
        <v>4779.7</v>
      </c>
      <c r="E137">
        <v>2020</v>
      </c>
      <c r="F137" s="168" t="s">
        <v>592</v>
      </c>
      <c r="G137" s="168" t="s">
        <v>612</v>
      </c>
      <c r="H137" s="168" t="s">
        <v>609</v>
      </c>
      <c r="I137">
        <v>28574.676660256002</v>
      </c>
    </row>
    <row r="138" spans="1:9" x14ac:dyDescent="0.3">
      <c r="A138">
        <v>21</v>
      </c>
      <c r="B138" s="168" t="s">
        <v>27</v>
      </c>
      <c r="C138" s="168" t="s">
        <v>29</v>
      </c>
      <c r="D138">
        <v>4779.7</v>
      </c>
      <c r="E138">
        <v>2020</v>
      </c>
      <c r="F138" s="168" t="s">
        <v>592</v>
      </c>
      <c r="G138" s="168" t="s">
        <v>617</v>
      </c>
      <c r="H138" s="168" t="s">
        <v>608</v>
      </c>
      <c r="I138">
        <v>0</v>
      </c>
    </row>
    <row r="139" spans="1:9" x14ac:dyDescent="0.3">
      <c r="A139">
        <v>21</v>
      </c>
      <c r="B139" s="168" t="s">
        <v>27</v>
      </c>
      <c r="C139" s="168" t="s">
        <v>29</v>
      </c>
      <c r="D139">
        <v>4779.7</v>
      </c>
      <c r="E139">
        <v>2020</v>
      </c>
      <c r="F139" s="168" t="s">
        <v>592</v>
      </c>
      <c r="G139" s="168" t="s">
        <v>617</v>
      </c>
      <c r="H139" s="168" t="s">
        <v>609</v>
      </c>
      <c r="I139">
        <v>6704.6727359259885</v>
      </c>
    </row>
    <row r="140" spans="1:9" x14ac:dyDescent="0.3">
      <c r="A140">
        <v>21</v>
      </c>
      <c r="B140" s="168" t="s">
        <v>27</v>
      </c>
      <c r="C140" s="168" t="s">
        <v>29</v>
      </c>
      <c r="D140">
        <v>4779.7</v>
      </c>
      <c r="E140">
        <v>2020</v>
      </c>
      <c r="F140" s="168" t="s">
        <v>592</v>
      </c>
      <c r="G140" s="168" t="s">
        <v>610</v>
      </c>
      <c r="H140" s="168" t="s">
        <v>608</v>
      </c>
      <c r="I140">
        <v>0</v>
      </c>
    </row>
    <row r="141" spans="1:9" x14ac:dyDescent="0.3">
      <c r="A141">
        <v>21</v>
      </c>
      <c r="B141" s="168" t="s">
        <v>27</v>
      </c>
      <c r="C141" s="168" t="s">
        <v>29</v>
      </c>
      <c r="D141">
        <v>4779.7</v>
      </c>
      <c r="E141">
        <v>2020</v>
      </c>
      <c r="F141" s="168" t="s">
        <v>592</v>
      </c>
      <c r="G141" s="168" t="s">
        <v>610</v>
      </c>
      <c r="H141" s="168" t="s">
        <v>609</v>
      </c>
      <c r="I141">
        <v>3272.7272727272725</v>
      </c>
    </row>
    <row r="142" spans="1:9" x14ac:dyDescent="0.3">
      <c r="A142">
        <v>21</v>
      </c>
      <c r="B142" s="168" t="s">
        <v>27</v>
      </c>
      <c r="C142" s="168" t="s">
        <v>29</v>
      </c>
      <c r="D142">
        <v>4779.7</v>
      </c>
      <c r="E142">
        <v>2020</v>
      </c>
      <c r="F142" s="168" t="s">
        <v>592</v>
      </c>
      <c r="G142" s="168" t="s">
        <v>620</v>
      </c>
      <c r="H142" s="168" t="s">
        <v>608</v>
      </c>
      <c r="I142">
        <v>21510.720406839158</v>
      </c>
    </row>
    <row r="143" spans="1:9" x14ac:dyDescent="0.3">
      <c r="A143">
        <v>21</v>
      </c>
      <c r="B143" s="168" t="s">
        <v>27</v>
      </c>
      <c r="C143" s="168" t="s">
        <v>29</v>
      </c>
      <c r="D143">
        <v>4779.7</v>
      </c>
      <c r="E143">
        <v>2020</v>
      </c>
      <c r="F143" s="168" t="s">
        <v>592</v>
      </c>
      <c r="G143" s="168" t="s">
        <v>620</v>
      </c>
      <c r="H143" s="168" t="s">
        <v>609</v>
      </c>
      <c r="I143">
        <v>2330.3280440742424</v>
      </c>
    </row>
    <row r="144" spans="1:9" x14ac:dyDescent="0.3">
      <c r="A144">
        <v>21</v>
      </c>
      <c r="B144" s="168" t="s">
        <v>27</v>
      </c>
      <c r="C144" s="168" t="s">
        <v>29</v>
      </c>
      <c r="D144">
        <v>4779.7</v>
      </c>
      <c r="E144">
        <v>2020</v>
      </c>
      <c r="F144" s="168" t="s">
        <v>592</v>
      </c>
      <c r="G144" s="168" t="s">
        <v>633</v>
      </c>
      <c r="H144" s="168" t="s">
        <v>608</v>
      </c>
      <c r="I144">
        <v>0</v>
      </c>
    </row>
    <row r="145" spans="1:9" x14ac:dyDescent="0.3">
      <c r="A145">
        <v>21</v>
      </c>
      <c r="B145" s="168" t="s">
        <v>27</v>
      </c>
      <c r="C145" s="168" t="s">
        <v>29</v>
      </c>
      <c r="D145">
        <v>4779.7</v>
      </c>
      <c r="E145">
        <v>2020</v>
      </c>
      <c r="F145" s="168" t="s">
        <v>592</v>
      </c>
      <c r="G145" s="168" t="s">
        <v>633</v>
      </c>
      <c r="H145" s="168" t="s">
        <v>609</v>
      </c>
      <c r="I145">
        <v>12466.396114955282</v>
      </c>
    </row>
    <row r="146" spans="1:9" x14ac:dyDescent="0.3">
      <c r="A146">
        <v>21</v>
      </c>
      <c r="B146" s="168" t="s">
        <v>27</v>
      </c>
      <c r="C146" s="168" t="s">
        <v>29</v>
      </c>
      <c r="D146">
        <v>4779.7</v>
      </c>
      <c r="E146">
        <v>2020</v>
      </c>
      <c r="F146" s="168" t="s">
        <v>592</v>
      </c>
      <c r="G146" s="168" t="s">
        <v>611</v>
      </c>
      <c r="H146" s="168" t="s">
        <v>608</v>
      </c>
      <c r="I146">
        <v>0</v>
      </c>
    </row>
    <row r="147" spans="1:9" x14ac:dyDescent="0.3">
      <c r="A147">
        <v>21</v>
      </c>
      <c r="B147" s="168" t="s">
        <v>27</v>
      </c>
      <c r="C147" s="168" t="s">
        <v>29</v>
      </c>
      <c r="D147">
        <v>4779.7</v>
      </c>
      <c r="E147">
        <v>2020</v>
      </c>
      <c r="F147" s="168" t="s">
        <v>592</v>
      </c>
      <c r="G147" s="168" t="s">
        <v>611</v>
      </c>
      <c r="H147" s="168" t="s">
        <v>609</v>
      </c>
      <c r="I147">
        <v>7010</v>
      </c>
    </row>
    <row r="148" spans="1:9" x14ac:dyDescent="0.3">
      <c r="A148">
        <v>21</v>
      </c>
      <c r="B148" s="168" t="s">
        <v>27</v>
      </c>
      <c r="C148" s="168" t="s">
        <v>29</v>
      </c>
      <c r="D148">
        <v>4779.7</v>
      </c>
      <c r="E148">
        <v>2020</v>
      </c>
      <c r="F148" s="168" t="s">
        <v>592</v>
      </c>
      <c r="G148" s="168" t="s">
        <v>613</v>
      </c>
      <c r="H148" s="168" t="s">
        <v>608</v>
      </c>
      <c r="I148">
        <v>13534.667063104391</v>
      </c>
    </row>
    <row r="149" spans="1:9" x14ac:dyDescent="0.3">
      <c r="A149">
        <v>21</v>
      </c>
      <c r="B149" s="168" t="s">
        <v>27</v>
      </c>
      <c r="C149" s="168" t="s">
        <v>29</v>
      </c>
      <c r="D149">
        <v>4779.7</v>
      </c>
      <c r="E149">
        <v>2020</v>
      </c>
      <c r="F149" s="168" t="s">
        <v>592</v>
      </c>
      <c r="G149" s="168" t="s">
        <v>613</v>
      </c>
      <c r="H149" s="168" t="s">
        <v>609</v>
      </c>
      <c r="I149">
        <v>297085.9420351414</v>
      </c>
    </row>
    <row r="150" spans="1:9" x14ac:dyDescent="0.3">
      <c r="A150">
        <v>21</v>
      </c>
      <c r="B150" s="168" t="s">
        <v>27</v>
      </c>
      <c r="C150" s="168" t="s">
        <v>29</v>
      </c>
      <c r="D150">
        <v>4779.7</v>
      </c>
      <c r="E150">
        <v>2020</v>
      </c>
      <c r="F150" s="168" t="s">
        <v>592</v>
      </c>
      <c r="G150" s="168" t="s">
        <v>622</v>
      </c>
      <c r="H150" s="168" t="s">
        <v>608</v>
      </c>
      <c r="I150">
        <v>53284.876956405322</v>
      </c>
    </row>
    <row r="151" spans="1:9" x14ac:dyDescent="0.3">
      <c r="A151">
        <v>21</v>
      </c>
      <c r="B151" s="168" t="s">
        <v>27</v>
      </c>
      <c r="C151" s="168" t="s">
        <v>29</v>
      </c>
      <c r="D151">
        <v>4779.7</v>
      </c>
      <c r="E151">
        <v>2020</v>
      </c>
      <c r="F151" s="168" t="s">
        <v>592</v>
      </c>
      <c r="G151" s="168" t="s">
        <v>622</v>
      </c>
      <c r="H151" s="168" t="s">
        <v>609</v>
      </c>
      <c r="I151">
        <v>0</v>
      </c>
    </row>
    <row r="152" spans="1:9" x14ac:dyDescent="0.3">
      <c r="A152">
        <v>22</v>
      </c>
      <c r="B152" s="168" t="s">
        <v>30</v>
      </c>
      <c r="C152" s="168" t="s">
        <v>31</v>
      </c>
      <c r="D152">
        <v>3918.8</v>
      </c>
      <c r="E152">
        <v>2020</v>
      </c>
      <c r="F152" s="168" t="s">
        <v>591</v>
      </c>
      <c r="G152" s="168" t="s">
        <v>607</v>
      </c>
      <c r="H152" s="168" t="s">
        <v>608</v>
      </c>
      <c r="I152">
        <v>63563.432049023708</v>
      </c>
    </row>
    <row r="153" spans="1:9" x14ac:dyDescent="0.3">
      <c r="A153">
        <v>22</v>
      </c>
      <c r="B153" s="168" t="s">
        <v>30</v>
      </c>
      <c r="C153" s="168" t="s">
        <v>31</v>
      </c>
      <c r="D153">
        <v>3918.8</v>
      </c>
      <c r="E153">
        <v>2020</v>
      </c>
      <c r="F153" s="168" t="s">
        <v>591</v>
      </c>
      <c r="G153" s="168" t="s">
        <v>607</v>
      </c>
      <c r="H153" s="168" t="s">
        <v>609</v>
      </c>
      <c r="I153">
        <v>470529.89436586323</v>
      </c>
    </row>
    <row r="154" spans="1:9" x14ac:dyDescent="0.3">
      <c r="A154">
        <v>22</v>
      </c>
      <c r="B154" s="168" t="s">
        <v>30</v>
      </c>
      <c r="C154" s="168" t="s">
        <v>31</v>
      </c>
      <c r="D154">
        <v>3918.8</v>
      </c>
      <c r="E154">
        <v>2020</v>
      </c>
      <c r="F154" s="168" t="s">
        <v>591</v>
      </c>
      <c r="G154" s="168" t="s">
        <v>612</v>
      </c>
      <c r="H154" s="168" t="s">
        <v>608</v>
      </c>
      <c r="I154">
        <v>21813.708436196241</v>
      </c>
    </row>
    <row r="155" spans="1:9" x14ac:dyDescent="0.3">
      <c r="A155">
        <v>22</v>
      </c>
      <c r="B155" s="168" t="s">
        <v>30</v>
      </c>
      <c r="C155" s="168" t="s">
        <v>31</v>
      </c>
      <c r="D155">
        <v>3918.8</v>
      </c>
      <c r="E155">
        <v>2020</v>
      </c>
      <c r="F155" s="168" t="s">
        <v>591</v>
      </c>
      <c r="G155" s="168" t="s">
        <v>612</v>
      </c>
      <c r="H155" s="168" t="s">
        <v>609</v>
      </c>
      <c r="I155">
        <v>23427.922860474762</v>
      </c>
    </row>
    <row r="156" spans="1:9" x14ac:dyDescent="0.3">
      <c r="A156">
        <v>22</v>
      </c>
      <c r="B156" s="168" t="s">
        <v>30</v>
      </c>
      <c r="C156" s="168" t="s">
        <v>31</v>
      </c>
      <c r="D156">
        <v>3918.8</v>
      </c>
      <c r="E156">
        <v>2020</v>
      </c>
      <c r="F156" s="168" t="s">
        <v>591</v>
      </c>
      <c r="G156" s="168" t="s">
        <v>616</v>
      </c>
      <c r="H156" s="168" t="s">
        <v>608</v>
      </c>
      <c r="I156">
        <v>0</v>
      </c>
    </row>
    <row r="157" spans="1:9" x14ac:dyDescent="0.3">
      <c r="A157">
        <v>22</v>
      </c>
      <c r="B157" s="168" t="s">
        <v>30</v>
      </c>
      <c r="C157" s="168" t="s">
        <v>31</v>
      </c>
      <c r="D157">
        <v>3918.8</v>
      </c>
      <c r="E157">
        <v>2020</v>
      </c>
      <c r="F157" s="168" t="s">
        <v>591</v>
      </c>
      <c r="G157" s="168" t="s">
        <v>616</v>
      </c>
      <c r="H157" s="168" t="s">
        <v>609</v>
      </c>
      <c r="I157">
        <v>29031.243490663041</v>
      </c>
    </row>
    <row r="158" spans="1:9" x14ac:dyDescent="0.3">
      <c r="A158">
        <v>22</v>
      </c>
      <c r="B158" s="168" t="s">
        <v>30</v>
      </c>
      <c r="C158" s="168" t="s">
        <v>31</v>
      </c>
      <c r="D158">
        <v>3918.8</v>
      </c>
      <c r="E158">
        <v>2020</v>
      </c>
      <c r="F158" s="168" t="s">
        <v>591</v>
      </c>
      <c r="G158" s="168" t="s">
        <v>617</v>
      </c>
      <c r="H158" s="168" t="s">
        <v>608</v>
      </c>
      <c r="I158">
        <v>0</v>
      </c>
    </row>
    <row r="159" spans="1:9" x14ac:dyDescent="0.3">
      <c r="A159">
        <v>22</v>
      </c>
      <c r="B159" s="168" t="s">
        <v>30</v>
      </c>
      <c r="C159" s="168" t="s">
        <v>31</v>
      </c>
      <c r="D159">
        <v>3918.8</v>
      </c>
      <c r="E159">
        <v>2020</v>
      </c>
      <c r="F159" s="168" t="s">
        <v>591</v>
      </c>
      <c r="G159" s="168" t="s">
        <v>617</v>
      </c>
      <c r="H159" s="168" t="s">
        <v>609</v>
      </c>
      <c r="I159">
        <v>5497.0545259214532</v>
      </c>
    </row>
    <row r="160" spans="1:9" x14ac:dyDescent="0.3">
      <c r="A160">
        <v>22</v>
      </c>
      <c r="B160" s="168" t="s">
        <v>30</v>
      </c>
      <c r="C160" s="168" t="s">
        <v>31</v>
      </c>
      <c r="D160">
        <v>3918.8</v>
      </c>
      <c r="E160">
        <v>2020</v>
      </c>
      <c r="F160" s="168" t="s">
        <v>591</v>
      </c>
      <c r="G160" s="168" t="s">
        <v>610</v>
      </c>
      <c r="H160" s="168" t="s">
        <v>608</v>
      </c>
      <c r="I160">
        <v>0</v>
      </c>
    </row>
    <row r="161" spans="1:9" x14ac:dyDescent="0.3">
      <c r="A161">
        <v>22</v>
      </c>
      <c r="B161" s="168" t="s">
        <v>30</v>
      </c>
      <c r="C161" s="168" t="s">
        <v>31</v>
      </c>
      <c r="D161">
        <v>3918.8</v>
      </c>
      <c r="E161">
        <v>2020</v>
      </c>
      <c r="F161" s="168" t="s">
        <v>591</v>
      </c>
      <c r="G161" s="168" t="s">
        <v>610</v>
      </c>
      <c r="H161" s="168" t="s">
        <v>609</v>
      </c>
      <c r="I161">
        <v>6545.454545454545</v>
      </c>
    </row>
    <row r="162" spans="1:9" x14ac:dyDescent="0.3">
      <c r="A162">
        <v>22</v>
      </c>
      <c r="B162" s="168" t="s">
        <v>30</v>
      </c>
      <c r="C162" s="168" t="s">
        <v>31</v>
      </c>
      <c r="D162">
        <v>3918.8</v>
      </c>
      <c r="E162">
        <v>2020</v>
      </c>
      <c r="F162" s="168" t="s">
        <v>591</v>
      </c>
      <c r="G162" s="168" t="s">
        <v>633</v>
      </c>
      <c r="H162" s="168" t="s">
        <v>608</v>
      </c>
      <c r="I162">
        <v>0</v>
      </c>
    </row>
    <row r="163" spans="1:9" x14ac:dyDescent="0.3">
      <c r="A163">
        <v>22</v>
      </c>
      <c r="B163" s="168" t="s">
        <v>30</v>
      </c>
      <c r="C163" s="168" t="s">
        <v>31</v>
      </c>
      <c r="D163">
        <v>3918.8</v>
      </c>
      <c r="E163">
        <v>2020</v>
      </c>
      <c r="F163" s="168" t="s">
        <v>591</v>
      </c>
      <c r="G163" s="168" t="s">
        <v>633</v>
      </c>
      <c r="H163" s="168" t="s">
        <v>609</v>
      </c>
      <c r="I163">
        <v>10220.999873483011</v>
      </c>
    </row>
    <row r="164" spans="1:9" x14ac:dyDescent="0.3">
      <c r="A164">
        <v>22</v>
      </c>
      <c r="B164" s="168" t="s">
        <v>30</v>
      </c>
      <c r="C164" s="168" t="s">
        <v>31</v>
      </c>
      <c r="D164">
        <v>3918.8</v>
      </c>
      <c r="E164">
        <v>2020</v>
      </c>
      <c r="F164" s="168" t="s">
        <v>591</v>
      </c>
      <c r="G164" s="168" t="s">
        <v>623</v>
      </c>
      <c r="H164" s="168" t="s">
        <v>608</v>
      </c>
      <c r="I164">
        <v>81466.7</v>
      </c>
    </row>
    <row r="165" spans="1:9" x14ac:dyDescent="0.3">
      <c r="A165">
        <v>22</v>
      </c>
      <c r="B165" s="168" t="s">
        <v>30</v>
      </c>
      <c r="C165" s="168" t="s">
        <v>31</v>
      </c>
      <c r="D165">
        <v>3918.8</v>
      </c>
      <c r="E165">
        <v>2020</v>
      </c>
      <c r="F165" s="168" t="s">
        <v>591</v>
      </c>
      <c r="G165" s="168" t="s">
        <v>623</v>
      </c>
      <c r="H165" s="168" t="s">
        <v>609</v>
      </c>
      <c r="I165">
        <v>16293.34</v>
      </c>
    </row>
    <row r="166" spans="1:9" x14ac:dyDescent="0.3">
      <c r="A166">
        <v>22</v>
      </c>
      <c r="B166" s="168" t="s">
        <v>30</v>
      </c>
      <c r="C166" s="168" t="s">
        <v>31</v>
      </c>
      <c r="D166">
        <v>3918.8</v>
      </c>
      <c r="E166">
        <v>2020</v>
      </c>
      <c r="F166" s="168" t="s">
        <v>591</v>
      </c>
      <c r="G166" s="168" t="s">
        <v>613</v>
      </c>
      <c r="H166" s="168" t="s">
        <v>608</v>
      </c>
      <c r="I166">
        <v>11096.858231038243</v>
      </c>
    </row>
    <row r="167" spans="1:9" x14ac:dyDescent="0.3">
      <c r="A167">
        <v>22</v>
      </c>
      <c r="B167" s="168" t="s">
        <v>30</v>
      </c>
      <c r="C167" s="168" t="s">
        <v>31</v>
      </c>
      <c r="D167">
        <v>3918.8</v>
      </c>
      <c r="E167">
        <v>2020</v>
      </c>
      <c r="F167" s="168" t="s">
        <v>591</v>
      </c>
      <c r="G167" s="168" t="s">
        <v>613</v>
      </c>
      <c r="H167" s="168" t="s">
        <v>609</v>
      </c>
      <c r="I167">
        <v>243576.03817128943</v>
      </c>
    </row>
    <row r="168" spans="1:9" x14ac:dyDescent="0.3">
      <c r="A168">
        <v>23</v>
      </c>
      <c r="B168" s="168" t="s">
        <v>32</v>
      </c>
      <c r="C168" s="168" t="s">
        <v>33</v>
      </c>
      <c r="D168">
        <v>4394.6000000000004</v>
      </c>
      <c r="E168">
        <v>2020</v>
      </c>
      <c r="F168" s="168" t="s">
        <v>592</v>
      </c>
      <c r="G168" s="168" t="s">
        <v>607</v>
      </c>
      <c r="H168" s="168" t="s">
        <v>608</v>
      </c>
      <c r="I168">
        <v>71280.968276676431</v>
      </c>
    </row>
    <row r="169" spans="1:9" x14ac:dyDescent="0.3">
      <c r="A169">
        <v>23</v>
      </c>
      <c r="B169" s="168" t="s">
        <v>32</v>
      </c>
      <c r="C169" s="168" t="s">
        <v>33</v>
      </c>
      <c r="D169">
        <v>4394.6000000000004</v>
      </c>
      <c r="E169">
        <v>2020</v>
      </c>
      <c r="F169" s="168" t="s">
        <v>592</v>
      </c>
      <c r="G169" s="168" t="s">
        <v>607</v>
      </c>
      <c r="H169" s="168" t="s">
        <v>609</v>
      </c>
      <c r="I169">
        <v>527659.14917327359</v>
      </c>
    </row>
    <row r="170" spans="1:9" x14ac:dyDescent="0.3">
      <c r="A170">
        <v>23</v>
      </c>
      <c r="B170" s="168" t="s">
        <v>32</v>
      </c>
      <c r="C170" s="168" t="s">
        <v>33</v>
      </c>
      <c r="D170">
        <v>4394.6000000000004</v>
      </c>
      <c r="E170">
        <v>2020</v>
      </c>
      <c r="F170" s="168" t="s">
        <v>592</v>
      </c>
      <c r="G170" s="168" t="s">
        <v>612</v>
      </c>
      <c r="H170" s="168" t="s">
        <v>608</v>
      </c>
      <c r="I170">
        <v>24462.213711776054</v>
      </c>
    </row>
    <row r="171" spans="1:9" x14ac:dyDescent="0.3">
      <c r="A171">
        <v>23</v>
      </c>
      <c r="B171" s="168" t="s">
        <v>32</v>
      </c>
      <c r="C171" s="168" t="s">
        <v>33</v>
      </c>
      <c r="D171">
        <v>4394.6000000000004</v>
      </c>
      <c r="E171">
        <v>2020</v>
      </c>
      <c r="F171" s="168" t="s">
        <v>592</v>
      </c>
      <c r="G171" s="168" t="s">
        <v>612</v>
      </c>
      <c r="H171" s="168" t="s">
        <v>609</v>
      </c>
      <c r="I171">
        <v>26272.417526447483</v>
      </c>
    </row>
    <row r="172" spans="1:9" x14ac:dyDescent="0.3">
      <c r="A172">
        <v>23</v>
      </c>
      <c r="B172" s="168" t="s">
        <v>32</v>
      </c>
      <c r="C172" s="168" t="s">
        <v>33</v>
      </c>
      <c r="D172">
        <v>4394.6000000000004</v>
      </c>
      <c r="E172">
        <v>2020</v>
      </c>
      <c r="F172" s="168" t="s">
        <v>592</v>
      </c>
      <c r="G172" s="168" t="s">
        <v>616</v>
      </c>
      <c r="H172" s="168" t="s">
        <v>608</v>
      </c>
      <c r="I172">
        <v>0</v>
      </c>
    </row>
    <row r="173" spans="1:9" x14ac:dyDescent="0.3">
      <c r="A173">
        <v>23</v>
      </c>
      <c r="B173" s="168" t="s">
        <v>32</v>
      </c>
      <c r="C173" s="168" t="s">
        <v>33</v>
      </c>
      <c r="D173">
        <v>4394.6000000000004</v>
      </c>
      <c r="E173">
        <v>2020</v>
      </c>
      <c r="F173" s="168" t="s">
        <v>592</v>
      </c>
      <c r="G173" s="168" t="s">
        <v>616</v>
      </c>
      <c r="H173" s="168" t="s">
        <v>609</v>
      </c>
      <c r="I173">
        <v>29471.110816279146</v>
      </c>
    </row>
    <row r="174" spans="1:9" x14ac:dyDescent="0.3">
      <c r="A174">
        <v>23</v>
      </c>
      <c r="B174" s="168" t="s">
        <v>32</v>
      </c>
      <c r="C174" s="168" t="s">
        <v>33</v>
      </c>
      <c r="D174">
        <v>4394.6000000000004</v>
      </c>
      <c r="E174">
        <v>2020</v>
      </c>
      <c r="F174" s="168" t="s">
        <v>592</v>
      </c>
      <c r="G174" s="168" t="s">
        <v>617</v>
      </c>
      <c r="H174" s="168" t="s">
        <v>608</v>
      </c>
      <c r="I174">
        <v>0</v>
      </c>
    </row>
    <row r="175" spans="1:9" x14ac:dyDescent="0.3">
      <c r="A175">
        <v>23</v>
      </c>
      <c r="B175" s="168" t="s">
        <v>32</v>
      </c>
      <c r="C175" s="168" t="s">
        <v>33</v>
      </c>
      <c r="D175">
        <v>4394.6000000000004</v>
      </c>
      <c r="E175">
        <v>2020</v>
      </c>
      <c r="F175" s="168" t="s">
        <v>592</v>
      </c>
      <c r="G175" s="168" t="s">
        <v>617</v>
      </c>
      <c r="H175" s="168" t="s">
        <v>609</v>
      </c>
      <c r="I175">
        <v>10075.947855367569</v>
      </c>
    </row>
    <row r="176" spans="1:9" x14ac:dyDescent="0.3">
      <c r="A176">
        <v>23</v>
      </c>
      <c r="B176" s="168" t="s">
        <v>32</v>
      </c>
      <c r="C176" s="168" t="s">
        <v>33</v>
      </c>
      <c r="D176">
        <v>4394.6000000000004</v>
      </c>
      <c r="E176">
        <v>2020</v>
      </c>
      <c r="F176" s="168" t="s">
        <v>592</v>
      </c>
      <c r="G176" s="168" t="s">
        <v>610</v>
      </c>
      <c r="H176" s="168" t="s">
        <v>608</v>
      </c>
      <c r="I176">
        <v>0</v>
      </c>
    </row>
    <row r="177" spans="1:9" x14ac:dyDescent="0.3">
      <c r="A177">
        <v>23</v>
      </c>
      <c r="B177" s="168" t="s">
        <v>32</v>
      </c>
      <c r="C177" s="168" t="s">
        <v>33</v>
      </c>
      <c r="D177">
        <v>4394.6000000000004</v>
      </c>
      <c r="E177">
        <v>2020</v>
      </c>
      <c r="F177" s="168" t="s">
        <v>592</v>
      </c>
      <c r="G177" s="168" t="s">
        <v>610</v>
      </c>
      <c r="H177" s="168" t="s">
        <v>609</v>
      </c>
      <c r="I177">
        <v>3272.7272727272725</v>
      </c>
    </row>
    <row r="178" spans="1:9" x14ac:dyDescent="0.3">
      <c r="A178">
        <v>23</v>
      </c>
      <c r="B178" s="168" t="s">
        <v>32</v>
      </c>
      <c r="C178" s="168" t="s">
        <v>33</v>
      </c>
      <c r="D178">
        <v>4394.6000000000004</v>
      </c>
      <c r="E178">
        <v>2020</v>
      </c>
      <c r="F178" s="168" t="s">
        <v>592</v>
      </c>
      <c r="G178" s="168" t="s">
        <v>633</v>
      </c>
      <c r="H178" s="168" t="s">
        <v>608</v>
      </c>
      <c r="I178">
        <v>0</v>
      </c>
    </row>
    <row r="179" spans="1:9" x14ac:dyDescent="0.3">
      <c r="A179">
        <v>23</v>
      </c>
      <c r="B179" s="168" t="s">
        <v>32</v>
      </c>
      <c r="C179" s="168" t="s">
        <v>33</v>
      </c>
      <c r="D179">
        <v>4394.6000000000004</v>
      </c>
      <c r="E179">
        <v>2020</v>
      </c>
      <c r="F179" s="168" t="s">
        <v>592</v>
      </c>
      <c r="G179" s="168" t="s">
        <v>633</v>
      </c>
      <c r="H179" s="168" t="s">
        <v>609</v>
      </c>
      <c r="I179">
        <v>11461.97969888957</v>
      </c>
    </row>
    <row r="180" spans="1:9" x14ac:dyDescent="0.3">
      <c r="A180">
        <v>23</v>
      </c>
      <c r="B180" s="168" t="s">
        <v>32</v>
      </c>
      <c r="C180" s="168" t="s">
        <v>33</v>
      </c>
      <c r="D180">
        <v>4394.6000000000004</v>
      </c>
      <c r="E180">
        <v>2020</v>
      </c>
      <c r="F180" s="168" t="s">
        <v>592</v>
      </c>
      <c r="G180" s="168" t="s">
        <v>613</v>
      </c>
      <c r="H180" s="168" t="s">
        <v>608</v>
      </c>
      <c r="I180">
        <v>12444.180152628524</v>
      </c>
    </row>
    <row r="181" spans="1:9" x14ac:dyDescent="0.3">
      <c r="A181">
        <v>23</v>
      </c>
      <c r="B181" s="168" t="s">
        <v>32</v>
      </c>
      <c r="C181" s="168" t="s">
        <v>33</v>
      </c>
      <c r="D181">
        <v>4394.6000000000004</v>
      </c>
      <c r="E181">
        <v>2020</v>
      </c>
      <c r="F181" s="168" t="s">
        <v>592</v>
      </c>
      <c r="G181" s="168" t="s">
        <v>613</v>
      </c>
      <c r="H181" s="168" t="s">
        <v>609</v>
      </c>
      <c r="I181">
        <v>273149.7543501961</v>
      </c>
    </row>
    <row r="182" spans="1:9" x14ac:dyDescent="0.3">
      <c r="A182">
        <v>24</v>
      </c>
      <c r="B182" s="168" t="s">
        <v>34</v>
      </c>
      <c r="C182" s="168" t="s">
        <v>35</v>
      </c>
      <c r="D182">
        <v>17.5</v>
      </c>
      <c r="E182">
        <v>2020</v>
      </c>
      <c r="F182" s="168" t="s">
        <v>593</v>
      </c>
      <c r="G182" s="168" t="s">
        <v>607</v>
      </c>
      <c r="H182" s="168" t="s">
        <v>608</v>
      </c>
      <c r="I182">
        <v>0</v>
      </c>
    </row>
    <row r="183" spans="1:9" x14ac:dyDescent="0.3">
      <c r="A183">
        <v>24</v>
      </c>
      <c r="B183" s="168" t="s">
        <v>34</v>
      </c>
      <c r="C183" s="168" t="s">
        <v>35</v>
      </c>
      <c r="D183">
        <v>17.5</v>
      </c>
      <c r="E183">
        <v>2020</v>
      </c>
      <c r="F183" s="168" t="s">
        <v>593</v>
      </c>
      <c r="G183" s="168" t="s">
        <v>607</v>
      </c>
      <c r="H183" s="168" t="s">
        <v>609</v>
      </c>
      <c r="I183">
        <v>1298.8675241043077</v>
      </c>
    </row>
    <row r="184" spans="1:9" x14ac:dyDescent="0.3">
      <c r="A184">
        <v>24</v>
      </c>
      <c r="B184" s="168" t="s">
        <v>34</v>
      </c>
      <c r="C184" s="168" t="s">
        <v>35</v>
      </c>
      <c r="D184">
        <v>17.5</v>
      </c>
      <c r="E184">
        <v>2020</v>
      </c>
      <c r="F184" s="168" t="s">
        <v>593</v>
      </c>
      <c r="G184" s="168" t="s">
        <v>612</v>
      </c>
      <c r="H184" s="168" t="s">
        <v>608</v>
      </c>
      <c r="I184">
        <v>97.412447084167141</v>
      </c>
    </row>
    <row r="185" spans="1:9" x14ac:dyDescent="0.3">
      <c r="A185">
        <v>24</v>
      </c>
      <c r="B185" s="168" t="s">
        <v>34</v>
      </c>
      <c r="C185" s="168" t="s">
        <v>35</v>
      </c>
      <c r="D185">
        <v>17.5</v>
      </c>
      <c r="E185">
        <v>2020</v>
      </c>
      <c r="F185" s="168" t="s">
        <v>593</v>
      </c>
      <c r="G185" s="168" t="s">
        <v>612</v>
      </c>
      <c r="H185" s="168" t="s">
        <v>609</v>
      </c>
      <c r="I185">
        <v>104.62096816839551</v>
      </c>
    </row>
    <row r="186" spans="1:9" x14ac:dyDescent="0.3">
      <c r="A186">
        <v>24</v>
      </c>
      <c r="B186" s="168" t="s">
        <v>34</v>
      </c>
      <c r="C186" s="168" t="s">
        <v>35</v>
      </c>
      <c r="D186">
        <v>17.5</v>
      </c>
      <c r="E186">
        <v>2020</v>
      </c>
      <c r="F186" s="168" t="s">
        <v>593</v>
      </c>
      <c r="G186" s="168" t="s">
        <v>617</v>
      </c>
      <c r="H186" s="168" t="s">
        <v>608</v>
      </c>
      <c r="I186">
        <v>0</v>
      </c>
    </row>
    <row r="187" spans="1:9" x14ac:dyDescent="0.3">
      <c r="A187">
        <v>24</v>
      </c>
      <c r="B187" s="168" t="s">
        <v>34</v>
      </c>
      <c r="C187" s="168" t="s">
        <v>35</v>
      </c>
      <c r="D187">
        <v>17.5</v>
      </c>
      <c r="E187">
        <v>2020</v>
      </c>
      <c r="F187" s="168" t="s">
        <v>593</v>
      </c>
      <c r="G187" s="168" t="s">
        <v>617</v>
      </c>
      <c r="H187" s="168" t="s">
        <v>609</v>
      </c>
      <c r="I187">
        <v>24.547936665210123</v>
      </c>
    </row>
    <row r="188" spans="1:9" x14ac:dyDescent="0.3">
      <c r="A188">
        <v>25</v>
      </c>
      <c r="B188" s="168" t="s">
        <v>21</v>
      </c>
      <c r="C188" s="168" t="s">
        <v>36</v>
      </c>
      <c r="D188">
        <v>95</v>
      </c>
      <c r="E188">
        <v>2020</v>
      </c>
      <c r="F188" s="168" t="s">
        <v>593</v>
      </c>
      <c r="G188" s="168" t="s">
        <v>607</v>
      </c>
      <c r="H188" s="168" t="s">
        <v>608</v>
      </c>
      <c r="I188">
        <v>0</v>
      </c>
    </row>
    <row r="189" spans="1:9" x14ac:dyDescent="0.3">
      <c r="A189">
        <v>25</v>
      </c>
      <c r="B189" s="168" t="s">
        <v>21</v>
      </c>
      <c r="C189" s="168" t="s">
        <v>36</v>
      </c>
      <c r="D189">
        <v>95</v>
      </c>
      <c r="E189">
        <v>2020</v>
      </c>
      <c r="F189" s="168" t="s">
        <v>593</v>
      </c>
      <c r="G189" s="168" t="s">
        <v>607</v>
      </c>
      <c r="H189" s="168" t="s">
        <v>609</v>
      </c>
      <c r="I189">
        <v>7050.9951308519667</v>
      </c>
    </row>
    <row r="190" spans="1:9" x14ac:dyDescent="0.3">
      <c r="A190">
        <v>25</v>
      </c>
      <c r="B190" s="168" t="s">
        <v>21</v>
      </c>
      <c r="C190" s="168" t="s">
        <v>36</v>
      </c>
      <c r="D190">
        <v>95</v>
      </c>
      <c r="E190">
        <v>2020</v>
      </c>
      <c r="F190" s="168" t="s">
        <v>593</v>
      </c>
      <c r="G190" s="168" t="s">
        <v>612</v>
      </c>
      <c r="H190" s="168" t="s">
        <v>608</v>
      </c>
      <c r="I190">
        <v>528.81042702833588</v>
      </c>
    </row>
    <row r="191" spans="1:9" x14ac:dyDescent="0.3">
      <c r="A191">
        <v>25</v>
      </c>
      <c r="B191" s="168" t="s">
        <v>21</v>
      </c>
      <c r="C191" s="168" t="s">
        <v>36</v>
      </c>
      <c r="D191">
        <v>95</v>
      </c>
      <c r="E191">
        <v>2020</v>
      </c>
      <c r="F191" s="168" t="s">
        <v>593</v>
      </c>
      <c r="G191" s="168" t="s">
        <v>612</v>
      </c>
      <c r="H191" s="168" t="s">
        <v>609</v>
      </c>
      <c r="I191">
        <v>567.94239862843267</v>
      </c>
    </row>
    <row r="192" spans="1:9" x14ac:dyDescent="0.3">
      <c r="A192">
        <v>25</v>
      </c>
      <c r="B192" s="168" t="s">
        <v>21</v>
      </c>
      <c r="C192" s="168" t="s">
        <v>36</v>
      </c>
      <c r="D192">
        <v>95</v>
      </c>
      <c r="E192">
        <v>2020</v>
      </c>
      <c r="F192" s="168" t="s">
        <v>593</v>
      </c>
      <c r="G192" s="168" t="s">
        <v>617</v>
      </c>
      <c r="H192" s="168" t="s">
        <v>608</v>
      </c>
      <c r="I192">
        <v>0</v>
      </c>
    </row>
    <row r="193" spans="1:9" x14ac:dyDescent="0.3">
      <c r="A193">
        <v>25</v>
      </c>
      <c r="B193" s="168" t="s">
        <v>21</v>
      </c>
      <c r="C193" s="168" t="s">
        <v>36</v>
      </c>
      <c r="D193">
        <v>95</v>
      </c>
      <c r="E193">
        <v>2020</v>
      </c>
      <c r="F193" s="168" t="s">
        <v>593</v>
      </c>
      <c r="G193" s="168" t="s">
        <v>617</v>
      </c>
      <c r="H193" s="168" t="s">
        <v>609</v>
      </c>
      <c r="I193">
        <v>133.26022761114066</v>
      </c>
    </row>
    <row r="194" spans="1:9" x14ac:dyDescent="0.3">
      <c r="A194">
        <v>25</v>
      </c>
      <c r="B194" s="168" t="s">
        <v>21</v>
      </c>
      <c r="C194" s="168" t="s">
        <v>36</v>
      </c>
      <c r="D194">
        <v>95</v>
      </c>
      <c r="E194">
        <v>2020</v>
      </c>
      <c r="F194" s="168" t="s">
        <v>593</v>
      </c>
      <c r="G194" s="168" t="s">
        <v>610</v>
      </c>
      <c r="H194" s="168" t="s">
        <v>608</v>
      </c>
      <c r="I194">
        <v>0</v>
      </c>
    </row>
    <row r="195" spans="1:9" x14ac:dyDescent="0.3">
      <c r="A195">
        <v>25</v>
      </c>
      <c r="B195" s="168" t="s">
        <v>21</v>
      </c>
      <c r="C195" s="168" t="s">
        <v>36</v>
      </c>
      <c r="D195">
        <v>95</v>
      </c>
      <c r="E195">
        <v>2020</v>
      </c>
      <c r="F195" s="168" t="s">
        <v>593</v>
      </c>
      <c r="G195" s="168" t="s">
        <v>610</v>
      </c>
      <c r="H195" s="168" t="s">
        <v>609</v>
      </c>
      <c r="I195">
        <v>3272.7272727272725</v>
      </c>
    </row>
    <row r="196" spans="1:9" x14ac:dyDescent="0.3">
      <c r="A196">
        <v>26</v>
      </c>
      <c r="B196" s="168" t="s">
        <v>37</v>
      </c>
      <c r="C196" s="168" t="s">
        <v>38</v>
      </c>
      <c r="D196">
        <v>4151.6000000000004</v>
      </c>
      <c r="E196">
        <v>2020</v>
      </c>
      <c r="F196" s="168" t="s">
        <v>592</v>
      </c>
      <c r="G196" s="168" t="s">
        <v>612</v>
      </c>
      <c r="H196" s="168" t="s">
        <v>608</v>
      </c>
      <c r="I196">
        <v>23109.572303693047</v>
      </c>
    </row>
    <row r="197" spans="1:9" x14ac:dyDescent="0.3">
      <c r="A197">
        <v>26</v>
      </c>
      <c r="B197" s="168" t="s">
        <v>37</v>
      </c>
      <c r="C197" s="168" t="s">
        <v>38</v>
      </c>
      <c r="D197">
        <v>4151.6000000000004</v>
      </c>
      <c r="E197">
        <v>2020</v>
      </c>
      <c r="F197" s="168" t="s">
        <v>592</v>
      </c>
      <c r="G197" s="168" t="s">
        <v>612</v>
      </c>
      <c r="H197" s="168" t="s">
        <v>609</v>
      </c>
      <c r="I197">
        <v>24819.680654166332</v>
      </c>
    </row>
    <row r="198" spans="1:9" x14ac:dyDescent="0.3">
      <c r="A198">
        <v>26</v>
      </c>
      <c r="B198" s="168" t="s">
        <v>37</v>
      </c>
      <c r="C198" s="168" t="s">
        <v>38</v>
      </c>
      <c r="D198">
        <v>4151.6000000000004</v>
      </c>
      <c r="E198">
        <v>2020</v>
      </c>
      <c r="F198" s="168" t="s">
        <v>592</v>
      </c>
      <c r="G198" s="168" t="s">
        <v>616</v>
      </c>
      <c r="H198" s="168" t="s">
        <v>608</v>
      </c>
      <c r="I198">
        <v>0</v>
      </c>
    </row>
    <row r="199" spans="1:9" x14ac:dyDescent="0.3">
      <c r="A199">
        <v>26</v>
      </c>
      <c r="B199" s="168" t="s">
        <v>37</v>
      </c>
      <c r="C199" s="168" t="s">
        <v>38</v>
      </c>
      <c r="D199">
        <v>4151.6000000000004</v>
      </c>
      <c r="E199">
        <v>2020</v>
      </c>
      <c r="F199" s="168" t="s">
        <v>592</v>
      </c>
      <c r="G199" s="168" t="s">
        <v>616</v>
      </c>
      <c r="H199" s="168" t="s">
        <v>609</v>
      </c>
      <c r="I199">
        <v>249914.07811507981</v>
      </c>
    </row>
    <row r="200" spans="1:9" x14ac:dyDescent="0.3">
      <c r="A200">
        <v>26</v>
      </c>
      <c r="B200" s="168" t="s">
        <v>37</v>
      </c>
      <c r="C200" s="168" t="s">
        <v>38</v>
      </c>
      <c r="D200">
        <v>4151.6000000000004</v>
      </c>
      <c r="E200">
        <v>2020</v>
      </c>
      <c r="F200" s="168" t="s">
        <v>592</v>
      </c>
      <c r="G200" s="168" t="s">
        <v>617</v>
      </c>
      <c r="H200" s="168" t="s">
        <v>608</v>
      </c>
      <c r="I200">
        <v>0</v>
      </c>
    </row>
    <row r="201" spans="1:9" x14ac:dyDescent="0.3">
      <c r="A201">
        <v>26</v>
      </c>
      <c r="B201" s="168" t="s">
        <v>37</v>
      </c>
      <c r="C201" s="168" t="s">
        <v>38</v>
      </c>
      <c r="D201">
        <v>4151.6000000000004</v>
      </c>
      <c r="E201">
        <v>2020</v>
      </c>
      <c r="F201" s="168" t="s">
        <v>592</v>
      </c>
      <c r="G201" s="168" t="s">
        <v>617</v>
      </c>
      <c r="H201" s="168" t="s">
        <v>609</v>
      </c>
      <c r="I201">
        <v>5823.6122205306483</v>
      </c>
    </row>
    <row r="202" spans="1:9" x14ac:dyDescent="0.3">
      <c r="A202">
        <v>26</v>
      </c>
      <c r="B202" s="168" t="s">
        <v>37</v>
      </c>
      <c r="C202" s="168" t="s">
        <v>38</v>
      </c>
      <c r="D202">
        <v>4151.6000000000004</v>
      </c>
      <c r="E202">
        <v>2020</v>
      </c>
      <c r="F202" s="168" t="s">
        <v>592</v>
      </c>
      <c r="G202" s="168" t="s">
        <v>610</v>
      </c>
      <c r="H202" s="168" t="s">
        <v>608</v>
      </c>
      <c r="I202">
        <v>0</v>
      </c>
    </row>
    <row r="203" spans="1:9" x14ac:dyDescent="0.3">
      <c r="A203">
        <v>26</v>
      </c>
      <c r="B203" s="168" t="s">
        <v>37</v>
      </c>
      <c r="C203" s="168" t="s">
        <v>38</v>
      </c>
      <c r="D203">
        <v>4151.6000000000004</v>
      </c>
      <c r="E203">
        <v>2020</v>
      </c>
      <c r="F203" s="168" t="s">
        <v>592</v>
      </c>
      <c r="G203" s="168" t="s">
        <v>610</v>
      </c>
      <c r="H203" s="168" t="s">
        <v>609</v>
      </c>
      <c r="I203">
        <v>3272.7272727272725</v>
      </c>
    </row>
    <row r="204" spans="1:9" x14ac:dyDescent="0.3">
      <c r="A204">
        <v>26</v>
      </c>
      <c r="B204" s="168" t="s">
        <v>37</v>
      </c>
      <c r="C204" s="168" t="s">
        <v>38</v>
      </c>
      <c r="D204">
        <v>4151.6000000000004</v>
      </c>
      <c r="E204">
        <v>2020</v>
      </c>
      <c r="F204" s="168" t="s">
        <v>592</v>
      </c>
      <c r="G204" s="168" t="s">
        <v>620</v>
      </c>
      <c r="H204" s="168" t="s">
        <v>608</v>
      </c>
      <c r="I204">
        <v>18683.998334839733</v>
      </c>
    </row>
    <row r="205" spans="1:9" x14ac:dyDescent="0.3">
      <c r="A205">
        <v>26</v>
      </c>
      <c r="B205" s="168" t="s">
        <v>37</v>
      </c>
      <c r="C205" s="168" t="s">
        <v>38</v>
      </c>
      <c r="D205">
        <v>4151.6000000000004</v>
      </c>
      <c r="E205">
        <v>2020</v>
      </c>
      <c r="F205" s="168" t="s">
        <v>592</v>
      </c>
      <c r="G205" s="168" t="s">
        <v>620</v>
      </c>
      <c r="H205" s="168" t="s">
        <v>609</v>
      </c>
      <c r="I205">
        <v>2024.0998196076375</v>
      </c>
    </row>
    <row r="206" spans="1:9" x14ac:dyDescent="0.3">
      <c r="A206">
        <v>26</v>
      </c>
      <c r="B206" s="168" t="s">
        <v>37</v>
      </c>
      <c r="C206" s="168" t="s">
        <v>38</v>
      </c>
      <c r="D206">
        <v>4151.6000000000004</v>
      </c>
      <c r="E206">
        <v>2020</v>
      </c>
      <c r="F206" s="168" t="s">
        <v>592</v>
      </c>
      <c r="G206" s="168" t="s">
        <v>613</v>
      </c>
      <c r="H206" s="168" t="s">
        <v>608</v>
      </c>
      <c r="I206">
        <v>11756.077531891999</v>
      </c>
    </row>
    <row r="207" spans="1:9" x14ac:dyDescent="0.3">
      <c r="A207">
        <v>26</v>
      </c>
      <c r="B207" s="168" t="s">
        <v>37</v>
      </c>
      <c r="C207" s="168" t="s">
        <v>38</v>
      </c>
      <c r="D207">
        <v>4151.6000000000004</v>
      </c>
      <c r="E207">
        <v>2020</v>
      </c>
      <c r="F207" s="168" t="s">
        <v>592</v>
      </c>
      <c r="G207" s="168" t="s">
        <v>613</v>
      </c>
      <c r="H207" s="168" t="s">
        <v>609</v>
      </c>
      <c r="I207">
        <v>258045.90182502937</v>
      </c>
    </row>
    <row r="208" spans="1:9" x14ac:dyDescent="0.3">
      <c r="A208">
        <v>27</v>
      </c>
      <c r="B208" s="168" t="s">
        <v>39</v>
      </c>
      <c r="C208" s="168" t="s">
        <v>40</v>
      </c>
      <c r="D208">
        <v>101.1</v>
      </c>
      <c r="E208">
        <v>2020</v>
      </c>
      <c r="F208" s="168" t="s">
        <v>593</v>
      </c>
      <c r="G208" s="168" t="s">
        <v>612</v>
      </c>
      <c r="H208" s="168" t="s">
        <v>608</v>
      </c>
      <c r="I208">
        <v>562.76562286910269</v>
      </c>
    </row>
    <row r="209" spans="1:9" x14ac:dyDescent="0.3">
      <c r="A209">
        <v>27</v>
      </c>
      <c r="B209" s="168" t="s">
        <v>39</v>
      </c>
      <c r="C209" s="168" t="s">
        <v>40</v>
      </c>
      <c r="D209">
        <v>101.1</v>
      </c>
      <c r="E209">
        <v>2020</v>
      </c>
      <c r="F209" s="168" t="s">
        <v>593</v>
      </c>
      <c r="G209" s="168" t="s">
        <v>612</v>
      </c>
      <c r="H209" s="168" t="s">
        <v>609</v>
      </c>
      <c r="I209">
        <v>604.41027896141622</v>
      </c>
    </row>
    <row r="210" spans="1:9" x14ac:dyDescent="0.3">
      <c r="A210">
        <v>27</v>
      </c>
      <c r="B210" s="168" t="s">
        <v>39</v>
      </c>
      <c r="C210" s="168" t="s">
        <v>40</v>
      </c>
      <c r="D210">
        <v>101.1</v>
      </c>
      <c r="E210">
        <v>2020</v>
      </c>
      <c r="F210" s="168" t="s">
        <v>593</v>
      </c>
      <c r="G210" s="168" t="s">
        <v>616</v>
      </c>
      <c r="H210" s="168" t="s">
        <v>608</v>
      </c>
      <c r="I210">
        <v>0</v>
      </c>
    </row>
    <row r="211" spans="1:9" x14ac:dyDescent="0.3">
      <c r="A211">
        <v>27</v>
      </c>
      <c r="B211" s="168" t="s">
        <v>39</v>
      </c>
      <c r="C211" s="168" t="s">
        <v>40</v>
      </c>
      <c r="D211">
        <v>101.1</v>
      </c>
      <c r="E211">
        <v>2020</v>
      </c>
      <c r="F211" s="168" t="s">
        <v>593</v>
      </c>
      <c r="G211" s="168" t="s">
        <v>616</v>
      </c>
      <c r="H211" s="168" t="s">
        <v>609</v>
      </c>
      <c r="I211">
        <v>6085.921884920167</v>
      </c>
    </row>
    <row r="212" spans="1:9" x14ac:dyDescent="0.3">
      <c r="A212">
        <v>27</v>
      </c>
      <c r="B212" s="168" t="s">
        <v>39</v>
      </c>
      <c r="C212" s="168" t="s">
        <v>40</v>
      </c>
      <c r="D212">
        <v>101.1</v>
      </c>
      <c r="E212">
        <v>2020</v>
      </c>
      <c r="F212" s="168" t="s">
        <v>593</v>
      </c>
      <c r="G212" s="168" t="s">
        <v>617</v>
      </c>
      <c r="H212" s="168" t="s">
        <v>608</v>
      </c>
      <c r="I212">
        <v>0</v>
      </c>
    </row>
    <row r="213" spans="1:9" x14ac:dyDescent="0.3">
      <c r="A213">
        <v>27</v>
      </c>
      <c r="B213" s="168" t="s">
        <v>39</v>
      </c>
      <c r="C213" s="168" t="s">
        <v>40</v>
      </c>
      <c r="D213">
        <v>101.1</v>
      </c>
      <c r="E213">
        <v>2020</v>
      </c>
      <c r="F213" s="168" t="s">
        <v>593</v>
      </c>
      <c r="G213" s="168" t="s">
        <v>617</v>
      </c>
      <c r="H213" s="168" t="s">
        <v>609</v>
      </c>
      <c r="I213">
        <v>141.81693696301389</v>
      </c>
    </row>
    <row r="214" spans="1:9" x14ac:dyDescent="0.3">
      <c r="A214">
        <v>27</v>
      </c>
      <c r="B214" s="168" t="s">
        <v>39</v>
      </c>
      <c r="C214" s="168" t="s">
        <v>40</v>
      </c>
      <c r="D214">
        <v>101.1</v>
      </c>
      <c r="E214">
        <v>2020</v>
      </c>
      <c r="F214" s="168" t="s">
        <v>593</v>
      </c>
      <c r="G214" s="168" t="s">
        <v>610</v>
      </c>
      <c r="H214" s="168" t="s">
        <v>608</v>
      </c>
      <c r="I214">
        <v>0</v>
      </c>
    </row>
    <row r="215" spans="1:9" x14ac:dyDescent="0.3">
      <c r="A215">
        <v>27</v>
      </c>
      <c r="B215" s="168" t="s">
        <v>39</v>
      </c>
      <c r="C215" s="168" t="s">
        <v>40</v>
      </c>
      <c r="D215">
        <v>101.1</v>
      </c>
      <c r="E215">
        <v>2020</v>
      </c>
      <c r="F215" s="168" t="s">
        <v>593</v>
      </c>
      <c r="G215" s="168" t="s">
        <v>610</v>
      </c>
      <c r="H215" s="168" t="s">
        <v>609</v>
      </c>
      <c r="I215">
        <v>3272.7272727272725</v>
      </c>
    </row>
    <row r="216" spans="1:9" x14ac:dyDescent="0.3">
      <c r="A216">
        <v>27</v>
      </c>
      <c r="B216" s="168" t="s">
        <v>39</v>
      </c>
      <c r="C216" s="168" t="s">
        <v>40</v>
      </c>
      <c r="D216">
        <v>101.1</v>
      </c>
      <c r="E216">
        <v>2020</v>
      </c>
      <c r="F216" s="168" t="s">
        <v>593</v>
      </c>
      <c r="G216" s="168" t="s">
        <v>613</v>
      </c>
      <c r="H216" s="168" t="s">
        <v>608</v>
      </c>
      <c r="I216">
        <v>286.28467060272692</v>
      </c>
    </row>
    <row r="217" spans="1:9" x14ac:dyDescent="0.3">
      <c r="A217">
        <v>27</v>
      </c>
      <c r="B217" s="168" t="s">
        <v>39</v>
      </c>
      <c r="C217" s="168" t="s">
        <v>40</v>
      </c>
      <c r="D217">
        <v>101.1</v>
      </c>
      <c r="E217">
        <v>2020</v>
      </c>
      <c r="F217" s="168" t="s">
        <v>593</v>
      </c>
      <c r="G217" s="168" t="s">
        <v>613</v>
      </c>
      <c r="H217" s="168" t="s">
        <v>609</v>
      </c>
      <c r="I217">
        <v>6283.9485197298563</v>
      </c>
    </row>
    <row r="218" spans="1:9" x14ac:dyDescent="0.3">
      <c r="A218">
        <v>28</v>
      </c>
      <c r="B218" s="168" t="s">
        <v>30</v>
      </c>
      <c r="C218" s="168" t="s">
        <v>41</v>
      </c>
      <c r="D218">
        <v>1239.3</v>
      </c>
      <c r="E218">
        <v>2020</v>
      </c>
      <c r="F218" s="168" t="s">
        <v>591</v>
      </c>
      <c r="G218" s="168" t="s">
        <v>607</v>
      </c>
      <c r="H218" s="168" t="s">
        <v>608</v>
      </c>
      <c r="I218">
        <v>286709.27330930368</v>
      </c>
    </row>
    <row r="219" spans="1:9" x14ac:dyDescent="0.3">
      <c r="A219">
        <v>28</v>
      </c>
      <c r="B219" s="168" t="s">
        <v>30</v>
      </c>
      <c r="C219" s="168" t="s">
        <v>41</v>
      </c>
      <c r="D219">
        <v>1239.3</v>
      </c>
      <c r="E219">
        <v>2020</v>
      </c>
      <c r="F219" s="168" t="s">
        <v>591</v>
      </c>
      <c r="G219" s="168" t="s">
        <v>607</v>
      </c>
      <c r="H219" s="168" t="s">
        <v>609</v>
      </c>
      <c r="I219">
        <v>151629.11263867869</v>
      </c>
    </row>
    <row r="220" spans="1:9" x14ac:dyDescent="0.3">
      <c r="A220">
        <v>28</v>
      </c>
      <c r="B220" s="168" t="s">
        <v>30</v>
      </c>
      <c r="C220" s="168" t="s">
        <v>41</v>
      </c>
      <c r="D220">
        <v>1239.3</v>
      </c>
      <c r="E220">
        <v>2020</v>
      </c>
      <c r="F220" s="168" t="s">
        <v>591</v>
      </c>
      <c r="G220" s="168" t="s">
        <v>612</v>
      </c>
      <c r="H220" s="168" t="s">
        <v>608</v>
      </c>
      <c r="I220">
        <v>94323.37</v>
      </c>
    </row>
    <row r="221" spans="1:9" x14ac:dyDescent="0.3">
      <c r="A221">
        <v>28</v>
      </c>
      <c r="B221" s="168" t="s">
        <v>30</v>
      </c>
      <c r="C221" s="168" t="s">
        <v>41</v>
      </c>
      <c r="D221">
        <v>1239.3</v>
      </c>
      <c r="E221">
        <v>2020</v>
      </c>
      <c r="F221" s="168" t="s">
        <v>591</v>
      </c>
      <c r="G221" s="168" t="s">
        <v>612</v>
      </c>
      <c r="H221" s="168" t="s">
        <v>609</v>
      </c>
      <c r="I221">
        <v>0</v>
      </c>
    </row>
    <row r="222" spans="1:9" x14ac:dyDescent="0.3">
      <c r="A222">
        <v>28</v>
      </c>
      <c r="B222" s="168" t="s">
        <v>30</v>
      </c>
      <c r="C222" s="168" t="s">
        <v>41</v>
      </c>
      <c r="D222">
        <v>1239.3</v>
      </c>
      <c r="E222">
        <v>2020</v>
      </c>
      <c r="F222" s="168" t="s">
        <v>591</v>
      </c>
      <c r="G222" s="168" t="s">
        <v>617</v>
      </c>
      <c r="H222" s="168" t="s">
        <v>608</v>
      </c>
      <c r="I222">
        <v>7450</v>
      </c>
    </row>
    <row r="223" spans="1:9" x14ac:dyDescent="0.3">
      <c r="A223">
        <v>28</v>
      </c>
      <c r="B223" s="168" t="s">
        <v>30</v>
      </c>
      <c r="C223" s="168" t="s">
        <v>41</v>
      </c>
      <c r="D223">
        <v>1239.3</v>
      </c>
      <c r="E223">
        <v>2020</v>
      </c>
      <c r="F223" s="168" t="s">
        <v>591</v>
      </c>
      <c r="G223" s="168" t="s">
        <v>617</v>
      </c>
      <c r="H223" s="168" t="s">
        <v>609</v>
      </c>
      <c r="I223">
        <v>2660</v>
      </c>
    </row>
    <row r="224" spans="1:9" x14ac:dyDescent="0.3">
      <c r="A224">
        <v>28</v>
      </c>
      <c r="B224" s="168" t="s">
        <v>30</v>
      </c>
      <c r="C224" s="168" t="s">
        <v>41</v>
      </c>
      <c r="D224">
        <v>1239.3</v>
      </c>
      <c r="E224">
        <v>2020</v>
      </c>
      <c r="F224" s="168" t="s">
        <v>591</v>
      </c>
      <c r="G224" s="168" t="s">
        <v>618</v>
      </c>
      <c r="H224" s="168" t="s">
        <v>608</v>
      </c>
      <c r="I224">
        <v>0</v>
      </c>
    </row>
    <row r="225" spans="1:9" x14ac:dyDescent="0.3">
      <c r="A225">
        <v>28</v>
      </c>
      <c r="B225" s="168" t="s">
        <v>30</v>
      </c>
      <c r="C225" s="168" t="s">
        <v>41</v>
      </c>
      <c r="D225">
        <v>1239.3</v>
      </c>
      <c r="E225">
        <v>2020</v>
      </c>
      <c r="F225" s="168" t="s">
        <v>591</v>
      </c>
      <c r="G225" s="168" t="s">
        <v>618</v>
      </c>
      <c r="H225" s="168" t="s">
        <v>609</v>
      </c>
      <c r="I225">
        <v>60000</v>
      </c>
    </row>
    <row r="226" spans="1:9" x14ac:dyDescent="0.3">
      <c r="A226">
        <v>28</v>
      </c>
      <c r="B226" s="168" t="s">
        <v>30</v>
      </c>
      <c r="C226" s="168" t="s">
        <v>41</v>
      </c>
      <c r="D226">
        <v>1239.3</v>
      </c>
      <c r="E226">
        <v>2020</v>
      </c>
      <c r="F226" s="168" t="s">
        <v>591</v>
      </c>
      <c r="G226" s="168" t="s">
        <v>610</v>
      </c>
      <c r="H226" s="168" t="s">
        <v>608</v>
      </c>
      <c r="I226">
        <v>0</v>
      </c>
    </row>
    <row r="227" spans="1:9" x14ac:dyDescent="0.3">
      <c r="A227">
        <v>28</v>
      </c>
      <c r="B227" s="168" t="s">
        <v>30</v>
      </c>
      <c r="C227" s="168" t="s">
        <v>41</v>
      </c>
      <c r="D227">
        <v>1239.3</v>
      </c>
      <c r="E227">
        <v>2020</v>
      </c>
      <c r="F227" s="168" t="s">
        <v>591</v>
      </c>
      <c r="G227" s="168" t="s">
        <v>610</v>
      </c>
      <c r="H227" s="168" t="s">
        <v>609</v>
      </c>
      <c r="I227">
        <v>3272.7272727272725</v>
      </c>
    </row>
    <row r="228" spans="1:9" x14ac:dyDescent="0.3">
      <c r="A228">
        <v>28</v>
      </c>
      <c r="B228" s="168" t="s">
        <v>30</v>
      </c>
      <c r="C228" s="168" t="s">
        <v>41</v>
      </c>
      <c r="D228">
        <v>1239.3</v>
      </c>
      <c r="E228">
        <v>2020</v>
      </c>
      <c r="F228" s="168" t="s">
        <v>591</v>
      </c>
      <c r="G228" s="168" t="s">
        <v>633</v>
      </c>
      <c r="H228" s="168" t="s">
        <v>608</v>
      </c>
      <c r="I228">
        <v>7081.0134501094772</v>
      </c>
    </row>
    <row r="229" spans="1:9" x14ac:dyDescent="0.3">
      <c r="A229">
        <v>28</v>
      </c>
      <c r="B229" s="168" t="s">
        <v>30</v>
      </c>
      <c r="C229" s="168" t="s">
        <v>41</v>
      </c>
      <c r="D229">
        <v>1239.3</v>
      </c>
      <c r="E229">
        <v>2020</v>
      </c>
      <c r="F229" s="168" t="s">
        <v>591</v>
      </c>
      <c r="G229" s="168" t="s">
        <v>633</v>
      </c>
      <c r="H229" s="168" t="s">
        <v>609</v>
      </c>
      <c r="I229">
        <v>3034.7200500469189</v>
      </c>
    </row>
    <row r="230" spans="1:9" x14ac:dyDescent="0.3">
      <c r="A230">
        <v>28</v>
      </c>
      <c r="B230" s="168" t="s">
        <v>30</v>
      </c>
      <c r="C230" s="168" t="s">
        <v>41</v>
      </c>
      <c r="D230">
        <v>1239.3</v>
      </c>
      <c r="E230">
        <v>2020</v>
      </c>
      <c r="F230" s="168" t="s">
        <v>591</v>
      </c>
      <c r="G230" s="168" t="s">
        <v>624</v>
      </c>
      <c r="H230" s="168" t="s">
        <v>608</v>
      </c>
      <c r="I230">
        <v>23184.267365174361</v>
      </c>
    </row>
    <row r="231" spans="1:9" x14ac:dyDescent="0.3">
      <c r="A231">
        <v>28</v>
      </c>
      <c r="B231" s="168" t="s">
        <v>30</v>
      </c>
      <c r="C231" s="168" t="s">
        <v>41</v>
      </c>
      <c r="D231">
        <v>1239.3</v>
      </c>
      <c r="E231">
        <v>2020</v>
      </c>
      <c r="F231" s="168" t="s">
        <v>591</v>
      </c>
      <c r="G231" s="168" t="s">
        <v>624</v>
      </c>
      <c r="H231" s="168" t="s">
        <v>609</v>
      </c>
      <c r="I231">
        <v>24389.466458643357</v>
      </c>
    </row>
    <row r="232" spans="1:9" x14ac:dyDescent="0.3">
      <c r="A232">
        <v>28</v>
      </c>
      <c r="B232" s="168" t="s">
        <v>30</v>
      </c>
      <c r="C232" s="168" t="s">
        <v>41</v>
      </c>
      <c r="D232">
        <v>1239.3</v>
      </c>
      <c r="E232">
        <v>2020</v>
      </c>
      <c r="F232" s="168" t="s">
        <v>591</v>
      </c>
      <c r="G232" s="168" t="s">
        <v>611</v>
      </c>
      <c r="H232" s="168" t="s">
        <v>608</v>
      </c>
      <c r="I232">
        <v>0</v>
      </c>
    </row>
    <row r="233" spans="1:9" x14ac:dyDescent="0.3">
      <c r="A233">
        <v>28</v>
      </c>
      <c r="B233" s="168" t="s">
        <v>30</v>
      </c>
      <c r="C233" s="168" t="s">
        <v>41</v>
      </c>
      <c r="D233">
        <v>1239.3</v>
      </c>
      <c r="E233">
        <v>2020</v>
      </c>
      <c r="F233" s="168" t="s">
        <v>591</v>
      </c>
      <c r="G233" s="168" t="s">
        <v>611</v>
      </c>
      <c r="H233" s="168" t="s">
        <v>609</v>
      </c>
      <c r="I233">
        <v>5179.7553323442844</v>
      </c>
    </row>
    <row r="234" spans="1:9" x14ac:dyDescent="0.3">
      <c r="A234">
        <v>28</v>
      </c>
      <c r="B234" s="168" t="s">
        <v>30</v>
      </c>
      <c r="C234" s="168" t="s">
        <v>41</v>
      </c>
      <c r="D234">
        <v>1239.3</v>
      </c>
      <c r="E234">
        <v>2020</v>
      </c>
      <c r="F234" s="168" t="s">
        <v>591</v>
      </c>
      <c r="G234" s="168" t="s">
        <v>613</v>
      </c>
      <c r="H234" s="168" t="s">
        <v>608</v>
      </c>
      <c r="I234">
        <v>87822.130182542503</v>
      </c>
    </row>
    <row r="235" spans="1:9" x14ac:dyDescent="0.3">
      <c r="A235">
        <v>28</v>
      </c>
      <c r="B235" s="168" t="s">
        <v>30</v>
      </c>
      <c r="C235" s="168" t="s">
        <v>41</v>
      </c>
      <c r="D235">
        <v>1239.3</v>
      </c>
      <c r="E235">
        <v>2020</v>
      </c>
      <c r="F235" s="168" t="s">
        <v>591</v>
      </c>
      <c r="G235" s="168" t="s">
        <v>613</v>
      </c>
      <c r="H235" s="168" t="s">
        <v>609</v>
      </c>
      <c r="I235">
        <v>35809.250100632562</v>
      </c>
    </row>
    <row r="236" spans="1:9" x14ac:dyDescent="0.3">
      <c r="A236">
        <v>29</v>
      </c>
      <c r="B236" s="168" t="s">
        <v>27</v>
      </c>
      <c r="C236" s="168" t="s">
        <v>42</v>
      </c>
      <c r="D236">
        <v>11233.4</v>
      </c>
      <c r="E236">
        <v>2020</v>
      </c>
      <c r="F236" s="168" t="s">
        <v>592</v>
      </c>
      <c r="G236" s="168" t="s">
        <v>607</v>
      </c>
      <c r="H236" s="168" t="s">
        <v>608</v>
      </c>
      <c r="I236">
        <v>182207.16994475399</v>
      </c>
    </row>
    <row r="237" spans="1:9" x14ac:dyDescent="0.3">
      <c r="A237">
        <v>29</v>
      </c>
      <c r="B237" s="168" t="s">
        <v>27</v>
      </c>
      <c r="C237" s="168" t="s">
        <v>42</v>
      </c>
      <c r="D237">
        <v>11233.4</v>
      </c>
      <c r="E237">
        <v>2020</v>
      </c>
      <c r="F237" s="168" t="s">
        <v>592</v>
      </c>
      <c r="G237" s="168" t="s">
        <v>607</v>
      </c>
      <c r="H237" s="168" t="s">
        <v>609</v>
      </c>
      <c r="I237">
        <v>1581367.1971666953</v>
      </c>
    </row>
    <row r="238" spans="1:9" x14ac:dyDescent="0.3">
      <c r="A238">
        <v>29</v>
      </c>
      <c r="B238" s="168" t="s">
        <v>27</v>
      </c>
      <c r="C238" s="168" t="s">
        <v>42</v>
      </c>
      <c r="D238">
        <v>11233.4</v>
      </c>
      <c r="E238">
        <v>2020</v>
      </c>
      <c r="F238" s="168" t="s">
        <v>592</v>
      </c>
      <c r="G238" s="168" t="s">
        <v>612</v>
      </c>
      <c r="H238" s="168" t="s">
        <v>608</v>
      </c>
      <c r="I238">
        <v>62529.884747159034</v>
      </c>
    </row>
    <row r="239" spans="1:9" x14ac:dyDescent="0.3">
      <c r="A239">
        <v>29</v>
      </c>
      <c r="B239" s="168" t="s">
        <v>27</v>
      </c>
      <c r="C239" s="168" t="s">
        <v>42</v>
      </c>
      <c r="D239">
        <v>11233.4</v>
      </c>
      <c r="E239">
        <v>2020</v>
      </c>
      <c r="F239" s="168" t="s">
        <v>592</v>
      </c>
      <c r="G239" s="168" t="s">
        <v>612</v>
      </c>
      <c r="H239" s="168" t="s">
        <v>609</v>
      </c>
      <c r="I239">
        <v>67157.096218448802</v>
      </c>
    </row>
    <row r="240" spans="1:9" x14ac:dyDescent="0.3">
      <c r="A240">
        <v>29</v>
      </c>
      <c r="B240" s="168" t="s">
        <v>27</v>
      </c>
      <c r="C240" s="168" t="s">
        <v>42</v>
      </c>
      <c r="D240">
        <v>11233.4</v>
      </c>
      <c r="E240">
        <v>2020</v>
      </c>
      <c r="F240" s="168" t="s">
        <v>592</v>
      </c>
      <c r="G240" s="168" t="s">
        <v>616</v>
      </c>
      <c r="H240" s="168" t="s">
        <v>608</v>
      </c>
      <c r="I240">
        <v>0</v>
      </c>
    </row>
    <row r="241" spans="1:9" x14ac:dyDescent="0.3">
      <c r="A241">
        <v>29</v>
      </c>
      <c r="B241" s="168" t="s">
        <v>27</v>
      </c>
      <c r="C241" s="168" t="s">
        <v>42</v>
      </c>
      <c r="D241">
        <v>11233.4</v>
      </c>
      <c r="E241">
        <v>2020</v>
      </c>
      <c r="F241" s="168" t="s">
        <v>592</v>
      </c>
      <c r="G241" s="168" t="s">
        <v>616</v>
      </c>
      <c r="H241" s="168" t="s">
        <v>609</v>
      </c>
      <c r="I241">
        <v>85643.74088692831</v>
      </c>
    </row>
    <row r="242" spans="1:9" x14ac:dyDescent="0.3">
      <c r="A242">
        <v>29</v>
      </c>
      <c r="B242" s="168" t="s">
        <v>27</v>
      </c>
      <c r="C242" s="168" t="s">
        <v>42</v>
      </c>
      <c r="D242">
        <v>11233.4</v>
      </c>
      <c r="E242">
        <v>2020</v>
      </c>
      <c r="F242" s="168" t="s">
        <v>592</v>
      </c>
      <c r="G242" s="168" t="s">
        <v>617</v>
      </c>
      <c r="H242" s="168" t="s">
        <v>608</v>
      </c>
      <c r="I242">
        <v>0</v>
      </c>
    </row>
    <row r="243" spans="1:9" x14ac:dyDescent="0.3">
      <c r="A243">
        <v>29</v>
      </c>
      <c r="B243" s="168" t="s">
        <v>27</v>
      </c>
      <c r="C243" s="168" t="s">
        <v>42</v>
      </c>
      <c r="D243">
        <v>11233.4</v>
      </c>
      <c r="E243">
        <v>2020</v>
      </c>
      <c r="F243" s="168" t="s">
        <v>592</v>
      </c>
      <c r="G243" s="168" t="s">
        <v>617</v>
      </c>
      <c r="H243" s="168" t="s">
        <v>609</v>
      </c>
      <c r="I243">
        <v>27379.340956284097</v>
      </c>
    </row>
    <row r="244" spans="1:9" x14ac:dyDescent="0.3">
      <c r="A244">
        <v>29</v>
      </c>
      <c r="B244" s="168" t="s">
        <v>27</v>
      </c>
      <c r="C244" s="168" t="s">
        <v>42</v>
      </c>
      <c r="D244">
        <v>11233.4</v>
      </c>
      <c r="E244">
        <v>2020</v>
      </c>
      <c r="F244" s="168" t="s">
        <v>592</v>
      </c>
      <c r="G244" s="168" t="s">
        <v>618</v>
      </c>
      <c r="H244" s="168" t="s">
        <v>608</v>
      </c>
      <c r="I244">
        <v>0</v>
      </c>
    </row>
    <row r="245" spans="1:9" x14ac:dyDescent="0.3">
      <c r="A245">
        <v>29</v>
      </c>
      <c r="B245" s="168" t="s">
        <v>27</v>
      </c>
      <c r="C245" s="168" t="s">
        <v>42</v>
      </c>
      <c r="D245">
        <v>11233.4</v>
      </c>
      <c r="E245">
        <v>2020</v>
      </c>
      <c r="F245" s="168" t="s">
        <v>592</v>
      </c>
      <c r="G245" s="168" t="s">
        <v>618</v>
      </c>
      <c r="H245" s="168" t="s">
        <v>609</v>
      </c>
      <c r="I245">
        <v>41000</v>
      </c>
    </row>
    <row r="246" spans="1:9" x14ac:dyDescent="0.3">
      <c r="A246">
        <v>29</v>
      </c>
      <c r="B246" s="168" t="s">
        <v>27</v>
      </c>
      <c r="C246" s="168" t="s">
        <v>42</v>
      </c>
      <c r="D246">
        <v>11233.4</v>
      </c>
      <c r="E246">
        <v>2020</v>
      </c>
      <c r="F246" s="168" t="s">
        <v>592</v>
      </c>
      <c r="G246" s="168" t="s">
        <v>610</v>
      </c>
      <c r="H246" s="168" t="s">
        <v>608</v>
      </c>
      <c r="I246">
        <v>0</v>
      </c>
    </row>
    <row r="247" spans="1:9" x14ac:dyDescent="0.3">
      <c r="A247">
        <v>29</v>
      </c>
      <c r="B247" s="168" t="s">
        <v>27</v>
      </c>
      <c r="C247" s="168" t="s">
        <v>42</v>
      </c>
      <c r="D247">
        <v>11233.4</v>
      </c>
      <c r="E247">
        <v>2020</v>
      </c>
      <c r="F247" s="168" t="s">
        <v>592</v>
      </c>
      <c r="G247" s="168" t="s">
        <v>610</v>
      </c>
      <c r="H247" s="168" t="s">
        <v>609</v>
      </c>
      <c r="I247">
        <v>6545.454545454545</v>
      </c>
    </row>
    <row r="248" spans="1:9" x14ac:dyDescent="0.3">
      <c r="A248">
        <v>29</v>
      </c>
      <c r="B248" s="168" t="s">
        <v>27</v>
      </c>
      <c r="C248" s="168" t="s">
        <v>42</v>
      </c>
      <c r="D248">
        <v>11233.4</v>
      </c>
      <c r="E248">
        <v>2020</v>
      </c>
      <c r="F248" s="168" t="s">
        <v>592</v>
      </c>
      <c r="G248" s="168" t="s">
        <v>620</v>
      </c>
      <c r="H248" s="168" t="s">
        <v>608</v>
      </c>
      <c r="I248">
        <v>50555.165934721219</v>
      </c>
    </row>
    <row r="249" spans="1:9" x14ac:dyDescent="0.3">
      <c r="A249">
        <v>29</v>
      </c>
      <c r="B249" s="168" t="s">
        <v>27</v>
      </c>
      <c r="C249" s="168" t="s">
        <v>42</v>
      </c>
      <c r="D249">
        <v>11233.4</v>
      </c>
      <c r="E249">
        <v>2020</v>
      </c>
      <c r="F249" s="168" t="s">
        <v>592</v>
      </c>
      <c r="G249" s="168" t="s">
        <v>620</v>
      </c>
      <c r="H249" s="168" t="s">
        <v>609</v>
      </c>
      <c r="I249">
        <v>5476.8096429281322</v>
      </c>
    </row>
    <row r="250" spans="1:9" x14ac:dyDescent="0.3">
      <c r="A250">
        <v>29</v>
      </c>
      <c r="B250" s="168" t="s">
        <v>27</v>
      </c>
      <c r="C250" s="168" t="s">
        <v>42</v>
      </c>
      <c r="D250">
        <v>11233.4</v>
      </c>
      <c r="E250">
        <v>2020</v>
      </c>
      <c r="F250" s="168" t="s">
        <v>592</v>
      </c>
      <c r="G250" s="168" t="s">
        <v>633</v>
      </c>
      <c r="H250" s="168" t="s">
        <v>608</v>
      </c>
      <c r="I250">
        <v>60814.219976540648</v>
      </c>
    </row>
    <row r="251" spans="1:9" x14ac:dyDescent="0.3">
      <c r="A251">
        <v>29</v>
      </c>
      <c r="B251" s="168" t="s">
        <v>27</v>
      </c>
      <c r="C251" s="168" t="s">
        <v>42</v>
      </c>
      <c r="D251">
        <v>11233.4</v>
      </c>
      <c r="E251">
        <v>2020</v>
      </c>
      <c r="F251" s="168" t="s">
        <v>592</v>
      </c>
      <c r="G251" s="168" t="s">
        <v>633</v>
      </c>
      <c r="H251" s="168" t="s">
        <v>609</v>
      </c>
      <c r="I251">
        <v>29298.912927116478</v>
      </c>
    </row>
    <row r="252" spans="1:9" x14ac:dyDescent="0.3">
      <c r="A252">
        <v>29</v>
      </c>
      <c r="B252" s="168" t="s">
        <v>27</v>
      </c>
      <c r="C252" s="168" t="s">
        <v>42</v>
      </c>
      <c r="D252">
        <v>11233.4</v>
      </c>
      <c r="E252">
        <v>2020</v>
      </c>
      <c r="F252" s="168" t="s">
        <v>592</v>
      </c>
      <c r="G252" s="168" t="s">
        <v>611</v>
      </c>
      <c r="H252" s="168" t="s">
        <v>608</v>
      </c>
      <c r="I252">
        <v>0</v>
      </c>
    </row>
    <row r="253" spans="1:9" x14ac:dyDescent="0.3">
      <c r="A253">
        <v>29</v>
      </c>
      <c r="B253" s="168" t="s">
        <v>27</v>
      </c>
      <c r="C253" s="168" t="s">
        <v>42</v>
      </c>
      <c r="D253">
        <v>11233.4</v>
      </c>
      <c r="E253">
        <v>2020</v>
      </c>
      <c r="F253" s="168" t="s">
        <v>592</v>
      </c>
      <c r="G253" s="168" t="s">
        <v>611</v>
      </c>
      <c r="H253" s="168" t="s">
        <v>609</v>
      </c>
      <c r="I253">
        <v>7010</v>
      </c>
    </row>
    <row r="254" spans="1:9" x14ac:dyDescent="0.3">
      <c r="A254">
        <v>29</v>
      </c>
      <c r="B254" s="168" t="s">
        <v>27</v>
      </c>
      <c r="C254" s="168" t="s">
        <v>42</v>
      </c>
      <c r="D254">
        <v>11233.4</v>
      </c>
      <c r="E254">
        <v>2020</v>
      </c>
      <c r="F254" s="168" t="s">
        <v>592</v>
      </c>
      <c r="G254" s="168" t="s">
        <v>621</v>
      </c>
      <c r="H254" s="168" t="s">
        <v>608</v>
      </c>
      <c r="I254">
        <v>0</v>
      </c>
    </row>
    <row r="255" spans="1:9" x14ac:dyDescent="0.3">
      <c r="A255">
        <v>29</v>
      </c>
      <c r="B255" s="168" t="s">
        <v>27</v>
      </c>
      <c r="C255" s="168" t="s">
        <v>42</v>
      </c>
      <c r="D255">
        <v>11233.4</v>
      </c>
      <c r="E255">
        <v>2020</v>
      </c>
      <c r="F255" s="168" t="s">
        <v>592</v>
      </c>
      <c r="G255" s="168" t="s">
        <v>621</v>
      </c>
      <c r="H255" s="168" t="s">
        <v>609</v>
      </c>
      <c r="I255">
        <v>1143540.0584762811</v>
      </c>
    </row>
    <row r="256" spans="1:9" x14ac:dyDescent="0.3">
      <c r="A256">
        <v>29</v>
      </c>
      <c r="B256" s="168" t="s">
        <v>27</v>
      </c>
      <c r="C256" s="168" t="s">
        <v>42</v>
      </c>
      <c r="D256">
        <v>11233.4</v>
      </c>
      <c r="E256">
        <v>2020</v>
      </c>
      <c r="F256" s="168" t="s">
        <v>592</v>
      </c>
      <c r="G256" s="168" t="s">
        <v>613</v>
      </c>
      <c r="H256" s="168" t="s">
        <v>608</v>
      </c>
      <c r="I256">
        <v>31809.596624615948</v>
      </c>
    </row>
    <row r="257" spans="1:9" x14ac:dyDescent="0.3">
      <c r="A257">
        <v>29</v>
      </c>
      <c r="B257" s="168" t="s">
        <v>27</v>
      </c>
      <c r="C257" s="168" t="s">
        <v>42</v>
      </c>
      <c r="D257">
        <v>11233.4</v>
      </c>
      <c r="E257">
        <v>2020</v>
      </c>
      <c r="F257" s="168" t="s">
        <v>592</v>
      </c>
      <c r="G257" s="168" t="s">
        <v>613</v>
      </c>
      <c r="H257" s="168" t="s">
        <v>609</v>
      </c>
      <c r="I257">
        <v>698220.64591032011</v>
      </c>
    </row>
    <row r="258" spans="1:9" x14ac:dyDescent="0.3">
      <c r="A258">
        <v>29</v>
      </c>
      <c r="B258" s="168" t="s">
        <v>27</v>
      </c>
      <c r="C258" s="168" t="s">
        <v>42</v>
      </c>
      <c r="D258">
        <v>11233.4</v>
      </c>
      <c r="E258">
        <v>2020</v>
      </c>
      <c r="F258" s="168" t="s">
        <v>592</v>
      </c>
      <c r="G258" s="168" t="s">
        <v>622</v>
      </c>
      <c r="H258" s="168" t="s">
        <v>608</v>
      </c>
      <c r="I258">
        <v>125231.77956819121</v>
      </c>
    </row>
    <row r="259" spans="1:9" x14ac:dyDescent="0.3">
      <c r="A259">
        <v>29</v>
      </c>
      <c r="B259" s="168" t="s">
        <v>27</v>
      </c>
      <c r="C259" s="168" t="s">
        <v>42</v>
      </c>
      <c r="D259">
        <v>11233.4</v>
      </c>
      <c r="E259">
        <v>2020</v>
      </c>
      <c r="F259" s="168" t="s">
        <v>592</v>
      </c>
      <c r="G259" s="168" t="s">
        <v>622</v>
      </c>
      <c r="H259" s="168" t="s">
        <v>609</v>
      </c>
      <c r="I259">
        <v>0</v>
      </c>
    </row>
    <row r="260" spans="1:9" x14ac:dyDescent="0.3">
      <c r="A260">
        <v>30</v>
      </c>
      <c r="B260" s="168" t="s">
        <v>43</v>
      </c>
      <c r="C260" s="168" t="s">
        <v>44</v>
      </c>
      <c r="D260">
        <v>235.9</v>
      </c>
      <c r="E260">
        <v>2020</v>
      </c>
      <c r="F260" s="168" t="s">
        <v>592</v>
      </c>
      <c r="G260" s="168" t="s">
        <v>607</v>
      </c>
      <c r="H260" s="168" t="s">
        <v>608</v>
      </c>
      <c r="I260">
        <v>0</v>
      </c>
    </row>
    <row r="261" spans="1:9" x14ac:dyDescent="0.3">
      <c r="A261">
        <v>30</v>
      </c>
      <c r="B261" s="168" t="s">
        <v>43</v>
      </c>
      <c r="C261" s="168" t="s">
        <v>44</v>
      </c>
      <c r="D261">
        <v>235.9</v>
      </c>
      <c r="E261">
        <v>2020</v>
      </c>
      <c r="F261" s="168" t="s">
        <v>592</v>
      </c>
      <c r="G261" s="168" t="s">
        <v>607</v>
      </c>
      <c r="H261" s="168" t="s">
        <v>609</v>
      </c>
      <c r="I261">
        <v>20539.661940985508</v>
      </c>
    </row>
    <row r="262" spans="1:9" x14ac:dyDescent="0.3">
      <c r="A262">
        <v>30</v>
      </c>
      <c r="B262" s="168" t="s">
        <v>43</v>
      </c>
      <c r="C262" s="168" t="s">
        <v>44</v>
      </c>
      <c r="D262">
        <v>235.9</v>
      </c>
      <c r="E262">
        <v>2020</v>
      </c>
      <c r="F262" s="168" t="s">
        <v>592</v>
      </c>
      <c r="G262" s="168" t="s">
        <v>612</v>
      </c>
      <c r="H262" s="168" t="s">
        <v>608</v>
      </c>
      <c r="I262">
        <v>1313.1197866945731</v>
      </c>
    </row>
    <row r="263" spans="1:9" x14ac:dyDescent="0.3">
      <c r="A263">
        <v>30</v>
      </c>
      <c r="B263" s="168" t="s">
        <v>43</v>
      </c>
      <c r="C263" s="168" t="s">
        <v>44</v>
      </c>
      <c r="D263">
        <v>235.9</v>
      </c>
      <c r="E263">
        <v>2020</v>
      </c>
      <c r="F263" s="168" t="s">
        <v>592</v>
      </c>
      <c r="G263" s="168" t="s">
        <v>612</v>
      </c>
      <c r="H263" s="168" t="s">
        <v>609</v>
      </c>
      <c r="I263">
        <v>1410.2906509099714</v>
      </c>
    </row>
    <row r="264" spans="1:9" x14ac:dyDescent="0.3">
      <c r="A264">
        <v>30</v>
      </c>
      <c r="B264" s="168" t="s">
        <v>43</v>
      </c>
      <c r="C264" s="168" t="s">
        <v>44</v>
      </c>
      <c r="D264">
        <v>235.9</v>
      </c>
      <c r="E264">
        <v>2020</v>
      </c>
      <c r="F264" s="168" t="s">
        <v>592</v>
      </c>
      <c r="G264" s="168" t="s">
        <v>617</v>
      </c>
      <c r="H264" s="168" t="s">
        <v>608</v>
      </c>
      <c r="I264">
        <v>0</v>
      </c>
    </row>
    <row r="265" spans="1:9" x14ac:dyDescent="0.3">
      <c r="A265">
        <v>30</v>
      </c>
      <c r="B265" s="168" t="s">
        <v>43</v>
      </c>
      <c r="C265" s="168" t="s">
        <v>44</v>
      </c>
      <c r="D265">
        <v>235.9</v>
      </c>
      <c r="E265">
        <v>2020</v>
      </c>
      <c r="F265" s="168" t="s">
        <v>592</v>
      </c>
      <c r="G265" s="168" t="s">
        <v>617</v>
      </c>
      <c r="H265" s="168" t="s">
        <v>609</v>
      </c>
      <c r="I265">
        <v>330.90618624703245</v>
      </c>
    </row>
    <row r="266" spans="1:9" x14ac:dyDescent="0.3">
      <c r="A266">
        <v>30</v>
      </c>
      <c r="B266" s="168" t="s">
        <v>43</v>
      </c>
      <c r="C266" s="168" t="s">
        <v>44</v>
      </c>
      <c r="D266">
        <v>235.9</v>
      </c>
      <c r="E266">
        <v>2020</v>
      </c>
      <c r="F266" s="168" t="s">
        <v>592</v>
      </c>
      <c r="G266" s="168" t="s">
        <v>610</v>
      </c>
      <c r="H266" s="168" t="s">
        <v>608</v>
      </c>
      <c r="I266">
        <v>0</v>
      </c>
    </row>
    <row r="267" spans="1:9" x14ac:dyDescent="0.3">
      <c r="A267">
        <v>30</v>
      </c>
      <c r="B267" s="168" t="s">
        <v>43</v>
      </c>
      <c r="C267" s="168" t="s">
        <v>44</v>
      </c>
      <c r="D267">
        <v>235.9</v>
      </c>
      <c r="E267">
        <v>2020</v>
      </c>
      <c r="F267" s="168" t="s">
        <v>592</v>
      </c>
      <c r="G267" s="168" t="s">
        <v>610</v>
      </c>
      <c r="H267" s="168" t="s">
        <v>609</v>
      </c>
      <c r="I267">
        <v>3272.7272727272725</v>
      </c>
    </row>
    <row r="268" spans="1:9" x14ac:dyDescent="0.3">
      <c r="A268">
        <v>30</v>
      </c>
      <c r="B268" s="168" t="s">
        <v>43</v>
      </c>
      <c r="C268" s="168" t="s">
        <v>44</v>
      </c>
      <c r="D268">
        <v>235.9</v>
      </c>
      <c r="E268">
        <v>2020</v>
      </c>
      <c r="F268" s="168" t="s">
        <v>592</v>
      </c>
      <c r="G268" s="168" t="s">
        <v>611</v>
      </c>
      <c r="H268" s="168" t="s">
        <v>608</v>
      </c>
      <c r="I268">
        <v>0</v>
      </c>
    </row>
    <row r="269" spans="1:9" x14ac:dyDescent="0.3">
      <c r="A269">
        <v>30</v>
      </c>
      <c r="B269" s="168" t="s">
        <v>43</v>
      </c>
      <c r="C269" s="168" t="s">
        <v>44</v>
      </c>
      <c r="D269">
        <v>235.9</v>
      </c>
      <c r="E269">
        <v>2020</v>
      </c>
      <c r="F269" s="168" t="s">
        <v>592</v>
      </c>
      <c r="G269" s="168" t="s">
        <v>611</v>
      </c>
      <c r="H269" s="168" t="s">
        <v>609</v>
      </c>
      <c r="I269">
        <v>7010</v>
      </c>
    </row>
    <row r="270" spans="1:9" x14ac:dyDescent="0.3">
      <c r="A270">
        <v>30</v>
      </c>
      <c r="B270" s="168" t="s">
        <v>43</v>
      </c>
      <c r="C270" s="168" t="s">
        <v>44</v>
      </c>
      <c r="D270">
        <v>235.9</v>
      </c>
      <c r="E270">
        <v>2020</v>
      </c>
      <c r="F270" s="168" t="s">
        <v>592</v>
      </c>
      <c r="G270" s="168" t="s">
        <v>621</v>
      </c>
      <c r="H270" s="168" t="s">
        <v>608</v>
      </c>
      <c r="I270">
        <v>0</v>
      </c>
    </row>
    <row r="271" spans="1:9" x14ac:dyDescent="0.3">
      <c r="A271">
        <v>30</v>
      </c>
      <c r="B271" s="168" t="s">
        <v>43</v>
      </c>
      <c r="C271" s="168" t="s">
        <v>44</v>
      </c>
      <c r="D271">
        <v>235.9</v>
      </c>
      <c r="E271">
        <v>2020</v>
      </c>
      <c r="F271" s="168" t="s">
        <v>592</v>
      </c>
      <c r="G271" s="168" t="s">
        <v>621</v>
      </c>
      <c r="H271" s="168" t="s">
        <v>609</v>
      </c>
      <c r="I271">
        <v>24014.198710502136</v>
      </c>
    </row>
    <row r="272" spans="1:9" x14ac:dyDescent="0.3">
      <c r="A272">
        <v>30</v>
      </c>
      <c r="B272" s="168" t="s">
        <v>43</v>
      </c>
      <c r="C272" s="168" t="s">
        <v>44</v>
      </c>
      <c r="D272">
        <v>235.9</v>
      </c>
      <c r="E272">
        <v>2020</v>
      </c>
      <c r="F272" s="168" t="s">
        <v>592</v>
      </c>
      <c r="G272" s="168" t="s">
        <v>613</v>
      </c>
      <c r="H272" s="168" t="s">
        <v>608</v>
      </c>
      <c r="I272">
        <v>667.99756473969614</v>
      </c>
    </row>
    <row r="273" spans="1:9" x14ac:dyDescent="0.3">
      <c r="A273">
        <v>30</v>
      </c>
      <c r="B273" s="168" t="s">
        <v>43</v>
      </c>
      <c r="C273" s="168" t="s">
        <v>44</v>
      </c>
      <c r="D273">
        <v>235.9</v>
      </c>
      <c r="E273">
        <v>2020</v>
      </c>
      <c r="F273" s="168" t="s">
        <v>592</v>
      </c>
      <c r="G273" s="168" t="s">
        <v>613</v>
      </c>
      <c r="H273" s="168" t="s">
        <v>609</v>
      </c>
      <c r="I273">
        <v>14662.546546036332</v>
      </c>
    </row>
    <row r="274" spans="1:9" x14ac:dyDescent="0.3">
      <c r="A274">
        <v>31</v>
      </c>
      <c r="B274" s="168" t="s">
        <v>45</v>
      </c>
      <c r="C274" s="168" t="s">
        <v>46</v>
      </c>
      <c r="D274">
        <v>173.4</v>
      </c>
      <c r="E274">
        <v>2020</v>
      </c>
      <c r="F274" s="168" t="s">
        <v>593</v>
      </c>
      <c r="G274" s="168" t="s">
        <v>607</v>
      </c>
      <c r="H274" s="168" t="s">
        <v>608</v>
      </c>
      <c r="I274">
        <v>0</v>
      </c>
    </row>
    <row r="275" spans="1:9" x14ac:dyDescent="0.3">
      <c r="A275">
        <v>31</v>
      </c>
      <c r="B275" s="168" t="s">
        <v>45</v>
      </c>
      <c r="C275" s="168" t="s">
        <v>46</v>
      </c>
      <c r="D275">
        <v>173.4</v>
      </c>
      <c r="E275">
        <v>2020</v>
      </c>
      <c r="F275" s="168" t="s">
        <v>593</v>
      </c>
      <c r="G275" s="168" t="s">
        <v>607</v>
      </c>
      <c r="H275" s="168" t="s">
        <v>609</v>
      </c>
      <c r="I275">
        <v>15097.826962979596</v>
      </c>
    </row>
    <row r="276" spans="1:9" x14ac:dyDescent="0.3">
      <c r="A276">
        <v>31</v>
      </c>
      <c r="B276" s="168" t="s">
        <v>45</v>
      </c>
      <c r="C276" s="168" t="s">
        <v>46</v>
      </c>
      <c r="D276">
        <v>173.4</v>
      </c>
      <c r="E276">
        <v>2020</v>
      </c>
      <c r="F276" s="168" t="s">
        <v>593</v>
      </c>
      <c r="G276" s="168" t="s">
        <v>612</v>
      </c>
      <c r="H276" s="168" t="s">
        <v>608</v>
      </c>
      <c r="I276">
        <v>965.2181899654048</v>
      </c>
    </row>
    <row r="277" spans="1:9" x14ac:dyDescent="0.3">
      <c r="A277">
        <v>31</v>
      </c>
      <c r="B277" s="168" t="s">
        <v>45</v>
      </c>
      <c r="C277" s="168" t="s">
        <v>46</v>
      </c>
      <c r="D277">
        <v>173.4</v>
      </c>
      <c r="E277">
        <v>2020</v>
      </c>
      <c r="F277" s="168" t="s">
        <v>593</v>
      </c>
      <c r="G277" s="168" t="s">
        <v>612</v>
      </c>
      <c r="H277" s="168" t="s">
        <v>609</v>
      </c>
      <c r="I277">
        <v>1036.6443360228448</v>
      </c>
    </row>
    <row r="278" spans="1:9" x14ac:dyDescent="0.3">
      <c r="A278">
        <v>31</v>
      </c>
      <c r="B278" s="168" t="s">
        <v>45</v>
      </c>
      <c r="C278" s="168" t="s">
        <v>46</v>
      </c>
      <c r="D278">
        <v>173.4</v>
      </c>
      <c r="E278">
        <v>2020</v>
      </c>
      <c r="F278" s="168" t="s">
        <v>593</v>
      </c>
      <c r="G278" s="168" t="s">
        <v>617</v>
      </c>
      <c r="H278" s="168" t="s">
        <v>608</v>
      </c>
      <c r="I278">
        <v>0</v>
      </c>
    </row>
    <row r="279" spans="1:9" x14ac:dyDescent="0.3">
      <c r="A279">
        <v>31</v>
      </c>
      <c r="B279" s="168" t="s">
        <v>45</v>
      </c>
      <c r="C279" s="168" t="s">
        <v>46</v>
      </c>
      <c r="D279">
        <v>173.4</v>
      </c>
      <c r="E279">
        <v>2020</v>
      </c>
      <c r="F279" s="168" t="s">
        <v>593</v>
      </c>
      <c r="G279" s="168" t="s">
        <v>617</v>
      </c>
      <c r="H279" s="168" t="s">
        <v>609</v>
      </c>
      <c r="I279">
        <v>243.23498387128203</v>
      </c>
    </row>
    <row r="280" spans="1:9" x14ac:dyDescent="0.3">
      <c r="A280">
        <v>32</v>
      </c>
      <c r="B280" s="168" t="s">
        <v>30</v>
      </c>
      <c r="C280" s="168" t="s">
        <v>47</v>
      </c>
      <c r="D280">
        <v>1971</v>
      </c>
      <c r="E280">
        <v>2020</v>
      </c>
      <c r="F280" s="168" t="s">
        <v>591</v>
      </c>
      <c r="G280" s="168" t="s">
        <v>607</v>
      </c>
      <c r="H280" s="168" t="s">
        <v>608</v>
      </c>
      <c r="I280">
        <v>31969.869492861519</v>
      </c>
    </row>
    <row r="281" spans="1:9" x14ac:dyDescent="0.3">
      <c r="A281">
        <v>32</v>
      </c>
      <c r="B281" s="168" t="s">
        <v>30</v>
      </c>
      <c r="C281" s="168" t="s">
        <v>47</v>
      </c>
      <c r="D281">
        <v>1971</v>
      </c>
      <c r="E281">
        <v>2020</v>
      </c>
      <c r="F281" s="168" t="s">
        <v>591</v>
      </c>
      <c r="G281" s="168" t="s">
        <v>607</v>
      </c>
      <c r="H281" s="168" t="s">
        <v>609</v>
      </c>
      <c r="I281">
        <v>350225.19208641688</v>
      </c>
    </row>
    <row r="282" spans="1:9" x14ac:dyDescent="0.3">
      <c r="A282">
        <v>32</v>
      </c>
      <c r="B282" s="168" t="s">
        <v>30</v>
      </c>
      <c r="C282" s="168" t="s">
        <v>47</v>
      </c>
      <c r="D282">
        <v>1971</v>
      </c>
      <c r="E282">
        <v>2020</v>
      </c>
      <c r="F282" s="168" t="s">
        <v>591</v>
      </c>
      <c r="G282" s="168" t="s">
        <v>612</v>
      </c>
      <c r="H282" s="168" t="s">
        <v>608</v>
      </c>
      <c r="I282">
        <v>10971.424754451054</v>
      </c>
    </row>
    <row r="283" spans="1:9" x14ac:dyDescent="0.3">
      <c r="A283">
        <v>32</v>
      </c>
      <c r="B283" s="168" t="s">
        <v>30</v>
      </c>
      <c r="C283" s="168" t="s">
        <v>47</v>
      </c>
      <c r="D283">
        <v>1971</v>
      </c>
      <c r="E283">
        <v>2020</v>
      </c>
      <c r="F283" s="168" t="s">
        <v>591</v>
      </c>
      <c r="G283" s="168" t="s">
        <v>612</v>
      </c>
      <c r="H283" s="168" t="s">
        <v>609</v>
      </c>
      <c r="I283">
        <v>11783.310186280432</v>
      </c>
    </row>
    <row r="284" spans="1:9" x14ac:dyDescent="0.3">
      <c r="A284">
        <v>32</v>
      </c>
      <c r="B284" s="168" t="s">
        <v>30</v>
      </c>
      <c r="C284" s="168" t="s">
        <v>47</v>
      </c>
      <c r="D284">
        <v>1971</v>
      </c>
      <c r="E284">
        <v>2020</v>
      </c>
      <c r="F284" s="168" t="s">
        <v>591</v>
      </c>
      <c r="G284" s="168" t="s">
        <v>616</v>
      </c>
      <c r="H284" s="168" t="s">
        <v>608</v>
      </c>
      <c r="I284">
        <v>0</v>
      </c>
    </row>
    <row r="285" spans="1:9" x14ac:dyDescent="0.3">
      <c r="A285">
        <v>32</v>
      </c>
      <c r="B285" s="168" t="s">
        <v>30</v>
      </c>
      <c r="C285" s="168" t="s">
        <v>47</v>
      </c>
      <c r="D285">
        <v>1971</v>
      </c>
      <c r="E285">
        <v>2020</v>
      </c>
      <c r="F285" s="168" t="s">
        <v>591</v>
      </c>
      <c r="G285" s="168" t="s">
        <v>616</v>
      </c>
      <c r="H285" s="168" t="s">
        <v>609</v>
      </c>
      <c r="I285">
        <v>8386.8036750804349</v>
      </c>
    </row>
    <row r="286" spans="1:9" x14ac:dyDescent="0.3">
      <c r="A286">
        <v>32</v>
      </c>
      <c r="B286" s="168" t="s">
        <v>30</v>
      </c>
      <c r="C286" s="168" t="s">
        <v>47</v>
      </c>
      <c r="D286">
        <v>1971</v>
      </c>
      <c r="E286">
        <v>2020</v>
      </c>
      <c r="F286" s="168" t="s">
        <v>591</v>
      </c>
      <c r="G286" s="168" t="s">
        <v>617</v>
      </c>
      <c r="H286" s="168" t="s">
        <v>608</v>
      </c>
      <c r="I286">
        <v>0</v>
      </c>
    </row>
    <row r="287" spans="1:9" x14ac:dyDescent="0.3">
      <c r="A287">
        <v>32</v>
      </c>
      <c r="B287" s="168" t="s">
        <v>30</v>
      </c>
      <c r="C287" s="168" t="s">
        <v>47</v>
      </c>
      <c r="D287">
        <v>1971</v>
      </c>
      <c r="E287">
        <v>2020</v>
      </c>
      <c r="F287" s="168" t="s">
        <v>591</v>
      </c>
      <c r="G287" s="168" t="s">
        <v>617</v>
      </c>
      <c r="H287" s="168" t="s">
        <v>609</v>
      </c>
      <c r="I287">
        <v>2764.7990381216655</v>
      </c>
    </row>
    <row r="288" spans="1:9" x14ac:dyDescent="0.3">
      <c r="A288">
        <v>32</v>
      </c>
      <c r="B288" s="168" t="s">
        <v>30</v>
      </c>
      <c r="C288" s="168" t="s">
        <v>47</v>
      </c>
      <c r="D288">
        <v>1971</v>
      </c>
      <c r="E288">
        <v>2020</v>
      </c>
      <c r="F288" s="168" t="s">
        <v>591</v>
      </c>
      <c r="G288" s="168" t="s">
        <v>610</v>
      </c>
      <c r="H288" s="168" t="s">
        <v>608</v>
      </c>
      <c r="I288">
        <v>0</v>
      </c>
    </row>
    <row r="289" spans="1:9" x14ac:dyDescent="0.3">
      <c r="A289">
        <v>32</v>
      </c>
      <c r="B289" s="168" t="s">
        <v>30</v>
      </c>
      <c r="C289" s="168" t="s">
        <v>47</v>
      </c>
      <c r="D289">
        <v>1971</v>
      </c>
      <c r="E289">
        <v>2020</v>
      </c>
      <c r="F289" s="168" t="s">
        <v>591</v>
      </c>
      <c r="G289" s="168" t="s">
        <v>610</v>
      </c>
      <c r="H289" s="168" t="s">
        <v>609</v>
      </c>
      <c r="I289">
        <v>6545.454545454545</v>
      </c>
    </row>
    <row r="290" spans="1:9" x14ac:dyDescent="0.3">
      <c r="A290">
        <v>32</v>
      </c>
      <c r="B290" s="168" t="s">
        <v>30</v>
      </c>
      <c r="C290" s="168" t="s">
        <v>47</v>
      </c>
      <c r="D290">
        <v>1971</v>
      </c>
      <c r="E290">
        <v>2020</v>
      </c>
      <c r="F290" s="168" t="s">
        <v>591</v>
      </c>
      <c r="G290" s="168" t="s">
        <v>620</v>
      </c>
      <c r="H290" s="168" t="s">
        <v>608</v>
      </c>
      <c r="I290">
        <v>8870.3537715505117</v>
      </c>
    </row>
    <row r="291" spans="1:9" x14ac:dyDescent="0.3">
      <c r="A291">
        <v>32</v>
      </c>
      <c r="B291" s="168" t="s">
        <v>30</v>
      </c>
      <c r="C291" s="168" t="s">
        <v>47</v>
      </c>
      <c r="D291">
        <v>1971</v>
      </c>
      <c r="E291">
        <v>2020</v>
      </c>
      <c r="F291" s="168" t="s">
        <v>591</v>
      </c>
      <c r="G291" s="168" t="s">
        <v>620</v>
      </c>
      <c r="H291" s="168" t="s">
        <v>609</v>
      </c>
      <c r="I291">
        <v>960.95499191797205</v>
      </c>
    </row>
    <row r="292" spans="1:9" x14ac:dyDescent="0.3">
      <c r="A292">
        <v>32</v>
      </c>
      <c r="B292" s="168" t="s">
        <v>30</v>
      </c>
      <c r="C292" s="168" t="s">
        <v>47</v>
      </c>
      <c r="D292">
        <v>1971</v>
      </c>
      <c r="E292">
        <v>2020</v>
      </c>
      <c r="F292" s="168" t="s">
        <v>591</v>
      </c>
      <c r="G292" s="168" t="s">
        <v>633</v>
      </c>
      <c r="H292" s="168" t="s">
        <v>608</v>
      </c>
      <c r="I292">
        <v>10670.396102138411</v>
      </c>
    </row>
    <row r="293" spans="1:9" x14ac:dyDescent="0.3">
      <c r="A293">
        <v>32</v>
      </c>
      <c r="B293" s="168" t="s">
        <v>30</v>
      </c>
      <c r="C293" s="168" t="s">
        <v>47</v>
      </c>
      <c r="D293">
        <v>1971</v>
      </c>
      <c r="E293">
        <v>2020</v>
      </c>
      <c r="F293" s="168" t="s">
        <v>591</v>
      </c>
      <c r="G293" s="168" t="s">
        <v>633</v>
      </c>
      <c r="H293" s="168" t="s">
        <v>609</v>
      </c>
      <c r="I293">
        <v>5140.7550144521329</v>
      </c>
    </row>
    <row r="294" spans="1:9" x14ac:dyDescent="0.3">
      <c r="A294">
        <v>32</v>
      </c>
      <c r="B294" s="168" t="s">
        <v>30</v>
      </c>
      <c r="C294" s="168" t="s">
        <v>47</v>
      </c>
      <c r="D294">
        <v>1971</v>
      </c>
      <c r="E294">
        <v>2020</v>
      </c>
      <c r="F294" s="168" t="s">
        <v>591</v>
      </c>
      <c r="G294" s="168" t="s">
        <v>613</v>
      </c>
      <c r="H294" s="168" t="s">
        <v>608</v>
      </c>
      <c r="I294">
        <v>5581.2768126407</v>
      </c>
    </row>
    <row r="295" spans="1:9" x14ac:dyDescent="0.3">
      <c r="A295">
        <v>32</v>
      </c>
      <c r="B295" s="168" t="s">
        <v>30</v>
      </c>
      <c r="C295" s="168" t="s">
        <v>47</v>
      </c>
      <c r="D295">
        <v>1971</v>
      </c>
      <c r="E295">
        <v>2020</v>
      </c>
      <c r="F295" s="168" t="s">
        <v>591</v>
      </c>
      <c r="G295" s="168" t="s">
        <v>613</v>
      </c>
      <c r="H295" s="168" t="s">
        <v>609</v>
      </c>
      <c r="I295">
        <v>122509.02603746337</v>
      </c>
    </row>
    <row r="296" spans="1:9" x14ac:dyDescent="0.3">
      <c r="A296">
        <v>33</v>
      </c>
      <c r="B296" s="168" t="s">
        <v>48</v>
      </c>
      <c r="C296" s="168" t="s">
        <v>49</v>
      </c>
      <c r="D296">
        <v>126.6</v>
      </c>
      <c r="E296">
        <v>2020</v>
      </c>
      <c r="F296" s="168" t="s">
        <v>593</v>
      </c>
      <c r="G296" s="168" t="s">
        <v>607</v>
      </c>
      <c r="H296" s="168" t="s">
        <v>608</v>
      </c>
      <c r="I296">
        <v>0</v>
      </c>
    </row>
    <row r="297" spans="1:9" x14ac:dyDescent="0.3">
      <c r="A297">
        <v>33</v>
      </c>
      <c r="B297" s="168" t="s">
        <v>48</v>
      </c>
      <c r="C297" s="168" t="s">
        <v>49</v>
      </c>
      <c r="D297">
        <v>126.6</v>
      </c>
      <c r="E297">
        <v>2020</v>
      </c>
      <c r="F297" s="168" t="s">
        <v>593</v>
      </c>
      <c r="G297" s="168" t="s">
        <v>607</v>
      </c>
      <c r="H297" s="168" t="s">
        <v>609</v>
      </c>
      <c r="I297">
        <v>11022.980931448788</v>
      </c>
    </row>
    <row r="298" spans="1:9" x14ac:dyDescent="0.3">
      <c r="A298">
        <v>33</v>
      </c>
      <c r="B298" s="168" t="s">
        <v>48</v>
      </c>
      <c r="C298" s="168" t="s">
        <v>49</v>
      </c>
      <c r="D298">
        <v>126.6</v>
      </c>
      <c r="E298">
        <v>2020</v>
      </c>
      <c r="F298" s="168" t="s">
        <v>593</v>
      </c>
      <c r="G298" s="168" t="s">
        <v>612</v>
      </c>
      <c r="H298" s="168" t="s">
        <v>608</v>
      </c>
      <c r="I298">
        <v>704.70947433460333</v>
      </c>
    </row>
    <row r="299" spans="1:9" x14ac:dyDescent="0.3">
      <c r="A299">
        <v>33</v>
      </c>
      <c r="B299" s="168" t="s">
        <v>48</v>
      </c>
      <c r="C299" s="168" t="s">
        <v>49</v>
      </c>
      <c r="D299">
        <v>126.6</v>
      </c>
      <c r="E299">
        <v>2020</v>
      </c>
      <c r="F299" s="168" t="s">
        <v>593</v>
      </c>
      <c r="G299" s="168" t="s">
        <v>612</v>
      </c>
      <c r="H299" s="168" t="s">
        <v>609</v>
      </c>
      <c r="I299">
        <v>756.85797543536398</v>
      </c>
    </row>
    <row r="300" spans="1:9" x14ac:dyDescent="0.3">
      <c r="A300">
        <v>33</v>
      </c>
      <c r="B300" s="168" t="s">
        <v>48</v>
      </c>
      <c r="C300" s="168" t="s">
        <v>49</v>
      </c>
      <c r="D300">
        <v>126.6</v>
      </c>
      <c r="E300">
        <v>2020</v>
      </c>
      <c r="F300" s="168" t="s">
        <v>593</v>
      </c>
      <c r="G300" s="168" t="s">
        <v>617</v>
      </c>
      <c r="H300" s="168" t="s">
        <v>608</v>
      </c>
      <c r="I300">
        <v>0</v>
      </c>
    </row>
    <row r="301" spans="1:9" x14ac:dyDescent="0.3">
      <c r="A301">
        <v>33</v>
      </c>
      <c r="B301" s="168" t="s">
        <v>48</v>
      </c>
      <c r="C301" s="168" t="s">
        <v>49</v>
      </c>
      <c r="D301">
        <v>126.6</v>
      </c>
      <c r="E301">
        <v>2020</v>
      </c>
      <c r="F301" s="168" t="s">
        <v>593</v>
      </c>
      <c r="G301" s="168" t="s">
        <v>617</v>
      </c>
      <c r="H301" s="168" t="s">
        <v>609</v>
      </c>
      <c r="I301">
        <v>177.58678753232007</v>
      </c>
    </row>
    <row r="302" spans="1:9" x14ac:dyDescent="0.3">
      <c r="A302">
        <v>34</v>
      </c>
      <c r="B302" s="168" t="s">
        <v>48</v>
      </c>
      <c r="C302" s="168" t="s">
        <v>50</v>
      </c>
      <c r="D302">
        <v>71</v>
      </c>
      <c r="E302">
        <v>2020</v>
      </c>
      <c r="F302" s="168" t="s">
        <v>593</v>
      </c>
      <c r="G302" s="168" t="s">
        <v>607</v>
      </c>
      <c r="H302" s="168" t="s">
        <v>608</v>
      </c>
      <c r="I302">
        <v>0</v>
      </c>
    </row>
    <row r="303" spans="1:9" x14ac:dyDescent="0.3">
      <c r="A303">
        <v>34</v>
      </c>
      <c r="B303" s="168" t="s">
        <v>48</v>
      </c>
      <c r="C303" s="168" t="s">
        <v>50</v>
      </c>
      <c r="D303">
        <v>71</v>
      </c>
      <c r="E303">
        <v>2020</v>
      </c>
      <c r="F303" s="168" t="s">
        <v>593</v>
      </c>
      <c r="G303" s="168" t="s">
        <v>607</v>
      </c>
      <c r="H303" s="168" t="s">
        <v>609</v>
      </c>
      <c r="I303">
        <v>6181.9245350147103</v>
      </c>
    </row>
    <row r="304" spans="1:9" x14ac:dyDescent="0.3">
      <c r="A304">
        <v>34</v>
      </c>
      <c r="B304" s="168" t="s">
        <v>48</v>
      </c>
      <c r="C304" s="168" t="s">
        <v>50</v>
      </c>
      <c r="D304">
        <v>71</v>
      </c>
      <c r="E304">
        <v>2020</v>
      </c>
      <c r="F304" s="168" t="s">
        <v>593</v>
      </c>
      <c r="G304" s="168" t="s">
        <v>612</v>
      </c>
      <c r="H304" s="168" t="s">
        <v>608</v>
      </c>
      <c r="I304">
        <v>395.21621388433527</v>
      </c>
    </row>
    <row r="305" spans="1:9" x14ac:dyDescent="0.3">
      <c r="A305">
        <v>34</v>
      </c>
      <c r="B305" s="168" t="s">
        <v>48</v>
      </c>
      <c r="C305" s="168" t="s">
        <v>50</v>
      </c>
      <c r="D305">
        <v>71</v>
      </c>
      <c r="E305">
        <v>2020</v>
      </c>
      <c r="F305" s="168" t="s">
        <v>593</v>
      </c>
      <c r="G305" s="168" t="s">
        <v>612</v>
      </c>
      <c r="H305" s="168" t="s">
        <v>609</v>
      </c>
      <c r="I305">
        <v>424.46221371177609</v>
      </c>
    </row>
    <row r="306" spans="1:9" x14ac:dyDescent="0.3">
      <c r="A306">
        <v>34</v>
      </c>
      <c r="B306" s="168" t="s">
        <v>48</v>
      </c>
      <c r="C306" s="168" t="s">
        <v>50</v>
      </c>
      <c r="D306">
        <v>71</v>
      </c>
      <c r="E306">
        <v>2020</v>
      </c>
      <c r="F306" s="168" t="s">
        <v>593</v>
      </c>
      <c r="G306" s="168" t="s">
        <v>617</v>
      </c>
      <c r="H306" s="168" t="s">
        <v>608</v>
      </c>
      <c r="I306">
        <v>0</v>
      </c>
    </row>
    <row r="307" spans="1:9" x14ac:dyDescent="0.3">
      <c r="A307">
        <v>34</v>
      </c>
      <c r="B307" s="168" t="s">
        <v>48</v>
      </c>
      <c r="C307" s="168" t="s">
        <v>50</v>
      </c>
      <c r="D307">
        <v>71</v>
      </c>
      <c r="E307">
        <v>2020</v>
      </c>
      <c r="F307" s="168" t="s">
        <v>593</v>
      </c>
      <c r="G307" s="168" t="s">
        <v>617</v>
      </c>
      <c r="H307" s="168" t="s">
        <v>609</v>
      </c>
      <c r="I307">
        <v>99.594485898852497</v>
      </c>
    </row>
    <row r="308" spans="1:9" x14ac:dyDescent="0.3">
      <c r="A308">
        <v>35</v>
      </c>
      <c r="B308" s="168" t="s">
        <v>48</v>
      </c>
      <c r="C308" s="168" t="s">
        <v>51</v>
      </c>
      <c r="D308">
        <v>34.700000000000003</v>
      </c>
      <c r="E308">
        <v>2020</v>
      </c>
      <c r="F308" s="168" t="s">
        <v>593</v>
      </c>
      <c r="G308" s="168" t="s">
        <v>607</v>
      </c>
      <c r="H308" s="168" t="s">
        <v>608</v>
      </c>
      <c r="I308">
        <v>0</v>
      </c>
    </row>
    <row r="309" spans="1:9" x14ac:dyDescent="0.3">
      <c r="A309">
        <v>35</v>
      </c>
      <c r="B309" s="168" t="s">
        <v>48</v>
      </c>
      <c r="C309" s="168" t="s">
        <v>51</v>
      </c>
      <c r="D309">
        <v>34.700000000000003</v>
      </c>
      <c r="E309">
        <v>2020</v>
      </c>
      <c r="F309" s="168" t="s">
        <v>593</v>
      </c>
      <c r="G309" s="168" t="s">
        <v>607</v>
      </c>
      <c r="H309" s="168" t="s">
        <v>609</v>
      </c>
      <c r="I309">
        <v>3021.3067797888698</v>
      </c>
    </row>
    <row r="310" spans="1:9" x14ac:dyDescent="0.3">
      <c r="A310">
        <v>35</v>
      </c>
      <c r="B310" s="168" t="s">
        <v>48</v>
      </c>
      <c r="C310" s="168" t="s">
        <v>51</v>
      </c>
      <c r="D310">
        <v>34.700000000000003</v>
      </c>
      <c r="E310">
        <v>2020</v>
      </c>
      <c r="F310" s="168" t="s">
        <v>593</v>
      </c>
      <c r="G310" s="168" t="s">
        <v>612</v>
      </c>
      <c r="H310" s="168" t="s">
        <v>608</v>
      </c>
      <c r="I310">
        <v>193.15496650403429</v>
      </c>
    </row>
    <row r="311" spans="1:9" x14ac:dyDescent="0.3">
      <c r="A311">
        <v>35</v>
      </c>
      <c r="B311" s="168" t="s">
        <v>48</v>
      </c>
      <c r="C311" s="168" t="s">
        <v>51</v>
      </c>
      <c r="D311">
        <v>34.700000000000003</v>
      </c>
      <c r="E311">
        <v>2020</v>
      </c>
      <c r="F311" s="168" t="s">
        <v>593</v>
      </c>
      <c r="G311" s="168" t="s">
        <v>612</v>
      </c>
      <c r="H311" s="168" t="s">
        <v>609</v>
      </c>
      <c r="I311">
        <v>207.44843402533283</v>
      </c>
    </row>
    <row r="312" spans="1:9" x14ac:dyDescent="0.3">
      <c r="A312">
        <v>35</v>
      </c>
      <c r="B312" s="168" t="s">
        <v>48</v>
      </c>
      <c r="C312" s="168" t="s">
        <v>51</v>
      </c>
      <c r="D312">
        <v>34.700000000000003</v>
      </c>
      <c r="E312">
        <v>2020</v>
      </c>
      <c r="F312" s="168" t="s">
        <v>593</v>
      </c>
      <c r="G312" s="168" t="s">
        <v>617</v>
      </c>
      <c r="H312" s="168" t="s">
        <v>608</v>
      </c>
      <c r="I312">
        <v>0</v>
      </c>
    </row>
    <row r="313" spans="1:9" x14ac:dyDescent="0.3">
      <c r="A313">
        <v>35</v>
      </c>
      <c r="B313" s="168" t="s">
        <v>48</v>
      </c>
      <c r="C313" s="168" t="s">
        <v>51</v>
      </c>
      <c r="D313">
        <v>34.700000000000003</v>
      </c>
      <c r="E313">
        <v>2020</v>
      </c>
      <c r="F313" s="168" t="s">
        <v>593</v>
      </c>
      <c r="G313" s="168" t="s">
        <v>617</v>
      </c>
      <c r="H313" s="168" t="s">
        <v>609</v>
      </c>
      <c r="I313">
        <v>48.675051559016644</v>
      </c>
    </row>
    <row r="314" spans="1:9" x14ac:dyDescent="0.3">
      <c r="A314">
        <v>36</v>
      </c>
      <c r="B314" s="168" t="s">
        <v>48</v>
      </c>
      <c r="C314" s="168" t="s">
        <v>52</v>
      </c>
      <c r="D314">
        <v>97</v>
      </c>
      <c r="E314">
        <v>2020</v>
      </c>
      <c r="F314" s="168" t="s">
        <v>593</v>
      </c>
      <c r="G314" s="168" t="s">
        <v>607</v>
      </c>
      <c r="H314" s="168" t="s">
        <v>608</v>
      </c>
      <c r="I314">
        <v>0</v>
      </c>
    </row>
    <row r="315" spans="1:9" x14ac:dyDescent="0.3">
      <c r="A315">
        <v>36</v>
      </c>
      <c r="B315" s="168" t="s">
        <v>48</v>
      </c>
      <c r="C315" s="168" t="s">
        <v>52</v>
      </c>
      <c r="D315">
        <v>97</v>
      </c>
      <c r="E315">
        <v>2020</v>
      </c>
      <c r="F315" s="168" t="s">
        <v>593</v>
      </c>
      <c r="G315" s="168" t="s">
        <v>607</v>
      </c>
      <c r="H315" s="168" t="s">
        <v>609</v>
      </c>
      <c r="I315">
        <v>8445.7278858651644</v>
      </c>
    </row>
    <row r="316" spans="1:9" x14ac:dyDescent="0.3">
      <c r="A316">
        <v>36</v>
      </c>
      <c r="B316" s="168" t="s">
        <v>48</v>
      </c>
      <c r="C316" s="168" t="s">
        <v>52</v>
      </c>
      <c r="D316">
        <v>97</v>
      </c>
      <c r="E316">
        <v>2020</v>
      </c>
      <c r="F316" s="168" t="s">
        <v>593</v>
      </c>
      <c r="G316" s="168" t="s">
        <v>612</v>
      </c>
      <c r="H316" s="168" t="s">
        <v>608</v>
      </c>
      <c r="I316">
        <v>539.9432781236693</v>
      </c>
    </row>
    <row r="317" spans="1:9" x14ac:dyDescent="0.3">
      <c r="A317">
        <v>36</v>
      </c>
      <c r="B317" s="168" t="s">
        <v>48</v>
      </c>
      <c r="C317" s="168" t="s">
        <v>52</v>
      </c>
      <c r="D317">
        <v>97</v>
      </c>
      <c r="E317">
        <v>2020</v>
      </c>
      <c r="F317" s="168" t="s">
        <v>593</v>
      </c>
      <c r="G317" s="168" t="s">
        <v>612</v>
      </c>
      <c r="H317" s="168" t="s">
        <v>609</v>
      </c>
      <c r="I317">
        <v>579.89908070482079</v>
      </c>
    </row>
    <row r="318" spans="1:9" x14ac:dyDescent="0.3">
      <c r="A318">
        <v>36</v>
      </c>
      <c r="B318" s="168" t="s">
        <v>48</v>
      </c>
      <c r="C318" s="168" t="s">
        <v>52</v>
      </c>
      <c r="D318">
        <v>97</v>
      </c>
      <c r="E318">
        <v>2020</v>
      </c>
      <c r="F318" s="168" t="s">
        <v>593</v>
      </c>
      <c r="G318" s="168" t="s">
        <v>617</v>
      </c>
      <c r="H318" s="168" t="s">
        <v>608</v>
      </c>
      <c r="I318">
        <v>0</v>
      </c>
    </row>
    <row r="319" spans="1:9" x14ac:dyDescent="0.3">
      <c r="A319">
        <v>36</v>
      </c>
      <c r="B319" s="168" t="s">
        <v>48</v>
      </c>
      <c r="C319" s="168" t="s">
        <v>52</v>
      </c>
      <c r="D319">
        <v>97</v>
      </c>
      <c r="E319">
        <v>2020</v>
      </c>
      <c r="F319" s="168" t="s">
        <v>593</v>
      </c>
      <c r="G319" s="168" t="s">
        <v>617</v>
      </c>
      <c r="H319" s="168" t="s">
        <v>609</v>
      </c>
      <c r="I319">
        <v>136.06570608716467</v>
      </c>
    </row>
    <row r="320" spans="1:9" x14ac:dyDescent="0.3">
      <c r="A320">
        <v>37</v>
      </c>
      <c r="B320" s="168" t="s">
        <v>53</v>
      </c>
      <c r="C320" s="168" t="s">
        <v>54</v>
      </c>
      <c r="D320">
        <v>971.9</v>
      </c>
      <c r="E320">
        <v>2020</v>
      </c>
      <c r="F320" s="168" t="s">
        <v>591</v>
      </c>
      <c r="G320" s="168" t="s">
        <v>607</v>
      </c>
      <c r="H320" s="168" t="s">
        <v>608</v>
      </c>
      <c r="I320">
        <v>456458.55670103087</v>
      </c>
    </row>
    <row r="321" spans="1:9" x14ac:dyDescent="0.3">
      <c r="A321">
        <v>37</v>
      </c>
      <c r="B321" s="168" t="s">
        <v>53</v>
      </c>
      <c r="C321" s="168" t="s">
        <v>54</v>
      </c>
      <c r="D321">
        <v>971.9</v>
      </c>
      <c r="E321">
        <v>2020</v>
      </c>
      <c r="F321" s="168" t="s">
        <v>591</v>
      </c>
      <c r="G321" s="168" t="s">
        <v>607</v>
      </c>
      <c r="H321" s="168" t="s">
        <v>609</v>
      </c>
      <c r="I321">
        <v>1237103.556701031</v>
      </c>
    </row>
    <row r="322" spans="1:9" x14ac:dyDescent="0.3">
      <c r="A322">
        <v>37</v>
      </c>
      <c r="B322" s="168" t="s">
        <v>53</v>
      </c>
      <c r="C322" s="168" t="s">
        <v>54</v>
      </c>
      <c r="D322">
        <v>971.9</v>
      </c>
      <c r="E322">
        <v>2020</v>
      </c>
      <c r="F322" s="168" t="s">
        <v>591</v>
      </c>
      <c r="G322" s="168" t="s">
        <v>616</v>
      </c>
      <c r="H322" s="168" t="s">
        <v>608</v>
      </c>
      <c r="I322">
        <v>86756.364167525506</v>
      </c>
    </row>
    <row r="323" spans="1:9" x14ac:dyDescent="0.3">
      <c r="A323">
        <v>37</v>
      </c>
      <c r="B323" s="168" t="s">
        <v>53</v>
      </c>
      <c r="C323" s="168" t="s">
        <v>54</v>
      </c>
      <c r="D323">
        <v>971.9</v>
      </c>
      <c r="E323">
        <v>2020</v>
      </c>
      <c r="F323" s="168" t="s">
        <v>591</v>
      </c>
      <c r="G323" s="168" t="s">
        <v>616</v>
      </c>
      <c r="H323" s="168" t="s">
        <v>609</v>
      </c>
      <c r="I323">
        <v>385256.36416752549</v>
      </c>
    </row>
    <row r="324" spans="1:9" x14ac:dyDescent="0.3">
      <c r="A324">
        <v>37</v>
      </c>
      <c r="B324" s="168" t="s">
        <v>53</v>
      </c>
      <c r="C324" s="168" t="s">
        <v>54</v>
      </c>
      <c r="D324">
        <v>971.9</v>
      </c>
      <c r="E324">
        <v>2020</v>
      </c>
      <c r="F324" s="168" t="s">
        <v>591</v>
      </c>
      <c r="G324" s="168" t="s">
        <v>617</v>
      </c>
      <c r="H324" s="168" t="s">
        <v>608</v>
      </c>
      <c r="I324">
        <v>5970</v>
      </c>
    </row>
    <row r="325" spans="1:9" x14ac:dyDescent="0.3">
      <c r="A325">
        <v>37</v>
      </c>
      <c r="B325" s="168" t="s">
        <v>53</v>
      </c>
      <c r="C325" s="168" t="s">
        <v>54</v>
      </c>
      <c r="D325">
        <v>971.9</v>
      </c>
      <c r="E325">
        <v>2020</v>
      </c>
      <c r="F325" s="168" t="s">
        <v>591</v>
      </c>
      <c r="G325" s="168" t="s">
        <v>617</v>
      </c>
      <c r="H325" s="168" t="s">
        <v>609</v>
      </c>
      <c r="I325">
        <v>2130</v>
      </c>
    </row>
    <row r="326" spans="1:9" x14ac:dyDescent="0.3">
      <c r="A326">
        <v>37</v>
      </c>
      <c r="B326" s="168" t="s">
        <v>53</v>
      </c>
      <c r="C326" s="168" t="s">
        <v>54</v>
      </c>
      <c r="D326">
        <v>971.9</v>
      </c>
      <c r="E326">
        <v>2020</v>
      </c>
      <c r="F326" s="168" t="s">
        <v>591</v>
      </c>
      <c r="G326" s="168" t="s">
        <v>610</v>
      </c>
      <c r="H326" s="168" t="s">
        <v>608</v>
      </c>
      <c r="I326">
        <v>0</v>
      </c>
    </row>
    <row r="327" spans="1:9" x14ac:dyDescent="0.3">
      <c r="A327">
        <v>37</v>
      </c>
      <c r="B327" s="168" t="s">
        <v>53</v>
      </c>
      <c r="C327" s="168" t="s">
        <v>54</v>
      </c>
      <c r="D327">
        <v>971.9</v>
      </c>
      <c r="E327">
        <v>2020</v>
      </c>
      <c r="F327" s="168" t="s">
        <v>591</v>
      </c>
      <c r="G327" s="168" t="s">
        <v>610</v>
      </c>
      <c r="H327" s="168" t="s">
        <v>609</v>
      </c>
      <c r="I327">
        <v>3272.7272727272725</v>
      </c>
    </row>
    <row r="328" spans="1:9" x14ac:dyDescent="0.3">
      <c r="A328">
        <v>37</v>
      </c>
      <c r="B328" s="168" t="s">
        <v>53</v>
      </c>
      <c r="C328" s="168" t="s">
        <v>54</v>
      </c>
      <c r="D328">
        <v>971.9</v>
      </c>
      <c r="E328">
        <v>2020</v>
      </c>
      <c r="F328" s="168" t="s">
        <v>591</v>
      </c>
      <c r="G328" s="168" t="s">
        <v>633</v>
      </c>
      <c r="H328" s="168" t="s">
        <v>608</v>
      </c>
      <c r="I328">
        <v>5110.4160150140751</v>
      </c>
    </row>
    <row r="329" spans="1:9" x14ac:dyDescent="0.3">
      <c r="A329">
        <v>37</v>
      </c>
      <c r="B329" s="168" t="s">
        <v>53</v>
      </c>
      <c r="C329" s="168" t="s">
        <v>54</v>
      </c>
      <c r="D329">
        <v>971.9</v>
      </c>
      <c r="E329">
        <v>2020</v>
      </c>
      <c r="F329" s="168" t="s">
        <v>591</v>
      </c>
      <c r="G329" s="168" t="s">
        <v>633</v>
      </c>
      <c r="H329" s="168" t="s">
        <v>609</v>
      </c>
      <c r="I329">
        <v>2190.1782921488893</v>
      </c>
    </row>
    <row r="330" spans="1:9" x14ac:dyDescent="0.3">
      <c r="A330">
        <v>37</v>
      </c>
      <c r="B330" s="168" t="s">
        <v>53</v>
      </c>
      <c r="C330" s="168" t="s">
        <v>54</v>
      </c>
      <c r="D330">
        <v>971.9</v>
      </c>
      <c r="E330">
        <v>2020</v>
      </c>
      <c r="F330" s="168" t="s">
        <v>591</v>
      </c>
      <c r="G330" s="168" t="s">
        <v>624</v>
      </c>
      <c r="H330" s="168" t="s">
        <v>608</v>
      </c>
      <c r="I330">
        <v>18181.868354888189</v>
      </c>
    </row>
    <row r="331" spans="1:9" x14ac:dyDescent="0.3">
      <c r="A331">
        <v>37</v>
      </c>
      <c r="B331" s="168" t="s">
        <v>53</v>
      </c>
      <c r="C331" s="168" t="s">
        <v>54</v>
      </c>
      <c r="D331">
        <v>971.9</v>
      </c>
      <c r="E331">
        <v>2020</v>
      </c>
      <c r="F331" s="168" t="s">
        <v>591</v>
      </c>
      <c r="G331" s="168" t="s">
        <v>624</v>
      </c>
      <c r="H331" s="168" t="s">
        <v>609</v>
      </c>
      <c r="I331">
        <v>189305.02529747071</v>
      </c>
    </row>
    <row r="332" spans="1:9" x14ac:dyDescent="0.3">
      <c r="A332">
        <v>37</v>
      </c>
      <c r="B332" s="168" t="s">
        <v>53</v>
      </c>
      <c r="C332" s="168" t="s">
        <v>54</v>
      </c>
      <c r="D332">
        <v>971.9</v>
      </c>
      <c r="E332">
        <v>2020</v>
      </c>
      <c r="F332" s="168" t="s">
        <v>591</v>
      </c>
      <c r="G332" s="168" t="s">
        <v>611</v>
      </c>
      <c r="H332" s="168" t="s">
        <v>608</v>
      </c>
      <c r="I332">
        <v>0</v>
      </c>
    </row>
    <row r="333" spans="1:9" x14ac:dyDescent="0.3">
      <c r="A333">
        <v>37</v>
      </c>
      <c r="B333" s="168" t="s">
        <v>53</v>
      </c>
      <c r="C333" s="168" t="s">
        <v>54</v>
      </c>
      <c r="D333">
        <v>971.9</v>
      </c>
      <c r="E333">
        <v>2020</v>
      </c>
      <c r="F333" s="168" t="s">
        <v>591</v>
      </c>
      <c r="G333" s="168" t="s">
        <v>611</v>
      </c>
      <c r="H333" s="168" t="s">
        <v>609</v>
      </c>
      <c r="I333">
        <v>4062.1352436903176</v>
      </c>
    </row>
    <row r="334" spans="1:9" x14ac:dyDescent="0.3">
      <c r="A334">
        <v>37</v>
      </c>
      <c r="B334" s="168" t="s">
        <v>53</v>
      </c>
      <c r="C334" s="168" t="s">
        <v>54</v>
      </c>
      <c r="D334">
        <v>971.9</v>
      </c>
      <c r="E334">
        <v>2020</v>
      </c>
      <c r="F334" s="168" t="s">
        <v>591</v>
      </c>
      <c r="G334" s="168" t="s">
        <v>613</v>
      </c>
      <c r="H334" s="168" t="s">
        <v>608</v>
      </c>
      <c r="I334">
        <v>68873.0156736973</v>
      </c>
    </row>
    <row r="335" spans="1:9" x14ac:dyDescent="0.3">
      <c r="A335">
        <v>37</v>
      </c>
      <c r="B335" s="168" t="s">
        <v>53</v>
      </c>
      <c r="C335" s="168" t="s">
        <v>54</v>
      </c>
      <c r="D335">
        <v>971.9</v>
      </c>
      <c r="E335">
        <v>2020</v>
      </c>
      <c r="F335" s="168" t="s">
        <v>591</v>
      </c>
      <c r="G335" s="168" t="s">
        <v>613</v>
      </c>
      <c r="H335" s="168" t="s">
        <v>609</v>
      </c>
      <c r="I335">
        <v>28082.79687953266</v>
      </c>
    </row>
    <row r="336" spans="1:9" x14ac:dyDescent="0.3">
      <c r="A336">
        <v>39</v>
      </c>
      <c r="B336" s="168" t="s">
        <v>57</v>
      </c>
      <c r="C336" s="168" t="s">
        <v>58</v>
      </c>
      <c r="D336">
        <v>676.6</v>
      </c>
      <c r="E336">
        <v>2020</v>
      </c>
      <c r="F336" s="168" t="s">
        <v>590</v>
      </c>
      <c r="G336" s="168" t="s">
        <v>607</v>
      </c>
      <c r="H336" s="168" t="s">
        <v>608</v>
      </c>
      <c r="I336">
        <v>2057.319587628866</v>
      </c>
    </row>
    <row r="337" spans="1:9" x14ac:dyDescent="0.3">
      <c r="A337">
        <v>39</v>
      </c>
      <c r="B337" s="168" t="s">
        <v>57</v>
      </c>
      <c r="C337" s="168" t="s">
        <v>58</v>
      </c>
      <c r="D337">
        <v>676.6</v>
      </c>
      <c r="E337">
        <v>2020</v>
      </c>
      <c r="F337" s="168" t="s">
        <v>590</v>
      </c>
      <c r="G337" s="168" t="s">
        <v>607</v>
      </c>
      <c r="H337" s="168" t="s">
        <v>609</v>
      </c>
      <c r="I337">
        <v>2057.319587628866</v>
      </c>
    </row>
    <row r="338" spans="1:9" x14ac:dyDescent="0.3">
      <c r="A338">
        <v>39</v>
      </c>
      <c r="B338" s="168" t="s">
        <v>57</v>
      </c>
      <c r="C338" s="168" t="s">
        <v>58</v>
      </c>
      <c r="D338">
        <v>676.6</v>
      </c>
      <c r="E338">
        <v>2020</v>
      </c>
      <c r="F338" s="168" t="s">
        <v>590</v>
      </c>
      <c r="G338" s="168" t="s">
        <v>612</v>
      </c>
      <c r="H338" s="168" t="s">
        <v>608</v>
      </c>
      <c r="I338">
        <v>0</v>
      </c>
    </row>
    <row r="339" spans="1:9" x14ac:dyDescent="0.3">
      <c r="A339">
        <v>39</v>
      </c>
      <c r="B339" s="168" t="s">
        <v>57</v>
      </c>
      <c r="C339" s="168" t="s">
        <v>58</v>
      </c>
      <c r="D339">
        <v>676.6</v>
      </c>
      <c r="E339">
        <v>2020</v>
      </c>
      <c r="F339" s="168" t="s">
        <v>590</v>
      </c>
      <c r="G339" s="168" t="s">
        <v>612</v>
      </c>
      <c r="H339" s="168" t="s">
        <v>609</v>
      </c>
      <c r="I339">
        <v>33378.82</v>
      </c>
    </row>
    <row r="340" spans="1:9" x14ac:dyDescent="0.3">
      <c r="A340">
        <v>39</v>
      </c>
      <c r="B340" s="168" t="s">
        <v>57</v>
      </c>
      <c r="C340" s="168" t="s">
        <v>58</v>
      </c>
      <c r="D340">
        <v>676.6</v>
      </c>
      <c r="E340">
        <v>2020</v>
      </c>
      <c r="F340" s="168" t="s">
        <v>590</v>
      </c>
      <c r="G340" s="168" t="s">
        <v>617</v>
      </c>
      <c r="H340" s="168" t="s">
        <v>608</v>
      </c>
      <c r="I340">
        <v>3478</v>
      </c>
    </row>
    <row r="341" spans="1:9" x14ac:dyDescent="0.3">
      <c r="A341">
        <v>39</v>
      </c>
      <c r="B341" s="168" t="s">
        <v>57</v>
      </c>
      <c r="C341" s="168" t="s">
        <v>58</v>
      </c>
      <c r="D341">
        <v>676.6</v>
      </c>
      <c r="E341">
        <v>2020</v>
      </c>
      <c r="F341" s="168" t="s">
        <v>590</v>
      </c>
      <c r="G341" s="168" t="s">
        <v>617</v>
      </c>
      <c r="H341" s="168" t="s">
        <v>609</v>
      </c>
      <c r="I341">
        <v>1240</v>
      </c>
    </row>
    <row r="342" spans="1:9" x14ac:dyDescent="0.3">
      <c r="A342">
        <v>39</v>
      </c>
      <c r="B342" s="168" t="s">
        <v>57</v>
      </c>
      <c r="C342" s="168" t="s">
        <v>58</v>
      </c>
      <c r="D342">
        <v>676.6</v>
      </c>
      <c r="E342">
        <v>2020</v>
      </c>
      <c r="F342" s="168" t="s">
        <v>590</v>
      </c>
      <c r="G342" s="168" t="s">
        <v>610</v>
      </c>
      <c r="H342" s="168" t="s">
        <v>608</v>
      </c>
      <c r="I342">
        <v>0</v>
      </c>
    </row>
    <row r="343" spans="1:9" x14ac:dyDescent="0.3">
      <c r="A343">
        <v>39</v>
      </c>
      <c r="B343" s="168" t="s">
        <v>57</v>
      </c>
      <c r="C343" s="168" t="s">
        <v>58</v>
      </c>
      <c r="D343">
        <v>676.6</v>
      </c>
      <c r="E343">
        <v>2020</v>
      </c>
      <c r="F343" s="168" t="s">
        <v>590</v>
      </c>
      <c r="G343" s="168" t="s">
        <v>610</v>
      </c>
      <c r="H343" s="168" t="s">
        <v>609</v>
      </c>
      <c r="I343">
        <v>3272.7272727272725</v>
      </c>
    </row>
    <row r="344" spans="1:9" x14ac:dyDescent="0.3">
      <c r="A344">
        <v>39</v>
      </c>
      <c r="B344" s="168" t="s">
        <v>57</v>
      </c>
      <c r="C344" s="168" t="s">
        <v>58</v>
      </c>
      <c r="D344">
        <v>676.6</v>
      </c>
      <c r="E344">
        <v>2020</v>
      </c>
      <c r="F344" s="168" t="s">
        <v>590</v>
      </c>
      <c r="G344" s="168" t="s">
        <v>633</v>
      </c>
      <c r="H344" s="168" t="s">
        <v>608</v>
      </c>
      <c r="I344">
        <v>1655.3018454801379</v>
      </c>
    </row>
    <row r="345" spans="1:9" x14ac:dyDescent="0.3">
      <c r="A345">
        <v>39</v>
      </c>
      <c r="B345" s="168" t="s">
        <v>57</v>
      </c>
      <c r="C345" s="168" t="s">
        <v>58</v>
      </c>
      <c r="D345">
        <v>676.6</v>
      </c>
      <c r="E345">
        <v>2020</v>
      </c>
      <c r="F345" s="168" t="s">
        <v>590</v>
      </c>
      <c r="G345" s="168" t="s">
        <v>633</v>
      </c>
      <c r="H345" s="168" t="s">
        <v>609</v>
      </c>
      <c r="I345">
        <v>709.41507663434481</v>
      </c>
    </row>
    <row r="346" spans="1:9" x14ac:dyDescent="0.3">
      <c r="A346">
        <v>39</v>
      </c>
      <c r="B346" s="168" t="s">
        <v>57</v>
      </c>
      <c r="C346" s="168" t="s">
        <v>58</v>
      </c>
      <c r="D346">
        <v>676.6</v>
      </c>
      <c r="E346">
        <v>2020</v>
      </c>
      <c r="F346" s="168" t="s">
        <v>590</v>
      </c>
      <c r="G346" s="168" t="s">
        <v>624</v>
      </c>
      <c r="H346" s="168" t="s">
        <v>608</v>
      </c>
      <c r="I346">
        <v>2541.5763162980902</v>
      </c>
    </row>
    <row r="347" spans="1:9" x14ac:dyDescent="0.3">
      <c r="A347">
        <v>39</v>
      </c>
      <c r="B347" s="168" t="s">
        <v>57</v>
      </c>
      <c r="C347" s="168" t="s">
        <v>58</v>
      </c>
      <c r="D347">
        <v>676.6</v>
      </c>
      <c r="E347">
        <v>2020</v>
      </c>
      <c r="F347" s="168" t="s">
        <v>590</v>
      </c>
      <c r="G347" s="168" t="s">
        <v>624</v>
      </c>
      <c r="H347" s="168" t="s">
        <v>609</v>
      </c>
      <c r="I347">
        <v>2541.5763162980902</v>
      </c>
    </row>
    <row r="348" spans="1:9" x14ac:dyDescent="0.3">
      <c r="A348">
        <v>39</v>
      </c>
      <c r="B348" s="168" t="s">
        <v>57</v>
      </c>
      <c r="C348" s="168" t="s">
        <v>58</v>
      </c>
      <c r="D348">
        <v>676.6</v>
      </c>
      <c r="E348">
        <v>2020</v>
      </c>
      <c r="F348" s="168" t="s">
        <v>590</v>
      </c>
      <c r="G348" s="168" t="s">
        <v>611</v>
      </c>
      <c r="H348" s="168" t="s">
        <v>608</v>
      </c>
      <c r="I348">
        <v>0</v>
      </c>
    </row>
    <row r="349" spans="1:9" x14ac:dyDescent="0.3">
      <c r="A349">
        <v>39</v>
      </c>
      <c r="B349" s="168" t="s">
        <v>57</v>
      </c>
      <c r="C349" s="168" t="s">
        <v>58</v>
      </c>
      <c r="D349">
        <v>676.6</v>
      </c>
      <c r="E349">
        <v>2020</v>
      </c>
      <c r="F349" s="168" t="s">
        <v>590</v>
      </c>
      <c r="G349" s="168" t="s">
        <v>611</v>
      </c>
      <c r="H349" s="168" t="s">
        <v>609</v>
      </c>
      <c r="I349">
        <v>2827.9048316502403</v>
      </c>
    </row>
    <row r="350" spans="1:9" x14ac:dyDescent="0.3">
      <c r="A350">
        <v>39</v>
      </c>
      <c r="B350" s="168" t="s">
        <v>57</v>
      </c>
      <c r="C350" s="168" t="s">
        <v>58</v>
      </c>
      <c r="D350">
        <v>676.6</v>
      </c>
      <c r="E350">
        <v>2020</v>
      </c>
      <c r="F350" s="168" t="s">
        <v>590</v>
      </c>
      <c r="G350" s="168" t="s">
        <v>613</v>
      </c>
      <c r="H350" s="168" t="s">
        <v>608</v>
      </c>
      <c r="I350">
        <v>22406.425758364716</v>
      </c>
    </row>
    <row r="351" spans="1:9" x14ac:dyDescent="0.3">
      <c r="A351">
        <v>39</v>
      </c>
      <c r="B351" s="168" t="s">
        <v>57</v>
      </c>
      <c r="C351" s="168" t="s">
        <v>58</v>
      </c>
      <c r="D351">
        <v>676.6</v>
      </c>
      <c r="E351">
        <v>2020</v>
      </c>
      <c r="F351" s="168" t="s">
        <v>590</v>
      </c>
      <c r="G351" s="168" t="s">
        <v>613</v>
      </c>
      <c r="H351" s="168" t="s">
        <v>609</v>
      </c>
      <c r="I351">
        <v>14366.253328325376</v>
      </c>
    </row>
    <row r="352" spans="1:9" x14ac:dyDescent="0.3">
      <c r="A352">
        <v>40</v>
      </c>
      <c r="B352" s="168" t="s">
        <v>27</v>
      </c>
      <c r="C352" s="168" t="s">
        <v>59</v>
      </c>
      <c r="D352">
        <v>16237.4</v>
      </c>
      <c r="E352">
        <v>2020</v>
      </c>
      <c r="F352" s="168" t="s">
        <v>592</v>
      </c>
      <c r="G352" s="168" t="s">
        <v>607</v>
      </c>
      <c r="H352" s="168" t="s">
        <v>608</v>
      </c>
      <c r="I352">
        <v>0</v>
      </c>
    </row>
    <row r="353" spans="1:9" x14ac:dyDescent="0.3">
      <c r="A353">
        <v>40</v>
      </c>
      <c r="B353" s="168" t="s">
        <v>27</v>
      </c>
      <c r="C353" s="168" t="s">
        <v>59</v>
      </c>
      <c r="D353">
        <v>16237.4</v>
      </c>
      <c r="E353">
        <v>2020</v>
      </c>
      <c r="F353" s="168" t="s">
        <v>592</v>
      </c>
      <c r="G353" s="168" t="s">
        <v>607</v>
      </c>
      <c r="H353" s="168" t="s">
        <v>609</v>
      </c>
      <c r="I353">
        <v>2827661.4400000004</v>
      </c>
    </row>
    <row r="354" spans="1:9" x14ac:dyDescent="0.3">
      <c r="A354">
        <v>40</v>
      </c>
      <c r="B354" s="168" t="s">
        <v>27</v>
      </c>
      <c r="C354" s="168" t="s">
        <v>59</v>
      </c>
      <c r="D354">
        <v>16237.4</v>
      </c>
      <c r="E354">
        <v>2020</v>
      </c>
      <c r="F354" s="168" t="s">
        <v>592</v>
      </c>
      <c r="G354" s="168" t="s">
        <v>616</v>
      </c>
      <c r="H354" s="168" t="s">
        <v>608</v>
      </c>
      <c r="I354">
        <v>0</v>
      </c>
    </row>
    <row r="355" spans="1:9" x14ac:dyDescent="0.3">
      <c r="A355">
        <v>40</v>
      </c>
      <c r="B355" s="168" t="s">
        <v>27</v>
      </c>
      <c r="C355" s="168" t="s">
        <v>59</v>
      </c>
      <c r="D355">
        <v>16237.4</v>
      </c>
      <c r="E355">
        <v>2020</v>
      </c>
      <c r="F355" s="168" t="s">
        <v>592</v>
      </c>
      <c r="G355" s="168" t="s">
        <v>616</v>
      </c>
      <c r="H355" s="168" t="s">
        <v>609</v>
      </c>
      <c r="I355">
        <v>6331462.9580164403</v>
      </c>
    </row>
    <row r="356" spans="1:9" x14ac:dyDescent="0.3">
      <c r="A356">
        <v>40</v>
      </c>
      <c r="B356" s="168" t="s">
        <v>27</v>
      </c>
      <c r="C356" s="168" t="s">
        <v>59</v>
      </c>
      <c r="D356">
        <v>16237.4</v>
      </c>
      <c r="E356">
        <v>2020</v>
      </c>
      <c r="F356" s="168" t="s">
        <v>592</v>
      </c>
      <c r="G356" s="168" t="s">
        <v>617</v>
      </c>
      <c r="H356" s="168" t="s">
        <v>608</v>
      </c>
      <c r="I356">
        <v>0</v>
      </c>
    </row>
    <row r="357" spans="1:9" x14ac:dyDescent="0.3">
      <c r="A357">
        <v>40</v>
      </c>
      <c r="B357" s="168" t="s">
        <v>27</v>
      </c>
      <c r="C357" s="168" t="s">
        <v>59</v>
      </c>
      <c r="D357">
        <v>16237.4</v>
      </c>
      <c r="E357">
        <v>2020</v>
      </c>
      <c r="F357" s="168" t="s">
        <v>592</v>
      </c>
      <c r="G357" s="168" t="s">
        <v>617</v>
      </c>
      <c r="H357" s="168" t="s">
        <v>609</v>
      </c>
      <c r="I357">
        <v>25701.473755173123</v>
      </c>
    </row>
    <row r="358" spans="1:9" x14ac:dyDescent="0.3">
      <c r="A358">
        <v>40</v>
      </c>
      <c r="B358" s="168" t="s">
        <v>27</v>
      </c>
      <c r="C358" s="168" t="s">
        <v>59</v>
      </c>
      <c r="D358">
        <v>16237.4</v>
      </c>
      <c r="E358">
        <v>2020</v>
      </c>
      <c r="F358" s="168" t="s">
        <v>592</v>
      </c>
      <c r="G358" s="168" t="s">
        <v>619</v>
      </c>
      <c r="H358" s="168" t="s">
        <v>608</v>
      </c>
      <c r="I358">
        <v>0</v>
      </c>
    </row>
    <row r="359" spans="1:9" x14ac:dyDescent="0.3">
      <c r="A359">
        <v>40</v>
      </c>
      <c r="B359" s="168" t="s">
        <v>27</v>
      </c>
      <c r="C359" s="168" t="s">
        <v>59</v>
      </c>
      <c r="D359">
        <v>16237.4</v>
      </c>
      <c r="E359">
        <v>2020</v>
      </c>
      <c r="F359" s="168" t="s">
        <v>592</v>
      </c>
      <c r="G359" s="168" t="s">
        <v>619</v>
      </c>
      <c r="H359" s="168" t="s">
        <v>609</v>
      </c>
      <c r="I359">
        <v>286599.05660377361</v>
      </c>
    </row>
    <row r="360" spans="1:9" x14ac:dyDescent="0.3">
      <c r="A360">
        <v>40</v>
      </c>
      <c r="B360" s="168" t="s">
        <v>27</v>
      </c>
      <c r="C360" s="168" t="s">
        <v>59</v>
      </c>
      <c r="D360">
        <v>16237.4</v>
      </c>
      <c r="E360">
        <v>2020</v>
      </c>
      <c r="F360" s="168" t="s">
        <v>592</v>
      </c>
      <c r="G360" s="168" t="s">
        <v>610</v>
      </c>
      <c r="H360" s="168" t="s">
        <v>608</v>
      </c>
      <c r="I360">
        <v>0</v>
      </c>
    </row>
    <row r="361" spans="1:9" x14ac:dyDescent="0.3">
      <c r="A361">
        <v>40</v>
      </c>
      <c r="B361" s="168" t="s">
        <v>27</v>
      </c>
      <c r="C361" s="168" t="s">
        <v>59</v>
      </c>
      <c r="D361">
        <v>16237.4</v>
      </c>
      <c r="E361">
        <v>2020</v>
      </c>
      <c r="F361" s="168" t="s">
        <v>592</v>
      </c>
      <c r="G361" s="168" t="s">
        <v>610</v>
      </c>
      <c r="H361" s="168" t="s">
        <v>609</v>
      </c>
      <c r="I361">
        <v>46545.454545454551</v>
      </c>
    </row>
    <row r="362" spans="1:9" x14ac:dyDescent="0.3">
      <c r="A362">
        <v>40</v>
      </c>
      <c r="B362" s="168" t="s">
        <v>27</v>
      </c>
      <c r="C362" s="168" t="s">
        <v>59</v>
      </c>
      <c r="D362">
        <v>16237.4</v>
      </c>
      <c r="E362">
        <v>2020</v>
      </c>
      <c r="F362" s="168" t="s">
        <v>592</v>
      </c>
      <c r="G362" s="168" t="s">
        <v>613</v>
      </c>
      <c r="H362" s="168" t="s">
        <v>608</v>
      </c>
      <c r="I362">
        <v>0</v>
      </c>
    </row>
    <row r="363" spans="1:9" x14ac:dyDescent="0.3">
      <c r="A363">
        <v>40</v>
      </c>
      <c r="B363" s="168" t="s">
        <v>27</v>
      </c>
      <c r="C363" s="168" t="s">
        <v>59</v>
      </c>
      <c r="D363">
        <v>16237.4</v>
      </c>
      <c r="E363">
        <v>2020</v>
      </c>
      <c r="F363" s="168" t="s">
        <v>592</v>
      </c>
      <c r="G363" s="168" t="s">
        <v>613</v>
      </c>
      <c r="H363" s="168" t="s">
        <v>609</v>
      </c>
      <c r="I363">
        <v>2749915.0385841941</v>
      </c>
    </row>
    <row r="364" spans="1:9" x14ac:dyDescent="0.3">
      <c r="A364">
        <v>41</v>
      </c>
      <c r="B364" s="168" t="s">
        <v>60</v>
      </c>
      <c r="C364" s="168" t="s">
        <v>61</v>
      </c>
      <c r="D364">
        <v>3051</v>
      </c>
      <c r="E364">
        <v>2020</v>
      </c>
      <c r="F364" s="168" t="s">
        <v>592</v>
      </c>
      <c r="G364" s="168" t="s">
        <v>607</v>
      </c>
      <c r="H364" s="168" t="s">
        <v>608</v>
      </c>
      <c r="I364">
        <v>0</v>
      </c>
    </row>
    <row r="365" spans="1:9" x14ac:dyDescent="0.3">
      <c r="A365">
        <v>41</v>
      </c>
      <c r="B365" s="168" t="s">
        <v>60</v>
      </c>
      <c r="C365" s="168" t="s">
        <v>61</v>
      </c>
      <c r="D365">
        <v>3051</v>
      </c>
      <c r="E365">
        <v>2020</v>
      </c>
      <c r="F365" s="168" t="s">
        <v>592</v>
      </c>
      <c r="G365" s="168" t="s">
        <v>607</v>
      </c>
      <c r="H365" s="168" t="s">
        <v>609</v>
      </c>
      <c r="I365">
        <v>2572595</v>
      </c>
    </row>
    <row r="366" spans="1:9" x14ac:dyDescent="0.3">
      <c r="A366">
        <v>41</v>
      </c>
      <c r="B366" s="168" t="s">
        <v>60</v>
      </c>
      <c r="C366" s="168" t="s">
        <v>61</v>
      </c>
      <c r="D366">
        <v>3051</v>
      </c>
      <c r="E366">
        <v>2020</v>
      </c>
      <c r="F366" s="168" t="s">
        <v>592</v>
      </c>
      <c r="G366" s="168" t="s">
        <v>612</v>
      </c>
      <c r="H366" s="168" t="s">
        <v>608</v>
      </c>
      <c r="I366">
        <v>0</v>
      </c>
    </row>
    <row r="367" spans="1:9" x14ac:dyDescent="0.3">
      <c r="A367">
        <v>41</v>
      </c>
      <c r="B367" s="168" t="s">
        <v>60</v>
      </c>
      <c r="C367" s="168" t="s">
        <v>61</v>
      </c>
      <c r="D367">
        <v>3051</v>
      </c>
      <c r="E367">
        <v>2020</v>
      </c>
      <c r="F367" s="168" t="s">
        <v>592</v>
      </c>
      <c r="G367" s="168" t="s">
        <v>612</v>
      </c>
      <c r="H367" s="168" t="s">
        <v>609</v>
      </c>
      <c r="I367">
        <v>184260</v>
      </c>
    </row>
    <row r="368" spans="1:9" x14ac:dyDescent="0.3">
      <c r="A368">
        <v>41</v>
      </c>
      <c r="B368" s="168" t="s">
        <v>60</v>
      </c>
      <c r="C368" s="168" t="s">
        <v>61</v>
      </c>
      <c r="D368">
        <v>3051</v>
      </c>
      <c r="E368">
        <v>2020</v>
      </c>
      <c r="F368" s="168" t="s">
        <v>592</v>
      </c>
      <c r="G368" s="168" t="s">
        <v>616</v>
      </c>
      <c r="H368" s="168" t="s">
        <v>608</v>
      </c>
      <c r="I368">
        <v>0</v>
      </c>
    </row>
    <row r="369" spans="1:9" x14ac:dyDescent="0.3">
      <c r="A369">
        <v>41</v>
      </c>
      <c r="B369" s="168" t="s">
        <v>60</v>
      </c>
      <c r="C369" s="168" t="s">
        <v>61</v>
      </c>
      <c r="D369">
        <v>3051</v>
      </c>
      <c r="E369">
        <v>2020</v>
      </c>
      <c r="F369" s="168" t="s">
        <v>592</v>
      </c>
      <c r="G369" s="168" t="s">
        <v>616</v>
      </c>
      <c r="H369" s="168" t="s">
        <v>609</v>
      </c>
      <c r="I369">
        <v>833946.578553712</v>
      </c>
    </row>
    <row r="370" spans="1:9" x14ac:dyDescent="0.3">
      <c r="A370">
        <v>41</v>
      </c>
      <c r="B370" s="168" t="s">
        <v>60</v>
      </c>
      <c r="C370" s="168" t="s">
        <v>61</v>
      </c>
      <c r="D370">
        <v>3051</v>
      </c>
      <c r="E370">
        <v>2020</v>
      </c>
      <c r="F370" s="168" t="s">
        <v>592</v>
      </c>
      <c r="G370" s="168" t="s">
        <v>617</v>
      </c>
      <c r="H370" s="168" t="s">
        <v>608</v>
      </c>
      <c r="I370">
        <v>0</v>
      </c>
    </row>
    <row r="371" spans="1:9" x14ac:dyDescent="0.3">
      <c r="A371">
        <v>41</v>
      </c>
      <c r="B371" s="168" t="s">
        <v>60</v>
      </c>
      <c r="C371" s="168" t="s">
        <v>61</v>
      </c>
      <c r="D371">
        <v>3051</v>
      </c>
      <c r="E371">
        <v>2020</v>
      </c>
      <c r="F371" s="168" t="s">
        <v>592</v>
      </c>
      <c r="G371" s="168" t="s">
        <v>617</v>
      </c>
      <c r="H371" s="168" t="s">
        <v>609</v>
      </c>
      <c r="I371">
        <v>4799.23596936387</v>
      </c>
    </row>
    <row r="372" spans="1:9" x14ac:dyDescent="0.3">
      <c r="A372">
        <v>41</v>
      </c>
      <c r="B372" s="168" t="s">
        <v>60</v>
      </c>
      <c r="C372" s="168" t="s">
        <v>61</v>
      </c>
      <c r="D372">
        <v>3051</v>
      </c>
      <c r="E372">
        <v>2020</v>
      </c>
      <c r="F372" s="168" t="s">
        <v>592</v>
      </c>
      <c r="G372" s="168" t="s">
        <v>619</v>
      </c>
      <c r="H372" s="168" t="s">
        <v>608</v>
      </c>
      <c r="I372">
        <v>0</v>
      </c>
    </row>
    <row r="373" spans="1:9" x14ac:dyDescent="0.3">
      <c r="A373">
        <v>41</v>
      </c>
      <c r="B373" s="168" t="s">
        <v>60</v>
      </c>
      <c r="C373" s="168" t="s">
        <v>61</v>
      </c>
      <c r="D373">
        <v>3051</v>
      </c>
      <c r="E373">
        <v>2020</v>
      </c>
      <c r="F373" s="168" t="s">
        <v>592</v>
      </c>
      <c r="G373" s="168" t="s">
        <v>619</v>
      </c>
      <c r="H373" s="168" t="s">
        <v>609</v>
      </c>
      <c r="I373">
        <v>36509.433962264156</v>
      </c>
    </row>
    <row r="374" spans="1:9" x14ac:dyDescent="0.3">
      <c r="A374">
        <v>41</v>
      </c>
      <c r="B374" s="168" t="s">
        <v>60</v>
      </c>
      <c r="C374" s="168" t="s">
        <v>61</v>
      </c>
      <c r="D374">
        <v>3051</v>
      </c>
      <c r="E374">
        <v>2020</v>
      </c>
      <c r="F374" s="168" t="s">
        <v>592</v>
      </c>
      <c r="G374" s="168" t="s">
        <v>633</v>
      </c>
      <c r="H374" s="168" t="s">
        <v>608</v>
      </c>
      <c r="I374">
        <v>0</v>
      </c>
    </row>
    <row r="375" spans="1:9" x14ac:dyDescent="0.3">
      <c r="A375">
        <v>41</v>
      </c>
      <c r="B375" s="168" t="s">
        <v>60</v>
      </c>
      <c r="C375" s="168" t="s">
        <v>61</v>
      </c>
      <c r="D375">
        <v>3051</v>
      </c>
      <c r="E375">
        <v>2020</v>
      </c>
      <c r="F375" s="168" t="s">
        <v>592</v>
      </c>
      <c r="G375" s="168" t="s">
        <v>633</v>
      </c>
      <c r="H375" s="168" t="s">
        <v>609</v>
      </c>
      <c r="I375">
        <v>36000</v>
      </c>
    </row>
    <row r="376" spans="1:9" x14ac:dyDescent="0.3">
      <c r="A376">
        <v>41</v>
      </c>
      <c r="B376" s="168" t="s">
        <v>60</v>
      </c>
      <c r="C376" s="168" t="s">
        <v>61</v>
      </c>
      <c r="D376">
        <v>3051</v>
      </c>
      <c r="E376">
        <v>2020</v>
      </c>
      <c r="F376" s="168" t="s">
        <v>592</v>
      </c>
      <c r="G376" s="168" t="s">
        <v>613</v>
      </c>
      <c r="H376" s="168" t="s">
        <v>608</v>
      </c>
      <c r="I376">
        <v>0</v>
      </c>
    </row>
    <row r="377" spans="1:9" x14ac:dyDescent="0.3">
      <c r="A377">
        <v>41</v>
      </c>
      <c r="B377" s="168" t="s">
        <v>60</v>
      </c>
      <c r="C377" s="168" t="s">
        <v>61</v>
      </c>
      <c r="D377">
        <v>3051</v>
      </c>
      <c r="E377">
        <v>2020</v>
      </c>
      <c r="F377" s="168" t="s">
        <v>592</v>
      </c>
      <c r="G377" s="168" t="s">
        <v>613</v>
      </c>
      <c r="H377" s="168" t="s">
        <v>609</v>
      </c>
      <c r="I377">
        <v>770367.18234781304</v>
      </c>
    </row>
    <row r="378" spans="1:9" x14ac:dyDescent="0.3">
      <c r="A378">
        <v>42</v>
      </c>
      <c r="B378" s="168" t="s">
        <v>62</v>
      </c>
      <c r="C378" s="168" t="s">
        <v>63</v>
      </c>
      <c r="D378">
        <v>1467.1</v>
      </c>
      <c r="E378">
        <v>2020</v>
      </c>
      <c r="F378" s="168" t="s">
        <v>593</v>
      </c>
      <c r="G378" s="168" t="s">
        <v>607</v>
      </c>
      <c r="H378" s="168" t="s">
        <v>608</v>
      </c>
      <c r="I378">
        <v>0</v>
      </c>
    </row>
    <row r="379" spans="1:9" x14ac:dyDescent="0.3">
      <c r="A379">
        <v>42</v>
      </c>
      <c r="B379" s="168" t="s">
        <v>62</v>
      </c>
      <c r="C379" s="168" t="s">
        <v>63</v>
      </c>
      <c r="D379">
        <v>1467.1</v>
      </c>
      <c r="E379">
        <v>2020</v>
      </c>
      <c r="F379" s="168" t="s">
        <v>593</v>
      </c>
      <c r="G379" s="168" t="s">
        <v>607</v>
      </c>
      <c r="H379" s="168" t="s">
        <v>609</v>
      </c>
      <c r="I379">
        <v>2560865</v>
      </c>
    </row>
    <row r="380" spans="1:9" x14ac:dyDescent="0.3">
      <c r="A380">
        <v>42</v>
      </c>
      <c r="B380" s="168" t="s">
        <v>62</v>
      </c>
      <c r="C380" s="168" t="s">
        <v>63</v>
      </c>
      <c r="D380">
        <v>1467.1</v>
      </c>
      <c r="E380">
        <v>2020</v>
      </c>
      <c r="F380" s="168" t="s">
        <v>593</v>
      </c>
      <c r="G380" s="168" t="s">
        <v>619</v>
      </c>
      <c r="H380" s="168" t="s">
        <v>608</v>
      </c>
      <c r="I380">
        <v>0</v>
      </c>
    </row>
    <row r="381" spans="1:9" x14ac:dyDescent="0.3">
      <c r="A381">
        <v>42</v>
      </c>
      <c r="B381" s="168" t="s">
        <v>62</v>
      </c>
      <c r="C381" s="168" t="s">
        <v>63</v>
      </c>
      <c r="D381">
        <v>1467.1</v>
      </c>
      <c r="E381">
        <v>2020</v>
      </c>
      <c r="F381" s="168" t="s">
        <v>593</v>
      </c>
      <c r="G381" s="168" t="s">
        <v>619</v>
      </c>
      <c r="H381" s="168" t="s">
        <v>609</v>
      </c>
      <c r="I381">
        <v>25556.603773584906</v>
      </c>
    </row>
    <row r="382" spans="1:9" x14ac:dyDescent="0.3">
      <c r="A382">
        <v>42</v>
      </c>
      <c r="B382" s="168" t="s">
        <v>62</v>
      </c>
      <c r="C382" s="168" t="s">
        <v>63</v>
      </c>
      <c r="D382">
        <v>1467.1</v>
      </c>
      <c r="E382">
        <v>2020</v>
      </c>
      <c r="F382" s="168" t="s">
        <v>593</v>
      </c>
      <c r="G382" s="168" t="s">
        <v>610</v>
      </c>
      <c r="H382" s="168" t="s">
        <v>608</v>
      </c>
      <c r="I382">
        <v>0</v>
      </c>
    </row>
    <row r="383" spans="1:9" x14ac:dyDescent="0.3">
      <c r="A383">
        <v>42</v>
      </c>
      <c r="B383" s="168" t="s">
        <v>62</v>
      </c>
      <c r="C383" s="168" t="s">
        <v>63</v>
      </c>
      <c r="D383">
        <v>1467.1</v>
      </c>
      <c r="E383">
        <v>2020</v>
      </c>
      <c r="F383" s="168" t="s">
        <v>593</v>
      </c>
      <c r="G383" s="168" t="s">
        <v>610</v>
      </c>
      <c r="H383" s="168" t="s">
        <v>609</v>
      </c>
      <c r="I383">
        <v>6545.454545454545</v>
      </c>
    </row>
    <row r="384" spans="1:9" x14ac:dyDescent="0.3">
      <c r="A384">
        <v>42</v>
      </c>
      <c r="B384" s="168" t="s">
        <v>62</v>
      </c>
      <c r="C384" s="168" t="s">
        <v>63</v>
      </c>
      <c r="D384">
        <v>1467.1</v>
      </c>
      <c r="E384">
        <v>2020</v>
      </c>
      <c r="F384" s="168" t="s">
        <v>593</v>
      </c>
      <c r="G384" s="168" t="s">
        <v>613</v>
      </c>
      <c r="H384" s="168" t="s">
        <v>608</v>
      </c>
      <c r="I384">
        <v>0</v>
      </c>
    </row>
    <row r="385" spans="1:9" x14ac:dyDescent="0.3">
      <c r="A385">
        <v>42</v>
      </c>
      <c r="B385" s="168" t="s">
        <v>62</v>
      </c>
      <c r="C385" s="168" t="s">
        <v>63</v>
      </c>
      <c r="D385">
        <v>1467.1</v>
      </c>
      <c r="E385">
        <v>2020</v>
      </c>
      <c r="F385" s="168" t="s">
        <v>593</v>
      </c>
      <c r="G385" s="168" t="s">
        <v>613</v>
      </c>
      <c r="H385" s="168" t="s">
        <v>609</v>
      </c>
      <c r="I385">
        <v>497184.57569369901</v>
      </c>
    </row>
    <row r="386" spans="1:9" x14ac:dyDescent="0.3">
      <c r="A386">
        <v>43</v>
      </c>
      <c r="B386" s="168" t="s">
        <v>64</v>
      </c>
      <c r="C386" s="168" t="s">
        <v>65</v>
      </c>
      <c r="D386">
        <v>1779.1</v>
      </c>
      <c r="E386">
        <v>2020</v>
      </c>
      <c r="F386" s="168" t="s">
        <v>592</v>
      </c>
      <c r="G386" s="168" t="s">
        <v>607</v>
      </c>
      <c r="H386" s="168" t="s">
        <v>608</v>
      </c>
      <c r="I386">
        <v>0</v>
      </c>
    </row>
    <row r="387" spans="1:9" x14ac:dyDescent="0.3">
      <c r="A387">
        <v>43</v>
      </c>
      <c r="B387" s="168" t="s">
        <v>64</v>
      </c>
      <c r="C387" s="168" t="s">
        <v>65</v>
      </c>
      <c r="D387">
        <v>1779.1</v>
      </c>
      <c r="E387">
        <v>2020</v>
      </c>
      <c r="F387" s="168" t="s">
        <v>592</v>
      </c>
      <c r="G387" s="168" t="s">
        <v>607</v>
      </c>
      <c r="H387" s="168" t="s">
        <v>609</v>
      </c>
      <c r="I387">
        <v>650675</v>
      </c>
    </row>
    <row r="388" spans="1:9" x14ac:dyDescent="0.3">
      <c r="A388">
        <v>43</v>
      </c>
      <c r="B388" s="168" t="s">
        <v>64</v>
      </c>
      <c r="C388" s="168" t="s">
        <v>65</v>
      </c>
      <c r="D388">
        <v>1779.1</v>
      </c>
      <c r="E388">
        <v>2020</v>
      </c>
      <c r="F388" s="168" t="s">
        <v>592</v>
      </c>
      <c r="G388" s="168" t="s">
        <v>612</v>
      </c>
      <c r="H388" s="168" t="s">
        <v>608</v>
      </c>
      <c r="I388">
        <v>0</v>
      </c>
    </row>
    <row r="389" spans="1:9" x14ac:dyDescent="0.3">
      <c r="A389">
        <v>43</v>
      </c>
      <c r="B389" s="168" t="s">
        <v>64</v>
      </c>
      <c r="C389" s="168" t="s">
        <v>65</v>
      </c>
      <c r="D389">
        <v>1779.1</v>
      </c>
      <c r="E389">
        <v>2020</v>
      </c>
      <c r="F389" s="168" t="s">
        <v>592</v>
      </c>
      <c r="G389" s="168" t="s">
        <v>612</v>
      </c>
      <c r="H389" s="168" t="s">
        <v>609</v>
      </c>
      <c r="I389">
        <v>24900</v>
      </c>
    </row>
    <row r="390" spans="1:9" x14ac:dyDescent="0.3">
      <c r="A390">
        <v>43</v>
      </c>
      <c r="B390" s="168" t="s">
        <v>64</v>
      </c>
      <c r="C390" s="168" t="s">
        <v>65</v>
      </c>
      <c r="D390">
        <v>1779.1</v>
      </c>
      <c r="E390">
        <v>2020</v>
      </c>
      <c r="F390" s="168" t="s">
        <v>592</v>
      </c>
      <c r="G390" s="168" t="s">
        <v>616</v>
      </c>
      <c r="H390" s="168" t="s">
        <v>608</v>
      </c>
      <c r="I390">
        <v>0</v>
      </c>
    </row>
    <row r="391" spans="1:9" x14ac:dyDescent="0.3">
      <c r="A391">
        <v>43</v>
      </c>
      <c r="B391" s="168" t="s">
        <v>64</v>
      </c>
      <c r="C391" s="168" t="s">
        <v>65</v>
      </c>
      <c r="D391">
        <v>1779.1</v>
      </c>
      <c r="E391">
        <v>2020</v>
      </c>
      <c r="F391" s="168" t="s">
        <v>592</v>
      </c>
      <c r="G391" s="168" t="s">
        <v>616</v>
      </c>
      <c r="H391" s="168" t="s">
        <v>609</v>
      </c>
      <c r="I391">
        <v>629394.95228111197</v>
      </c>
    </row>
    <row r="392" spans="1:9" x14ac:dyDescent="0.3">
      <c r="A392">
        <v>43</v>
      </c>
      <c r="B392" s="168" t="s">
        <v>64</v>
      </c>
      <c r="C392" s="168" t="s">
        <v>65</v>
      </c>
      <c r="D392">
        <v>1779.1</v>
      </c>
      <c r="E392">
        <v>2020</v>
      </c>
      <c r="F392" s="168" t="s">
        <v>592</v>
      </c>
      <c r="G392" s="168" t="s">
        <v>617</v>
      </c>
      <c r="H392" s="168" t="s">
        <v>608</v>
      </c>
      <c r="I392">
        <v>0</v>
      </c>
    </row>
    <row r="393" spans="1:9" x14ac:dyDescent="0.3">
      <c r="A393">
        <v>43</v>
      </c>
      <c r="B393" s="168" t="s">
        <v>64</v>
      </c>
      <c r="C393" s="168" t="s">
        <v>65</v>
      </c>
      <c r="D393">
        <v>1779.1</v>
      </c>
      <c r="E393">
        <v>2020</v>
      </c>
      <c r="F393" s="168" t="s">
        <v>592</v>
      </c>
      <c r="G393" s="168" t="s">
        <v>617</v>
      </c>
      <c r="H393" s="168" t="s">
        <v>609</v>
      </c>
      <c r="I393">
        <v>2810.6439954307971</v>
      </c>
    </row>
    <row r="394" spans="1:9" x14ac:dyDescent="0.3">
      <c r="A394">
        <v>43</v>
      </c>
      <c r="B394" s="168" t="s">
        <v>64</v>
      </c>
      <c r="C394" s="168" t="s">
        <v>65</v>
      </c>
      <c r="D394">
        <v>1779.1</v>
      </c>
      <c r="E394">
        <v>2020</v>
      </c>
      <c r="F394" s="168" t="s">
        <v>592</v>
      </c>
      <c r="G394" s="168" t="s">
        <v>619</v>
      </c>
      <c r="H394" s="168" t="s">
        <v>608</v>
      </c>
      <c r="I394">
        <v>0</v>
      </c>
    </row>
    <row r="395" spans="1:9" x14ac:dyDescent="0.3">
      <c r="A395">
        <v>43</v>
      </c>
      <c r="B395" s="168" t="s">
        <v>64</v>
      </c>
      <c r="C395" s="168" t="s">
        <v>65</v>
      </c>
      <c r="D395">
        <v>1779.1</v>
      </c>
      <c r="E395">
        <v>2020</v>
      </c>
      <c r="F395" s="168" t="s">
        <v>592</v>
      </c>
      <c r="G395" s="168" t="s">
        <v>619</v>
      </c>
      <c r="H395" s="168" t="s">
        <v>609</v>
      </c>
      <c r="I395">
        <v>31033.018867924526</v>
      </c>
    </row>
    <row r="396" spans="1:9" x14ac:dyDescent="0.3">
      <c r="A396">
        <v>43</v>
      </c>
      <c r="B396" s="168" t="s">
        <v>64</v>
      </c>
      <c r="C396" s="168" t="s">
        <v>65</v>
      </c>
      <c r="D396">
        <v>1779.1</v>
      </c>
      <c r="E396">
        <v>2020</v>
      </c>
      <c r="F396" s="168" t="s">
        <v>592</v>
      </c>
      <c r="G396" s="168" t="s">
        <v>610</v>
      </c>
      <c r="H396" s="168" t="s">
        <v>608</v>
      </c>
      <c r="I396">
        <v>0</v>
      </c>
    </row>
    <row r="397" spans="1:9" x14ac:dyDescent="0.3">
      <c r="A397">
        <v>43</v>
      </c>
      <c r="B397" s="168" t="s">
        <v>64</v>
      </c>
      <c r="C397" s="168" t="s">
        <v>65</v>
      </c>
      <c r="D397">
        <v>1779.1</v>
      </c>
      <c r="E397">
        <v>2020</v>
      </c>
      <c r="F397" s="168" t="s">
        <v>592</v>
      </c>
      <c r="G397" s="168" t="s">
        <v>610</v>
      </c>
      <c r="H397" s="168" t="s">
        <v>609</v>
      </c>
      <c r="I397">
        <v>46770.727272727272</v>
      </c>
    </row>
    <row r="398" spans="1:9" x14ac:dyDescent="0.3">
      <c r="A398">
        <v>43</v>
      </c>
      <c r="B398" s="168" t="s">
        <v>64</v>
      </c>
      <c r="C398" s="168" t="s">
        <v>65</v>
      </c>
      <c r="D398">
        <v>1779.1</v>
      </c>
      <c r="E398">
        <v>2020</v>
      </c>
      <c r="F398" s="168" t="s">
        <v>592</v>
      </c>
      <c r="G398" s="168" t="s">
        <v>613</v>
      </c>
      <c r="H398" s="168" t="s">
        <v>608</v>
      </c>
      <c r="I398">
        <v>0</v>
      </c>
    </row>
    <row r="399" spans="1:9" x14ac:dyDescent="0.3">
      <c r="A399">
        <v>43</v>
      </c>
      <c r="B399" s="168" t="s">
        <v>64</v>
      </c>
      <c r="C399" s="168" t="s">
        <v>65</v>
      </c>
      <c r="D399">
        <v>1779.1</v>
      </c>
      <c r="E399">
        <v>2020</v>
      </c>
      <c r="F399" s="168" t="s">
        <v>592</v>
      </c>
      <c r="G399" s="168" t="s">
        <v>613</v>
      </c>
      <c r="H399" s="168" t="s">
        <v>609</v>
      </c>
      <c r="I399">
        <v>525409.595507783</v>
      </c>
    </row>
    <row r="400" spans="1:9" x14ac:dyDescent="0.3">
      <c r="A400">
        <v>44</v>
      </c>
      <c r="B400" s="168" t="s">
        <v>66</v>
      </c>
      <c r="C400" s="168" t="s">
        <v>67</v>
      </c>
      <c r="D400">
        <v>561.79999999999995</v>
      </c>
      <c r="E400">
        <v>2020</v>
      </c>
      <c r="F400" s="168" t="s">
        <v>593</v>
      </c>
      <c r="G400" s="168" t="s">
        <v>607</v>
      </c>
      <c r="H400" s="168" t="s">
        <v>608</v>
      </c>
      <c r="I400">
        <v>0</v>
      </c>
    </row>
    <row r="401" spans="1:9" x14ac:dyDescent="0.3">
      <c r="A401">
        <v>44</v>
      </c>
      <c r="B401" s="168" t="s">
        <v>66</v>
      </c>
      <c r="C401" s="168" t="s">
        <v>67</v>
      </c>
      <c r="D401">
        <v>561.79999999999995</v>
      </c>
      <c r="E401">
        <v>2020</v>
      </c>
      <c r="F401" s="168" t="s">
        <v>593</v>
      </c>
      <c r="G401" s="168" t="s">
        <v>607</v>
      </c>
      <c r="H401" s="168" t="s">
        <v>609</v>
      </c>
      <c r="I401">
        <v>641660</v>
      </c>
    </row>
    <row r="402" spans="1:9" x14ac:dyDescent="0.3">
      <c r="A402">
        <v>44</v>
      </c>
      <c r="B402" s="168" t="s">
        <v>66</v>
      </c>
      <c r="C402" s="168" t="s">
        <v>67</v>
      </c>
      <c r="D402">
        <v>561.79999999999995</v>
      </c>
      <c r="E402">
        <v>2020</v>
      </c>
      <c r="F402" s="168" t="s">
        <v>593</v>
      </c>
      <c r="G402" s="168" t="s">
        <v>617</v>
      </c>
      <c r="H402" s="168" t="s">
        <v>608</v>
      </c>
      <c r="I402">
        <v>0</v>
      </c>
    </row>
    <row r="403" spans="1:9" x14ac:dyDescent="0.3">
      <c r="A403">
        <v>44</v>
      </c>
      <c r="B403" s="168" t="s">
        <v>66</v>
      </c>
      <c r="C403" s="168" t="s">
        <v>67</v>
      </c>
      <c r="D403">
        <v>561.79999999999995</v>
      </c>
      <c r="E403">
        <v>2020</v>
      </c>
      <c r="F403" s="168" t="s">
        <v>593</v>
      </c>
      <c r="G403" s="168" t="s">
        <v>617</v>
      </c>
      <c r="H403" s="168" t="s">
        <v>609</v>
      </c>
      <c r="I403">
        <v>1179.281286867287</v>
      </c>
    </row>
    <row r="404" spans="1:9" x14ac:dyDescent="0.3">
      <c r="A404">
        <v>44</v>
      </c>
      <c r="B404" s="168" t="s">
        <v>66</v>
      </c>
      <c r="C404" s="168" t="s">
        <v>67</v>
      </c>
      <c r="D404">
        <v>561.79999999999995</v>
      </c>
      <c r="E404">
        <v>2020</v>
      </c>
      <c r="F404" s="168" t="s">
        <v>593</v>
      </c>
      <c r="G404" s="168" t="s">
        <v>613</v>
      </c>
      <c r="H404" s="168" t="s">
        <v>608</v>
      </c>
      <c r="I404">
        <v>0</v>
      </c>
    </row>
    <row r="405" spans="1:9" x14ac:dyDescent="0.3">
      <c r="A405">
        <v>44</v>
      </c>
      <c r="B405" s="168" t="s">
        <v>66</v>
      </c>
      <c r="C405" s="168" t="s">
        <v>67</v>
      </c>
      <c r="D405">
        <v>561.79999999999995</v>
      </c>
      <c r="E405">
        <v>2020</v>
      </c>
      <c r="F405" s="168" t="s">
        <v>593</v>
      </c>
      <c r="G405" s="168" t="s">
        <v>613</v>
      </c>
      <c r="H405" s="168" t="s">
        <v>609</v>
      </c>
      <c r="I405">
        <v>165912.60230244102</v>
      </c>
    </row>
    <row r="406" spans="1:9" x14ac:dyDescent="0.3">
      <c r="A406">
        <v>45</v>
      </c>
      <c r="B406" s="168" t="s">
        <v>30</v>
      </c>
      <c r="C406" s="168" t="s">
        <v>68</v>
      </c>
      <c r="D406">
        <v>4466.7</v>
      </c>
      <c r="E406">
        <v>2020</v>
      </c>
      <c r="F406" s="168" t="s">
        <v>591</v>
      </c>
      <c r="G406" s="168" t="s">
        <v>607</v>
      </c>
      <c r="H406" s="168" t="s">
        <v>608</v>
      </c>
      <c r="I406">
        <v>0</v>
      </c>
    </row>
    <row r="407" spans="1:9" x14ac:dyDescent="0.3">
      <c r="A407">
        <v>45</v>
      </c>
      <c r="B407" s="168" t="s">
        <v>30</v>
      </c>
      <c r="C407" s="168" t="s">
        <v>68</v>
      </c>
      <c r="D407">
        <v>4466.7</v>
      </c>
      <c r="E407">
        <v>2020</v>
      </c>
      <c r="F407" s="168" t="s">
        <v>591</v>
      </c>
      <c r="G407" s="168" t="s">
        <v>607</v>
      </c>
      <c r="H407" s="168" t="s">
        <v>609</v>
      </c>
      <c r="I407">
        <v>1308078</v>
      </c>
    </row>
    <row r="408" spans="1:9" x14ac:dyDescent="0.3">
      <c r="A408">
        <v>45</v>
      </c>
      <c r="B408" s="168" t="s">
        <v>30</v>
      </c>
      <c r="C408" s="168" t="s">
        <v>68</v>
      </c>
      <c r="D408">
        <v>4466.7</v>
      </c>
      <c r="E408">
        <v>2020</v>
      </c>
      <c r="F408" s="168" t="s">
        <v>591</v>
      </c>
      <c r="G408" s="168" t="s">
        <v>616</v>
      </c>
      <c r="H408" s="168" t="s">
        <v>608</v>
      </c>
      <c r="I408">
        <v>0</v>
      </c>
    </row>
    <row r="409" spans="1:9" x14ac:dyDescent="0.3">
      <c r="A409">
        <v>45</v>
      </c>
      <c r="B409" s="168" t="s">
        <v>30</v>
      </c>
      <c r="C409" s="168" t="s">
        <v>68</v>
      </c>
      <c r="D409">
        <v>4466.7</v>
      </c>
      <c r="E409">
        <v>2020</v>
      </c>
      <c r="F409" s="168" t="s">
        <v>591</v>
      </c>
      <c r="G409" s="168" t="s">
        <v>616</v>
      </c>
      <c r="H409" s="168" t="s">
        <v>609</v>
      </c>
      <c r="I409">
        <v>2604951.7611487401</v>
      </c>
    </row>
    <row r="410" spans="1:9" x14ac:dyDescent="0.3">
      <c r="A410">
        <v>45</v>
      </c>
      <c r="B410" s="168" t="s">
        <v>30</v>
      </c>
      <c r="C410" s="168" t="s">
        <v>68</v>
      </c>
      <c r="D410">
        <v>4466.7</v>
      </c>
      <c r="E410">
        <v>2020</v>
      </c>
      <c r="F410" s="168" t="s">
        <v>591</v>
      </c>
      <c r="G410" s="168" t="s">
        <v>617</v>
      </c>
      <c r="H410" s="168" t="s">
        <v>608</v>
      </c>
      <c r="I410">
        <v>0</v>
      </c>
    </row>
    <row r="411" spans="1:9" x14ac:dyDescent="0.3">
      <c r="A411">
        <v>45</v>
      </c>
      <c r="B411" s="168" t="s">
        <v>30</v>
      </c>
      <c r="C411" s="168" t="s">
        <v>68</v>
      </c>
      <c r="D411">
        <v>4466.7</v>
      </c>
      <c r="E411">
        <v>2020</v>
      </c>
      <c r="F411" s="168" t="s">
        <v>591</v>
      </c>
      <c r="G411" s="168" t="s">
        <v>617</v>
      </c>
      <c r="H411" s="168" t="s">
        <v>609</v>
      </c>
      <c r="I411">
        <v>7509.3649931649215</v>
      </c>
    </row>
    <row r="412" spans="1:9" x14ac:dyDescent="0.3">
      <c r="A412">
        <v>45</v>
      </c>
      <c r="B412" s="168" t="s">
        <v>30</v>
      </c>
      <c r="C412" s="168" t="s">
        <v>68</v>
      </c>
      <c r="D412">
        <v>4466.7</v>
      </c>
      <c r="E412">
        <v>2020</v>
      </c>
      <c r="F412" s="168" t="s">
        <v>591</v>
      </c>
      <c r="G412" s="168" t="s">
        <v>619</v>
      </c>
      <c r="H412" s="168" t="s">
        <v>608</v>
      </c>
      <c r="I412">
        <v>0</v>
      </c>
    </row>
    <row r="413" spans="1:9" x14ac:dyDescent="0.3">
      <c r="A413">
        <v>45</v>
      </c>
      <c r="B413" s="168" t="s">
        <v>30</v>
      </c>
      <c r="C413" s="168" t="s">
        <v>68</v>
      </c>
      <c r="D413">
        <v>4466.7</v>
      </c>
      <c r="E413">
        <v>2020</v>
      </c>
      <c r="F413" s="168" t="s">
        <v>591</v>
      </c>
      <c r="G413" s="168" t="s">
        <v>619</v>
      </c>
      <c r="H413" s="168" t="s">
        <v>609</v>
      </c>
      <c r="I413">
        <v>7301.8867924528295</v>
      </c>
    </row>
    <row r="414" spans="1:9" x14ac:dyDescent="0.3">
      <c r="A414">
        <v>45</v>
      </c>
      <c r="B414" s="168" t="s">
        <v>30</v>
      </c>
      <c r="C414" s="168" t="s">
        <v>68</v>
      </c>
      <c r="D414">
        <v>4466.7</v>
      </c>
      <c r="E414">
        <v>2020</v>
      </c>
      <c r="F414" s="168" t="s">
        <v>591</v>
      </c>
      <c r="G414" s="168" t="s">
        <v>610</v>
      </c>
      <c r="H414" s="168" t="s">
        <v>608</v>
      </c>
      <c r="I414">
        <v>0</v>
      </c>
    </row>
    <row r="415" spans="1:9" x14ac:dyDescent="0.3">
      <c r="A415">
        <v>45</v>
      </c>
      <c r="B415" s="168" t="s">
        <v>30</v>
      </c>
      <c r="C415" s="168" t="s">
        <v>68</v>
      </c>
      <c r="D415">
        <v>4466.7</v>
      </c>
      <c r="E415">
        <v>2020</v>
      </c>
      <c r="F415" s="168" t="s">
        <v>591</v>
      </c>
      <c r="G415" s="168" t="s">
        <v>610</v>
      </c>
      <c r="H415" s="168" t="s">
        <v>609</v>
      </c>
      <c r="I415">
        <v>65149.854545454553</v>
      </c>
    </row>
    <row r="416" spans="1:9" x14ac:dyDescent="0.3">
      <c r="A416">
        <v>45</v>
      </c>
      <c r="B416" s="168" t="s">
        <v>30</v>
      </c>
      <c r="C416" s="168" t="s">
        <v>68</v>
      </c>
      <c r="D416">
        <v>4466.7</v>
      </c>
      <c r="E416">
        <v>2020</v>
      </c>
      <c r="F416" s="168" t="s">
        <v>591</v>
      </c>
      <c r="G416" s="168" t="s">
        <v>633</v>
      </c>
      <c r="H416" s="168" t="s">
        <v>608</v>
      </c>
      <c r="I416">
        <v>0</v>
      </c>
    </row>
    <row r="417" spans="1:9" x14ac:dyDescent="0.3">
      <c r="A417">
        <v>45</v>
      </c>
      <c r="B417" s="168" t="s">
        <v>30</v>
      </c>
      <c r="C417" s="168" t="s">
        <v>68</v>
      </c>
      <c r="D417">
        <v>4466.7</v>
      </c>
      <c r="E417">
        <v>2020</v>
      </c>
      <c r="F417" s="168" t="s">
        <v>591</v>
      </c>
      <c r="G417" s="168" t="s">
        <v>633</v>
      </c>
      <c r="H417" s="168" t="s">
        <v>609</v>
      </c>
      <c r="I417">
        <v>36000</v>
      </c>
    </row>
    <row r="418" spans="1:9" x14ac:dyDescent="0.3">
      <c r="A418">
        <v>45</v>
      </c>
      <c r="B418" s="168" t="s">
        <v>30</v>
      </c>
      <c r="C418" s="168" t="s">
        <v>68</v>
      </c>
      <c r="D418">
        <v>4466.7</v>
      </c>
      <c r="E418">
        <v>2020</v>
      </c>
      <c r="F418" s="168" t="s">
        <v>591</v>
      </c>
      <c r="G418" s="168" t="s">
        <v>623</v>
      </c>
      <c r="H418" s="168" t="s">
        <v>608</v>
      </c>
      <c r="I418">
        <v>0</v>
      </c>
    </row>
    <row r="419" spans="1:9" x14ac:dyDescent="0.3">
      <c r="A419">
        <v>45</v>
      </c>
      <c r="B419" s="168" t="s">
        <v>30</v>
      </c>
      <c r="C419" s="168" t="s">
        <v>68</v>
      </c>
      <c r="D419">
        <v>4466.7</v>
      </c>
      <c r="E419">
        <v>2020</v>
      </c>
      <c r="F419" s="168" t="s">
        <v>591</v>
      </c>
      <c r="G419" s="168" t="s">
        <v>623</v>
      </c>
      <c r="H419" s="168" t="s">
        <v>609</v>
      </c>
      <c r="I419">
        <v>364168.48</v>
      </c>
    </row>
    <row r="420" spans="1:9" x14ac:dyDescent="0.3">
      <c r="A420">
        <v>45</v>
      </c>
      <c r="B420" s="168" t="s">
        <v>30</v>
      </c>
      <c r="C420" s="168" t="s">
        <v>68</v>
      </c>
      <c r="D420">
        <v>4466.7</v>
      </c>
      <c r="E420">
        <v>2020</v>
      </c>
      <c r="F420" s="168" t="s">
        <v>591</v>
      </c>
      <c r="G420" s="168" t="s">
        <v>613</v>
      </c>
      <c r="H420" s="168" t="s">
        <v>608</v>
      </c>
      <c r="I420">
        <v>0</v>
      </c>
    </row>
    <row r="421" spans="1:9" x14ac:dyDescent="0.3">
      <c r="A421">
        <v>45</v>
      </c>
      <c r="B421" s="168" t="s">
        <v>30</v>
      </c>
      <c r="C421" s="168" t="s">
        <v>68</v>
      </c>
      <c r="D421">
        <v>4466.7</v>
      </c>
      <c r="E421">
        <v>2020</v>
      </c>
      <c r="F421" s="168" t="s">
        <v>591</v>
      </c>
      <c r="G421" s="168" t="s">
        <v>613</v>
      </c>
      <c r="H421" s="168" t="s">
        <v>609</v>
      </c>
      <c r="I421">
        <v>1044284.4155640691</v>
      </c>
    </row>
    <row r="422" spans="1:9" x14ac:dyDescent="0.3">
      <c r="A422">
        <v>46</v>
      </c>
      <c r="B422" s="168" t="s">
        <v>37</v>
      </c>
      <c r="C422" s="168" t="s">
        <v>69</v>
      </c>
      <c r="D422">
        <v>912.3</v>
      </c>
      <c r="E422">
        <v>2020</v>
      </c>
      <c r="F422" s="168" t="s">
        <v>592</v>
      </c>
      <c r="G422" s="168" t="s">
        <v>607</v>
      </c>
      <c r="H422" s="168" t="s">
        <v>608</v>
      </c>
      <c r="I422">
        <v>173196.60578167695</v>
      </c>
    </row>
    <row r="423" spans="1:9" x14ac:dyDescent="0.3">
      <c r="A423">
        <v>46</v>
      </c>
      <c r="B423" s="168" t="s">
        <v>37</v>
      </c>
      <c r="C423" s="168" t="s">
        <v>69</v>
      </c>
      <c r="D423">
        <v>912.3</v>
      </c>
      <c r="E423">
        <v>2020</v>
      </c>
      <c r="F423" s="168" t="s">
        <v>592</v>
      </c>
      <c r="G423" s="168" t="s">
        <v>607</v>
      </c>
      <c r="H423" s="168" t="s">
        <v>609</v>
      </c>
      <c r="I423">
        <v>73758.511228452247</v>
      </c>
    </row>
    <row r="424" spans="1:9" x14ac:dyDescent="0.3">
      <c r="A424">
        <v>46</v>
      </c>
      <c r="B424" s="168" t="s">
        <v>37</v>
      </c>
      <c r="C424" s="168" t="s">
        <v>69</v>
      </c>
      <c r="D424">
        <v>912.3</v>
      </c>
      <c r="E424">
        <v>2020</v>
      </c>
      <c r="F424" s="168" t="s">
        <v>592</v>
      </c>
      <c r="G424" s="168" t="s">
        <v>620</v>
      </c>
      <c r="H424" s="168" t="s">
        <v>608</v>
      </c>
      <c r="I424">
        <v>0</v>
      </c>
    </row>
    <row r="425" spans="1:9" x14ac:dyDescent="0.3">
      <c r="A425">
        <v>46</v>
      </c>
      <c r="B425" s="168" t="s">
        <v>37</v>
      </c>
      <c r="C425" s="168" t="s">
        <v>69</v>
      </c>
      <c r="D425">
        <v>912.3</v>
      </c>
      <c r="E425">
        <v>2020</v>
      </c>
      <c r="F425" s="168" t="s">
        <v>592</v>
      </c>
      <c r="G425" s="168" t="s">
        <v>620</v>
      </c>
      <c r="H425" s="168" t="s">
        <v>609</v>
      </c>
      <c r="I425">
        <v>448541.66666666669</v>
      </c>
    </row>
    <row r="426" spans="1:9" x14ac:dyDescent="0.3">
      <c r="A426">
        <v>46</v>
      </c>
      <c r="B426" s="168" t="s">
        <v>37</v>
      </c>
      <c r="C426" s="168" t="s">
        <v>69</v>
      </c>
      <c r="D426">
        <v>912.3</v>
      </c>
      <c r="E426">
        <v>2020</v>
      </c>
      <c r="F426" s="168" t="s">
        <v>592</v>
      </c>
      <c r="G426" s="168" t="s">
        <v>621</v>
      </c>
      <c r="H426" s="168" t="s">
        <v>608</v>
      </c>
      <c r="I426">
        <v>0</v>
      </c>
    </row>
    <row r="427" spans="1:9" x14ac:dyDescent="0.3">
      <c r="A427">
        <v>46</v>
      </c>
      <c r="B427" s="168" t="s">
        <v>37</v>
      </c>
      <c r="C427" s="168" t="s">
        <v>69</v>
      </c>
      <c r="D427">
        <v>912.3</v>
      </c>
      <c r="E427">
        <v>2020</v>
      </c>
      <c r="F427" s="168" t="s">
        <v>592</v>
      </c>
      <c r="G427" s="168" t="s">
        <v>621</v>
      </c>
      <c r="H427" s="168" t="s">
        <v>609</v>
      </c>
      <c r="I427">
        <v>63764.36056361474</v>
      </c>
    </row>
    <row r="428" spans="1:9" x14ac:dyDescent="0.3">
      <c r="A428">
        <v>47</v>
      </c>
      <c r="B428" s="168" t="s">
        <v>37</v>
      </c>
      <c r="C428" s="168" t="s">
        <v>70</v>
      </c>
      <c r="D428">
        <v>1610.7</v>
      </c>
      <c r="E428">
        <v>2020</v>
      </c>
      <c r="F428" s="168" t="s">
        <v>592</v>
      </c>
      <c r="G428" s="168" t="s">
        <v>607</v>
      </c>
      <c r="H428" s="168" t="s">
        <v>608</v>
      </c>
      <c r="I428">
        <v>305785.12872141518</v>
      </c>
    </row>
    <row r="429" spans="1:9" x14ac:dyDescent="0.3">
      <c r="A429">
        <v>47</v>
      </c>
      <c r="B429" s="168" t="s">
        <v>37</v>
      </c>
      <c r="C429" s="168" t="s">
        <v>70</v>
      </c>
      <c r="D429">
        <v>1610.7</v>
      </c>
      <c r="E429">
        <v>2020</v>
      </c>
      <c r="F429" s="168" t="s">
        <v>592</v>
      </c>
      <c r="G429" s="168" t="s">
        <v>607</v>
      </c>
      <c r="H429" s="168" t="s">
        <v>609</v>
      </c>
      <c r="I429">
        <v>130223.42873579748</v>
      </c>
    </row>
    <row r="430" spans="1:9" x14ac:dyDescent="0.3">
      <c r="A430">
        <v>47</v>
      </c>
      <c r="B430" s="168" t="s">
        <v>37</v>
      </c>
      <c r="C430" s="168" t="s">
        <v>70</v>
      </c>
      <c r="D430">
        <v>1610.7</v>
      </c>
      <c r="E430">
        <v>2020</v>
      </c>
      <c r="F430" s="168" t="s">
        <v>592</v>
      </c>
      <c r="G430" s="168" t="s">
        <v>612</v>
      </c>
      <c r="H430" s="168" t="s">
        <v>608</v>
      </c>
      <c r="I430">
        <v>0</v>
      </c>
    </row>
    <row r="431" spans="1:9" x14ac:dyDescent="0.3">
      <c r="A431">
        <v>47</v>
      </c>
      <c r="B431" s="168" t="s">
        <v>37</v>
      </c>
      <c r="C431" s="168" t="s">
        <v>70</v>
      </c>
      <c r="D431">
        <v>1610.7</v>
      </c>
      <c r="E431">
        <v>2020</v>
      </c>
      <c r="F431" s="168" t="s">
        <v>592</v>
      </c>
      <c r="G431" s="168" t="s">
        <v>612</v>
      </c>
      <c r="H431" s="168" t="s">
        <v>609</v>
      </c>
      <c r="I431">
        <v>90400</v>
      </c>
    </row>
    <row r="432" spans="1:9" x14ac:dyDescent="0.3">
      <c r="A432">
        <v>47</v>
      </c>
      <c r="B432" s="168" t="s">
        <v>37</v>
      </c>
      <c r="C432" s="168" t="s">
        <v>70</v>
      </c>
      <c r="D432">
        <v>1610.7</v>
      </c>
      <c r="E432">
        <v>2020</v>
      </c>
      <c r="F432" s="168" t="s">
        <v>592</v>
      </c>
      <c r="G432" s="168" t="s">
        <v>620</v>
      </c>
      <c r="H432" s="168" t="s">
        <v>608</v>
      </c>
      <c r="I432">
        <v>0</v>
      </c>
    </row>
    <row r="433" spans="1:9" x14ac:dyDescent="0.3">
      <c r="A433">
        <v>47</v>
      </c>
      <c r="B433" s="168" t="s">
        <v>37</v>
      </c>
      <c r="C433" s="168" t="s">
        <v>70</v>
      </c>
      <c r="D433">
        <v>1610.7</v>
      </c>
      <c r="E433">
        <v>2020</v>
      </c>
      <c r="F433" s="168" t="s">
        <v>592</v>
      </c>
      <c r="G433" s="168" t="s">
        <v>620</v>
      </c>
      <c r="H433" s="168" t="s">
        <v>609</v>
      </c>
      <c r="I433">
        <v>358833.33333333331</v>
      </c>
    </row>
    <row r="434" spans="1:9" x14ac:dyDescent="0.3">
      <c r="A434">
        <v>47</v>
      </c>
      <c r="B434" s="168" t="s">
        <v>37</v>
      </c>
      <c r="C434" s="168" t="s">
        <v>70</v>
      </c>
      <c r="D434">
        <v>1610.7</v>
      </c>
      <c r="E434">
        <v>2020</v>
      </c>
      <c r="F434" s="168" t="s">
        <v>592</v>
      </c>
      <c r="G434" s="168" t="s">
        <v>621</v>
      </c>
      <c r="H434" s="168" t="s">
        <v>608</v>
      </c>
      <c r="I434">
        <v>0</v>
      </c>
    </row>
    <row r="435" spans="1:9" x14ac:dyDescent="0.3">
      <c r="A435">
        <v>47</v>
      </c>
      <c r="B435" s="168" t="s">
        <v>37</v>
      </c>
      <c r="C435" s="168" t="s">
        <v>70</v>
      </c>
      <c r="D435">
        <v>1610.7</v>
      </c>
      <c r="E435">
        <v>2020</v>
      </c>
      <c r="F435" s="168" t="s">
        <v>592</v>
      </c>
      <c r="G435" s="168" t="s">
        <v>621</v>
      </c>
      <c r="H435" s="168" t="s">
        <v>609</v>
      </c>
      <c r="I435">
        <v>112578.37943638526</v>
      </c>
    </row>
    <row r="436" spans="1:9" x14ac:dyDescent="0.3">
      <c r="A436">
        <v>48</v>
      </c>
      <c r="B436" s="168" t="s">
        <v>71</v>
      </c>
      <c r="C436" s="168" t="s">
        <v>72</v>
      </c>
      <c r="D436">
        <v>18956.5</v>
      </c>
      <c r="E436">
        <v>2020</v>
      </c>
      <c r="F436" s="168" t="s">
        <v>592</v>
      </c>
      <c r="G436" s="168" t="s">
        <v>607</v>
      </c>
      <c r="H436" s="168" t="s">
        <v>608</v>
      </c>
      <c r="I436">
        <v>172563.66824289903</v>
      </c>
    </row>
    <row r="437" spans="1:9" x14ac:dyDescent="0.3">
      <c r="A437">
        <v>48</v>
      </c>
      <c r="B437" s="168" t="s">
        <v>71</v>
      </c>
      <c r="C437" s="168" t="s">
        <v>72</v>
      </c>
      <c r="D437">
        <v>18956.5</v>
      </c>
      <c r="E437">
        <v>2020</v>
      </c>
      <c r="F437" s="168" t="s">
        <v>592</v>
      </c>
      <c r="G437" s="168" t="s">
        <v>607</v>
      </c>
      <c r="H437" s="168" t="s">
        <v>609</v>
      </c>
      <c r="I437">
        <v>0</v>
      </c>
    </row>
    <row r="438" spans="1:9" x14ac:dyDescent="0.3">
      <c r="A438">
        <v>48</v>
      </c>
      <c r="B438" s="168" t="s">
        <v>71</v>
      </c>
      <c r="C438" s="168" t="s">
        <v>72</v>
      </c>
      <c r="D438">
        <v>18956.5</v>
      </c>
      <c r="E438">
        <v>2020</v>
      </c>
      <c r="F438" s="168" t="s">
        <v>592</v>
      </c>
      <c r="G438" s="168" t="s">
        <v>616</v>
      </c>
      <c r="H438" s="168" t="s">
        <v>608</v>
      </c>
      <c r="I438">
        <v>0</v>
      </c>
    </row>
    <row r="439" spans="1:9" x14ac:dyDescent="0.3">
      <c r="A439">
        <v>48</v>
      </c>
      <c r="B439" s="168" t="s">
        <v>71</v>
      </c>
      <c r="C439" s="168" t="s">
        <v>72</v>
      </c>
      <c r="D439">
        <v>18956.5</v>
      </c>
      <c r="E439">
        <v>2020</v>
      </c>
      <c r="F439" s="168" t="s">
        <v>592</v>
      </c>
      <c r="G439" s="168" t="s">
        <v>616</v>
      </c>
      <c r="H439" s="168" t="s">
        <v>609</v>
      </c>
      <c r="I439">
        <v>1480250</v>
      </c>
    </row>
    <row r="440" spans="1:9" x14ac:dyDescent="0.3">
      <c r="A440">
        <v>48</v>
      </c>
      <c r="B440" s="168" t="s">
        <v>71</v>
      </c>
      <c r="C440" s="168" t="s">
        <v>72</v>
      </c>
      <c r="D440">
        <v>18956.5</v>
      </c>
      <c r="E440">
        <v>2020</v>
      </c>
      <c r="F440" s="168" t="s">
        <v>592</v>
      </c>
      <c r="G440" s="168" t="s">
        <v>617</v>
      </c>
      <c r="H440" s="168" t="s">
        <v>608</v>
      </c>
      <c r="I440">
        <v>12803.821878744808</v>
      </c>
    </row>
    <row r="441" spans="1:9" x14ac:dyDescent="0.3">
      <c r="A441">
        <v>48</v>
      </c>
      <c r="B441" s="168" t="s">
        <v>71</v>
      </c>
      <c r="C441" s="168" t="s">
        <v>72</v>
      </c>
      <c r="D441">
        <v>18956.5</v>
      </c>
      <c r="E441">
        <v>2020</v>
      </c>
      <c r="F441" s="168" t="s">
        <v>592</v>
      </c>
      <c r="G441" s="168" t="s">
        <v>617</v>
      </c>
      <c r="H441" s="168" t="s">
        <v>609</v>
      </c>
      <c r="I441">
        <v>14441.69640905861</v>
      </c>
    </row>
    <row r="442" spans="1:9" x14ac:dyDescent="0.3">
      <c r="A442">
        <v>48</v>
      </c>
      <c r="B442" s="168" t="s">
        <v>71</v>
      </c>
      <c r="C442" s="168" t="s">
        <v>72</v>
      </c>
      <c r="D442">
        <v>18956.5</v>
      </c>
      <c r="E442">
        <v>2020</v>
      </c>
      <c r="F442" s="168" t="s">
        <v>592</v>
      </c>
      <c r="G442" s="168" t="s">
        <v>618</v>
      </c>
      <c r="H442" s="168" t="s">
        <v>608</v>
      </c>
      <c r="I442">
        <v>0</v>
      </c>
    </row>
    <row r="443" spans="1:9" x14ac:dyDescent="0.3">
      <c r="A443">
        <v>48</v>
      </c>
      <c r="B443" s="168" t="s">
        <v>71</v>
      </c>
      <c r="C443" s="168" t="s">
        <v>72</v>
      </c>
      <c r="D443">
        <v>18956.5</v>
      </c>
      <c r="E443">
        <v>2020</v>
      </c>
      <c r="F443" s="168" t="s">
        <v>592</v>
      </c>
      <c r="G443" s="168" t="s">
        <v>618</v>
      </c>
      <c r="H443" s="168" t="s">
        <v>609</v>
      </c>
      <c r="I443">
        <v>42606.741573033709</v>
      </c>
    </row>
    <row r="444" spans="1:9" x14ac:dyDescent="0.3">
      <c r="A444">
        <v>48</v>
      </c>
      <c r="B444" s="168" t="s">
        <v>71</v>
      </c>
      <c r="C444" s="168" t="s">
        <v>72</v>
      </c>
      <c r="D444">
        <v>18956.5</v>
      </c>
      <c r="E444">
        <v>2020</v>
      </c>
      <c r="F444" s="168" t="s">
        <v>592</v>
      </c>
      <c r="G444" s="168" t="s">
        <v>619</v>
      </c>
      <c r="H444" s="168" t="s">
        <v>608</v>
      </c>
      <c r="I444">
        <v>0</v>
      </c>
    </row>
    <row r="445" spans="1:9" x14ac:dyDescent="0.3">
      <c r="A445">
        <v>48</v>
      </c>
      <c r="B445" s="168" t="s">
        <v>71</v>
      </c>
      <c r="C445" s="168" t="s">
        <v>72</v>
      </c>
      <c r="D445">
        <v>18956.5</v>
      </c>
      <c r="E445">
        <v>2020</v>
      </c>
      <c r="F445" s="168" t="s">
        <v>592</v>
      </c>
      <c r="G445" s="168" t="s">
        <v>619</v>
      </c>
      <c r="H445" s="168" t="s">
        <v>609</v>
      </c>
      <c r="I445">
        <v>299000</v>
      </c>
    </row>
    <row r="446" spans="1:9" x14ac:dyDescent="0.3">
      <c r="A446">
        <v>48</v>
      </c>
      <c r="B446" s="168" t="s">
        <v>71</v>
      </c>
      <c r="C446" s="168" t="s">
        <v>72</v>
      </c>
      <c r="D446">
        <v>18956.5</v>
      </c>
      <c r="E446">
        <v>2020</v>
      </c>
      <c r="F446" s="168" t="s">
        <v>592</v>
      </c>
      <c r="G446" s="168" t="s">
        <v>610</v>
      </c>
      <c r="H446" s="168" t="s">
        <v>608</v>
      </c>
      <c r="I446">
        <v>0</v>
      </c>
    </row>
    <row r="447" spans="1:9" x14ac:dyDescent="0.3">
      <c r="A447">
        <v>48</v>
      </c>
      <c r="B447" s="168" t="s">
        <v>71</v>
      </c>
      <c r="C447" s="168" t="s">
        <v>72</v>
      </c>
      <c r="D447">
        <v>18956.5</v>
      </c>
      <c r="E447">
        <v>2020</v>
      </c>
      <c r="F447" s="168" t="s">
        <v>592</v>
      </c>
      <c r="G447" s="168" t="s">
        <v>610</v>
      </c>
      <c r="H447" s="168" t="s">
        <v>609</v>
      </c>
      <c r="I447">
        <v>311338.90909090912</v>
      </c>
    </row>
    <row r="448" spans="1:9" x14ac:dyDescent="0.3">
      <c r="A448">
        <v>48</v>
      </c>
      <c r="B448" s="168" t="s">
        <v>71</v>
      </c>
      <c r="C448" s="168" t="s">
        <v>72</v>
      </c>
      <c r="D448">
        <v>18956.5</v>
      </c>
      <c r="E448">
        <v>2020</v>
      </c>
      <c r="F448" s="168" t="s">
        <v>592</v>
      </c>
      <c r="G448" s="168" t="s">
        <v>620</v>
      </c>
      <c r="H448" s="168" t="s">
        <v>608</v>
      </c>
      <c r="I448">
        <v>452096.1080645161</v>
      </c>
    </row>
    <row r="449" spans="1:9" x14ac:dyDescent="0.3">
      <c r="A449">
        <v>48</v>
      </c>
      <c r="B449" s="168" t="s">
        <v>71</v>
      </c>
      <c r="C449" s="168" t="s">
        <v>72</v>
      </c>
      <c r="D449">
        <v>18956.5</v>
      </c>
      <c r="E449">
        <v>2020</v>
      </c>
      <c r="F449" s="168" t="s">
        <v>592</v>
      </c>
      <c r="G449" s="168" t="s">
        <v>620</v>
      </c>
      <c r="H449" s="168" t="s">
        <v>609</v>
      </c>
      <c r="I449">
        <v>0</v>
      </c>
    </row>
    <row r="450" spans="1:9" x14ac:dyDescent="0.3">
      <c r="A450">
        <v>48</v>
      </c>
      <c r="B450" s="168" t="s">
        <v>71</v>
      </c>
      <c r="C450" s="168" t="s">
        <v>72</v>
      </c>
      <c r="D450">
        <v>18956.5</v>
      </c>
      <c r="E450">
        <v>2020</v>
      </c>
      <c r="F450" s="168" t="s">
        <v>592</v>
      </c>
      <c r="G450" s="168" t="s">
        <v>633</v>
      </c>
      <c r="H450" s="168" t="s">
        <v>608</v>
      </c>
      <c r="I450">
        <v>0</v>
      </c>
    </row>
    <row r="451" spans="1:9" x14ac:dyDescent="0.3">
      <c r="A451">
        <v>48</v>
      </c>
      <c r="B451" s="168" t="s">
        <v>71</v>
      </c>
      <c r="C451" s="168" t="s">
        <v>72</v>
      </c>
      <c r="D451">
        <v>18956.5</v>
      </c>
      <c r="E451">
        <v>2020</v>
      </c>
      <c r="F451" s="168" t="s">
        <v>592</v>
      </c>
      <c r="G451" s="168" t="s">
        <v>633</v>
      </c>
      <c r="H451" s="168" t="s">
        <v>609</v>
      </c>
      <c r="I451">
        <v>342725.30973451299</v>
      </c>
    </row>
    <row r="452" spans="1:9" x14ac:dyDescent="0.3">
      <c r="A452">
        <v>48</v>
      </c>
      <c r="B452" s="168" t="s">
        <v>71</v>
      </c>
      <c r="C452" s="168" t="s">
        <v>72</v>
      </c>
      <c r="D452">
        <v>18956.5</v>
      </c>
      <c r="E452">
        <v>2020</v>
      </c>
      <c r="F452" s="168" t="s">
        <v>592</v>
      </c>
      <c r="G452" s="168" t="s">
        <v>623</v>
      </c>
      <c r="H452" s="168" t="s">
        <v>608</v>
      </c>
      <c r="I452">
        <v>97634.615384615405</v>
      </c>
    </row>
    <row r="453" spans="1:9" x14ac:dyDescent="0.3">
      <c r="A453">
        <v>48</v>
      </c>
      <c r="B453" s="168" t="s">
        <v>71</v>
      </c>
      <c r="C453" s="168" t="s">
        <v>72</v>
      </c>
      <c r="D453">
        <v>18956.5</v>
      </c>
      <c r="E453">
        <v>2020</v>
      </c>
      <c r="F453" s="168" t="s">
        <v>592</v>
      </c>
      <c r="G453" s="168" t="s">
        <v>623</v>
      </c>
      <c r="H453" s="168" t="s">
        <v>609</v>
      </c>
      <c r="I453">
        <v>71020.782500000001</v>
      </c>
    </row>
    <row r="454" spans="1:9" x14ac:dyDescent="0.3">
      <c r="A454">
        <v>48</v>
      </c>
      <c r="B454" s="168" t="s">
        <v>71</v>
      </c>
      <c r="C454" s="168" t="s">
        <v>72</v>
      </c>
      <c r="D454">
        <v>18956.5</v>
      </c>
      <c r="E454">
        <v>2020</v>
      </c>
      <c r="F454" s="168" t="s">
        <v>592</v>
      </c>
      <c r="G454" s="168" t="s">
        <v>625</v>
      </c>
      <c r="H454" s="168" t="s">
        <v>608</v>
      </c>
      <c r="I454">
        <v>0</v>
      </c>
    </row>
    <row r="455" spans="1:9" x14ac:dyDescent="0.3">
      <c r="A455">
        <v>48</v>
      </c>
      <c r="B455" s="168" t="s">
        <v>71</v>
      </c>
      <c r="C455" s="168" t="s">
        <v>72</v>
      </c>
      <c r="D455">
        <v>18956.5</v>
      </c>
      <c r="E455">
        <v>2020</v>
      </c>
      <c r="F455" s="168" t="s">
        <v>592</v>
      </c>
      <c r="G455" s="168" t="s">
        <v>625</v>
      </c>
      <c r="H455" s="168" t="s">
        <v>609</v>
      </c>
      <c r="I455">
        <v>101498</v>
      </c>
    </row>
    <row r="456" spans="1:9" x14ac:dyDescent="0.3">
      <c r="A456">
        <v>48</v>
      </c>
      <c r="B456" s="168" t="s">
        <v>71</v>
      </c>
      <c r="C456" s="168" t="s">
        <v>72</v>
      </c>
      <c r="D456">
        <v>18956.5</v>
      </c>
      <c r="E456">
        <v>2020</v>
      </c>
      <c r="F456" s="168" t="s">
        <v>592</v>
      </c>
      <c r="G456" s="168" t="s">
        <v>615</v>
      </c>
      <c r="H456" s="168" t="s">
        <v>608</v>
      </c>
      <c r="I456">
        <v>0</v>
      </c>
    </row>
    <row r="457" spans="1:9" x14ac:dyDescent="0.3">
      <c r="A457">
        <v>48</v>
      </c>
      <c r="B457" s="168" t="s">
        <v>71</v>
      </c>
      <c r="C457" s="168" t="s">
        <v>72</v>
      </c>
      <c r="D457">
        <v>18956.5</v>
      </c>
      <c r="E457">
        <v>2020</v>
      </c>
      <c r="F457" s="168" t="s">
        <v>592</v>
      </c>
      <c r="G457" s="168" t="s">
        <v>615</v>
      </c>
      <c r="H457" s="168" t="s">
        <v>609</v>
      </c>
      <c r="I457">
        <v>22609.756097560974</v>
      </c>
    </row>
    <row r="458" spans="1:9" x14ac:dyDescent="0.3">
      <c r="A458">
        <v>48</v>
      </c>
      <c r="B458" s="168" t="s">
        <v>71</v>
      </c>
      <c r="C458" s="168" t="s">
        <v>72</v>
      </c>
      <c r="D458">
        <v>18956.5</v>
      </c>
      <c r="E458">
        <v>2020</v>
      </c>
      <c r="F458" s="168" t="s">
        <v>592</v>
      </c>
      <c r="G458" s="168" t="s">
        <v>624</v>
      </c>
      <c r="H458" s="168" t="s">
        <v>608</v>
      </c>
      <c r="I458">
        <v>354629.68152015435</v>
      </c>
    </row>
    <row r="459" spans="1:9" x14ac:dyDescent="0.3">
      <c r="A459">
        <v>48</v>
      </c>
      <c r="B459" s="168" t="s">
        <v>71</v>
      </c>
      <c r="C459" s="168" t="s">
        <v>72</v>
      </c>
      <c r="D459">
        <v>18956.5</v>
      </c>
      <c r="E459">
        <v>2020</v>
      </c>
      <c r="F459" s="168" t="s">
        <v>592</v>
      </c>
      <c r="G459" s="168" t="s">
        <v>624</v>
      </c>
      <c r="H459" s="168" t="s">
        <v>609</v>
      </c>
      <c r="I459">
        <v>373064.56945313641</v>
      </c>
    </row>
    <row r="460" spans="1:9" x14ac:dyDescent="0.3">
      <c r="A460">
        <v>48</v>
      </c>
      <c r="B460" s="168" t="s">
        <v>71</v>
      </c>
      <c r="C460" s="168" t="s">
        <v>72</v>
      </c>
      <c r="D460">
        <v>18956.5</v>
      </c>
      <c r="E460">
        <v>2020</v>
      </c>
      <c r="F460" s="168" t="s">
        <v>592</v>
      </c>
      <c r="G460" s="168" t="s">
        <v>611</v>
      </c>
      <c r="H460" s="168" t="s">
        <v>608</v>
      </c>
      <c r="I460">
        <v>0</v>
      </c>
    </row>
    <row r="461" spans="1:9" x14ac:dyDescent="0.3">
      <c r="A461">
        <v>48</v>
      </c>
      <c r="B461" s="168" t="s">
        <v>71</v>
      </c>
      <c r="C461" s="168" t="s">
        <v>72</v>
      </c>
      <c r="D461">
        <v>18956.5</v>
      </c>
      <c r="E461">
        <v>2020</v>
      </c>
      <c r="F461" s="168" t="s">
        <v>592</v>
      </c>
      <c r="G461" s="168" t="s">
        <v>611</v>
      </c>
      <c r="H461" s="168" t="s">
        <v>609</v>
      </c>
      <c r="I461">
        <v>87158.94016684829</v>
      </c>
    </row>
    <row r="462" spans="1:9" x14ac:dyDescent="0.3">
      <c r="A462">
        <v>48</v>
      </c>
      <c r="B462" s="168" t="s">
        <v>71</v>
      </c>
      <c r="C462" s="168" t="s">
        <v>72</v>
      </c>
      <c r="D462">
        <v>18956.5</v>
      </c>
      <c r="E462">
        <v>2020</v>
      </c>
      <c r="F462" s="168" t="s">
        <v>592</v>
      </c>
      <c r="G462" s="168" t="s">
        <v>621</v>
      </c>
      <c r="H462" s="168" t="s">
        <v>608</v>
      </c>
      <c r="I462">
        <v>0</v>
      </c>
    </row>
    <row r="463" spans="1:9" x14ac:dyDescent="0.3">
      <c r="A463">
        <v>48</v>
      </c>
      <c r="B463" s="168" t="s">
        <v>71</v>
      </c>
      <c r="C463" s="168" t="s">
        <v>72</v>
      </c>
      <c r="D463">
        <v>18956.5</v>
      </c>
      <c r="E463">
        <v>2020</v>
      </c>
      <c r="F463" s="168" t="s">
        <v>592</v>
      </c>
      <c r="G463" s="168" t="s">
        <v>621</v>
      </c>
      <c r="H463" s="168" t="s">
        <v>609</v>
      </c>
      <c r="I463">
        <v>1187546.67</v>
      </c>
    </row>
    <row r="464" spans="1:9" x14ac:dyDescent="0.3">
      <c r="A464">
        <v>48</v>
      </c>
      <c r="B464" s="168" t="s">
        <v>71</v>
      </c>
      <c r="C464" s="168" t="s">
        <v>72</v>
      </c>
      <c r="D464">
        <v>18956.5</v>
      </c>
      <c r="E464">
        <v>2020</v>
      </c>
      <c r="F464" s="168" t="s">
        <v>592</v>
      </c>
      <c r="G464" s="168" t="s">
        <v>626</v>
      </c>
      <c r="H464" s="168" t="s">
        <v>608</v>
      </c>
      <c r="I464">
        <v>0</v>
      </c>
    </row>
    <row r="465" spans="1:9" x14ac:dyDescent="0.3">
      <c r="A465">
        <v>48</v>
      </c>
      <c r="B465" s="168" t="s">
        <v>71</v>
      </c>
      <c r="C465" s="168" t="s">
        <v>72</v>
      </c>
      <c r="D465">
        <v>18956.5</v>
      </c>
      <c r="E465">
        <v>2020</v>
      </c>
      <c r="F465" s="168" t="s">
        <v>592</v>
      </c>
      <c r="G465" s="168" t="s">
        <v>626</v>
      </c>
      <c r="H465" s="168" t="s">
        <v>609</v>
      </c>
      <c r="I465">
        <v>59500</v>
      </c>
    </row>
    <row r="466" spans="1:9" x14ac:dyDescent="0.3">
      <c r="A466">
        <v>48</v>
      </c>
      <c r="B466" s="168" t="s">
        <v>71</v>
      </c>
      <c r="C466" s="168" t="s">
        <v>72</v>
      </c>
      <c r="D466">
        <v>18956.5</v>
      </c>
      <c r="E466">
        <v>2020</v>
      </c>
      <c r="F466" s="168" t="s">
        <v>592</v>
      </c>
      <c r="G466" s="168" t="s">
        <v>613</v>
      </c>
      <c r="H466" s="168" t="s">
        <v>608</v>
      </c>
      <c r="I466">
        <v>1343339.1517835618</v>
      </c>
    </row>
    <row r="467" spans="1:9" x14ac:dyDescent="0.3">
      <c r="A467">
        <v>48</v>
      </c>
      <c r="B467" s="168" t="s">
        <v>71</v>
      </c>
      <c r="C467" s="168" t="s">
        <v>72</v>
      </c>
      <c r="D467">
        <v>18956.5</v>
      </c>
      <c r="E467">
        <v>2020</v>
      </c>
      <c r="F467" s="168" t="s">
        <v>592</v>
      </c>
      <c r="G467" s="168" t="s">
        <v>613</v>
      </c>
      <c r="H467" s="168" t="s">
        <v>609</v>
      </c>
      <c r="I467">
        <v>547743.12073964393</v>
      </c>
    </row>
    <row r="468" spans="1:9" x14ac:dyDescent="0.3">
      <c r="A468">
        <v>48</v>
      </c>
      <c r="B468" s="168" t="s">
        <v>71</v>
      </c>
      <c r="C468" s="168" t="s">
        <v>72</v>
      </c>
      <c r="D468">
        <v>18956.5</v>
      </c>
      <c r="E468">
        <v>2020</v>
      </c>
      <c r="F468" s="168" t="s">
        <v>592</v>
      </c>
      <c r="G468" s="168" t="s">
        <v>622</v>
      </c>
      <c r="H468" s="168" t="s">
        <v>608</v>
      </c>
      <c r="I468">
        <v>3052.8092904743239</v>
      </c>
    </row>
    <row r="469" spans="1:9" x14ac:dyDescent="0.3">
      <c r="A469">
        <v>48</v>
      </c>
      <c r="B469" s="168" t="s">
        <v>71</v>
      </c>
      <c r="C469" s="168" t="s">
        <v>72</v>
      </c>
      <c r="D469">
        <v>18956.5</v>
      </c>
      <c r="E469">
        <v>2020</v>
      </c>
      <c r="F469" s="168" t="s">
        <v>592</v>
      </c>
      <c r="G469" s="168" t="s">
        <v>622</v>
      </c>
      <c r="H469" s="168" t="s">
        <v>609</v>
      </c>
      <c r="I469">
        <v>0</v>
      </c>
    </row>
    <row r="470" spans="1:9" x14ac:dyDescent="0.3">
      <c r="A470">
        <v>49</v>
      </c>
      <c r="B470" s="168" t="s">
        <v>73</v>
      </c>
      <c r="C470" s="168" t="s">
        <v>74</v>
      </c>
      <c r="D470">
        <v>2378.5</v>
      </c>
      <c r="E470">
        <v>2020</v>
      </c>
      <c r="F470" s="168" t="s">
        <v>592</v>
      </c>
      <c r="G470" s="168" t="s">
        <v>607</v>
      </c>
      <c r="H470" s="168" t="s">
        <v>608</v>
      </c>
      <c r="I470">
        <v>21651.817841676224</v>
      </c>
    </row>
    <row r="471" spans="1:9" x14ac:dyDescent="0.3">
      <c r="A471">
        <v>49</v>
      </c>
      <c r="B471" s="168" t="s">
        <v>73</v>
      </c>
      <c r="C471" s="168" t="s">
        <v>74</v>
      </c>
      <c r="D471">
        <v>2378.5</v>
      </c>
      <c r="E471">
        <v>2020</v>
      </c>
      <c r="F471" s="168" t="s">
        <v>592</v>
      </c>
      <c r="G471" s="168" t="s">
        <v>607</v>
      </c>
      <c r="H471" s="168" t="s">
        <v>609</v>
      </c>
      <c r="I471">
        <v>61304.34782608696</v>
      </c>
    </row>
    <row r="472" spans="1:9" x14ac:dyDescent="0.3">
      <c r="A472">
        <v>49</v>
      </c>
      <c r="B472" s="168" t="s">
        <v>73</v>
      </c>
      <c r="C472" s="168" t="s">
        <v>74</v>
      </c>
      <c r="D472">
        <v>2378.5</v>
      </c>
      <c r="E472">
        <v>2020</v>
      </c>
      <c r="F472" s="168" t="s">
        <v>592</v>
      </c>
      <c r="G472" s="168" t="s">
        <v>612</v>
      </c>
      <c r="H472" s="168" t="s">
        <v>608</v>
      </c>
      <c r="I472">
        <v>0</v>
      </c>
    </row>
    <row r="473" spans="1:9" x14ac:dyDescent="0.3">
      <c r="A473">
        <v>49</v>
      </c>
      <c r="B473" s="168" t="s">
        <v>73</v>
      </c>
      <c r="C473" s="168" t="s">
        <v>74</v>
      </c>
      <c r="D473">
        <v>2378.5</v>
      </c>
      <c r="E473">
        <v>2020</v>
      </c>
      <c r="F473" s="168" t="s">
        <v>592</v>
      </c>
      <c r="G473" s="168" t="s">
        <v>612</v>
      </c>
      <c r="H473" s="168" t="s">
        <v>609</v>
      </c>
      <c r="I473">
        <v>45200</v>
      </c>
    </row>
    <row r="474" spans="1:9" x14ac:dyDescent="0.3">
      <c r="A474">
        <v>49</v>
      </c>
      <c r="B474" s="168" t="s">
        <v>73</v>
      </c>
      <c r="C474" s="168" t="s">
        <v>74</v>
      </c>
      <c r="D474">
        <v>2378.5</v>
      </c>
      <c r="E474">
        <v>2020</v>
      </c>
      <c r="F474" s="168" t="s">
        <v>592</v>
      </c>
      <c r="G474" s="168" t="s">
        <v>617</v>
      </c>
      <c r="H474" s="168" t="s">
        <v>608</v>
      </c>
      <c r="I474">
        <v>1606.5144060662321</v>
      </c>
    </row>
    <row r="475" spans="1:9" x14ac:dyDescent="0.3">
      <c r="A475">
        <v>49</v>
      </c>
      <c r="B475" s="168" t="s">
        <v>73</v>
      </c>
      <c r="C475" s="168" t="s">
        <v>74</v>
      </c>
      <c r="D475">
        <v>2378.5</v>
      </c>
      <c r="E475">
        <v>2020</v>
      </c>
      <c r="F475" s="168" t="s">
        <v>592</v>
      </c>
      <c r="G475" s="168" t="s">
        <v>617</v>
      </c>
      <c r="H475" s="168" t="s">
        <v>609</v>
      </c>
      <c r="I475">
        <v>4516.88580454967</v>
      </c>
    </row>
    <row r="476" spans="1:9" x14ac:dyDescent="0.3">
      <c r="A476">
        <v>49</v>
      </c>
      <c r="B476" s="168" t="s">
        <v>73</v>
      </c>
      <c r="C476" s="168" t="s">
        <v>74</v>
      </c>
      <c r="D476">
        <v>2378.5</v>
      </c>
      <c r="E476">
        <v>2020</v>
      </c>
      <c r="F476" s="168" t="s">
        <v>592</v>
      </c>
      <c r="G476" s="168" t="s">
        <v>619</v>
      </c>
      <c r="H476" s="168" t="s">
        <v>608</v>
      </c>
      <c r="I476">
        <v>0</v>
      </c>
    </row>
    <row r="477" spans="1:9" x14ac:dyDescent="0.3">
      <c r="A477">
        <v>49</v>
      </c>
      <c r="B477" s="168" t="s">
        <v>73</v>
      </c>
      <c r="C477" s="168" t="s">
        <v>74</v>
      </c>
      <c r="D477">
        <v>2378.5</v>
      </c>
      <c r="E477">
        <v>2020</v>
      </c>
      <c r="F477" s="168" t="s">
        <v>592</v>
      </c>
      <c r="G477" s="168" t="s">
        <v>619</v>
      </c>
      <c r="H477" s="168" t="s">
        <v>609</v>
      </c>
      <c r="I477">
        <v>318000</v>
      </c>
    </row>
    <row r="478" spans="1:9" x14ac:dyDescent="0.3">
      <c r="A478">
        <v>49</v>
      </c>
      <c r="B478" s="168" t="s">
        <v>73</v>
      </c>
      <c r="C478" s="168" t="s">
        <v>74</v>
      </c>
      <c r="D478">
        <v>2378.5</v>
      </c>
      <c r="E478">
        <v>2020</v>
      </c>
      <c r="F478" s="168" t="s">
        <v>592</v>
      </c>
      <c r="G478" s="168" t="s">
        <v>610</v>
      </c>
      <c r="H478" s="168" t="s">
        <v>608</v>
      </c>
      <c r="I478">
        <v>0</v>
      </c>
    </row>
    <row r="479" spans="1:9" x14ac:dyDescent="0.3">
      <c r="A479">
        <v>49</v>
      </c>
      <c r="B479" s="168" t="s">
        <v>73</v>
      </c>
      <c r="C479" s="168" t="s">
        <v>74</v>
      </c>
      <c r="D479">
        <v>2378.5</v>
      </c>
      <c r="E479">
        <v>2020</v>
      </c>
      <c r="F479" s="168" t="s">
        <v>592</v>
      </c>
      <c r="G479" s="168" t="s">
        <v>610</v>
      </c>
      <c r="H479" s="168" t="s">
        <v>609</v>
      </c>
      <c r="I479">
        <v>6545.454545454545</v>
      </c>
    </row>
    <row r="480" spans="1:9" x14ac:dyDescent="0.3">
      <c r="A480">
        <v>49</v>
      </c>
      <c r="B480" s="168" t="s">
        <v>73</v>
      </c>
      <c r="C480" s="168" t="s">
        <v>74</v>
      </c>
      <c r="D480">
        <v>2378.5</v>
      </c>
      <c r="E480">
        <v>2020</v>
      </c>
      <c r="F480" s="168" t="s">
        <v>592</v>
      </c>
      <c r="G480" s="168" t="s">
        <v>620</v>
      </c>
      <c r="H480" s="168" t="s">
        <v>608</v>
      </c>
      <c r="I480">
        <v>388226.92720235052</v>
      </c>
    </row>
    <row r="481" spans="1:9" x14ac:dyDescent="0.3">
      <c r="A481">
        <v>49</v>
      </c>
      <c r="B481" s="168" t="s">
        <v>73</v>
      </c>
      <c r="C481" s="168" t="s">
        <v>74</v>
      </c>
      <c r="D481">
        <v>2378.5</v>
      </c>
      <c r="E481">
        <v>2020</v>
      </c>
      <c r="F481" s="168" t="s">
        <v>592</v>
      </c>
      <c r="G481" s="168" t="s">
        <v>620</v>
      </c>
      <c r="H481" s="168" t="s">
        <v>609</v>
      </c>
      <c r="I481">
        <v>712071.02179032797</v>
      </c>
    </row>
    <row r="482" spans="1:9" x14ac:dyDescent="0.3">
      <c r="A482">
        <v>49</v>
      </c>
      <c r="B482" s="168" t="s">
        <v>73</v>
      </c>
      <c r="C482" s="168" t="s">
        <v>74</v>
      </c>
      <c r="D482">
        <v>2378.5</v>
      </c>
      <c r="E482">
        <v>2020</v>
      </c>
      <c r="F482" s="168" t="s">
        <v>592</v>
      </c>
      <c r="G482" s="168" t="s">
        <v>625</v>
      </c>
      <c r="H482" s="168" t="s">
        <v>608</v>
      </c>
      <c r="I482">
        <v>0</v>
      </c>
    </row>
    <row r="483" spans="1:9" x14ac:dyDescent="0.3">
      <c r="A483">
        <v>49</v>
      </c>
      <c r="B483" s="168" t="s">
        <v>73</v>
      </c>
      <c r="C483" s="168" t="s">
        <v>74</v>
      </c>
      <c r="D483">
        <v>2378.5</v>
      </c>
      <c r="E483">
        <v>2020</v>
      </c>
      <c r="F483" s="168" t="s">
        <v>592</v>
      </c>
      <c r="G483" s="168" t="s">
        <v>625</v>
      </c>
      <c r="H483" s="168" t="s">
        <v>609</v>
      </c>
      <c r="I483">
        <v>101498</v>
      </c>
    </row>
    <row r="484" spans="1:9" x14ac:dyDescent="0.3">
      <c r="A484">
        <v>49</v>
      </c>
      <c r="B484" s="168" t="s">
        <v>73</v>
      </c>
      <c r="C484" s="168" t="s">
        <v>74</v>
      </c>
      <c r="D484">
        <v>2378.5</v>
      </c>
      <c r="E484">
        <v>2020</v>
      </c>
      <c r="F484" s="168" t="s">
        <v>592</v>
      </c>
      <c r="G484" s="168" t="s">
        <v>615</v>
      </c>
      <c r="H484" s="168" t="s">
        <v>608</v>
      </c>
      <c r="I484">
        <v>0</v>
      </c>
    </row>
    <row r="485" spans="1:9" x14ac:dyDescent="0.3">
      <c r="A485">
        <v>49</v>
      </c>
      <c r="B485" s="168" t="s">
        <v>73</v>
      </c>
      <c r="C485" s="168" t="s">
        <v>74</v>
      </c>
      <c r="D485">
        <v>2378.5</v>
      </c>
      <c r="E485">
        <v>2020</v>
      </c>
      <c r="F485" s="168" t="s">
        <v>592</v>
      </c>
      <c r="G485" s="168" t="s">
        <v>615</v>
      </c>
      <c r="H485" s="168" t="s">
        <v>609</v>
      </c>
      <c r="I485">
        <v>7536.5853658536589</v>
      </c>
    </row>
    <row r="486" spans="1:9" x14ac:dyDescent="0.3">
      <c r="A486">
        <v>49</v>
      </c>
      <c r="B486" s="168" t="s">
        <v>73</v>
      </c>
      <c r="C486" s="168" t="s">
        <v>74</v>
      </c>
      <c r="D486">
        <v>2378.5</v>
      </c>
      <c r="E486">
        <v>2020</v>
      </c>
      <c r="F486" s="168" t="s">
        <v>592</v>
      </c>
      <c r="G486" s="168" t="s">
        <v>624</v>
      </c>
      <c r="H486" s="168" t="s">
        <v>608</v>
      </c>
      <c r="I486">
        <v>35561.325316100985</v>
      </c>
    </row>
    <row r="487" spans="1:9" x14ac:dyDescent="0.3">
      <c r="A487">
        <v>49</v>
      </c>
      <c r="B487" s="168" t="s">
        <v>73</v>
      </c>
      <c r="C487" s="168" t="s">
        <v>74</v>
      </c>
      <c r="D487">
        <v>2378.5</v>
      </c>
      <c r="E487">
        <v>2020</v>
      </c>
      <c r="F487" s="168" t="s">
        <v>592</v>
      </c>
      <c r="G487" s="168" t="s">
        <v>624</v>
      </c>
      <c r="H487" s="168" t="s">
        <v>609</v>
      </c>
      <c r="I487">
        <v>37874.377881110282</v>
      </c>
    </row>
    <row r="488" spans="1:9" x14ac:dyDescent="0.3">
      <c r="A488">
        <v>49</v>
      </c>
      <c r="B488" s="168" t="s">
        <v>73</v>
      </c>
      <c r="C488" s="168" t="s">
        <v>74</v>
      </c>
      <c r="D488">
        <v>2378.5</v>
      </c>
      <c r="E488">
        <v>2020</v>
      </c>
      <c r="F488" s="168" t="s">
        <v>592</v>
      </c>
      <c r="G488" s="168" t="s">
        <v>611</v>
      </c>
      <c r="H488" s="168" t="s">
        <v>608</v>
      </c>
      <c r="I488">
        <v>0</v>
      </c>
    </row>
    <row r="489" spans="1:9" x14ac:dyDescent="0.3">
      <c r="A489">
        <v>49</v>
      </c>
      <c r="B489" s="168" t="s">
        <v>73</v>
      </c>
      <c r="C489" s="168" t="s">
        <v>74</v>
      </c>
      <c r="D489">
        <v>2378.5</v>
      </c>
      <c r="E489">
        <v>2020</v>
      </c>
      <c r="F489" s="168" t="s">
        <v>592</v>
      </c>
      <c r="G489" s="168" t="s">
        <v>611</v>
      </c>
      <c r="H489" s="168" t="s">
        <v>609</v>
      </c>
      <c r="I489">
        <v>994.82615114999976</v>
      </c>
    </row>
    <row r="490" spans="1:9" x14ac:dyDescent="0.3">
      <c r="A490">
        <v>49</v>
      </c>
      <c r="B490" s="168" t="s">
        <v>73</v>
      </c>
      <c r="C490" s="168" t="s">
        <v>74</v>
      </c>
      <c r="D490">
        <v>2378.5</v>
      </c>
      <c r="E490">
        <v>2020</v>
      </c>
      <c r="F490" s="168" t="s">
        <v>592</v>
      </c>
      <c r="G490" s="168" t="s">
        <v>626</v>
      </c>
      <c r="H490" s="168" t="s">
        <v>608</v>
      </c>
      <c r="I490">
        <v>0</v>
      </c>
    </row>
    <row r="491" spans="1:9" x14ac:dyDescent="0.3">
      <c r="A491">
        <v>49</v>
      </c>
      <c r="B491" s="168" t="s">
        <v>73</v>
      </c>
      <c r="C491" s="168" t="s">
        <v>74</v>
      </c>
      <c r="D491">
        <v>2378.5</v>
      </c>
      <c r="E491">
        <v>2020</v>
      </c>
      <c r="F491" s="168" t="s">
        <v>592</v>
      </c>
      <c r="G491" s="168" t="s">
        <v>626</v>
      </c>
      <c r="H491" s="168" t="s">
        <v>609</v>
      </c>
      <c r="I491">
        <v>10500</v>
      </c>
    </row>
    <row r="492" spans="1:9" x14ac:dyDescent="0.3">
      <c r="A492">
        <v>49</v>
      </c>
      <c r="B492" s="168" t="s">
        <v>73</v>
      </c>
      <c r="C492" s="168" t="s">
        <v>74</v>
      </c>
      <c r="D492">
        <v>2378.5</v>
      </c>
      <c r="E492">
        <v>2020</v>
      </c>
      <c r="F492" s="168" t="s">
        <v>592</v>
      </c>
      <c r="G492" s="168" t="s">
        <v>613</v>
      </c>
      <c r="H492" s="168" t="s">
        <v>608</v>
      </c>
      <c r="I492">
        <v>168550.743677219</v>
      </c>
    </row>
    <row r="493" spans="1:9" x14ac:dyDescent="0.3">
      <c r="A493">
        <v>49</v>
      </c>
      <c r="B493" s="168" t="s">
        <v>73</v>
      </c>
      <c r="C493" s="168" t="s">
        <v>74</v>
      </c>
      <c r="D493">
        <v>2378.5</v>
      </c>
      <c r="E493">
        <v>2020</v>
      </c>
      <c r="F493" s="168" t="s">
        <v>592</v>
      </c>
      <c r="G493" s="168" t="s">
        <v>613</v>
      </c>
      <c r="H493" s="168" t="s">
        <v>609</v>
      </c>
      <c r="I493">
        <v>68726.136822685905</v>
      </c>
    </row>
    <row r="494" spans="1:9" x14ac:dyDescent="0.3">
      <c r="A494">
        <v>49</v>
      </c>
      <c r="B494" s="168" t="s">
        <v>73</v>
      </c>
      <c r="C494" s="168" t="s">
        <v>74</v>
      </c>
      <c r="D494">
        <v>2378.5</v>
      </c>
      <c r="E494">
        <v>2020</v>
      </c>
      <c r="F494" s="168" t="s">
        <v>592</v>
      </c>
      <c r="G494" s="168" t="s">
        <v>622</v>
      </c>
      <c r="H494" s="168" t="s">
        <v>608</v>
      </c>
      <c r="I494">
        <v>32436.098711289691</v>
      </c>
    </row>
    <row r="495" spans="1:9" x14ac:dyDescent="0.3">
      <c r="A495">
        <v>49</v>
      </c>
      <c r="B495" s="168" t="s">
        <v>73</v>
      </c>
      <c r="C495" s="168" t="s">
        <v>74</v>
      </c>
      <c r="D495">
        <v>2378.5</v>
      </c>
      <c r="E495">
        <v>2020</v>
      </c>
      <c r="F495" s="168" t="s">
        <v>592</v>
      </c>
      <c r="G495" s="168" t="s">
        <v>622</v>
      </c>
      <c r="H495" s="168" t="s">
        <v>609</v>
      </c>
      <c r="I495">
        <v>0</v>
      </c>
    </row>
    <row r="496" spans="1:9" x14ac:dyDescent="0.3">
      <c r="A496">
        <v>50</v>
      </c>
      <c r="B496" s="168" t="s">
        <v>75</v>
      </c>
      <c r="C496" s="168" t="s">
        <v>76</v>
      </c>
      <c r="D496">
        <v>6733.6</v>
      </c>
      <c r="E496">
        <v>2020</v>
      </c>
      <c r="F496" s="168" t="s">
        <v>592</v>
      </c>
      <c r="G496" s="168" t="s">
        <v>607</v>
      </c>
      <c r="H496" s="168" t="s">
        <v>608</v>
      </c>
      <c r="I496">
        <v>61296.901668577266</v>
      </c>
    </row>
    <row r="497" spans="1:9" x14ac:dyDescent="0.3">
      <c r="A497">
        <v>50</v>
      </c>
      <c r="B497" s="168" t="s">
        <v>75</v>
      </c>
      <c r="C497" s="168" t="s">
        <v>76</v>
      </c>
      <c r="D497">
        <v>6733.6</v>
      </c>
      <c r="E497">
        <v>2020</v>
      </c>
      <c r="F497" s="168" t="s">
        <v>592</v>
      </c>
      <c r="G497" s="168" t="s">
        <v>607</v>
      </c>
      <c r="H497" s="168" t="s">
        <v>609</v>
      </c>
      <c r="I497">
        <v>0</v>
      </c>
    </row>
    <row r="498" spans="1:9" x14ac:dyDescent="0.3">
      <c r="A498">
        <v>50</v>
      </c>
      <c r="B498" s="168" t="s">
        <v>75</v>
      </c>
      <c r="C498" s="168" t="s">
        <v>76</v>
      </c>
      <c r="D498">
        <v>6733.6</v>
      </c>
      <c r="E498">
        <v>2020</v>
      </c>
      <c r="F498" s="168" t="s">
        <v>592</v>
      </c>
      <c r="G498" s="168" t="s">
        <v>616</v>
      </c>
      <c r="H498" s="168" t="s">
        <v>608</v>
      </c>
      <c r="I498">
        <v>0</v>
      </c>
    </row>
    <row r="499" spans="1:9" x14ac:dyDescent="0.3">
      <c r="A499">
        <v>50</v>
      </c>
      <c r="B499" s="168" t="s">
        <v>75</v>
      </c>
      <c r="C499" s="168" t="s">
        <v>76</v>
      </c>
      <c r="D499">
        <v>6733.6</v>
      </c>
      <c r="E499">
        <v>2020</v>
      </c>
      <c r="F499" s="168" t="s">
        <v>592</v>
      </c>
      <c r="G499" s="168" t="s">
        <v>616</v>
      </c>
      <c r="H499" s="168" t="s">
        <v>609</v>
      </c>
      <c r="I499">
        <v>148998.18322167807</v>
      </c>
    </row>
    <row r="500" spans="1:9" x14ac:dyDescent="0.3">
      <c r="A500">
        <v>50</v>
      </c>
      <c r="B500" s="168" t="s">
        <v>75</v>
      </c>
      <c r="C500" s="168" t="s">
        <v>76</v>
      </c>
      <c r="D500">
        <v>6733.6</v>
      </c>
      <c r="E500">
        <v>2020</v>
      </c>
      <c r="F500" s="168" t="s">
        <v>592</v>
      </c>
      <c r="G500" s="168" t="s">
        <v>617</v>
      </c>
      <c r="H500" s="168" t="s">
        <v>608</v>
      </c>
      <c r="I500">
        <v>4548.0871997845616</v>
      </c>
    </row>
    <row r="501" spans="1:9" x14ac:dyDescent="0.3">
      <c r="A501">
        <v>50</v>
      </c>
      <c r="B501" s="168" t="s">
        <v>75</v>
      </c>
      <c r="C501" s="168" t="s">
        <v>76</v>
      </c>
      <c r="D501">
        <v>6733.6</v>
      </c>
      <c r="E501">
        <v>2020</v>
      </c>
      <c r="F501" s="168" t="s">
        <v>592</v>
      </c>
      <c r="G501" s="168" t="s">
        <v>617</v>
      </c>
      <c r="H501" s="168" t="s">
        <v>609</v>
      </c>
      <c r="I501">
        <v>3411.0653998384214</v>
      </c>
    </row>
    <row r="502" spans="1:9" x14ac:dyDescent="0.3">
      <c r="A502">
        <v>50</v>
      </c>
      <c r="B502" s="168" t="s">
        <v>75</v>
      </c>
      <c r="C502" s="168" t="s">
        <v>76</v>
      </c>
      <c r="D502">
        <v>6733.6</v>
      </c>
      <c r="E502">
        <v>2020</v>
      </c>
      <c r="F502" s="168" t="s">
        <v>592</v>
      </c>
      <c r="G502" s="168" t="s">
        <v>618</v>
      </c>
      <c r="H502" s="168" t="s">
        <v>608</v>
      </c>
      <c r="I502">
        <v>0</v>
      </c>
    </row>
    <row r="503" spans="1:9" x14ac:dyDescent="0.3">
      <c r="A503">
        <v>50</v>
      </c>
      <c r="B503" s="168" t="s">
        <v>75</v>
      </c>
      <c r="C503" s="168" t="s">
        <v>76</v>
      </c>
      <c r="D503">
        <v>6733.6</v>
      </c>
      <c r="E503">
        <v>2020</v>
      </c>
      <c r="F503" s="168" t="s">
        <v>592</v>
      </c>
      <c r="G503" s="168" t="s">
        <v>618</v>
      </c>
      <c r="H503" s="168" t="s">
        <v>609</v>
      </c>
      <c r="I503">
        <v>15977.528089887641</v>
      </c>
    </row>
    <row r="504" spans="1:9" x14ac:dyDescent="0.3">
      <c r="A504">
        <v>50</v>
      </c>
      <c r="B504" s="168" t="s">
        <v>75</v>
      </c>
      <c r="C504" s="168" t="s">
        <v>76</v>
      </c>
      <c r="D504">
        <v>6733.6</v>
      </c>
      <c r="E504">
        <v>2020</v>
      </c>
      <c r="F504" s="168" t="s">
        <v>592</v>
      </c>
      <c r="G504" s="168" t="s">
        <v>610</v>
      </c>
      <c r="H504" s="168" t="s">
        <v>608</v>
      </c>
      <c r="I504">
        <v>0</v>
      </c>
    </row>
    <row r="505" spans="1:9" x14ac:dyDescent="0.3">
      <c r="A505">
        <v>50</v>
      </c>
      <c r="B505" s="168" t="s">
        <v>75</v>
      </c>
      <c r="C505" s="168" t="s">
        <v>76</v>
      </c>
      <c r="D505">
        <v>6733.6</v>
      </c>
      <c r="E505">
        <v>2020</v>
      </c>
      <c r="F505" s="168" t="s">
        <v>592</v>
      </c>
      <c r="G505" s="168" t="s">
        <v>610</v>
      </c>
      <c r="H505" s="168" t="s">
        <v>609</v>
      </c>
      <c r="I505">
        <v>6545.454545454545</v>
      </c>
    </row>
    <row r="506" spans="1:9" x14ac:dyDescent="0.3">
      <c r="A506">
        <v>50</v>
      </c>
      <c r="B506" s="168" t="s">
        <v>75</v>
      </c>
      <c r="C506" s="168" t="s">
        <v>76</v>
      </c>
      <c r="D506">
        <v>6733.6</v>
      </c>
      <c r="E506">
        <v>2020</v>
      </c>
      <c r="F506" s="168" t="s">
        <v>592</v>
      </c>
      <c r="G506" s="168" t="s">
        <v>623</v>
      </c>
      <c r="H506" s="168" t="s">
        <v>608</v>
      </c>
      <c r="I506">
        <v>95576.923076923093</v>
      </c>
    </row>
    <row r="507" spans="1:9" x14ac:dyDescent="0.3">
      <c r="A507">
        <v>50</v>
      </c>
      <c r="B507" s="168" t="s">
        <v>75</v>
      </c>
      <c r="C507" s="168" t="s">
        <v>76</v>
      </c>
      <c r="D507">
        <v>6733.6</v>
      </c>
      <c r="E507">
        <v>2020</v>
      </c>
      <c r="F507" s="168" t="s">
        <v>592</v>
      </c>
      <c r="G507" s="168" t="s">
        <v>623</v>
      </c>
      <c r="H507" s="168" t="s">
        <v>609</v>
      </c>
      <c r="I507">
        <v>71020.782500000001</v>
      </c>
    </row>
    <row r="508" spans="1:9" x14ac:dyDescent="0.3">
      <c r="A508">
        <v>50</v>
      </c>
      <c r="B508" s="168" t="s">
        <v>75</v>
      </c>
      <c r="C508" s="168" t="s">
        <v>76</v>
      </c>
      <c r="D508">
        <v>6733.6</v>
      </c>
      <c r="E508">
        <v>2020</v>
      </c>
      <c r="F508" s="168" t="s">
        <v>592</v>
      </c>
      <c r="G508" s="168" t="s">
        <v>615</v>
      </c>
      <c r="H508" s="168" t="s">
        <v>608</v>
      </c>
      <c r="I508">
        <v>0</v>
      </c>
    </row>
    <row r="509" spans="1:9" x14ac:dyDescent="0.3">
      <c r="A509">
        <v>50</v>
      </c>
      <c r="B509" s="168" t="s">
        <v>75</v>
      </c>
      <c r="C509" s="168" t="s">
        <v>76</v>
      </c>
      <c r="D509">
        <v>6733.6</v>
      </c>
      <c r="E509">
        <v>2020</v>
      </c>
      <c r="F509" s="168" t="s">
        <v>592</v>
      </c>
      <c r="G509" s="168" t="s">
        <v>615</v>
      </c>
      <c r="H509" s="168" t="s">
        <v>609</v>
      </c>
      <c r="I509">
        <v>22609.756097560974</v>
      </c>
    </row>
    <row r="510" spans="1:9" x14ac:dyDescent="0.3">
      <c r="A510">
        <v>50</v>
      </c>
      <c r="B510" s="168" t="s">
        <v>75</v>
      </c>
      <c r="C510" s="168" t="s">
        <v>76</v>
      </c>
      <c r="D510">
        <v>6733.6</v>
      </c>
      <c r="E510">
        <v>2020</v>
      </c>
      <c r="F510" s="168" t="s">
        <v>592</v>
      </c>
      <c r="G510" s="168" t="s">
        <v>624</v>
      </c>
      <c r="H510" s="168" t="s">
        <v>608</v>
      </c>
      <c r="I510">
        <v>100675.10622177742</v>
      </c>
    </row>
    <row r="511" spans="1:9" x14ac:dyDescent="0.3">
      <c r="A511">
        <v>50</v>
      </c>
      <c r="B511" s="168" t="s">
        <v>75</v>
      </c>
      <c r="C511" s="168" t="s">
        <v>76</v>
      </c>
      <c r="D511">
        <v>6733.6</v>
      </c>
      <c r="E511">
        <v>2020</v>
      </c>
      <c r="F511" s="168" t="s">
        <v>592</v>
      </c>
      <c r="G511" s="168" t="s">
        <v>624</v>
      </c>
      <c r="H511" s="168" t="s">
        <v>609</v>
      </c>
      <c r="I511">
        <v>107223.42270348717</v>
      </c>
    </row>
    <row r="512" spans="1:9" x14ac:dyDescent="0.3">
      <c r="A512">
        <v>50</v>
      </c>
      <c r="B512" s="168" t="s">
        <v>75</v>
      </c>
      <c r="C512" s="168" t="s">
        <v>76</v>
      </c>
      <c r="D512">
        <v>6733.6</v>
      </c>
      <c r="E512">
        <v>2020</v>
      </c>
      <c r="F512" s="168" t="s">
        <v>592</v>
      </c>
      <c r="G512" s="168" t="s">
        <v>611</v>
      </c>
      <c r="H512" s="168" t="s">
        <v>608</v>
      </c>
      <c r="I512">
        <v>0</v>
      </c>
    </row>
    <row r="513" spans="1:9" x14ac:dyDescent="0.3">
      <c r="A513">
        <v>50</v>
      </c>
      <c r="B513" s="168" t="s">
        <v>75</v>
      </c>
      <c r="C513" s="168" t="s">
        <v>76</v>
      </c>
      <c r="D513">
        <v>6733.6</v>
      </c>
      <c r="E513">
        <v>2020</v>
      </c>
      <c r="F513" s="168" t="s">
        <v>592</v>
      </c>
      <c r="G513" s="168" t="s">
        <v>611</v>
      </c>
      <c r="H513" s="168" t="s">
        <v>609</v>
      </c>
      <c r="I513">
        <v>2816.3806480486182</v>
      </c>
    </row>
    <row r="514" spans="1:9" x14ac:dyDescent="0.3">
      <c r="A514">
        <v>50</v>
      </c>
      <c r="B514" s="168" t="s">
        <v>75</v>
      </c>
      <c r="C514" s="168" t="s">
        <v>76</v>
      </c>
      <c r="D514">
        <v>6733.6</v>
      </c>
      <c r="E514">
        <v>2020</v>
      </c>
      <c r="F514" s="168" t="s">
        <v>592</v>
      </c>
      <c r="G514" s="168" t="s">
        <v>613</v>
      </c>
      <c r="H514" s="168" t="s">
        <v>608</v>
      </c>
      <c r="I514">
        <v>254180.5753543734</v>
      </c>
    </row>
    <row r="515" spans="1:9" x14ac:dyDescent="0.3">
      <c r="A515">
        <v>50</v>
      </c>
      <c r="B515" s="168" t="s">
        <v>75</v>
      </c>
      <c r="C515" s="168" t="s">
        <v>76</v>
      </c>
      <c r="D515">
        <v>6733.6</v>
      </c>
      <c r="E515">
        <v>2020</v>
      </c>
      <c r="F515" s="168" t="s">
        <v>592</v>
      </c>
      <c r="G515" s="168" t="s">
        <v>613</v>
      </c>
      <c r="H515" s="168" t="s">
        <v>609</v>
      </c>
      <c r="I515">
        <v>51591.031026648598</v>
      </c>
    </row>
    <row r="516" spans="1:9" x14ac:dyDescent="0.3">
      <c r="A516">
        <v>51</v>
      </c>
      <c r="B516" s="168" t="s">
        <v>77</v>
      </c>
      <c r="C516" s="168" t="s">
        <v>78</v>
      </c>
      <c r="D516">
        <v>1557</v>
      </c>
      <c r="E516">
        <v>2020</v>
      </c>
      <c r="F516" s="168" t="s">
        <v>592</v>
      </c>
      <c r="G516" s="168" t="s">
        <v>607</v>
      </c>
      <c r="H516" s="168" t="s">
        <v>608</v>
      </c>
      <c r="I516">
        <v>14173.588555598013</v>
      </c>
    </row>
    <row r="517" spans="1:9" x14ac:dyDescent="0.3">
      <c r="A517">
        <v>51</v>
      </c>
      <c r="B517" s="168" t="s">
        <v>77</v>
      </c>
      <c r="C517" s="168" t="s">
        <v>78</v>
      </c>
      <c r="D517">
        <v>1557</v>
      </c>
      <c r="E517">
        <v>2020</v>
      </c>
      <c r="F517" s="168" t="s">
        <v>592</v>
      </c>
      <c r="G517" s="168" t="s">
        <v>607</v>
      </c>
      <c r="H517" s="168" t="s">
        <v>609</v>
      </c>
      <c r="I517">
        <v>0</v>
      </c>
    </row>
    <row r="518" spans="1:9" x14ac:dyDescent="0.3">
      <c r="A518">
        <v>51</v>
      </c>
      <c r="B518" s="168" t="s">
        <v>77</v>
      </c>
      <c r="C518" s="168" t="s">
        <v>78</v>
      </c>
      <c r="D518">
        <v>1557</v>
      </c>
      <c r="E518">
        <v>2020</v>
      </c>
      <c r="F518" s="168" t="s">
        <v>592</v>
      </c>
      <c r="G518" s="168" t="s">
        <v>617</v>
      </c>
      <c r="H518" s="168" t="s">
        <v>608</v>
      </c>
      <c r="I518">
        <v>1051.6472273471193</v>
      </c>
    </row>
    <row r="519" spans="1:9" x14ac:dyDescent="0.3">
      <c r="A519">
        <v>51</v>
      </c>
      <c r="B519" s="168" t="s">
        <v>77</v>
      </c>
      <c r="C519" s="168" t="s">
        <v>78</v>
      </c>
      <c r="D519">
        <v>1557</v>
      </c>
      <c r="E519">
        <v>2020</v>
      </c>
      <c r="F519" s="168" t="s">
        <v>592</v>
      </c>
      <c r="G519" s="168" t="s">
        <v>617</v>
      </c>
      <c r="H519" s="168" t="s">
        <v>609</v>
      </c>
      <c r="I519">
        <v>788.73542051033951</v>
      </c>
    </row>
    <row r="520" spans="1:9" x14ac:dyDescent="0.3">
      <c r="A520">
        <v>51</v>
      </c>
      <c r="B520" s="168" t="s">
        <v>77</v>
      </c>
      <c r="C520" s="168" t="s">
        <v>78</v>
      </c>
      <c r="D520">
        <v>1557</v>
      </c>
      <c r="E520">
        <v>2020</v>
      </c>
      <c r="F520" s="168" t="s">
        <v>592</v>
      </c>
      <c r="G520" s="168" t="s">
        <v>618</v>
      </c>
      <c r="H520" s="168" t="s">
        <v>608</v>
      </c>
      <c r="I520">
        <v>0</v>
      </c>
    </row>
    <row r="521" spans="1:9" x14ac:dyDescent="0.3">
      <c r="A521">
        <v>51</v>
      </c>
      <c r="B521" s="168" t="s">
        <v>77</v>
      </c>
      <c r="C521" s="168" t="s">
        <v>78</v>
      </c>
      <c r="D521">
        <v>1557</v>
      </c>
      <c r="E521">
        <v>2020</v>
      </c>
      <c r="F521" s="168" t="s">
        <v>592</v>
      </c>
      <c r="G521" s="168" t="s">
        <v>618</v>
      </c>
      <c r="H521" s="168" t="s">
        <v>609</v>
      </c>
      <c r="I521">
        <v>111842.69662921347</v>
      </c>
    </row>
    <row r="522" spans="1:9" x14ac:dyDescent="0.3">
      <c r="A522">
        <v>51</v>
      </c>
      <c r="B522" s="168" t="s">
        <v>77</v>
      </c>
      <c r="C522" s="168" t="s">
        <v>78</v>
      </c>
      <c r="D522">
        <v>1557</v>
      </c>
      <c r="E522">
        <v>2020</v>
      </c>
      <c r="F522" s="168" t="s">
        <v>592</v>
      </c>
      <c r="G522" s="168" t="s">
        <v>610</v>
      </c>
      <c r="H522" s="168" t="s">
        <v>608</v>
      </c>
      <c r="I522">
        <v>0</v>
      </c>
    </row>
    <row r="523" spans="1:9" x14ac:dyDescent="0.3">
      <c r="A523">
        <v>51</v>
      </c>
      <c r="B523" s="168" t="s">
        <v>77</v>
      </c>
      <c r="C523" s="168" t="s">
        <v>78</v>
      </c>
      <c r="D523">
        <v>1557</v>
      </c>
      <c r="E523">
        <v>2020</v>
      </c>
      <c r="F523" s="168" t="s">
        <v>592</v>
      </c>
      <c r="G523" s="168" t="s">
        <v>610</v>
      </c>
      <c r="H523" s="168" t="s">
        <v>609</v>
      </c>
      <c r="I523">
        <v>6545.454545454545</v>
      </c>
    </row>
    <row r="524" spans="1:9" x14ac:dyDescent="0.3">
      <c r="A524">
        <v>51</v>
      </c>
      <c r="B524" s="168" t="s">
        <v>77</v>
      </c>
      <c r="C524" s="168" t="s">
        <v>78</v>
      </c>
      <c r="D524">
        <v>1557</v>
      </c>
      <c r="E524">
        <v>2020</v>
      </c>
      <c r="F524" s="168" t="s">
        <v>592</v>
      </c>
      <c r="G524" s="168" t="s">
        <v>620</v>
      </c>
      <c r="H524" s="168" t="s">
        <v>608</v>
      </c>
      <c r="I524">
        <v>96190.661290322576</v>
      </c>
    </row>
    <row r="525" spans="1:9" x14ac:dyDescent="0.3">
      <c r="A525">
        <v>51</v>
      </c>
      <c r="B525" s="168" t="s">
        <v>77</v>
      </c>
      <c r="C525" s="168" t="s">
        <v>78</v>
      </c>
      <c r="D525">
        <v>1557</v>
      </c>
      <c r="E525">
        <v>2020</v>
      </c>
      <c r="F525" s="168" t="s">
        <v>592</v>
      </c>
      <c r="G525" s="168" t="s">
        <v>620</v>
      </c>
      <c r="H525" s="168" t="s">
        <v>609</v>
      </c>
      <c r="I525">
        <v>0</v>
      </c>
    </row>
    <row r="526" spans="1:9" x14ac:dyDescent="0.3">
      <c r="A526">
        <v>51</v>
      </c>
      <c r="B526" s="168" t="s">
        <v>77</v>
      </c>
      <c r="C526" s="168" t="s">
        <v>78</v>
      </c>
      <c r="D526">
        <v>1557</v>
      </c>
      <c r="E526">
        <v>2020</v>
      </c>
      <c r="F526" s="168" t="s">
        <v>592</v>
      </c>
      <c r="G526" s="168" t="s">
        <v>624</v>
      </c>
      <c r="H526" s="168" t="s">
        <v>608</v>
      </c>
      <c r="I526">
        <v>29127.6561668494</v>
      </c>
    </row>
    <row r="527" spans="1:9" x14ac:dyDescent="0.3">
      <c r="A527">
        <v>51</v>
      </c>
      <c r="B527" s="168" t="s">
        <v>77</v>
      </c>
      <c r="C527" s="168" t="s">
        <v>78</v>
      </c>
      <c r="D527">
        <v>1557</v>
      </c>
      <c r="E527">
        <v>2020</v>
      </c>
      <c r="F527" s="168" t="s">
        <v>592</v>
      </c>
      <c r="G527" s="168" t="s">
        <v>624</v>
      </c>
      <c r="H527" s="168" t="s">
        <v>609</v>
      </c>
      <c r="I527">
        <v>30641.813343103098</v>
      </c>
    </row>
    <row r="528" spans="1:9" x14ac:dyDescent="0.3">
      <c r="A528">
        <v>51</v>
      </c>
      <c r="B528" s="168" t="s">
        <v>77</v>
      </c>
      <c r="C528" s="168" t="s">
        <v>78</v>
      </c>
      <c r="D528">
        <v>1557</v>
      </c>
      <c r="E528">
        <v>2020</v>
      </c>
      <c r="F528" s="168" t="s">
        <v>592</v>
      </c>
      <c r="G528" s="168" t="s">
        <v>613</v>
      </c>
      <c r="H528" s="168" t="s">
        <v>608</v>
      </c>
      <c r="I528">
        <v>58773.784576862206</v>
      </c>
    </row>
    <row r="529" spans="1:9" x14ac:dyDescent="0.3">
      <c r="A529">
        <v>51</v>
      </c>
      <c r="B529" s="168" t="s">
        <v>77</v>
      </c>
      <c r="C529" s="168" t="s">
        <v>78</v>
      </c>
      <c r="D529">
        <v>1557</v>
      </c>
      <c r="E529">
        <v>2020</v>
      </c>
      <c r="F529" s="168" t="s">
        <v>592</v>
      </c>
      <c r="G529" s="168" t="s">
        <v>613</v>
      </c>
      <c r="H529" s="168" t="s">
        <v>609</v>
      </c>
      <c r="I529">
        <v>11929.314973935467</v>
      </c>
    </row>
    <row r="530" spans="1:9" x14ac:dyDescent="0.3">
      <c r="A530">
        <v>52</v>
      </c>
      <c r="B530" s="168" t="s">
        <v>79</v>
      </c>
      <c r="C530" s="168" t="s">
        <v>80</v>
      </c>
      <c r="D530">
        <v>5057.3</v>
      </c>
      <c r="E530">
        <v>2020</v>
      </c>
      <c r="F530" s="168" t="s">
        <v>592</v>
      </c>
      <c r="G530" s="168" t="s">
        <v>607</v>
      </c>
      <c r="H530" s="168" t="s">
        <v>608</v>
      </c>
      <c r="I530">
        <v>46037.308543497646</v>
      </c>
    </row>
    <row r="531" spans="1:9" x14ac:dyDescent="0.3">
      <c r="A531">
        <v>52</v>
      </c>
      <c r="B531" s="168" t="s">
        <v>79</v>
      </c>
      <c r="C531" s="168" t="s">
        <v>80</v>
      </c>
      <c r="D531">
        <v>5057.3</v>
      </c>
      <c r="E531">
        <v>2020</v>
      </c>
      <c r="F531" s="168" t="s">
        <v>592</v>
      </c>
      <c r="G531" s="168" t="s">
        <v>607</v>
      </c>
      <c r="H531" s="168" t="s">
        <v>609</v>
      </c>
      <c r="I531">
        <v>0</v>
      </c>
    </row>
    <row r="532" spans="1:9" x14ac:dyDescent="0.3">
      <c r="A532">
        <v>52</v>
      </c>
      <c r="B532" s="168" t="s">
        <v>79</v>
      </c>
      <c r="C532" s="168" t="s">
        <v>80</v>
      </c>
      <c r="D532">
        <v>5057.3</v>
      </c>
      <c r="E532">
        <v>2020</v>
      </c>
      <c r="F532" s="168" t="s">
        <v>592</v>
      </c>
      <c r="G532" s="168" t="s">
        <v>617</v>
      </c>
      <c r="H532" s="168" t="s">
        <v>608</v>
      </c>
      <c r="I532">
        <v>3415.8609652296641</v>
      </c>
    </row>
    <row r="533" spans="1:9" x14ac:dyDescent="0.3">
      <c r="A533">
        <v>52</v>
      </c>
      <c r="B533" s="168" t="s">
        <v>79</v>
      </c>
      <c r="C533" s="168" t="s">
        <v>80</v>
      </c>
      <c r="D533">
        <v>5057.3</v>
      </c>
      <c r="E533">
        <v>2020</v>
      </c>
      <c r="F533" s="168" t="s">
        <v>592</v>
      </c>
      <c r="G533" s="168" t="s">
        <v>617</v>
      </c>
      <c r="H533" s="168" t="s">
        <v>609</v>
      </c>
      <c r="I533">
        <v>2561.8957239222477</v>
      </c>
    </row>
    <row r="534" spans="1:9" x14ac:dyDescent="0.3">
      <c r="A534">
        <v>52</v>
      </c>
      <c r="B534" s="168" t="s">
        <v>79</v>
      </c>
      <c r="C534" s="168" t="s">
        <v>80</v>
      </c>
      <c r="D534">
        <v>5057.3</v>
      </c>
      <c r="E534">
        <v>2020</v>
      </c>
      <c r="F534" s="168" t="s">
        <v>592</v>
      </c>
      <c r="G534" s="168" t="s">
        <v>610</v>
      </c>
      <c r="H534" s="168" t="s">
        <v>608</v>
      </c>
      <c r="I534">
        <v>0</v>
      </c>
    </row>
    <row r="535" spans="1:9" x14ac:dyDescent="0.3">
      <c r="A535">
        <v>52</v>
      </c>
      <c r="B535" s="168" t="s">
        <v>79</v>
      </c>
      <c r="C535" s="168" t="s">
        <v>80</v>
      </c>
      <c r="D535">
        <v>5057.3</v>
      </c>
      <c r="E535">
        <v>2020</v>
      </c>
      <c r="F535" s="168" t="s">
        <v>592</v>
      </c>
      <c r="G535" s="168" t="s">
        <v>610</v>
      </c>
      <c r="H535" s="168" t="s">
        <v>609</v>
      </c>
      <c r="I535">
        <v>6545.454545454545</v>
      </c>
    </row>
    <row r="536" spans="1:9" x14ac:dyDescent="0.3">
      <c r="A536">
        <v>52</v>
      </c>
      <c r="B536" s="168" t="s">
        <v>79</v>
      </c>
      <c r="C536" s="168" t="s">
        <v>80</v>
      </c>
      <c r="D536">
        <v>5057.3</v>
      </c>
      <c r="E536">
        <v>2020</v>
      </c>
      <c r="F536" s="168" t="s">
        <v>592</v>
      </c>
      <c r="G536" s="168" t="s">
        <v>620</v>
      </c>
      <c r="H536" s="168" t="s">
        <v>608</v>
      </c>
      <c r="I536">
        <v>38476.264516129027</v>
      </c>
    </row>
    <row r="537" spans="1:9" x14ac:dyDescent="0.3">
      <c r="A537">
        <v>52</v>
      </c>
      <c r="B537" s="168" t="s">
        <v>79</v>
      </c>
      <c r="C537" s="168" t="s">
        <v>80</v>
      </c>
      <c r="D537">
        <v>5057.3</v>
      </c>
      <c r="E537">
        <v>2020</v>
      </c>
      <c r="F537" s="168" t="s">
        <v>592</v>
      </c>
      <c r="G537" s="168" t="s">
        <v>620</v>
      </c>
      <c r="H537" s="168" t="s">
        <v>609</v>
      </c>
      <c r="I537">
        <v>0</v>
      </c>
    </row>
    <row r="538" spans="1:9" x14ac:dyDescent="0.3">
      <c r="A538">
        <v>52</v>
      </c>
      <c r="B538" s="168" t="s">
        <v>79</v>
      </c>
      <c r="C538" s="168" t="s">
        <v>80</v>
      </c>
      <c r="D538">
        <v>5057.3</v>
      </c>
      <c r="E538">
        <v>2020</v>
      </c>
      <c r="F538" s="168" t="s">
        <v>592</v>
      </c>
      <c r="G538" s="168" t="s">
        <v>625</v>
      </c>
      <c r="H538" s="168" t="s">
        <v>608</v>
      </c>
      <c r="I538">
        <v>0</v>
      </c>
    </row>
    <row r="539" spans="1:9" x14ac:dyDescent="0.3">
      <c r="A539">
        <v>52</v>
      </c>
      <c r="B539" s="168" t="s">
        <v>79</v>
      </c>
      <c r="C539" s="168" t="s">
        <v>80</v>
      </c>
      <c r="D539">
        <v>5057.3</v>
      </c>
      <c r="E539">
        <v>2020</v>
      </c>
      <c r="F539" s="168" t="s">
        <v>592</v>
      </c>
      <c r="G539" s="168" t="s">
        <v>625</v>
      </c>
      <c r="H539" s="168" t="s">
        <v>609</v>
      </c>
      <c r="I539">
        <v>101498</v>
      </c>
    </row>
    <row r="540" spans="1:9" x14ac:dyDescent="0.3">
      <c r="A540">
        <v>52</v>
      </c>
      <c r="B540" s="168" t="s">
        <v>79</v>
      </c>
      <c r="C540" s="168" t="s">
        <v>80</v>
      </c>
      <c r="D540">
        <v>5057.3</v>
      </c>
      <c r="E540">
        <v>2020</v>
      </c>
      <c r="F540" s="168" t="s">
        <v>592</v>
      </c>
      <c r="G540" s="168" t="s">
        <v>624</v>
      </c>
      <c r="H540" s="168" t="s">
        <v>608</v>
      </c>
      <c r="I540">
        <v>94609.69526821289</v>
      </c>
    </row>
    <row r="541" spans="1:9" x14ac:dyDescent="0.3">
      <c r="A541">
        <v>52</v>
      </c>
      <c r="B541" s="168" t="s">
        <v>79</v>
      </c>
      <c r="C541" s="168" t="s">
        <v>80</v>
      </c>
      <c r="D541">
        <v>5057.3</v>
      </c>
      <c r="E541">
        <v>2020</v>
      </c>
      <c r="F541" s="168" t="s">
        <v>592</v>
      </c>
      <c r="G541" s="168" t="s">
        <v>624</v>
      </c>
      <c r="H541" s="168" t="s">
        <v>609</v>
      </c>
      <c r="I541">
        <v>99527.837264017595</v>
      </c>
    </row>
    <row r="542" spans="1:9" x14ac:dyDescent="0.3">
      <c r="A542">
        <v>52</v>
      </c>
      <c r="B542" s="168" t="s">
        <v>79</v>
      </c>
      <c r="C542" s="168" t="s">
        <v>80</v>
      </c>
      <c r="D542">
        <v>5057.3</v>
      </c>
      <c r="E542">
        <v>2020</v>
      </c>
      <c r="F542" s="168" t="s">
        <v>592</v>
      </c>
      <c r="G542" s="168" t="s">
        <v>621</v>
      </c>
      <c r="H542" s="168" t="s">
        <v>608</v>
      </c>
      <c r="I542">
        <v>0</v>
      </c>
    </row>
    <row r="543" spans="1:9" x14ac:dyDescent="0.3">
      <c r="A543">
        <v>52</v>
      </c>
      <c r="B543" s="168" t="s">
        <v>79</v>
      </c>
      <c r="C543" s="168" t="s">
        <v>80</v>
      </c>
      <c r="D543">
        <v>5057.3</v>
      </c>
      <c r="E543">
        <v>2020</v>
      </c>
      <c r="F543" s="168" t="s">
        <v>592</v>
      </c>
      <c r="G543" s="168" t="s">
        <v>621</v>
      </c>
      <c r="H543" s="168" t="s">
        <v>609</v>
      </c>
      <c r="I543">
        <v>2724045.06</v>
      </c>
    </row>
    <row r="544" spans="1:9" x14ac:dyDescent="0.3">
      <c r="A544">
        <v>52</v>
      </c>
      <c r="B544" s="168" t="s">
        <v>79</v>
      </c>
      <c r="C544" s="168" t="s">
        <v>80</v>
      </c>
      <c r="D544">
        <v>5057.3</v>
      </c>
      <c r="E544">
        <v>2020</v>
      </c>
      <c r="F544" s="168" t="s">
        <v>592</v>
      </c>
      <c r="G544" s="168" t="s">
        <v>613</v>
      </c>
      <c r="H544" s="168" t="s">
        <v>608</v>
      </c>
      <c r="I544">
        <v>358382.03741803602</v>
      </c>
    </row>
    <row r="545" spans="1:9" x14ac:dyDescent="0.3">
      <c r="A545">
        <v>52</v>
      </c>
      <c r="B545" s="168" t="s">
        <v>79</v>
      </c>
      <c r="C545" s="168" t="s">
        <v>80</v>
      </c>
      <c r="D545">
        <v>5057.3</v>
      </c>
      <c r="E545">
        <v>2020</v>
      </c>
      <c r="F545" s="168" t="s">
        <v>592</v>
      </c>
      <c r="G545" s="168" t="s">
        <v>613</v>
      </c>
      <c r="H545" s="168" t="s">
        <v>609</v>
      </c>
      <c r="I545">
        <v>146129.36378111009</v>
      </c>
    </row>
    <row r="546" spans="1:9" x14ac:dyDescent="0.3">
      <c r="A546">
        <v>53</v>
      </c>
      <c r="B546" s="168" t="s">
        <v>81</v>
      </c>
      <c r="C546" s="168" t="s">
        <v>82</v>
      </c>
      <c r="D546">
        <v>286.89999999999998</v>
      </c>
      <c r="E546">
        <v>2020</v>
      </c>
      <c r="F546" s="168" t="s">
        <v>592</v>
      </c>
      <c r="G546" s="168" t="s">
        <v>607</v>
      </c>
      <c r="H546" s="168" t="s">
        <v>608</v>
      </c>
      <c r="I546">
        <v>2611.6907877977328</v>
      </c>
    </row>
    <row r="547" spans="1:9" x14ac:dyDescent="0.3">
      <c r="A547">
        <v>53</v>
      </c>
      <c r="B547" s="168" t="s">
        <v>81</v>
      </c>
      <c r="C547" s="168" t="s">
        <v>82</v>
      </c>
      <c r="D547">
        <v>286.89999999999998</v>
      </c>
      <c r="E547">
        <v>2020</v>
      </c>
      <c r="F547" s="168" t="s">
        <v>592</v>
      </c>
      <c r="G547" s="168" t="s">
        <v>607</v>
      </c>
      <c r="H547" s="168" t="s">
        <v>609</v>
      </c>
      <c r="I547">
        <v>0</v>
      </c>
    </row>
    <row r="548" spans="1:9" x14ac:dyDescent="0.3">
      <c r="A548">
        <v>53</v>
      </c>
      <c r="B548" s="168" t="s">
        <v>81</v>
      </c>
      <c r="C548" s="168" t="s">
        <v>82</v>
      </c>
      <c r="D548">
        <v>286.89999999999998</v>
      </c>
      <c r="E548">
        <v>2020</v>
      </c>
      <c r="F548" s="168" t="s">
        <v>592</v>
      </c>
      <c r="G548" s="168" t="s">
        <v>617</v>
      </c>
      <c r="H548" s="168" t="s">
        <v>608</v>
      </c>
      <c r="I548">
        <v>193.78136771091104</v>
      </c>
    </row>
    <row r="549" spans="1:9" x14ac:dyDescent="0.3">
      <c r="A549">
        <v>53</v>
      </c>
      <c r="B549" s="168" t="s">
        <v>81</v>
      </c>
      <c r="C549" s="168" t="s">
        <v>82</v>
      </c>
      <c r="D549">
        <v>286.89999999999998</v>
      </c>
      <c r="E549">
        <v>2020</v>
      </c>
      <c r="F549" s="168" t="s">
        <v>592</v>
      </c>
      <c r="G549" s="168" t="s">
        <v>617</v>
      </c>
      <c r="H549" s="168" t="s">
        <v>609</v>
      </c>
      <c r="I549">
        <v>145.33602578318326</v>
      </c>
    </row>
    <row r="550" spans="1:9" x14ac:dyDescent="0.3">
      <c r="A550">
        <v>54</v>
      </c>
      <c r="B550" s="168" t="s">
        <v>81</v>
      </c>
      <c r="C550" s="168" t="s">
        <v>83</v>
      </c>
      <c r="D550">
        <v>155.69999999999999</v>
      </c>
      <c r="E550">
        <v>2020</v>
      </c>
      <c r="F550" s="168" t="s">
        <v>592</v>
      </c>
      <c r="G550" s="168" t="s">
        <v>607</v>
      </c>
      <c r="H550" s="168" t="s">
        <v>608</v>
      </c>
      <c r="I550">
        <v>1417.3588555598014</v>
      </c>
    </row>
    <row r="551" spans="1:9" x14ac:dyDescent="0.3">
      <c r="A551">
        <v>54</v>
      </c>
      <c r="B551" s="168" t="s">
        <v>81</v>
      </c>
      <c r="C551" s="168" t="s">
        <v>83</v>
      </c>
      <c r="D551">
        <v>155.69999999999999</v>
      </c>
      <c r="E551">
        <v>2020</v>
      </c>
      <c r="F551" s="168" t="s">
        <v>592</v>
      </c>
      <c r="G551" s="168" t="s">
        <v>607</v>
      </c>
      <c r="H551" s="168" t="s">
        <v>609</v>
      </c>
      <c r="I551">
        <v>0</v>
      </c>
    </row>
    <row r="552" spans="1:9" x14ac:dyDescent="0.3">
      <c r="A552">
        <v>54</v>
      </c>
      <c r="B552" s="168" t="s">
        <v>81</v>
      </c>
      <c r="C552" s="168" t="s">
        <v>83</v>
      </c>
      <c r="D552">
        <v>155.69999999999999</v>
      </c>
      <c r="E552">
        <v>2020</v>
      </c>
      <c r="F552" s="168" t="s">
        <v>592</v>
      </c>
      <c r="G552" s="168" t="s">
        <v>617</v>
      </c>
      <c r="H552" s="168" t="s">
        <v>608</v>
      </c>
      <c r="I552">
        <v>105.16472273471193</v>
      </c>
    </row>
    <row r="553" spans="1:9" x14ac:dyDescent="0.3">
      <c r="A553">
        <v>54</v>
      </c>
      <c r="B553" s="168" t="s">
        <v>81</v>
      </c>
      <c r="C553" s="168" t="s">
        <v>83</v>
      </c>
      <c r="D553">
        <v>155.69999999999999</v>
      </c>
      <c r="E553">
        <v>2020</v>
      </c>
      <c r="F553" s="168" t="s">
        <v>592</v>
      </c>
      <c r="G553" s="168" t="s">
        <v>617</v>
      </c>
      <c r="H553" s="168" t="s">
        <v>609</v>
      </c>
      <c r="I553">
        <v>78.873542051033951</v>
      </c>
    </row>
    <row r="554" spans="1:9" x14ac:dyDescent="0.3">
      <c r="A554">
        <v>54</v>
      </c>
      <c r="B554" s="168" t="s">
        <v>81</v>
      </c>
      <c r="C554" s="168" t="s">
        <v>83</v>
      </c>
      <c r="D554">
        <v>155.69999999999999</v>
      </c>
      <c r="E554">
        <v>2020</v>
      </c>
      <c r="F554" s="168" t="s">
        <v>592</v>
      </c>
      <c r="G554" s="168" t="s">
        <v>621</v>
      </c>
      <c r="H554" s="168" t="s">
        <v>608</v>
      </c>
      <c r="I554">
        <v>0</v>
      </c>
    </row>
    <row r="555" spans="1:9" x14ac:dyDescent="0.3">
      <c r="A555">
        <v>54</v>
      </c>
      <c r="B555" s="168" t="s">
        <v>81</v>
      </c>
      <c r="C555" s="168" t="s">
        <v>83</v>
      </c>
      <c r="D555">
        <v>155.69999999999999</v>
      </c>
      <c r="E555">
        <v>2020</v>
      </c>
      <c r="F555" s="168" t="s">
        <v>592</v>
      </c>
      <c r="G555" s="168" t="s">
        <v>621</v>
      </c>
      <c r="H555" s="168" t="s">
        <v>609</v>
      </c>
      <c r="I555">
        <v>4532960</v>
      </c>
    </row>
    <row r="556" spans="1:9" x14ac:dyDescent="0.3">
      <c r="A556">
        <v>55</v>
      </c>
      <c r="B556" s="168" t="s">
        <v>81</v>
      </c>
      <c r="C556" s="168" t="s">
        <v>84</v>
      </c>
      <c r="D556">
        <v>1142.7</v>
      </c>
      <c r="E556">
        <v>2020</v>
      </c>
      <c r="F556" s="168" t="s">
        <v>592</v>
      </c>
      <c r="G556" s="168" t="s">
        <v>607</v>
      </c>
      <c r="H556" s="168" t="s">
        <v>608</v>
      </c>
      <c r="I556">
        <v>10402.157766526558</v>
      </c>
    </row>
    <row r="557" spans="1:9" x14ac:dyDescent="0.3">
      <c r="A557">
        <v>55</v>
      </c>
      <c r="B557" s="168" t="s">
        <v>81</v>
      </c>
      <c r="C557" s="168" t="s">
        <v>84</v>
      </c>
      <c r="D557">
        <v>1142.7</v>
      </c>
      <c r="E557">
        <v>2020</v>
      </c>
      <c r="F557" s="168" t="s">
        <v>592</v>
      </c>
      <c r="G557" s="168" t="s">
        <v>607</v>
      </c>
      <c r="H557" s="168" t="s">
        <v>609</v>
      </c>
      <c r="I557">
        <v>7826.086956521739</v>
      </c>
    </row>
    <row r="558" spans="1:9" x14ac:dyDescent="0.3">
      <c r="A558">
        <v>55</v>
      </c>
      <c r="B558" s="168" t="s">
        <v>81</v>
      </c>
      <c r="C558" s="168" t="s">
        <v>84</v>
      </c>
      <c r="D558">
        <v>1142.7</v>
      </c>
      <c r="E558">
        <v>2020</v>
      </c>
      <c r="F558" s="168" t="s">
        <v>592</v>
      </c>
      <c r="G558" s="168" t="s">
        <v>617</v>
      </c>
      <c r="H558" s="168" t="s">
        <v>608</v>
      </c>
      <c r="I558">
        <v>771.8158552919416</v>
      </c>
    </row>
    <row r="559" spans="1:9" x14ac:dyDescent="0.3">
      <c r="A559">
        <v>55</v>
      </c>
      <c r="B559" s="168" t="s">
        <v>81</v>
      </c>
      <c r="C559" s="168" t="s">
        <v>84</v>
      </c>
      <c r="D559">
        <v>1142.7</v>
      </c>
      <c r="E559">
        <v>2020</v>
      </c>
      <c r="F559" s="168" t="s">
        <v>592</v>
      </c>
      <c r="G559" s="168" t="s">
        <v>617</v>
      </c>
      <c r="H559" s="168" t="s">
        <v>609</v>
      </c>
      <c r="I559">
        <v>578.86189146895629</v>
      </c>
    </row>
    <row r="560" spans="1:9" x14ac:dyDescent="0.3">
      <c r="A560">
        <v>55</v>
      </c>
      <c r="B560" s="168" t="s">
        <v>81</v>
      </c>
      <c r="C560" s="168" t="s">
        <v>84</v>
      </c>
      <c r="D560">
        <v>1142.7</v>
      </c>
      <c r="E560">
        <v>2020</v>
      </c>
      <c r="F560" s="168" t="s">
        <v>592</v>
      </c>
      <c r="G560" s="168" t="s">
        <v>618</v>
      </c>
      <c r="H560" s="168" t="s">
        <v>608</v>
      </c>
      <c r="I560">
        <v>0</v>
      </c>
    </row>
    <row r="561" spans="1:9" x14ac:dyDescent="0.3">
      <c r="A561">
        <v>55</v>
      </c>
      <c r="B561" s="168" t="s">
        <v>81</v>
      </c>
      <c r="C561" s="168" t="s">
        <v>84</v>
      </c>
      <c r="D561">
        <v>1142.7</v>
      </c>
      <c r="E561">
        <v>2020</v>
      </c>
      <c r="F561" s="168" t="s">
        <v>592</v>
      </c>
      <c r="G561" s="168" t="s">
        <v>618</v>
      </c>
      <c r="H561" s="168" t="s">
        <v>609</v>
      </c>
      <c r="I561">
        <v>37280.898876404492</v>
      </c>
    </row>
    <row r="562" spans="1:9" x14ac:dyDescent="0.3">
      <c r="A562">
        <v>55</v>
      </c>
      <c r="B562" s="168" t="s">
        <v>81</v>
      </c>
      <c r="C562" s="168" t="s">
        <v>84</v>
      </c>
      <c r="D562">
        <v>1142.7</v>
      </c>
      <c r="E562">
        <v>2020</v>
      </c>
      <c r="F562" s="168" t="s">
        <v>592</v>
      </c>
      <c r="G562" s="168" t="s">
        <v>610</v>
      </c>
      <c r="H562" s="168" t="s">
        <v>608</v>
      </c>
      <c r="I562">
        <v>0</v>
      </c>
    </row>
    <row r="563" spans="1:9" x14ac:dyDescent="0.3">
      <c r="A563">
        <v>55</v>
      </c>
      <c r="B563" s="168" t="s">
        <v>81</v>
      </c>
      <c r="C563" s="168" t="s">
        <v>84</v>
      </c>
      <c r="D563">
        <v>1142.7</v>
      </c>
      <c r="E563">
        <v>2020</v>
      </c>
      <c r="F563" s="168" t="s">
        <v>592</v>
      </c>
      <c r="G563" s="168" t="s">
        <v>610</v>
      </c>
      <c r="H563" s="168" t="s">
        <v>609</v>
      </c>
      <c r="I563">
        <v>6545.454545454545</v>
      </c>
    </row>
    <row r="564" spans="1:9" x14ac:dyDescent="0.3">
      <c r="A564">
        <v>55</v>
      </c>
      <c r="B564" s="168" t="s">
        <v>81</v>
      </c>
      <c r="C564" s="168" t="s">
        <v>84</v>
      </c>
      <c r="D564">
        <v>1142.7</v>
      </c>
      <c r="E564">
        <v>2020</v>
      </c>
      <c r="F564" s="168" t="s">
        <v>592</v>
      </c>
      <c r="G564" s="168" t="s">
        <v>620</v>
      </c>
      <c r="H564" s="168" t="s">
        <v>608</v>
      </c>
      <c r="I564">
        <v>186515.41295527678</v>
      </c>
    </row>
    <row r="565" spans="1:9" x14ac:dyDescent="0.3">
      <c r="A565">
        <v>55</v>
      </c>
      <c r="B565" s="168" t="s">
        <v>81</v>
      </c>
      <c r="C565" s="168" t="s">
        <v>84</v>
      </c>
      <c r="D565">
        <v>1142.7</v>
      </c>
      <c r="E565">
        <v>2020</v>
      </c>
      <c r="F565" s="168" t="s">
        <v>592</v>
      </c>
      <c r="G565" s="168" t="s">
        <v>620</v>
      </c>
      <c r="H565" s="168" t="s">
        <v>609</v>
      </c>
      <c r="I565">
        <v>342099.45621181739</v>
      </c>
    </row>
    <row r="566" spans="1:9" x14ac:dyDescent="0.3">
      <c r="A566">
        <v>55</v>
      </c>
      <c r="B566" s="168" t="s">
        <v>81</v>
      </c>
      <c r="C566" s="168" t="s">
        <v>84</v>
      </c>
      <c r="D566">
        <v>1142.7</v>
      </c>
      <c r="E566">
        <v>2020</v>
      </c>
      <c r="F566" s="168" t="s">
        <v>592</v>
      </c>
      <c r="G566" s="168" t="s">
        <v>625</v>
      </c>
      <c r="H566" s="168" t="s">
        <v>608</v>
      </c>
      <c r="I566">
        <v>0</v>
      </c>
    </row>
    <row r="567" spans="1:9" x14ac:dyDescent="0.3">
      <c r="A567">
        <v>55</v>
      </c>
      <c r="B567" s="168" t="s">
        <v>81</v>
      </c>
      <c r="C567" s="168" t="s">
        <v>84</v>
      </c>
      <c r="D567">
        <v>1142.7</v>
      </c>
      <c r="E567">
        <v>2020</v>
      </c>
      <c r="F567" s="168" t="s">
        <v>592</v>
      </c>
      <c r="G567" s="168" t="s">
        <v>625</v>
      </c>
      <c r="H567" s="168" t="s">
        <v>609</v>
      </c>
      <c r="I567">
        <v>101498</v>
      </c>
    </row>
    <row r="568" spans="1:9" x14ac:dyDescent="0.3">
      <c r="A568">
        <v>55</v>
      </c>
      <c r="B568" s="168" t="s">
        <v>81</v>
      </c>
      <c r="C568" s="168" t="s">
        <v>84</v>
      </c>
      <c r="D568">
        <v>1142.7</v>
      </c>
      <c r="E568">
        <v>2020</v>
      </c>
      <c r="F568" s="168" t="s">
        <v>592</v>
      </c>
      <c r="G568" s="168" t="s">
        <v>624</v>
      </c>
      <c r="H568" s="168" t="s">
        <v>608</v>
      </c>
      <c r="I568">
        <v>17084.686331178724</v>
      </c>
    </row>
    <row r="569" spans="1:9" x14ac:dyDescent="0.3">
      <c r="A569">
        <v>55</v>
      </c>
      <c r="B569" s="168" t="s">
        <v>81</v>
      </c>
      <c r="C569" s="168" t="s">
        <v>84</v>
      </c>
      <c r="D569">
        <v>1142.7</v>
      </c>
      <c r="E569">
        <v>2020</v>
      </c>
      <c r="F569" s="168" t="s">
        <v>592</v>
      </c>
      <c r="G569" s="168" t="s">
        <v>624</v>
      </c>
      <c r="H569" s="168" t="s">
        <v>609</v>
      </c>
      <c r="I569">
        <v>18195.94349579345</v>
      </c>
    </row>
    <row r="570" spans="1:9" x14ac:dyDescent="0.3">
      <c r="A570">
        <v>55</v>
      </c>
      <c r="B570" s="168" t="s">
        <v>81</v>
      </c>
      <c r="C570" s="168" t="s">
        <v>84</v>
      </c>
      <c r="D570">
        <v>1142.7</v>
      </c>
      <c r="E570">
        <v>2020</v>
      </c>
      <c r="F570" s="168" t="s">
        <v>592</v>
      </c>
      <c r="G570" s="168" t="s">
        <v>613</v>
      </c>
      <c r="H570" s="168" t="s">
        <v>608</v>
      </c>
      <c r="I570">
        <v>43134.748642248196</v>
      </c>
    </row>
    <row r="571" spans="1:9" x14ac:dyDescent="0.3">
      <c r="A571">
        <v>55</v>
      </c>
      <c r="B571" s="168" t="s">
        <v>81</v>
      </c>
      <c r="C571" s="168" t="s">
        <v>84</v>
      </c>
      <c r="D571">
        <v>1142.7</v>
      </c>
      <c r="E571">
        <v>2020</v>
      </c>
      <c r="F571" s="168" t="s">
        <v>592</v>
      </c>
      <c r="G571" s="168" t="s">
        <v>613</v>
      </c>
      <c r="H571" s="168" t="s">
        <v>609</v>
      </c>
      <c r="I571">
        <v>8755.0598720077433</v>
      </c>
    </row>
    <row r="572" spans="1:9" x14ac:dyDescent="0.3">
      <c r="A572">
        <v>55</v>
      </c>
      <c r="B572" s="168" t="s">
        <v>81</v>
      </c>
      <c r="C572" s="168" t="s">
        <v>84</v>
      </c>
      <c r="D572">
        <v>1142.7</v>
      </c>
      <c r="E572">
        <v>2020</v>
      </c>
      <c r="F572" s="168" t="s">
        <v>592</v>
      </c>
      <c r="G572" s="168" t="s">
        <v>622</v>
      </c>
      <c r="H572" s="168" t="s">
        <v>608</v>
      </c>
      <c r="I572">
        <v>0</v>
      </c>
    </row>
    <row r="573" spans="1:9" x14ac:dyDescent="0.3">
      <c r="A573">
        <v>55</v>
      </c>
      <c r="B573" s="168" t="s">
        <v>81</v>
      </c>
      <c r="C573" s="168" t="s">
        <v>84</v>
      </c>
      <c r="D573">
        <v>1142.7</v>
      </c>
      <c r="E573">
        <v>2020</v>
      </c>
      <c r="F573" s="168" t="s">
        <v>592</v>
      </c>
      <c r="G573" s="168" t="s">
        <v>622</v>
      </c>
      <c r="H573" s="168" t="s">
        <v>609</v>
      </c>
      <c r="I573">
        <v>990000</v>
      </c>
    </row>
    <row r="574" spans="1:9" x14ac:dyDescent="0.3">
      <c r="A574">
        <v>56</v>
      </c>
      <c r="B574" s="168" t="s">
        <v>81</v>
      </c>
      <c r="C574" s="168" t="s">
        <v>85</v>
      </c>
      <c r="D574">
        <v>1186.4000000000001</v>
      </c>
      <c r="E574">
        <v>2020</v>
      </c>
      <c r="F574" s="168" t="s">
        <v>592</v>
      </c>
      <c r="G574" s="168" t="s">
        <v>607</v>
      </c>
      <c r="H574" s="168" t="s">
        <v>608</v>
      </c>
      <c r="I574">
        <v>10799.964972614955</v>
      </c>
    </row>
    <row r="575" spans="1:9" x14ac:dyDescent="0.3">
      <c r="A575">
        <v>56</v>
      </c>
      <c r="B575" s="168" t="s">
        <v>81</v>
      </c>
      <c r="C575" s="168" t="s">
        <v>85</v>
      </c>
      <c r="D575">
        <v>1186.4000000000001</v>
      </c>
      <c r="E575">
        <v>2020</v>
      </c>
      <c r="F575" s="168" t="s">
        <v>592</v>
      </c>
      <c r="G575" s="168" t="s">
        <v>607</v>
      </c>
      <c r="H575" s="168" t="s">
        <v>609</v>
      </c>
      <c r="I575">
        <v>0</v>
      </c>
    </row>
    <row r="576" spans="1:9" x14ac:dyDescent="0.3">
      <c r="A576">
        <v>56</v>
      </c>
      <c r="B576" s="168" t="s">
        <v>81</v>
      </c>
      <c r="C576" s="168" t="s">
        <v>85</v>
      </c>
      <c r="D576">
        <v>1186.4000000000001</v>
      </c>
      <c r="E576">
        <v>2020</v>
      </c>
      <c r="F576" s="168" t="s">
        <v>592</v>
      </c>
      <c r="G576" s="168" t="s">
        <v>617</v>
      </c>
      <c r="H576" s="168" t="s">
        <v>608</v>
      </c>
      <c r="I576">
        <v>801.33222255916667</v>
      </c>
    </row>
    <row r="577" spans="1:9" x14ac:dyDescent="0.3">
      <c r="A577">
        <v>56</v>
      </c>
      <c r="B577" s="168" t="s">
        <v>81</v>
      </c>
      <c r="C577" s="168" t="s">
        <v>85</v>
      </c>
      <c r="D577">
        <v>1186.4000000000001</v>
      </c>
      <c r="E577">
        <v>2020</v>
      </c>
      <c r="F577" s="168" t="s">
        <v>592</v>
      </c>
      <c r="G577" s="168" t="s">
        <v>617</v>
      </c>
      <c r="H577" s="168" t="s">
        <v>609</v>
      </c>
      <c r="I577">
        <v>600.99916691937494</v>
      </c>
    </row>
    <row r="578" spans="1:9" x14ac:dyDescent="0.3">
      <c r="A578">
        <v>56</v>
      </c>
      <c r="B578" s="168" t="s">
        <v>81</v>
      </c>
      <c r="C578" s="168" t="s">
        <v>85</v>
      </c>
      <c r="D578">
        <v>1186.4000000000001</v>
      </c>
      <c r="E578">
        <v>2020</v>
      </c>
      <c r="F578" s="168" t="s">
        <v>592</v>
      </c>
      <c r="G578" s="168" t="s">
        <v>618</v>
      </c>
      <c r="H578" s="168" t="s">
        <v>608</v>
      </c>
      <c r="I578">
        <v>0</v>
      </c>
    </row>
    <row r="579" spans="1:9" x14ac:dyDescent="0.3">
      <c r="A579">
        <v>56</v>
      </c>
      <c r="B579" s="168" t="s">
        <v>81</v>
      </c>
      <c r="C579" s="168" t="s">
        <v>85</v>
      </c>
      <c r="D579">
        <v>1186.4000000000001</v>
      </c>
      <c r="E579">
        <v>2020</v>
      </c>
      <c r="F579" s="168" t="s">
        <v>592</v>
      </c>
      <c r="G579" s="168" t="s">
        <v>618</v>
      </c>
      <c r="H579" s="168" t="s">
        <v>609</v>
      </c>
      <c r="I579">
        <v>53258.426966292136</v>
      </c>
    </row>
    <row r="580" spans="1:9" x14ac:dyDescent="0.3">
      <c r="A580">
        <v>56</v>
      </c>
      <c r="B580" s="168" t="s">
        <v>81</v>
      </c>
      <c r="C580" s="168" t="s">
        <v>85</v>
      </c>
      <c r="D580">
        <v>1186.4000000000001</v>
      </c>
      <c r="E580">
        <v>2020</v>
      </c>
      <c r="F580" s="168" t="s">
        <v>592</v>
      </c>
      <c r="G580" s="168" t="s">
        <v>610</v>
      </c>
      <c r="H580" s="168" t="s">
        <v>608</v>
      </c>
      <c r="I580">
        <v>0</v>
      </c>
    </row>
    <row r="581" spans="1:9" x14ac:dyDescent="0.3">
      <c r="A581">
        <v>56</v>
      </c>
      <c r="B581" s="168" t="s">
        <v>81</v>
      </c>
      <c r="C581" s="168" t="s">
        <v>85</v>
      </c>
      <c r="D581">
        <v>1186.4000000000001</v>
      </c>
      <c r="E581">
        <v>2020</v>
      </c>
      <c r="F581" s="168" t="s">
        <v>592</v>
      </c>
      <c r="G581" s="168" t="s">
        <v>610</v>
      </c>
      <c r="H581" s="168" t="s">
        <v>609</v>
      </c>
      <c r="I581">
        <v>6545.454545454545</v>
      </c>
    </row>
    <row r="582" spans="1:9" x14ac:dyDescent="0.3">
      <c r="A582">
        <v>56</v>
      </c>
      <c r="B582" s="168" t="s">
        <v>81</v>
      </c>
      <c r="C582" s="168" t="s">
        <v>85</v>
      </c>
      <c r="D582">
        <v>1186.4000000000001</v>
      </c>
      <c r="E582">
        <v>2020</v>
      </c>
      <c r="F582" s="168" t="s">
        <v>592</v>
      </c>
      <c r="G582" s="168" t="s">
        <v>623</v>
      </c>
      <c r="H582" s="168" t="s">
        <v>608</v>
      </c>
      <c r="I582">
        <v>37500</v>
      </c>
    </row>
    <row r="583" spans="1:9" x14ac:dyDescent="0.3">
      <c r="A583">
        <v>56</v>
      </c>
      <c r="B583" s="168" t="s">
        <v>81</v>
      </c>
      <c r="C583" s="168" t="s">
        <v>85</v>
      </c>
      <c r="D583">
        <v>1186.4000000000001</v>
      </c>
      <c r="E583">
        <v>2020</v>
      </c>
      <c r="F583" s="168" t="s">
        <v>592</v>
      </c>
      <c r="G583" s="168" t="s">
        <v>623</v>
      </c>
      <c r="H583" s="168" t="s">
        <v>609</v>
      </c>
      <c r="I583">
        <v>35510.391250000001</v>
      </c>
    </row>
    <row r="584" spans="1:9" x14ac:dyDescent="0.3">
      <c r="A584">
        <v>56</v>
      </c>
      <c r="B584" s="168" t="s">
        <v>81</v>
      </c>
      <c r="C584" s="168" t="s">
        <v>85</v>
      </c>
      <c r="D584">
        <v>1186.4000000000001</v>
      </c>
      <c r="E584">
        <v>2020</v>
      </c>
      <c r="F584" s="168" t="s">
        <v>592</v>
      </c>
      <c r="G584" s="168" t="s">
        <v>624</v>
      </c>
      <c r="H584" s="168" t="s">
        <v>608</v>
      </c>
      <c r="I584">
        <v>17738.051862527729</v>
      </c>
    </row>
    <row r="585" spans="1:9" x14ac:dyDescent="0.3">
      <c r="A585">
        <v>56</v>
      </c>
      <c r="B585" s="168" t="s">
        <v>81</v>
      </c>
      <c r="C585" s="168" t="s">
        <v>85</v>
      </c>
      <c r="D585">
        <v>1186.4000000000001</v>
      </c>
      <c r="E585">
        <v>2020</v>
      </c>
      <c r="F585" s="168" t="s">
        <v>592</v>
      </c>
      <c r="G585" s="168" t="s">
        <v>624</v>
      </c>
      <c r="H585" s="168" t="s">
        <v>609</v>
      </c>
      <c r="I585">
        <v>18891.806566386058</v>
      </c>
    </row>
    <row r="586" spans="1:9" x14ac:dyDescent="0.3">
      <c r="A586">
        <v>56</v>
      </c>
      <c r="B586" s="168" t="s">
        <v>81</v>
      </c>
      <c r="C586" s="168" t="s">
        <v>85</v>
      </c>
      <c r="D586">
        <v>1186.4000000000001</v>
      </c>
      <c r="E586">
        <v>2020</v>
      </c>
      <c r="F586" s="168" t="s">
        <v>592</v>
      </c>
      <c r="G586" s="168" t="s">
        <v>613</v>
      </c>
      <c r="H586" s="168" t="s">
        <v>608</v>
      </c>
      <c r="I586">
        <v>44784.340412324549</v>
      </c>
    </row>
    <row r="587" spans="1:9" x14ac:dyDescent="0.3">
      <c r="A587">
        <v>56</v>
      </c>
      <c r="B587" s="168" t="s">
        <v>81</v>
      </c>
      <c r="C587" s="168" t="s">
        <v>85</v>
      </c>
      <c r="D587">
        <v>1186.4000000000001</v>
      </c>
      <c r="E587">
        <v>2020</v>
      </c>
      <c r="F587" s="168" t="s">
        <v>592</v>
      </c>
      <c r="G587" s="168" t="s">
        <v>613</v>
      </c>
      <c r="H587" s="168" t="s">
        <v>609</v>
      </c>
      <c r="I587">
        <v>9089.8775112890416</v>
      </c>
    </row>
    <row r="588" spans="1:9" x14ac:dyDescent="0.3">
      <c r="A588">
        <v>57</v>
      </c>
      <c r="B588" s="168" t="s">
        <v>81</v>
      </c>
      <c r="C588" s="168" t="s">
        <v>86</v>
      </c>
      <c r="D588">
        <v>122.7</v>
      </c>
      <c r="E588">
        <v>2020</v>
      </c>
      <c r="F588" s="168" t="s">
        <v>592</v>
      </c>
      <c r="G588" s="168" t="s">
        <v>607</v>
      </c>
      <c r="H588" s="168" t="s">
        <v>608</v>
      </c>
      <c r="I588">
        <v>1116.9552445548338</v>
      </c>
    </row>
    <row r="589" spans="1:9" x14ac:dyDescent="0.3">
      <c r="A589">
        <v>57</v>
      </c>
      <c r="B589" s="168" t="s">
        <v>81</v>
      </c>
      <c r="C589" s="168" t="s">
        <v>86</v>
      </c>
      <c r="D589">
        <v>122.7</v>
      </c>
      <c r="E589">
        <v>2020</v>
      </c>
      <c r="F589" s="168" t="s">
        <v>592</v>
      </c>
      <c r="G589" s="168" t="s">
        <v>607</v>
      </c>
      <c r="H589" s="168" t="s">
        <v>609</v>
      </c>
      <c r="I589">
        <v>0</v>
      </c>
    </row>
    <row r="590" spans="1:9" x14ac:dyDescent="0.3">
      <c r="A590">
        <v>57</v>
      </c>
      <c r="B590" s="168" t="s">
        <v>81</v>
      </c>
      <c r="C590" s="168" t="s">
        <v>86</v>
      </c>
      <c r="D590">
        <v>122.7</v>
      </c>
      <c r="E590">
        <v>2020</v>
      </c>
      <c r="F590" s="168" t="s">
        <v>592</v>
      </c>
      <c r="G590" s="168" t="s">
        <v>617</v>
      </c>
      <c r="H590" s="168" t="s">
        <v>608</v>
      </c>
      <c r="I590">
        <v>82.875475141613066</v>
      </c>
    </row>
    <row r="591" spans="1:9" x14ac:dyDescent="0.3">
      <c r="A591">
        <v>57</v>
      </c>
      <c r="B591" s="168" t="s">
        <v>81</v>
      </c>
      <c r="C591" s="168" t="s">
        <v>86</v>
      </c>
      <c r="D591">
        <v>122.7</v>
      </c>
      <c r="E591">
        <v>2020</v>
      </c>
      <c r="F591" s="168" t="s">
        <v>592</v>
      </c>
      <c r="G591" s="168" t="s">
        <v>617</v>
      </c>
      <c r="H591" s="168" t="s">
        <v>609</v>
      </c>
      <c r="I591">
        <v>62.156606356209799</v>
      </c>
    </row>
    <row r="592" spans="1:9" x14ac:dyDescent="0.3">
      <c r="A592">
        <v>58</v>
      </c>
      <c r="B592" s="168" t="s">
        <v>34</v>
      </c>
      <c r="C592" s="168" t="s">
        <v>87</v>
      </c>
      <c r="D592">
        <v>52.6</v>
      </c>
      <c r="E592">
        <v>2020</v>
      </c>
      <c r="F592" s="168" t="s">
        <v>593</v>
      </c>
      <c r="G592" s="168" t="s">
        <v>607</v>
      </c>
      <c r="H592" s="168" t="s">
        <v>608</v>
      </c>
      <c r="I592">
        <v>478.82514966246345</v>
      </c>
    </row>
    <row r="593" spans="1:9" x14ac:dyDescent="0.3">
      <c r="A593">
        <v>58</v>
      </c>
      <c r="B593" s="168" t="s">
        <v>34</v>
      </c>
      <c r="C593" s="168" t="s">
        <v>87</v>
      </c>
      <c r="D593">
        <v>52.6</v>
      </c>
      <c r="E593">
        <v>2020</v>
      </c>
      <c r="F593" s="168" t="s">
        <v>593</v>
      </c>
      <c r="G593" s="168" t="s">
        <v>607</v>
      </c>
      <c r="H593" s="168" t="s">
        <v>609</v>
      </c>
      <c r="I593">
        <v>0</v>
      </c>
    </row>
    <row r="594" spans="1:9" x14ac:dyDescent="0.3">
      <c r="A594">
        <v>58</v>
      </c>
      <c r="B594" s="168" t="s">
        <v>34</v>
      </c>
      <c r="C594" s="168" t="s">
        <v>87</v>
      </c>
      <c r="D594">
        <v>52.6</v>
      </c>
      <c r="E594">
        <v>2020</v>
      </c>
      <c r="F594" s="168" t="s">
        <v>593</v>
      </c>
      <c r="G594" s="168" t="s">
        <v>617</v>
      </c>
      <c r="H594" s="168" t="s">
        <v>608</v>
      </c>
      <c r="I594">
        <v>35.527709799909104</v>
      </c>
    </row>
    <row r="595" spans="1:9" x14ac:dyDescent="0.3">
      <c r="A595">
        <v>58</v>
      </c>
      <c r="B595" s="168" t="s">
        <v>34</v>
      </c>
      <c r="C595" s="168" t="s">
        <v>87</v>
      </c>
      <c r="D595">
        <v>52.6</v>
      </c>
      <c r="E595">
        <v>2020</v>
      </c>
      <c r="F595" s="168" t="s">
        <v>593</v>
      </c>
      <c r="G595" s="168" t="s">
        <v>617</v>
      </c>
      <c r="H595" s="168" t="s">
        <v>609</v>
      </c>
      <c r="I595">
        <v>26.645782349931828</v>
      </c>
    </row>
    <row r="596" spans="1:9" x14ac:dyDescent="0.3">
      <c r="A596">
        <v>58</v>
      </c>
      <c r="B596" s="168" t="s">
        <v>34</v>
      </c>
      <c r="C596" s="168" t="s">
        <v>87</v>
      </c>
      <c r="D596">
        <v>52.6</v>
      </c>
      <c r="E596">
        <v>2020</v>
      </c>
      <c r="F596" s="168" t="s">
        <v>593</v>
      </c>
      <c r="G596" s="168" t="s">
        <v>624</v>
      </c>
      <c r="H596" s="168" t="s">
        <v>608</v>
      </c>
      <c r="I596">
        <v>197.58633496494139</v>
      </c>
    </row>
    <row r="597" spans="1:9" x14ac:dyDescent="0.3">
      <c r="A597">
        <v>58</v>
      </c>
      <c r="B597" s="168" t="s">
        <v>34</v>
      </c>
      <c r="C597" s="168" t="s">
        <v>87</v>
      </c>
      <c r="D597">
        <v>52.6</v>
      </c>
      <c r="E597">
        <v>2020</v>
      </c>
      <c r="F597" s="168" t="s">
        <v>593</v>
      </c>
      <c r="G597" s="168" t="s">
        <v>624</v>
      </c>
      <c r="H597" s="168" t="s">
        <v>609</v>
      </c>
      <c r="I597">
        <v>197.58633496494139</v>
      </c>
    </row>
    <row r="598" spans="1:9" x14ac:dyDescent="0.3">
      <c r="A598">
        <v>59</v>
      </c>
      <c r="B598" s="168" t="s">
        <v>34</v>
      </c>
      <c r="C598" s="168" t="s">
        <v>88</v>
      </c>
      <c r="D598">
        <v>54.9</v>
      </c>
      <c r="E598">
        <v>2020</v>
      </c>
      <c r="F598" s="168" t="s">
        <v>593</v>
      </c>
      <c r="G598" s="168" t="s">
        <v>607</v>
      </c>
      <c r="H598" s="168" t="s">
        <v>608</v>
      </c>
      <c r="I598">
        <v>499.76237103553694</v>
      </c>
    </row>
    <row r="599" spans="1:9" x14ac:dyDescent="0.3">
      <c r="A599">
        <v>59</v>
      </c>
      <c r="B599" s="168" t="s">
        <v>34</v>
      </c>
      <c r="C599" s="168" t="s">
        <v>88</v>
      </c>
      <c r="D599">
        <v>54.9</v>
      </c>
      <c r="E599">
        <v>2020</v>
      </c>
      <c r="F599" s="168" t="s">
        <v>593</v>
      </c>
      <c r="G599" s="168" t="s">
        <v>607</v>
      </c>
      <c r="H599" s="168" t="s">
        <v>609</v>
      </c>
      <c r="I599">
        <v>0</v>
      </c>
    </row>
    <row r="600" spans="1:9" x14ac:dyDescent="0.3">
      <c r="A600">
        <v>59</v>
      </c>
      <c r="B600" s="168" t="s">
        <v>34</v>
      </c>
      <c r="C600" s="168" t="s">
        <v>88</v>
      </c>
      <c r="D600">
        <v>54.9</v>
      </c>
      <c r="E600">
        <v>2020</v>
      </c>
      <c r="F600" s="168" t="s">
        <v>593</v>
      </c>
      <c r="G600" s="168" t="s">
        <v>612</v>
      </c>
      <c r="H600" s="168" t="s">
        <v>608</v>
      </c>
      <c r="I600">
        <v>0</v>
      </c>
    </row>
    <row r="601" spans="1:9" x14ac:dyDescent="0.3">
      <c r="A601">
        <v>59</v>
      </c>
      <c r="B601" s="168" t="s">
        <v>34</v>
      </c>
      <c r="C601" s="168" t="s">
        <v>88</v>
      </c>
      <c r="D601">
        <v>54.9</v>
      </c>
      <c r="E601">
        <v>2020</v>
      </c>
      <c r="F601" s="168" t="s">
        <v>593</v>
      </c>
      <c r="G601" s="168" t="s">
        <v>612</v>
      </c>
      <c r="H601" s="168" t="s">
        <v>609</v>
      </c>
      <c r="I601">
        <v>68.793268981875869</v>
      </c>
    </row>
    <row r="602" spans="1:9" x14ac:dyDescent="0.3">
      <c r="A602">
        <v>59</v>
      </c>
      <c r="B602" s="168" t="s">
        <v>34</v>
      </c>
      <c r="C602" s="168" t="s">
        <v>88</v>
      </c>
      <c r="D602">
        <v>54.9</v>
      </c>
      <c r="E602">
        <v>2020</v>
      </c>
      <c r="F602" s="168" t="s">
        <v>593</v>
      </c>
      <c r="G602" s="168" t="s">
        <v>617</v>
      </c>
      <c r="H602" s="168" t="s">
        <v>608</v>
      </c>
      <c r="I602">
        <v>37.081202813973569</v>
      </c>
    </row>
    <row r="603" spans="1:9" x14ac:dyDescent="0.3">
      <c r="A603">
        <v>59</v>
      </c>
      <c r="B603" s="168" t="s">
        <v>34</v>
      </c>
      <c r="C603" s="168" t="s">
        <v>88</v>
      </c>
      <c r="D603">
        <v>54.9</v>
      </c>
      <c r="E603">
        <v>2020</v>
      </c>
      <c r="F603" s="168" t="s">
        <v>593</v>
      </c>
      <c r="G603" s="168" t="s">
        <v>617</v>
      </c>
      <c r="H603" s="168" t="s">
        <v>609</v>
      </c>
      <c r="I603">
        <v>27.810902110480175</v>
      </c>
    </row>
    <row r="604" spans="1:9" x14ac:dyDescent="0.3">
      <c r="A604">
        <v>59</v>
      </c>
      <c r="B604" s="168" t="s">
        <v>34</v>
      </c>
      <c r="C604" s="168" t="s">
        <v>88</v>
      </c>
      <c r="D604">
        <v>54.9</v>
      </c>
      <c r="E604">
        <v>2020</v>
      </c>
      <c r="F604" s="168" t="s">
        <v>593</v>
      </c>
      <c r="G604" s="168" t="s">
        <v>633</v>
      </c>
      <c r="H604" s="168" t="s">
        <v>608</v>
      </c>
      <c r="I604">
        <v>0</v>
      </c>
    </row>
    <row r="605" spans="1:9" x14ac:dyDescent="0.3">
      <c r="A605">
        <v>59</v>
      </c>
      <c r="B605" s="168" t="s">
        <v>34</v>
      </c>
      <c r="C605" s="168" t="s">
        <v>88</v>
      </c>
      <c r="D605">
        <v>54.9</v>
      </c>
      <c r="E605">
        <v>2020</v>
      </c>
      <c r="F605" s="168" t="s">
        <v>593</v>
      </c>
      <c r="G605" s="168" t="s">
        <v>633</v>
      </c>
      <c r="H605" s="168" t="s">
        <v>609</v>
      </c>
      <c r="I605">
        <v>145433.62831858409</v>
      </c>
    </row>
    <row r="606" spans="1:9" x14ac:dyDescent="0.3">
      <c r="A606">
        <v>59</v>
      </c>
      <c r="B606" s="168" t="s">
        <v>34</v>
      </c>
      <c r="C606" s="168" t="s">
        <v>88</v>
      </c>
      <c r="D606">
        <v>54.9</v>
      </c>
      <c r="E606">
        <v>2020</v>
      </c>
      <c r="F606" s="168" t="s">
        <v>593</v>
      </c>
      <c r="G606" s="168" t="s">
        <v>624</v>
      </c>
      <c r="H606" s="168" t="s">
        <v>608</v>
      </c>
      <c r="I606">
        <v>206.22604162690649</v>
      </c>
    </row>
    <row r="607" spans="1:9" x14ac:dyDescent="0.3">
      <c r="A607">
        <v>59</v>
      </c>
      <c r="B607" s="168" t="s">
        <v>34</v>
      </c>
      <c r="C607" s="168" t="s">
        <v>88</v>
      </c>
      <c r="D607">
        <v>54.9</v>
      </c>
      <c r="E607">
        <v>2020</v>
      </c>
      <c r="F607" s="168" t="s">
        <v>593</v>
      </c>
      <c r="G607" s="168" t="s">
        <v>624</v>
      </c>
      <c r="H607" s="168" t="s">
        <v>609</v>
      </c>
      <c r="I607">
        <v>206.22604162690649</v>
      </c>
    </row>
    <row r="608" spans="1:9" x14ac:dyDescent="0.3">
      <c r="A608">
        <v>60</v>
      </c>
      <c r="B608" s="168" t="s">
        <v>60</v>
      </c>
      <c r="C608" s="168" t="s">
        <v>89</v>
      </c>
      <c r="D608">
        <v>11053.9</v>
      </c>
      <c r="E608">
        <v>2020</v>
      </c>
      <c r="F608" s="168" t="s">
        <v>592</v>
      </c>
      <c r="G608" s="168" t="s">
        <v>612</v>
      </c>
      <c r="H608" s="168" t="s">
        <v>608</v>
      </c>
      <c r="I608">
        <v>0</v>
      </c>
    </row>
    <row r="609" spans="1:9" x14ac:dyDescent="0.3">
      <c r="A609">
        <v>60</v>
      </c>
      <c r="B609" s="168" t="s">
        <v>60</v>
      </c>
      <c r="C609" s="168" t="s">
        <v>89</v>
      </c>
      <c r="D609">
        <v>11053.9</v>
      </c>
      <c r="E609">
        <v>2020</v>
      </c>
      <c r="F609" s="168" t="s">
        <v>592</v>
      </c>
      <c r="G609" s="168" t="s">
        <v>612</v>
      </c>
      <c r="H609" s="168" t="s">
        <v>609</v>
      </c>
      <c r="I609">
        <v>13851.255300523817</v>
      </c>
    </row>
    <row r="610" spans="1:9" x14ac:dyDescent="0.3">
      <c r="A610">
        <v>60</v>
      </c>
      <c r="B610" s="168" t="s">
        <v>60</v>
      </c>
      <c r="C610" s="168" t="s">
        <v>89</v>
      </c>
      <c r="D610">
        <v>11053.9</v>
      </c>
      <c r="E610">
        <v>2020</v>
      </c>
      <c r="F610" s="168" t="s">
        <v>592</v>
      </c>
      <c r="G610" s="168" t="s">
        <v>616</v>
      </c>
      <c r="H610" s="168" t="s">
        <v>608</v>
      </c>
      <c r="I610">
        <v>3609883.8517911453</v>
      </c>
    </row>
    <row r="611" spans="1:9" x14ac:dyDescent="0.3">
      <c r="A611">
        <v>60</v>
      </c>
      <c r="B611" s="168" t="s">
        <v>60</v>
      </c>
      <c r="C611" s="168" t="s">
        <v>89</v>
      </c>
      <c r="D611">
        <v>11053.9</v>
      </c>
      <c r="E611">
        <v>2020</v>
      </c>
      <c r="F611" s="168" t="s">
        <v>592</v>
      </c>
      <c r="G611" s="168" t="s">
        <v>616</v>
      </c>
      <c r="H611" s="168" t="s">
        <v>609</v>
      </c>
      <c r="I611">
        <v>642398.67138219427</v>
      </c>
    </row>
    <row r="612" spans="1:9" x14ac:dyDescent="0.3">
      <c r="A612">
        <v>60</v>
      </c>
      <c r="B612" s="168" t="s">
        <v>60</v>
      </c>
      <c r="C612" s="168" t="s">
        <v>89</v>
      </c>
      <c r="D612">
        <v>11053.9</v>
      </c>
      <c r="E612">
        <v>2020</v>
      </c>
      <c r="F612" s="168" t="s">
        <v>592</v>
      </c>
      <c r="G612" s="168" t="s">
        <v>617</v>
      </c>
      <c r="H612" s="168" t="s">
        <v>608</v>
      </c>
      <c r="I612">
        <v>7466.15496876835</v>
      </c>
    </row>
    <row r="613" spans="1:9" x14ac:dyDescent="0.3">
      <c r="A613">
        <v>60</v>
      </c>
      <c r="B613" s="168" t="s">
        <v>60</v>
      </c>
      <c r="C613" s="168" t="s">
        <v>89</v>
      </c>
      <c r="D613">
        <v>11053.9</v>
      </c>
      <c r="E613">
        <v>2020</v>
      </c>
      <c r="F613" s="168" t="s">
        <v>592</v>
      </c>
      <c r="G613" s="168" t="s">
        <v>617</v>
      </c>
      <c r="H613" s="168" t="s">
        <v>609</v>
      </c>
      <c r="I613">
        <v>8792.4162265762607</v>
      </c>
    </row>
    <row r="614" spans="1:9" x14ac:dyDescent="0.3">
      <c r="A614">
        <v>60</v>
      </c>
      <c r="B614" s="168" t="s">
        <v>60</v>
      </c>
      <c r="C614" s="168" t="s">
        <v>89</v>
      </c>
      <c r="D614">
        <v>11053.9</v>
      </c>
      <c r="E614">
        <v>2020</v>
      </c>
      <c r="F614" s="168" t="s">
        <v>592</v>
      </c>
      <c r="G614" s="168" t="s">
        <v>618</v>
      </c>
      <c r="H614" s="168" t="s">
        <v>608</v>
      </c>
      <c r="I614">
        <v>0</v>
      </c>
    </row>
    <row r="615" spans="1:9" x14ac:dyDescent="0.3">
      <c r="A615">
        <v>60</v>
      </c>
      <c r="B615" s="168" t="s">
        <v>60</v>
      </c>
      <c r="C615" s="168" t="s">
        <v>89</v>
      </c>
      <c r="D615">
        <v>11053.9</v>
      </c>
      <c r="E615">
        <v>2020</v>
      </c>
      <c r="F615" s="168" t="s">
        <v>592</v>
      </c>
      <c r="G615" s="168" t="s">
        <v>618</v>
      </c>
      <c r="H615" s="168" t="s">
        <v>609</v>
      </c>
      <c r="I615">
        <v>15977.528089887641</v>
      </c>
    </row>
    <row r="616" spans="1:9" x14ac:dyDescent="0.3">
      <c r="A616">
        <v>60</v>
      </c>
      <c r="B616" s="168" t="s">
        <v>60</v>
      </c>
      <c r="C616" s="168" t="s">
        <v>89</v>
      </c>
      <c r="D616">
        <v>11053.9</v>
      </c>
      <c r="E616">
        <v>2020</v>
      </c>
      <c r="F616" s="168" t="s">
        <v>592</v>
      </c>
      <c r="G616" s="168" t="s">
        <v>610</v>
      </c>
      <c r="H616" s="168" t="s">
        <v>608</v>
      </c>
      <c r="I616">
        <v>0</v>
      </c>
    </row>
    <row r="617" spans="1:9" x14ac:dyDescent="0.3">
      <c r="A617">
        <v>60</v>
      </c>
      <c r="B617" s="168" t="s">
        <v>60</v>
      </c>
      <c r="C617" s="168" t="s">
        <v>89</v>
      </c>
      <c r="D617">
        <v>11053.9</v>
      </c>
      <c r="E617">
        <v>2020</v>
      </c>
      <c r="F617" s="168" t="s">
        <v>592</v>
      </c>
      <c r="G617" s="168" t="s">
        <v>610</v>
      </c>
      <c r="H617" s="168" t="s">
        <v>609</v>
      </c>
      <c r="I617">
        <v>6545.454545454545</v>
      </c>
    </row>
    <row r="618" spans="1:9" x14ac:dyDescent="0.3">
      <c r="A618">
        <v>60</v>
      </c>
      <c r="B618" s="168" t="s">
        <v>60</v>
      </c>
      <c r="C618" s="168" t="s">
        <v>89</v>
      </c>
      <c r="D618">
        <v>11053.9</v>
      </c>
      <c r="E618">
        <v>2020</v>
      </c>
      <c r="F618" s="168" t="s">
        <v>592</v>
      </c>
      <c r="G618" s="168" t="s">
        <v>620</v>
      </c>
      <c r="H618" s="168" t="s">
        <v>608</v>
      </c>
      <c r="I618">
        <v>96190.661290322576</v>
      </c>
    </row>
    <row r="619" spans="1:9" x14ac:dyDescent="0.3">
      <c r="A619">
        <v>60</v>
      </c>
      <c r="B619" s="168" t="s">
        <v>60</v>
      </c>
      <c r="C619" s="168" t="s">
        <v>89</v>
      </c>
      <c r="D619">
        <v>11053.9</v>
      </c>
      <c r="E619">
        <v>2020</v>
      </c>
      <c r="F619" s="168" t="s">
        <v>592</v>
      </c>
      <c r="G619" s="168" t="s">
        <v>620</v>
      </c>
      <c r="H619" s="168" t="s">
        <v>609</v>
      </c>
      <c r="I619">
        <v>0</v>
      </c>
    </row>
    <row r="620" spans="1:9" x14ac:dyDescent="0.3">
      <c r="A620">
        <v>60</v>
      </c>
      <c r="B620" s="168" t="s">
        <v>60</v>
      </c>
      <c r="C620" s="168" t="s">
        <v>89</v>
      </c>
      <c r="D620">
        <v>11053.9</v>
      </c>
      <c r="E620">
        <v>2020</v>
      </c>
      <c r="F620" s="168" t="s">
        <v>592</v>
      </c>
      <c r="G620" s="168" t="s">
        <v>623</v>
      </c>
      <c r="H620" s="168" t="s">
        <v>608</v>
      </c>
      <c r="I620">
        <v>48817.307692307702</v>
      </c>
    </row>
    <row r="621" spans="1:9" x14ac:dyDescent="0.3">
      <c r="A621">
        <v>60</v>
      </c>
      <c r="B621" s="168" t="s">
        <v>60</v>
      </c>
      <c r="C621" s="168" t="s">
        <v>89</v>
      </c>
      <c r="D621">
        <v>11053.9</v>
      </c>
      <c r="E621">
        <v>2020</v>
      </c>
      <c r="F621" s="168" t="s">
        <v>592</v>
      </c>
      <c r="G621" s="168" t="s">
        <v>623</v>
      </c>
      <c r="H621" s="168" t="s">
        <v>609</v>
      </c>
      <c r="I621">
        <v>35510.391250000001</v>
      </c>
    </row>
    <row r="622" spans="1:9" x14ac:dyDescent="0.3">
      <c r="A622">
        <v>60</v>
      </c>
      <c r="B622" s="168" t="s">
        <v>60</v>
      </c>
      <c r="C622" s="168" t="s">
        <v>89</v>
      </c>
      <c r="D622">
        <v>11053.9</v>
      </c>
      <c r="E622">
        <v>2020</v>
      </c>
      <c r="F622" s="168" t="s">
        <v>592</v>
      </c>
      <c r="G622" s="168" t="s">
        <v>625</v>
      </c>
      <c r="H622" s="168" t="s">
        <v>608</v>
      </c>
      <c r="I622">
        <v>0</v>
      </c>
    </row>
    <row r="623" spans="1:9" x14ac:dyDescent="0.3">
      <c r="A623">
        <v>60</v>
      </c>
      <c r="B623" s="168" t="s">
        <v>60</v>
      </c>
      <c r="C623" s="168" t="s">
        <v>89</v>
      </c>
      <c r="D623">
        <v>11053.9</v>
      </c>
      <c r="E623">
        <v>2020</v>
      </c>
      <c r="F623" s="168" t="s">
        <v>592</v>
      </c>
      <c r="G623" s="168" t="s">
        <v>625</v>
      </c>
      <c r="H623" s="168" t="s">
        <v>609</v>
      </c>
      <c r="I623">
        <v>195848.85</v>
      </c>
    </row>
    <row r="624" spans="1:9" x14ac:dyDescent="0.3">
      <c r="A624">
        <v>60</v>
      </c>
      <c r="B624" s="168" t="s">
        <v>60</v>
      </c>
      <c r="C624" s="168" t="s">
        <v>89</v>
      </c>
      <c r="D624">
        <v>11053.9</v>
      </c>
      <c r="E624">
        <v>2020</v>
      </c>
      <c r="F624" s="168" t="s">
        <v>592</v>
      </c>
      <c r="G624" s="168" t="s">
        <v>624</v>
      </c>
      <c r="H624" s="168" t="s">
        <v>608</v>
      </c>
      <c r="I624">
        <v>206791.39274421037</v>
      </c>
    </row>
    <row r="625" spans="1:9" x14ac:dyDescent="0.3">
      <c r="A625">
        <v>60</v>
      </c>
      <c r="B625" s="168" t="s">
        <v>60</v>
      </c>
      <c r="C625" s="168" t="s">
        <v>89</v>
      </c>
      <c r="D625">
        <v>11053.9</v>
      </c>
      <c r="E625">
        <v>2020</v>
      </c>
      <c r="F625" s="168" t="s">
        <v>592</v>
      </c>
      <c r="G625" s="168" t="s">
        <v>624</v>
      </c>
      <c r="H625" s="168" t="s">
        <v>609</v>
      </c>
      <c r="I625">
        <v>217541.13070862339</v>
      </c>
    </row>
    <row r="626" spans="1:9" x14ac:dyDescent="0.3">
      <c r="A626">
        <v>60</v>
      </c>
      <c r="B626" s="168" t="s">
        <v>60</v>
      </c>
      <c r="C626" s="168" t="s">
        <v>89</v>
      </c>
      <c r="D626">
        <v>11053.9</v>
      </c>
      <c r="E626">
        <v>2020</v>
      </c>
      <c r="F626" s="168" t="s">
        <v>592</v>
      </c>
      <c r="G626" s="168" t="s">
        <v>621</v>
      </c>
      <c r="H626" s="168" t="s">
        <v>608</v>
      </c>
      <c r="I626">
        <v>0</v>
      </c>
    </row>
    <row r="627" spans="1:9" x14ac:dyDescent="0.3">
      <c r="A627">
        <v>60</v>
      </c>
      <c r="B627" s="168" t="s">
        <v>60</v>
      </c>
      <c r="C627" s="168" t="s">
        <v>89</v>
      </c>
      <c r="D627">
        <v>11053.9</v>
      </c>
      <c r="E627">
        <v>2020</v>
      </c>
      <c r="F627" s="168" t="s">
        <v>592</v>
      </c>
      <c r="G627" s="168" t="s">
        <v>621</v>
      </c>
      <c r="H627" s="168" t="s">
        <v>609</v>
      </c>
      <c r="I627">
        <v>98047.2</v>
      </c>
    </row>
    <row r="628" spans="1:9" x14ac:dyDescent="0.3">
      <c r="A628">
        <v>60</v>
      </c>
      <c r="B628" s="168" t="s">
        <v>60</v>
      </c>
      <c r="C628" s="168" t="s">
        <v>89</v>
      </c>
      <c r="D628">
        <v>11053.9</v>
      </c>
      <c r="E628">
        <v>2020</v>
      </c>
      <c r="F628" s="168" t="s">
        <v>592</v>
      </c>
      <c r="G628" s="168" t="s">
        <v>627</v>
      </c>
      <c r="H628" s="168" t="s">
        <v>608</v>
      </c>
      <c r="I628">
        <v>0</v>
      </c>
    </row>
    <row r="629" spans="1:9" x14ac:dyDescent="0.3">
      <c r="A629">
        <v>60</v>
      </c>
      <c r="B629" s="168" t="s">
        <v>60</v>
      </c>
      <c r="C629" s="168" t="s">
        <v>89</v>
      </c>
      <c r="D629">
        <v>11053.9</v>
      </c>
      <c r="E629">
        <v>2020</v>
      </c>
      <c r="F629" s="168" t="s">
        <v>592</v>
      </c>
      <c r="G629" s="168" t="s">
        <v>627</v>
      </c>
      <c r="H629" s="168" t="s">
        <v>609</v>
      </c>
      <c r="I629">
        <v>1351680.56</v>
      </c>
    </row>
    <row r="630" spans="1:9" x14ac:dyDescent="0.3">
      <c r="A630">
        <v>60</v>
      </c>
      <c r="B630" s="168" t="s">
        <v>60</v>
      </c>
      <c r="C630" s="168" t="s">
        <v>89</v>
      </c>
      <c r="D630">
        <v>11053.9</v>
      </c>
      <c r="E630">
        <v>2020</v>
      </c>
      <c r="F630" s="168" t="s">
        <v>592</v>
      </c>
      <c r="G630" s="168" t="s">
        <v>613</v>
      </c>
      <c r="H630" s="168" t="s">
        <v>608</v>
      </c>
      <c r="I630">
        <v>417263.6720193816</v>
      </c>
    </row>
    <row r="631" spans="1:9" x14ac:dyDescent="0.3">
      <c r="A631">
        <v>60</v>
      </c>
      <c r="B631" s="168" t="s">
        <v>60</v>
      </c>
      <c r="C631" s="168" t="s">
        <v>89</v>
      </c>
      <c r="D631">
        <v>11053.9</v>
      </c>
      <c r="E631">
        <v>2020</v>
      </c>
      <c r="F631" s="168" t="s">
        <v>592</v>
      </c>
      <c r="G631" s="168" t="s">
        <v>613</v>
      </c>
      <c r="H631" s="168" t="s">
        <v>609</v>
      </c>
      <c r="I631">
        <v>84692.006930241012</v>
      </c>
    </row>
    <row r="632" spans="1:9" x14ac:dyDescent="0.3">
      <c r="A632">
        <v>60</v>
      </c>
      <c r="B632" s="168" t="s">
        <v>60</v>
      </c>
      <c r="C632" s="168" t="s">
        <v>89</v>
      </c>
      <c r="D632">
        <v>11053.9</v>
      </c>
      <c r="E632">
        <v>2020</v>
      </c>
      <c r="F632" s="168" t="s">
        <v>592</v>
      </c>
      <c r="G632" s="168" t="s">
        <v>622</v>
      </c>
      <c r="H632" s="168" t="s">
        <v>608</v>
      </c>
      <c r="I632">
        <v>136318.1108506468</v>
      </c>
    </row>
    <row r="633" spans="1:9" x14ac:dyDescent="0.3">
      <c r="A633">
        <v>60</v>
      </c>
      <c r="B633" s="168" t="s">
        <v>60</v>
      </c>
      <c r="C633" s="168" t="s">
        <v>89</v>
      </c>
      <c r="D633">
        <v>11053.9</v>
      </c>
      <c r="E633">
        <v>2020</v>
      </c>
      <c r="F633" s="168" t="s">
        <v>592</v>
      </c>
      <c r="G633" s="168" t="s">
        <v>622</v>
      </c>
      <c r="H633" s="168" t="s">
        <v>609</v>
      </c>
      <c r="I633">
        <v>0</v>
      </c>
    </row>
    <row r="634" spans="1:9" x14ac:dyDescent="0.3">
      <c r="A634">
        <v>61</v>
      </c>
      <c r="B634" s="168" t="s">
        <v>90</v>
      </c>
      <c r="C634" s="168" t="s">
        <v>91</v>
      </c>
      <c r="D634">
        <v>17563.900000000001</v>
      </c>
      <c r="E634">
        <v>2020</v>
      </c>
      <c r="F634" s="168" t="s">
        <v>592</v>
      </c>
      <c r="G634" s="168" t="s">
        <v>612</v>
      </c>
      <c r="H634" s="168" t="s">
        <v>608</v>
      </c>
      <c r="I634">
        <v>0</v>
      </c>
    </row>
    <row r="635" spans="1:9" x14ac:dyDescent="0.3">
      <c r="A635">
        <v>61</v>
      </c>
      <c r="B635" s="168" t="s">
        <v>90</v>
      </c>
      <c r="C635" s="168" t="s">
        <v>91</v>
      </c>
      <c r="D635">
        <v>17563.900000000001</v>
      </c>
      <c r="E635">
        <v>2020</v>
      </c>
      <c r="F635" s="168" t="s">
        <v>592</v>
      </c>
      <c r="G635" s="168" t="s">
        <v>612</v>
      </c>
      <c r="H635" s="168" t="s">
        <v>609</v>
      </c>
      <c r="I635">
        <v>89808.708507664298</v>
      </c>
    </row>
    <row r="636" spans="1:9" x14ac:dyDescent="0.3">
      <c r="A636">
        <v>61</v>
      </c>
      <c r="B636" s="168" t="s">
        <v>90</v>
      </c>
      <c r="C636" s="168" t="s">
        <v>91</v>
      </c>
      <c r="D636">
        <v>17563.900000000001</v>
      </c>
      <c r="E636">
        <v>2020</v>
      </c>
      <c r="F636" s="168" t="s">
        <v>592</v>
      </c>
      <c r="G636" s="168" t="s">
        <v>616</v>
      </c>
      <c r="H636" s="168" t="s">
        <v>608</v>
      </c>
      <c r="I636">
        <v>0</v>
      </c>
    </row>
    <row r="637" spans="1:9" x14ac:dyDescent="0.3">
      <c r="A637">
        <v>61</v>
      </c>
      <c r="B637" s="168" t="s">
        <v>90</v>
      </c>
      <c r="C637" s="168" t="s">
        <v>91</v>
      </c>
      <c r="D637">
        <v>17563.900000000001</v>
      </c>
      <c r="E637">
        <v>2020</v>
      </c>
      <c r="F637" s="168" t="s">
        <v>592</v>
      </c>
      <c r="G637" s="168" t="s">
        <v>616</v>
      </c>
      <c r="H637" s="168" t="s">
        <v>609</v>
      </c>
      <c r="I637">
        <v>298973</v>
      </c>
    </row>
    <row r="638" spans="1:9" x14ac:dyDescent="0.3">
      <c r="A638">
        <v>61</v>
      </c>
      <c r="B638" s="168" t="s">
        <v>90</v>
      </c>
      <c r="C638" s="168" t="s">
        <v>91</v>
      </c>
      <c r="D638">
        <v>17563.900000000001</v>
      </c>
      <c r="E638">
        <v>2020</v>
      </c>
      <c r="F638" s="168" t="s">
        <v>592</v>
      </c>
      <c r="G638" s="168" t="s">
        <v>617</v>
      </c>
      <c r="H638" s="168" t="s">
        <v>608</v>
      </c>
      <c r="I638">
        <v>11863.215630316037</v>
      </c>
    </row>
    <row r="639" spans="1:9" x14ac:dyDescent="0.3">
      <c r="A639">
        <v>61</v>
      </c>
      <c r="B639" s="168" t="s">
        <v>90</v>
      </c>
      <c r="C639" s="168" t="s">
        <v>91</v>
      </c>
      <c r="D639">
        <v>17563.900000000001</v>
      </c>
      <c r="E639">
        <v>2020</v>
      </c>
      <c r="F639" s="168" t="s">
        <v>592</v>
      </c>
      <c r="G639" s="168" t="s">
        <v>617</v>
      </c>
      <c r="H639" s="168" t="s">
        <v>609</v>
      </c>
      <c r="I639">
        <v>69089.711722737033</v>
      </c>
    </row>
    <row r="640" spans="1:9" x14ac:dyDescent="0.3">
      <c r="A640">
        <v>61</v>
      </c>
      <c r="B640" s="168" t="s">
        <v>90</v>
      </c>
      <c r="C640" s="168" t="s">
        <v>91</v>
      </c>
      <c r="D640">
        <v>17563.900000000001</v>
      </c>
      <c r="E640">
        <v>2020</v>
      </c>
      <c r="F640" s="168" t="s">
        <v>592</v>
      </c>
      <c r="G640" s="168" t="s">
        <v>610</v>
      </c>
      <c r="H640" s="168" t="s">
        <v>608</v>
      </c>
      <c r="I640">
        <v>0</v>
      </c>
    </row>
    <row r="641" spans="1:9" x14ac:dyDescent="0.3">
      <c r="A641">
        <v>61</v>
      </c>
      <c r="B641" s="168" t="s">
        <v>90</v>
      </c>
      <c r="C641" s="168" t="s">
        <v>91</v>
      </c>
      <c r="D641">
        <v>17563.900000000001</v>
      </c>
      <c r="E641">
        <v>2020</v>
      </c>
      <c r="F641" s="168" t="s">
        <v>592</v>
      </c>
      <c r="G641" s="168" t="s">
        <v>610</v>
      </c>
      <c r="H641" s="168" t="s">
        <v>609</v>
      </c>
      <c r="I641">
        <v>6545.454545454545</v>
      </c>
    </row>
    <row r="642" spans="1:9" x14ac:dyDescent="0.3">
      <c r="A642">
        <v>61</v>
      </c>
      <c r="B642" s="168" t="s">
        <v>90</v>
      </c>
      <c r="C642" s="168" t="s">
        <v>91</v>
      </c>
      <c r="D642">
        <v>17563.900000000001</v>
      </c>
      <c r="E642">
        <v>2020</v>
      </c>
      <c r="F642" s="168" t="s">
        <v>592</v>
      </c>
      <c r="G642" s="168" t="s">
        <v>620</v>
      </c>
      <c r="H642" s="168" t="s">
        <v>608</v>
      </c>
      <c r="I642">
        <v>163524.12419354837</v>
      </c>
    </row>
    <row r="643" spans="1:9" x14ac:dyDescent="0.3">
      <c r="A643">
        <v>61</v>
      </c>
      <c r="B643" s="168" t="s">
        <v>90</v>
      </c>
      <c r="C643" s="168" t="s">
        <v>91</v>
      </c>
      <c r="D643">
        <v>17563.900000000001</v>
      </c>
      <c r="E643">
        <v>2020</v>
      </c>
      <c r="F643" s="168" t="s">
        <v>592</v>
      </c>
      <c r="G643" s="168" t="s">
        <v>620</v>
      </c>
      <c r="H643" s="168" t="s">
        <v>609</v>
      </c>
      <c r="I643">
        <v>0</v>
      </c>
    </row>
    <row r="644" spans="1:9" x14ac:dyDescent="0.3">
      <c r="A644">
        <v>61</v>
      </c>
      <c r="B644" s="168" t="s">
        <v>90</v>
      </c>
      <c r="C644" s="168" t="s">
        <v>91</v>
      </c>
      <c r="D644">
        <v>17563.900000000001</v>
      </c>
      <c r="E644">
        <v>2020</v>
      </c>
      <c r="F644" s="168" t="s">
        <v>592</v>
      </c>
      <c r="G644" s="168" t="s">
        <v>623</v>
      </c>
      <c r="H644" s="168" t="s">
        <v>608</v>
      </c>
      <c r="I644">
        <v>97634.615384615405</v>
      </c>
    </row>
    <row r="645" spans="1:9" x14ac:dyDescent="0.3">
      <c r="A645">
        <v>61</v>
      </c>
      <c r="B645" s="168" t="s">
        <v>90</v>
      </c>
      <c r="C645" s="168" t="s">
        <v>91</v>
      </c>
      <c r="D645">
        <v>17563.900000000001</v>
      </c>
      <c r="E645">
        <v>2020</v>
      </c>
      <c r="F645" s="168" t="s">
        <v>592</v>
      </c>
      <c r="G645" s="168" t="s">
        <v>623</v>
      </c>
      <c r="H645" s="168" t="s">
        <v>609</v>
      </c>
      <c r="I645">
        <v>71020.782500000001</v>
      </c>
    </row>
    <row r="646" spans="1:9" x14ac:dyDescent="0.3">
      <c r="A646">
        <v>61</v>
      </c>
      <c r="B646" s="168" t="s">
        <v>90</v>
      </c>
      <c r="C646" s="168" t="s">
        <v>91</v>
      </c>
      <c r="D646">
        <v>17563.900000000001</v>
      </c>
      <c r="E646">
        <v>2020</v>
      </c>
      <c r="F646" s="168" t="s">
        <v>592</v>
      </c>
      <c r="G646" s="168" t="s">
        <v>615</v>
      </c>
      <c r="H646" s="168" t="s">
        <v>608</v>
      </c>
      <c r="I646">
        <v>0</v>
      </c>
    </row>
    <row r="647" spans="1:9" x14ac:dyDescent="0.3">
      <c r="A647">
        <v>61</v>
      </c>
      <c r="B647" s="168" t="s">
        <v>90</v>
      </c>
      <c r="C647" s="168" t="s">
        <v>91</v>
      </c>
      <c r="D647">
        <v>17563.900000000001</v>
      </c>
      <c r="E647">
        <v>2020</v>
      </c>
      <c r="F647" s="168" t="s">
        <v>592</v>
      </c>
      <c r="G647" s="168" t="s">
        <v>615</v>
      </c>
      <c r="H647" s="168" t="s">
        <v>609</v>
      </c>
      <c r="I647">
        <v>15073.170731707318</v>
      </c>
    </row>
    <row r="648" spans="1:9" x14ac:dyDescent="0.3">
      <c r="A648">
        <v>61</v>
      </c>
      <c r="B648" s="168" t="s">
        <v>90</v>
      </c>
      <c r="C648" s="168" t="s">
        <v>91</v>
      </c>
      <c r="D648">
        <v>17563.900000000001</v>
      </c>
      <c r="E648">
        <v>2020</v>
      </c>
      <c r="F648" s="168" t="s">
        <v>592</v>
      </c>
      <c r="G648" s="168" t="s">
        <v>624</v>
      </c>
      <c r="H648" s="168" t="s">
        <v>608</v>
      </c>
      <c r="I648">
        <v>328577.54665955459</v>
      </c>
    </row>
    <row r="649" spans="1:9" x14ac:dyDescent="0.3">
      <c r="A649">
        <v>61</v>
      </c>
      <c r="B649" s="168" t="s">
        <v>90</v>
      </c>
      <c r="C649" s="168" t="s">
        <v>91</v>
      </c>
      <c r="D649">
        <v>17563.900000000001</v>
      </c>
      <c r="E649">
        <v>2020</v>
      </c>
      <c r="F649" s="168" t="s">
        <v>592</v>
      </c>
      <c r="G649" s="168" t="s">
        <v>624</v>
      </c>
      <c r="H649" s="168" t="s">
        <v>609</v>
      </c>
      <c r="I649">
        <v>345658.15374240757</v>
      </c>
    </row>
    <row r="650" spans="1:9" x14ac:dyDescent="0.3">
      <c r="A650">
        <v>61</v>
      </c>
      <c r="B650" s="168" t="s">
        <v>90</v>
      </c>
      <c r="C650" s="168" t="s">
        <v>91</v>
      </c>
      <c r="D650">
        <v>17563.900000000001</v>
      </c>
      <c r="E650">
        <v>2020</v>
      </c>
      <c r="F650" s="168" t="s">
        <v>592</v>
      </c>
      <c r="G650" s="168" t="s">
        <v>611</v>
      </c>
      <c r="H650" s="168" t="s">
        <v>608</v>
      </c>
      <c r="I650">
        <v>0</v>
      </c>
    </row>
    <row r="651" spans="1:9" x14ac:dyDescent="0.3">
      <c r="A651">
        <v>61</v>
      </c>
      <c r="B651" s="168" t="s">
        <v>90</v>
      </c>
      <c r="C651" s="168" t="s">
        <v>91</v>
      </c>
      <c r="D651">
        <v>17563.900000000001</v>
      </c>
      <c r="E651">
        <v>2020</v>
      </c>
      <c r="F651" s="168" t="s">
        <v>592</v>
      </c>
      <c r="G651" s="168" t="s">
        <v>611</v>
      </c>
      <c r="H651" s="168" t="s">
        <v>609</v>
      </c>
      <c r="I651">
        <v>7346.2379803167878</v>
      </c>
    </row>
    <row r="652" spans="1:9" x14ac:dyDescent="0.3">
      <c r="A652">
        <v>61</v>
      </c>
      <c r="B652" s="168" t="s">
        <v>90</v>
      </c>
      <c r="C652" s="168" t="s">
        <v>91</v>
      </c>
      <c r="D652">
        <v>17563.900000000001</v>
      </c>
      <c r="E652">
        <v>2020</v>
      </c>
      <c r="F652" s="168" t="s">
        <v>592</v>
      </c>
      <c r="G652" s="168" t="s">
        <v>621</v>
      </c>
      <c r="H652" s="168" t="s">
        <v>608</v>
      </c>
      <c r="I652">
        <v>0</v>
      </c>
    </row>
    <row r="653" spans="1:9" x14ac:dyDescent="0.3">
      <c r="A653">
        <v>61</v>
      </c>
      <c r="B653" s="168" t="s">
        <v>90</v>
      </c>
      <c r="C653" s="168" t="s">
        <v>91</v>
      </c>
      <c r="D653">
        <v>17563.900000000001</v>
      </c>
      <c r="E653">
        <v>2020</v>
      </c>
      <c r="F653" s="168" t="s">
        <v>592</v>
      </c>
      <c r="G653" s="168" t="s">
        <v>621</v>
      </c>
      <c r="H653" s="168" t="s">
        <v>609</v>
      </c>
      <c r="I653">
        <v>640942.24</v>
      </c>
    </row>
    <row r="654" spans="1:9" x14ac:dyDescent="0.3">
      <c r="A654">
        <v>61</v>
      </c>
      <c r="B654" s="168" t="s">
        <v>90</v>
      </c>
      <c r="C654" s="168" t="s">
        <v>91</v>
      </c>
      <c r="D654">
        <v>17563.900000000001</v>
      </c>
      <c r="E654">
        <v>2020</v>
      </c>
      <c r="F654" s="168" t="s">
        <v>592</v>
      </c>
      <c r="G654" s="168" t="s">
        <v>613</v>
      </c>
      <c r="H654" s="168" t="s">
        <v>608</v>
      </c>
      <c r="I654">
        <v>663003.77323670534</v>
      </c>
    </row>
    <row r="655" spans="1:9" x14ac:dyDescent="0.3">
      <c r="A655">
        <v>61</v>
      </c>
      <c r="B655" s="168" t="s">
        <v>90</v>
      </c>
      <c r="C655" s="168" t="s">
        <v>91</v>
      </c>
      <c r="D655">
        <v>17563.900000000001</v>
      </c>
      <c r="E655">
        <v>2020</v>
      </c>
      <c r="F655" s="168" t="s">
        <v>592</v>
      </c>
      <c r="G655" s="168" t="s">
        <v>613</v>
      </c>
      <c r="H655" s="168" t="s">
        <v>609</v>
      </c>
      <c r="I655">
        <v>134569.8749330155</v>
      </c>
    </row>
    <row r="656" spans="1:9" x14ac:dyDescent="0.3">
      <c r="A656">
        <v>61</v>
      </c>
      <c r="B656" s="168" t="s">
        <v>90</v>
      </c>
      <c r="C656" s="168" t="s">
        <v>91</v>
      </c>
      <c r="D656">
        <v>17563.900000000001</v>
      </c>
      <c r="E656">
        <v>2020</v>
      </c>
      <c r="F656" s="168" t="s">
        <v>592</v>
      </c>
      <c r="G656" s="168" t="s">
        <v>622</v>
      </c>
      <c r="H656" s="168" t="s">
        <v>608</v>
      </c>
      <c r="I656">
        <v>114480.34839278714</v>
      </c>
    </row>
    <row r="657" spans="1:9" x14ac:dyDescent="0.3">
      <c r="A657">
        <v>61</v>
      </c>
      <c r="B657" s="168" t="s">
        <v>90</v>
      </c>
      <c r="C657" s="168" t="s">
        <v>91</v>
      </c>
      <c r="D657">
        <v>17563.900000000001</v>
      </c>
      <c r="E657">
        <v>2020</v>
      </c>
      <c r="F657" s="168" t="s">
        <v>592</v>
      </c>
      <c r="G657" s="168" t="s">
        <v>622</v>
      </c>
      <c r="H657" s="168" t="s">
        <v>609</v>
      </c>
      <c r="I657">
        <v>0</v>
      </c>
    </row>
    <row r="658" spans="1:9" x14ac:dyDescent="0.3">
      <c r="A658">
        <v>62</v>
      </c>
      <c r="B658" s="168" t="s">
        <v>92</v>
      </c>
      <c r="C658" s="168" t="s">
        <v>93</v>
      </c>
      <c r="D658">
        <v>21448.3</v>
      </c>
      <c r="E658">
        <v>2020</v>
      </c>
      <c r="F658" s="168" t="s">
        <v>592</v>
      </c>
      <c r="G658" s="168" t="s">
        <v>612</v>
      </c>
      <c r="H658" s="168" t="s">
        <v>608</v>
      </c>
      <c r="I658">
        <v>0</v>
      </c>
    </row>
    <row r="659" spans="1:9" x14ac:dyDescent="0.3">
      <c r="A659">
        <v>62</v>
      </c>
      <c r="B659" s="168" t="s">
        <v>92</v>
      </c>
      <c r="C659" s="168" t="s">
        <v>93</v>
      </c>
      <c r="D659">
        <v>21448.3</v>
      </c>
      <c r="E659">
        <v>2020</v>
      </c>
      <c r="F659" s="168" t="s">
        <v>592</v>
      </c>
      <c r="G659" s="168" t="s">
        <v>612</v>
      </c>
      <c r="H659" s="168" t="s">
        <v>609</v>
      </c>
      <c r="I659">
        <v>26876.114227758979</v>
      </c>
    </row>
    <row r="660" spans="1:9" x14ac:dyDescent="0.3">
      <c r="A660">
        <v>62</v>
      </c>
      <c r="B660" s="168" t="s">
        <v>92</v>
      </c>
      <c r="C660" s="168" t="s">
        <v>93</v>
      </c>
      <c r="D660">
        <v>21448.3</v>
      </c>
      <c r="E660">
        <v>2020</v>
      </c>
      <c r="F660" s="168" t="s">
        <v>592</v>
      </c>
      <c r="G660" s="168" t="s">
        <v>616</v>
      </c>
      <c r="H660" s="168" t="s">
        <v>608</v>
      </c>
      <c r="I660">
        <v>2959761.6282088547</v>
      </c>
    </row>
    <row r="661" spans="1:9" x14ac:dyDescent="0.3">
      <c r="A661">
        <v>62</v>
      </c>
      <c r="B661" s="168" t="s">
        <v>92</v>
      </c>
      <c r="C661" s="168" t="s">
        <v>93</v>
      </c>
      <c r="D661">
        <v>21448.3</v>
      </c>
      <c r="E661">
        <v>2020</v>
      </c>
      <c r="F661" s="168" t="s">
        <v>592</v>
      </c>
      <c r="G661" s="168" t="s">
        <v>616</v>
      </c>
      <c r="H661" s="168" t="s">
        <v>609</v>
      </c>
      <c r="I661">
        <v>526705.84861780563</v>
      </c>
    </row>
    <row r="662" spans="1:9" x14ac:dyDescent="0.3">
      <c r="A662">
        <v>62</v>
      </c>
      <c r="B662" s="168" t="s">
        <v>92</v>
      </c>
      <c r="C662" s="168" t="s">
        <v>93</v>
      </c>
      <c r="D662">
        <v>21448.3</v>
      </c>
      <c r="E662">
        <v>2020</v>
      </c>
      <c r="F662" s="168" t="s">
        <v>592</v>
      </c>
      <c r="G662" s="168" t="s">
        <v>617</v>
      </c>
      <c r="H662" s="168" t="s">
        <v>608</v>
      </c>
      <c r="I662">
        <v>14486.862701547345</v>
      </c>
    </row>
    <row r="663" spans="1:9" x14ac:dyDescent="0.3">
      <c r="A663">
        <v>62</v>
      </c>
      <c r="B663" s="168" t="s">
        <v>92</v>
      </c>
      <c r="C663" s="168" t="s">
        <v>93</v>
      </c>
      <c r="D663">
        <v>21448.3</v>
      </c>
      <c r="E663">
        <v>2020</v>
      </c>
      <c r="F663" s="168" t="s">
        <v>592</v>
      </c>
      <c r="G663" s="168" t="s">
        <v>617</v>
      </c>
      <c r="H663" s="168" t="s">
        <v>609</v>
      </c>
      <c r="I663">
        <v>10865.14702616051</v>
      </c>
    </row>
    <row r="664" spans="1:9" x14ac:dyDescent="0.3">
      <c r="A664">
        <v>62</v>
      </c>
      <c r="B664" s="168" t="s">
        <v>92</v>
      </c>
      <c r="C664" s="168" t="s">
        <v>93</v>
      </c>
      <c r="D664">
        <v>21448.3</v>
      </c>
      <c r="E664">
        <v>2020</v>
      </c>
      <c r="F664" s="168" t="s">
        <v>592</v>
      </c>
      <c r="G664" s="168" t="s">
        <v>618</v>
      </c>
      <c r="H664" s="168" t="s">
        <v>608</v>
      </c>
      <c r="I664">
        <v>0</v>
      </c>
    </row>
    <row r="665" spans="1:9" x14ac:dyDescent="0.3">
      <c r="A665">
        <v>62</v>
      </c>
      <c r="B665" s="168" t="s">
        <v>92</v>
      </c>
      <c r="C665" s="168" t="s">
        <v>93</v>
      </c>
      <c r="D665">
        <v>21448.3</v>
      </c>
      <c r="E665">
        <v>2020</v>
      </c>
      <c r="F665" s="168" t="s">
        <v>592</v>
      </c>
      <c r="G665" s="168" t="s">
        <v>618</v>
      </c>
      <c r="H665" s="168" t="s">
        <v>609</v>
      </c>
      <c r="I665">
        <v>10651.685393258427</v>
      </c>
    </row>
    <row r="666" spans="1:9" x14ac:dyDescent="0.3">
      <c r="A666">
        <v>62</v>
      </c>
      <c r="B666" s="168" t="s">
        <v>92</v>
      </c>
      <c r="C666" s="168" t="s">
        <v>93</v>
      </c>
      <c r="D666">
        <v>21448.3</v>
      </c>
      <c r="E666">
        <v>2020</v>
      </c>
      <c r="F666" s="168" t="s">
        <v>592</v>
      </c>
      <c r="G666" s="168" t="s">
        <v>610</v>
      </c>
      <c r="H666" s="168" t="s">
        <v>608</v>
      </c>
      <c r="I666">
        <v>0</v>
      </c>
    </row>
    <row r="667" spans="1:9" x14ac:dyDescent="0.3">
      <c r="A667">
        <v>62</v>
      </c>
      <c r="B667" s="168" t="s">
        <v>92</v>
      </c>
      <c r="C667" s="168" t="s">
        <v>93</v>
      </c>
      <c r="D667">
        <v>21448.3</v>
      </c>
      <c r="E667">
        <v>2020</v>
      </c>
      <c r="F667" s="168" t="s">
        <v>592</v>
      </c>
      <c r="G667" s="168" t="s">
        <v>610</v>
      </c>
      <c r="H667" s="168" t="s">
        <v>609</v>
      </c>
      <c r="I667">
        <v>26181.81818181818</v>
      </c>
    </row>
    <row r="668" spans="1:9" x14ac:dyDescent="0.3">
      <c r="A668">
        <v>62</v>
      </c>
      <c r="B668" s="168" t="s">
        <v>92</v>
      </c>
      <c r="C668" s="168" t="s">
        <v>93</v>
      </c>
      <c r="D668">
        <v>21448.3</v>
      </c>
      <c r="E668">
        <v>2020</v>
      </c>
      <c r="F668" s="168" t="s">
        <v>592</v>
      </c>
      <c r="G668" s="168" t="s">
        <v>620</v>
      </c>
      <c r="H668" s="168" t="s">
        <v>608</v>
      </c>
      <c r="I668">
        <v>76952.529032258055</v>
      </c>
    </row>
    <row r="669" spans="1:9" x14ac:dyDescent="0.3">
      <c r="A669">
        <v>62</v>
      </c>
      <c r="B669" s="168" t="s">
        <v>92</v>
      </c>
      <c r="C669" s="168" t="s">
        <v>93</v>
      </c>
      <c r="D669">
        <v>21448.3</v>
      </c>
      <c r="E669">
        <v>2020</v>
      </c>
      <c r="F669" s="168" t="s">
        <v>592</v>
      </c>
      <c r="G669" s="168" t="s">
        <v>620</v>
      </c>
      <c r="H669" s="168" t="s">
        <v>609</v>
      </c>
      <c r="I669">
        <v>0</v>
      </c>
    </row>
    <row r="670" spans="1:9" x14ac:dyDescent="0.3">
      <c r="A670">
        <v>62</v>
      </c>
      <c r="B670" s="168" t="s">
        <v>92</v>
      </c>
      <c r="C670" s="168" t="s">
        <v>93</v>
      </c>
      <c r="D670">
        <v>21448.3</v>
      </c>
      <c r="E670">
        <v>2020</v>
      </c>
      <c r="F670" s="168" t="s">
        <v>592</v>
      </c>
      <c r="G670" s="168" t="s">
        <v>623</v>
      </c>
      <c r="H670" s="168" t="s">
        <v>608</v>
      </c>
      <c r="I670">
        <v>48817.307692307702</v>
      </c>
    </row>
    <row r="671" spans="1:9" x14ac:dyDescent="0.3">
      <c r="A671">
        <v>62</v>
      </c>
      <c r="B671" s="168" t="s">
        <v>92</v>
      </c>
      <c r="C671" s="168" t="s">
        <v>93</v>
      </c>
      <c r="D671">
        <v>21448.3</v>
      </c>
      <c r="E671">
        <v>2020</v>
      </c>
      <c r="F671" s="168" t="s">
        <v>592</v>
      </c>
      <c r="G671" s="168" t="s">
        <v>623</v>
      </c>
      <c r="H671" s="168" t="s">
        <v>609</v>
      </c>
      <c r="I671">
        <v>35510.391250000001</v>
      </c>
    </row>
    <row r="672" spans="1:9" x14ac:dyDescent="0.3">
      <c r="A672">
        <v>62</v>
      </c>
      <c r="B672" s="168" t="s">
        <v>92</v>
      </c>
      <c r="C672" s="168" t="s">
        <v>93</v>
      </c>
      <c r="D672">
        <v>21448.3</v>
      </c>
      <c r="E672">
        <v>2020</v>
      </c>
      <c r="F672" s="168" t="s">
        <v>592</v>
      </c>
      <c r="G672" s="168" t="s">
        <v>625</v>
      </c>
      <c r="H672" s="168" t="s">
        <v>608</v>
      </c>
      <c r="I672">
        <v>0</v>
      </c>
    </row>
    <row r="673" spans="1:9" x14ac:dyDescent="0.3">
      <c r="A673">
        <v>62</v>
      </c>
      <c r="B673" s="168" t="s">
        <v>92</v>
      </c>
      <c r="C673" s="168" t="s">
        <v>93</v>
      </c>
      <c r="D673">
        <v>21448.3</v>
      </c>
      <c r="E673">
        <v>2020</v>
      </c>
      <c r="F673" s="168" t="s">
        <v>592</v>
      </c>
      <c r="G673" s="168" t="s">
        <v>625</v>
      </c>
      <c r="H673" s="168" t="s">
        <v>609</v>
      </c>
      <c r="I673">
        <v>101498</v>
      </c>
    </row>
    <row r="674" spans="1:9" x14ac:dyDescent="0.3">
      <c r="A674">
        <v>62</v>
      </c>
      <c r="B674" s="168" t="s">
        <v>92</v>
      </c>
      <c r="C674" s="168" t="s">
        <v>93</v>
      </c>
      <c r="D674">
        <v>21448.3</v>
      </c>
      <c r="E674">
        <v>2020</v>
      </c>
      <c r="F674" s="168" t="s">
        <v>592</v>
      </c>
      <c r="G674" s="168" t="s">
        <v>615</v>
      </c>
      <c r="H674" s="168" t="s">
        <v>608</v>
      </c>
      <c r="I674">
        <v>0</v>
      </c>
    </row>
    <row r="675" spans="1:9" x14ac:dyDescent="0.3">
      <c r="A675">
        <v>62</v>
      </c>
      <c r="B675" s="168" t="s">
        <v>92</v>
      </c>
      <c r="C675" s="168" t="s">
        <v>93</v>
      </c>
      <c r="D675">
        <v>21448.3</v>
      </c>
      <c r="E675">
        <v>2020</v>
      </c>
      <c r="F675" s="168" t="s">
        <v>592</v>
      </c>
      <c r="G675" s="168" t="s">
        <v>615</v>
      </c>
      <c r="H675" s="168" t="s">
        <v>609</v>
      </c>
      <c r="I675">
        <v>7536.5853658536589</v>
      </c>
    </row>
    <row r="676" spans="1:9" x14ac:dyDescent="0.3">
      <c r="A676">
        <v>62</v>
      </c>
      <c r="B676" s="168" t="s">
        <v>92</v>
      </c>
      <c r="C676" s="168" t="s">
        <v>93</v>
      </c>
      <c r="D676">
        <v>21448.3</v>
      </c>
      <c r="E676">
        <v>2020</v>
      </c>
      <c r="F676" s="168" t="s">
        <v>592</v>
      </c>
      <c r="G676" s="168" t="s">
        <v>624</v>
      </c>
      <c r="H676" s="168" t="s">
        <v>608</v>
      </c>
      <c r="I676">
        <v>401245.15591742838</v>
      </c>
    </row>
    <row r="677" spans="1:9" x14ac:dyDescent="0.3">
      <c r="A677">
        <v>62</v>
      </c>
      <c r="B677" s="168" t="s">
        <v>92</v>
      </c>
      <c r="C677" s="168" t="s">
        <v>93</v>
      </c>
      <c r="D677">
        <v>21448.3</v>
      </c>
      <c r="E677">
        <v>2020</v>
      </c>
      <c r="F677" s="168" t="s">
        <v>592</v>
      </c>
      <c r="G677" s="168" t="s">
        <v>624</v>
      </c>
      <c r="H677" s="168" t="s">
        <v>609</v>
      </c>
      <c r="I677">
        <v>422103.27882265742</v>
      </c>
    </row>
    <row r="678" spans="1:9" x14ac:dyDescent="0.3">
      <c r="A678">
        <v>62</v>
      </c>
      <c r="B678" s="168" t="s">
        <v>92</v>
      </c>
      <c r="C678" s="168" t="s">
        <v>93</v>
      </c>
      <c r="D678">
        <v>21448.3</v>
      </c>
      <c r="E678">
        <v>2020</v>
      </c>
      <c r="F678" s="168" t="s">
        <v>592</v>
      </c>
      <c r="G678" s="168" t="s">
        <v>613</v>
      </c>
      <c r="H678" s="168" t="s">
        <v>608</v>
      </c>
      <c r="I678">
        <v>1519918.820942651</v>
      </c>
    </row>
    <row r="679" spans="1:9" x14ac:dyDescent="0.3">
      <c r="A679">
        <v>62</v>
      </c>
      <c r="B679" s="168" t="s">
        <v>92</v>
      </c>
      <c r="C679" s="168" t="s">
        <v>93</v>
      </c>
      <c r="D679">
        <v>21448.3</v>
      </c>
      <c r="E679">
        <v>2020</v>
      </c>
      <c r="F679" s="168" t="s">
        <v>592</v>
      </c>
      <c r="G679" s="168" t="s">
        <v>613</v>
      </c>
      <c r="H679" s="168" t="s">
        <v>609</v>
      </c>
      <c r="I679">
        <v>619743.03149632702</v>
      </c>
    </row>
    <row r="680" spans="1:9" x14ac:dyDescent="0.3">
      <c r="A680">
        <v>62</v>
      </c>
      <c r="B680" s="168" t="s">
        <v>92</v>
      </c>
      <c r="C680" s="168" t="s">
        <v>93</v>
      </c>
      <c r="D680">
        <v>21448.3</v>
      </c>
      <c r="E680">
        <v>2020</v>
      </c>
      <c r="F680" s="168" t="s">
        <v>592</v>
      </c>
      <c r="G680" s="168" t="s">
        <v>622</v>
      </c>
      <c r="H680" s="168" t="s">
        <v>608</v>
      </c>
      <c r="I680">
        <v>21624.065807526462</v>
      </c>
    </row>
    <row r="681" spans="1:9" x14ac:dyDescent="0.3">
      <c r="A681">
        <v>62</v>
      </c>
      <c r="B681" s="168" t="s">
        <v>92</v>
      </c>
      <c r="C681" s="168" t="s">
        <v>93</v>
      </c>
      <c r="D681">
        <v>21448.3</v>
      </c>
      <c r="E681">
        <v>2020</v>
      </c>
      <c r="F681" s="168" t="s">
        <v>592</v>
      </c>
      <c r="G681" s="168" t="s">
        <v>622</v>
      </c>
      <c r="H681" s="168" t="s">
        <v>609</v>
      </c>
      <c r="I681">
        <v>0</v>
      </c>
    </row>
    <row r="682" spans="1:9" x14ac:dyDescent="0.3">
      <c r="A682">
        <v>63</v>
      </c>
      <c r="B682" s="168" t="s">
        <v>94</v>
      </c>
      <c r="C682" s="168" t="s">
        <v>95</v>
      </c>
      <c r="D682">
        <v>348.4</v>
      </c>
      <c r="E682">
        <v>2020</v>
      </c>
      <c r="F682" s="168" t="s">
        <v>593</v>
      </c>
      <c r="G682" s="168" t="s">
        <v>612</v>
      </c>
      <c r="H682" s="168" t="s">
        <v>608</v>
      </c>
      <c r="I682">
        <v>0</v>
      </c>
    </row>
    <row r="683" spans="1:9" x14ac:dyDescent="0.3">
      <c r="A683">
        <v>63</v>
      </c>
      <c r="B683" s="168" t="s">
        <v>94</v>
      </c>
      <c r="C683" s="168" t="s">
        <v>95</v>
      </c>
      <c r="D683">
        <v>348.4</v>
      </c>
      <c r="E683">
        <v>2020</v>
      </c>
      <c r="F683" s="168" t="s">
        <v>593</v>
      </c>
      <c r="G683" s="168" t="s">
        <v>612</v>
      </c>
      <c r="H683" s="168" t="s">
        <v>609</v>
      </c>
      <c r="I683">
        <v>436.56784905802459</v>
      </c>
    </row>
    <row r="684" spans="1:9" x14ac:dyDescent="0.3">
      <c r="A684">
        <v>63</v>
      </c>
      <c r="B684" s="168" t="s">
        <v>94</v>
      </c>
      <c r="C684" s="168" t="s">
        <v>95</v>
      </c>
      <c r="D684">
        <v>348.4</v>
      </c>
      <c r="E684">
        <v>2020</v>
      </c>
      <c r="F684" s="168" t="s">
        <v>593</v>
      </c>
      <c r="G684" s="168" t="s">
        <v>617</v>
      </c>
      <c r="H684" s="168" t="s">
        <v>608</v>
      </c>
      <c r="I684">
        <v>235.32042004350438</v>
      </c>
    </row>
    <row r="685" spans="1:9" x14ac:dyDescent="0.3">
      <c r="A685">
        <v>63</v>
      </c>
      <c r="B685" s="168" t="s">
        <v>94</v>
      </c>
      <c r="C685" s="168" t="s">
        <v>95</v>
      </c>
      <c r="D685">
        <v>348.4</v>
      </c>
      <c r="E685">
        <v>2020</v>
      </c>
      <c r="F685" s="168" t="s">
        <v>593</v>
      </c>
      <c r="G685" s="168" t="s">
        <v>617</v>
      </c>
      <c r="H685" s="168" t="s">
        <v>609</v>
      </c>
      <c r="I685">
        <v>176.49031503262827</v>
      </c>
    </row>
    <row r="686" spans="1:9" x14ac:dyDescent="0.3">
      <c r="A686">
        <v>63</v>
      </c>
      <c r="B686" s="168" t="s">
        <v>94</v>
      </c>
      <c r="C686" s="168" t="s">
        <v>95</v>
      </c>
      <c r="D686">
        <v>348.4</v>
      </c>
      <c r="E686">
        <v>2020</v>
      </c>
      <c r="F686" s="168" t="s">
        <v>593</v>
      </c>
      <c r="G686" s="168" t="s">
        <v>620</v>
      </c>
      <c r="H686" s="168" t="s">
        <v>608</v>
      </c>
      <c r="I686">
        <v>56867.04285780908</v>
      </c>
    </row>
    <row r="687" spans="1:9" x14ac:dyDescent="0.3">
      <c r="A687">
        <v>63</v>
      </c>
      <c r="B687" s="168" t="s">
        <v>94</v>
      </c>
      <c r="C687" s="168" t="s">
        <v>95</v>
      </c>
      <c r="D687">
        <v>348.4</v>
      </c>
      <c r="E687">
        <v>2020</v>
      </c>
      <c r="F687" s="168" t="s">
        <v>593</v>
      </c>
      <c r="G687" s="168" t="s">
        <v>620</v>
      </c>
      <c r="H687" s="168" t="s">
        <v>609</v>
      </c>
      <c r="I687">
        <v>104303.36093830156</v>
      </c>
    </row>
    <row r="688" spans="1:9" x14ac:dyDescent="0.3">
      <c r="A688">
        <v>63</v>
      </c>
      <c r="B688" s="168" t="s">
        <v>94</v>
      </c>
      <c r="C688" s="168" t="s">
        <v>95</v>
      </c>
      <c r="D688">
        <v>348.4</v>
      </c>
      <c r="E688">
        <v>2020</v>
      </c>
      <c r="F688" s="168" t="s">
        <v>593</v>
      </c>
      <c r="G688" s="168" t="s">
        <v>624</v>
      </c>
      <c r="H688" s="168" t="s">
        <v>608</v>
      </c>
      <c r="I688">
        <v>5208.9828632035233</v>
      </c>
    </row>
    <row r="689" spans="1:9" x14ac:dyDescent="0.3">
      <c r="A689">
        <v>63</v>
      </c>
      <c r="B689" s="168" t="s">
        <v>94</v>
      </c>
      <c r="C689" s="168" t="s">
        <v>95</v>
      </c>
      <c r="D689">
        <v>348.4</v>
      </c>
      <c r="E689">
        <v>2020</v>
      </c>
      <c r="F689" s="168" t="s">
        <v>593</v>
      </c>
      <c r="G689" s="168" t="s">
        <v>624</v>
      </c>
      <c r="H689" s="168" t="s">
        <v>609</v>
      </c>
      <c r="I689">
        <v>5547.7961966696748</v>
      </c>
    </row>
    <row r="690" spans="1:9" x14ac:dyDescent="0.3">
      <c r="A690">
        <v>63</v>
      </c>
      <c r="B690" s="168" t="s">
        <v>94</v>
      </c>
      <c r="C690" s="168" t="s">
        <v>95</v>
      </c>
      <c r="D690">
        <v>348.4</v>
      </c>
      <c r="E690">
        <v>2020</v>
      </c>
      <c r="F690" s="168" t="s">
        <v>593</v>
      </c>
      <c r="G690" s="168" t="s">
        <v>613</v>
      </c>
      <c r="H690" s="168" t="s">
        <v>608</v>
      </c>
      <c r="I690">
        <v>24689.1230175081</v>
      </c>
    </row>
    <row r="691" spans="1:9" x14ac:dyDescent="0.3">
      <c r="A691">
        <v>63</v>
      </c>
      <c r="B691" s="168" t="s">
        <v>94</v>
      </c>
      <c r="C691" s="168" t="s">
        <v>95</v>
      </c>
      <c r="D691">
        <v>348.4</v>
      </c>
      <c r="E691">
        <v>2020</v>
      </c>
      <c r="F691" s="168" t="s">
        <v>593</v>
      </c>
      <c r="G691" s="168" t="s">
        <v>613</v>
      </c>
      <c r="H691" s="168" t="s">
        <v>609</v>
      </c>
      <c r="I691">
        <v>10066.927083886379</v>
      </c>
    </row>
    <row r="692" spans="1:9" x14ac:dyDescent="0.3">
      <c r="A692">
        <v>64</v>
      </c>
      <c r="B692" s="168" t="s">
        <v>81</v>
      </c>
      <c r="C692" s="168" t="s">
        <v>96</v>
      </c>
      <c r="D692">
        <v>60.7</v>
      </c>
      <c r="E692">
        <v>2020</v>
      </c>
      <c r="F692" s="168" t="s">
        <v>592</v>
      </c>
      <c r="G692" s="168" t="s">
        <v>612</v>
      </c>
      <c r="H692" s="168" t="s">
        <v>608</v>
      </c>
      <c r="I692">
        <v>0</v>
      </c>
    </row>
    <row r="693" spans="1:9" x14ac:dyDescent="0.3">
      <c r="A693">
        <v>64</v>
      </c>
      <c r="B693" s="168" t="s">
        <v>81</v>
      </c>
      <c r="C693" s="168" t="s">
        <v>96</v>
      </c>
      <c r="D693">
        <v>60.7</v>
      </c>
      <c r="E693">
        <v>2020</v>
      </c>
      <c r="F693" s="168" t="s">
        <v>592</v>
      </c>
      <c r="G693" s="168" t="s">
        <v>612</v>
      </c>
      <c r="H693" s="168" t="s">
        <v>609</v>
      </c>
      <c r="I693">
        <v>76.061046032784432</v>
      </c>
    </row>
    <row r="694" spans="1:9" x14ac:dyDescent="0.3">
      <c r="A694">
        <v>64</v>
      </c>
      <c r="B694" s="168" t="s">
        <v>81</v>
      </c>
      <c r="C694" s="168" t="s">
        <v>96</v>
      </c>
      <c r="D694">
        <v>60.7</v>
      </c>
      <c r="E694">
        <v>2020</v>
      </c>
      <c r="F694" s="168" t="s">
        <v>592</v>
      </c>
      <c r="G694" s="168" t="s">
        <v>617</v>
      </c>
      <c r="H694" s="168" t="s">
        <v>608</v>
      </c>
      <c r="I694">
        <v>40.998706936397006</v>
      </c>
    </row>
    <row r="695" spans="1:9" x14ac:dyDescent="0.3">
      <c r="A695">
        <v>64</v>
      </c>
      <c r="B695" s="168" t="s">
        <v>81</v>
      </c>
      <c r="C695" s="168" t="s">
        <v>96</v>
      </c>
      <c r="D695">
        <v>60.7</v>
      </c>
      <c r="E695">
        <v>2020</v>
      </c>
      <c r="F695" s="168" t="s">
        <v>592</v>
      </c>
      <c r="G695" s="168" t="s">
        <v>617</v>
      </c>
      <c r="H695" s="168" t="s">
        <v>609</v>
      </c>
      <c r="I695">
        <v>30.749030202297757</v>
      </c>
    </row>
    <row r="696" spans="1:9" x14ac:dyDescent="0.3">
      <c r="A696">
        <v>64</v>
      </c>
      <c r="B696" s="168" t="s">
        <v>81</v>
      </c>
      <c r="C696" s="168" t="s">
        <v>96</v>
      </c>
      <c r="D696">
        <v>60.7</v>
      </c>
      <c r="E696">
        <v>2020</v>
      </c>
      <c r="F696" s="168" t="s">
        <v>592</v>
      </c>
      <c r="G696" s="168" t="s">
        <v>620</v>
      </c>
      <c r="H696" s="168" t="s">
        <v>608</v>
      </c>
      <c r="I696">
        <v>9907.6621741360832</v>
      </c>
    </row>
    <row r="697" spans="1:9" x14ac:dyDescent="0.3">
      <c r="A697">
        <v>64</v>
      </c>
      <c r="B697" s="168" t="s">
        <v>81</v>
      </c>
      <c r="C697" s="168" t="s">
        <v>96</v>
      </c>
      <c r="D697">
        <v>60.7</v>
      </c>
      <c r="E697">
        <v>2020</v>
      </c>
      <c r="F697" s="168" t="s">
        <v>592</v>
      </c>
      <c r="G697" s="168" t="s">
        <v>620</v>
      </c>
      <c r="H697" s="168" t="s">
        <v>609</v>
      </c>
      <c r="I697">
        <v>18172.256053257479</v>
      </c>
    </row>
    <row r="698" spans="1:9" x14ac:dyDescent="0.3">
      <c r="A698">
        <v>64</v>
      </c>
      <c r="B698" s="168" t="s">
        <v>81</v>
      </c>
      <c r="C698" s="168" t="s">
        <v>96</v>
      </c>
      <c r="D698">
        <v>60.7</v>
      </c>
      <c r="E698">
        <v>2020</v>
      </c>
      <c r="F698" s="168" t="s">
        <v>592</v>
      </c>
      <c r="G698" s="168" t="s">
        <v>615</v>
      </c>
      <c r="H698" s="168" t="s">
        <v>608</v>
      </c>
      <c r="I698">
        <v>0</v>
      </c>
    </row>
    <row r="699" spans="1:9" x14ac:dyDescent="0.3">
      <c r="A699">
        <v>64</v>
      </c>
      <c r="B699" s="168" t="s">
        <v>81</v>
      </c>
      <c r="C699" s="168" t="s">
        <v>96</v>
      </c>
      <c r="D699">
        <v>60.7</v>
      </c>
      <c r="E699">
        <v>2020</v>
      </c>
      <c r="F699" s="168" t="s">
        <v>592</v>
      </c>
      <c r="G699" s="168" t="s">
        <v>615</v>
      </c>
      <c r="H699" s="168" t="s">
        <v>609</v>
      </c>
      <c r="I699">
        <v>150731.70731707316</v>
      </c>
    </row>
    <row r="700" spans="1:9" x14ac:dyDescent="0.3">
      <c r="A700">
        <v>64</v>
      </c>
      <c r="B700" s="168" t="s">
        <v>81</v>
      </c>
      <c r="C700" s="168" t="s">
        <v>96</v>
      </c>
      <c r="D700">
        <v>60.7</v>
      </c>
      <c r="E700">
        <v>2020</v>
      </c>
      <c r="F700" s="168" t="s">
        <v>592</v>
      </c>
      <c r="G700" s="168" t="s">
        <v>613</v>
      </c>
      <c r="H700" s="168" t="s">
        <v>608</v>
      </c>
      <c r="I700">
        <v>2010.1537740655308</v>
      </c>
    </row>
    <row r="701" spans="1:9" x14ac:dyDescent="0.3">
      <c r="A701">
        <v>64</v>
      </c>
      <c r="B701" s="168" t="s">
        <v>81</v>
      </c>
      <c r="C701" s="168" t="s">
        <v>96</v>
      </c>
      <c r="D701">
        <v>60.7</v>
      </c>
      <c r="E701">
        <v>2020</v>
      </c>
      <c r="F701" s="168" t="s">
        <v>592</v>
      </c>
      <c r="G701" s="168" t="s">
        <v>613</v>
      </c>
      <c r="H701" s="168" t="s">
        <v>609</v>
      </c>
      <c r="I701">
        <v>1288.8435959641595</v>
      </c>
    </row>
    <row r="702" spans="1:9" x14ac:dyDescent="0.3">
      <c r="A702">
        <v>65</v>
      </c>
      <c r="B702" s="168" t="s">
        <v>73</v>
      </c>
      <c r="C702" s="168" t="s">
        <v>97</v>
      </c>
      <c r="D702">
        <v>358.3</v>
      </c>
      <c r="E702">
        <v>2020</v>
      </c>
      <c r="F702" s="168" t="s">
        <v>592</v>
      </c>
      <c r="G702" s="168" t="s">
        <v>612</v>
      </c>
      <c r="H702" s="168" t="s">
        <v>608</v>
      </c>
      <c r="I702">
        <v>0</v>
      </c>
    </row>
    <row r="703" spans="1:9" x14ac:dyDescent="0.3">
      <c r="A703">
        <v>65</v>
      </c>
      <c r="B703" s="168" t="s">
        <v>73</v>
      </c>
      <c r="C703" s="168" t="s">
        <v>97</v>
      </c>
      <c r="D703">
        <v>358.3</v>
      </c>
      <c r="E703">
        <v>2020</v>
      </c>
      <c r="F703" s="168" t="s">
        <v>592</v>
      </c>
      <c r="G703" s="168" t="s">
        <v>612</v>
      </c>
      <c r="H703" s="168" t="s">
        <v>609</v>
      </c>
      <c r="I703">
        <v>448.97319264492029</v>
      </c>
    </row>
    <row r="704" spans="1:9" x14ac:dyDescent="0.3">
      <c r="A704">
        <v>65</v>
      </c>
      <c r="B704" s="168" t="s">
        <v>73</v>
      </c>
      <c r="C704" s="168" t="s">
        <v>97</v>
      </c>
      <c r="D704">
        <v>358.3</v>
      </c>
      <c r="E704">
        <v>2020</v>
      </c>
      <c r="F704" s="168" t="s">
        <v>592</v>
      </c>
      <c r="G704" s="168" t="s">
        <v>617</v>
      </c>
      <c r="H704" s="168" t="s">
        <v>608</v>
      </c>
      <c r="I704">
        <v>242.00719432143407</v>
      </c>
    </row>
    <row r="705" spans="1:9" x14ac:dyDescent="0.3">
      <c r="A705">
        <v>65</v>
      </c>
      <c r="B705" s="168" t="s">
        <v>73</v>
      </c>
      <c r="C705" s="168" t="s">
        <v>97</v>
      </c>
      <c r="D705">
        <v>358.3</v>
      </c>
      <c r="E705">
        <v>2020</v>
      </c>
      <c r="F705" s="168" t="s">
        <v>592</v>
      </c>
      <c r="G705" s="168" t="s">
        <v>617</v>
      </c>
      <c r="H705" s="168" t="s">
        <v>609</v>
      </c>
      <c r="I705">
        <v>181.50539574107555</v>
      </c>
    </row>
    <row r="706" spans="1:9" x14ac:dyDescent="0.3">
      <c r="A706">
        <v>65</v>
      </c>
      <c r="B706" s="168" t="s">
        <v>73</v>
      </c>
      <c r="C706" s="168" t="s">
        <v>97</v>
      </c>
      <c r="D706">
        <v>358.3</v>
      </c>
      <c r="E706">
        <v>2020</v>
      </c>
      <c r="F706" s="168" t="s">
        <v>592</v>
      </c>
      <c r="G706" s="168" t="s">
        <v>610</v>
      </c>
      <c r="H706" s="168" t="s">
        <v>608</v>
      </c>
      <c r="I706">
        <v>0</v>
      </c>
    </row>
    <row r="707" spans="1:9" x14ac:dyDescent="0.3">
      <c r="A707">
        <v>65</v>
      </c>
      <c r="B707" s="168" t="s">
        <v>73</v>
      </c>
      <c r="C707" s="168" t="s">
        <v>97</v>
      </c>
      <c r="D707">
        <v>358.3</v>
      </c>
      <c r="E707">
        <v>2020</v>
      </c>
      <c r="F707" s="168" t="s">
        <v>592</v>
      </c>
      <c r="G707" s="168" t="s">
        <v>610</v>
      </c>
      <c r="H707" s="168" t="s">
        <v>609</v>
      </c>
      <c r="I707">
        <v>6545.454545454545</v>
      </c>
    </row>
    <row r="708" spans="1:9" x14ac:dyDescent="0.3">
      <c r="A708">
        <v>65</v>
      </c>
      <c r="B708" s="168" t="s">
        <v>73</v>
      </c>
      <c r="C708" s="168" t="s">
        <v>97</v>
      </c>
      <c r="D708">
        <v>358.3</v>
      </c>
      <c r="E708">
        <v>2020</v>
      </c>
      <c r="F708" s="168" t="s">
        <v>592</v>
      </c>
      <c r="G708" s="168" t="s">
        <v>620</v>
      </c>
      <c r="H708" s="168" t="s">
        <v>608</v>
      </c>
      <c r="I708">
        <v>58482.954810427655</v>
      </c>
    </row>
    <row r="709" spans="1:9" x14ac:dyDescent="0.3">
      <c r="A709">
        <v>65</v>
      </c>
      <c r="B709" s="168" t="s">
        <v>73</v>
      </c>
      <c r="C709" s="168" t="s">
        <v>97</v>
      </c>
      <c r="D709">
        <v>358.3</v>
      </c>
      <c r="E709">
        <v>2020</v>
      </c>
      <c r="F709" s="168" t="s">
        <v>592</v>
      </c>
      <c r="G709" s="168" t="s">
        <v>620</v>
      </c>
      <c r="H709" s="168" t="s">
        <v>609</v>
      </c>
      <c r="I709">
        <v>107267.20500629579</v>
      </c>
    </row>
    <row r="710" spans="1:9" x14ac:dyDescent="0.3">
      <c r="A710">
        <v>65</v>
      </c>
      <c r="B710" s="168" t="s">
        <v>73</v>
      </c>
      <c r="C710" s="168" t="s">
        <v>97</v>
      </c>
      <c r="D710">
        <v>358.3</v>
      </c>
      <c r="E710">
        <v>2020</v>
      </c>
      <c r="F710" s="168" t="s">
        <v>592</v>
      </c>
      <c r="G710" s="168" t="s">
        <v>624</v>
      </c>
      <c r="H710" s="168" t="s">
        <v>608</v>
      </c>
      <c r="I710">
        <v>5356.9993108089056</v>
      </c>
    </row>
    <row r="711" spans="1:9" x14ac:dyDescent="0.3">
      <c r="A711">
        <v>65</v>
      </c>
      <c r="B711" s="168" t="s">
        <v>73</v>
      </c>
      <c r="C711" s="168" t="s">
        <v>97</v>
      </c>
      <c r="D711">
        <v>358.3</v>
      </c>
      <c r="E711">
        <v>2020</v>
      </c>
      <c r="F711" s="168" t="s">
        <v>592</v>
      </c>
      <c r="G711" s="168" t="s">
        <v>624</v>
      </c>
      <c r="H711" s="168" t="s">
        <v>609</v>
      </c>
      <c r="I711">
        <v>5705.4402332570171</v>
      </c>
    </row>
    <row r="712" spans="1:9" x14ac:dyDescent="0.3">
      <c r="A712">
        <v>65</v>
      </c>
      <c r="B712" s="168" t="s">
        <v>73</v>
      </c>
      <c r="C712" s="168" t="s">
        <v>97</v>
      </c>
      <c r="D712">
        <v>358.3</v>
      </c>
      <c r="E712">
        <v>2020</v>
      </c>
      <c r="F712" s="168" t="s">
        <v>592</v>
      </c>
      <c r="G712" s="168" t="s">
        <v>613</v>
      </c>
      <c r="H712" s="168" t="s">
        <v>608</v>
      </c>
      <c r="I712">
        <v>13525.142590809075</v>
      </c>
    </row>
    <row r="713" spans="1:9" x14ac:dyDescent="0.3">
      <c r="A713">
        <v>65</v>
      </c>
      <c r="B713" s="168" t="s">
        <v>73</v>
      </c>
      <c r="C713" s="168" t="s">
        <v>97</v>
      </c>
      <c r="D713">
        <v>358.3</v>
      </c>
      <c r="E713">
        <v>2020</v>
      </c>
      <c r="F713" s="168" t="s">
        <v>592</v>
      </c>
      <c r="G713" s="168" t="s">
        <v>613</v>
      </c>
      <c r="H713" s="168" t="s">
        <v>609</v>
      </c>
      <c r="I713">
        <v>2745.1981728715978</v>
      </c>
    </row>
    <row r="714" spans="1:9" x14ac:dyDescent="0.3">
      <c r="A714">
        <v>66</v>
      </c>
      <c r="B714" s="168" t="s">
        <v>98</v>
      </c>
      <c r="C714" s="168" t="s">
        <v>99</v>
      </c>
      <c r="D714">
        <v>196.6</v>
      </c>
      <c r="E714">
        <v>2020</v>
      </c>
      <c r="F714" s="168" t="s">
        <v>592</v>
      </c>
      <c r="G714" s="168" t="s">
        <v>612</v>
      </c>
      <c r="H714" s="168" t="s">
        <v>608</v>
      </c>
      <c r="I714">
        <v>0</v>
      </c>
    </row>
    <row r="715" spans="1:9" x14ac:dyDescent="0.3">
      <c r="A715">
        <v>66</v>
      </c>
      <c r="B715" s="168" t="s">
        <v>98</v>
      </c>
      <c r="C715" s="168" t="s">
        <v>99</v>
      </c>
      <c r="D715">
        <v>196.6</v>
      </c>
      <c r="E715">
        <v>2020</v>
      </c>
      <c r="F715" s="168" t="s">
        <v>592</v>
      </c>
      <c r="G715" s="168" t="s">
        <v>612</v>
      </c>
      <c r="H715" s="168" t="s">
        <v>609</v>
      </c>
      <c r="I715">
        <v>246.35258072562468</v>
      </c>
    </row>
    <row r="716" spans="1:9" x14ac:dyDescent="0.3">
      <c r="A716">
        <v>66</v>
      </c>
      <c r="B716" s="168" t="s">
        <v>98</v>
      </c>
      <c r="C716" s="168" t="s">
        <v>99</v>
      </c>
      <c r="D716">
        <v>196.6</v>
      </c>
      <c r="E716">
        <v>2020</v>
      </c>
      <c r="F716" s="168" t="s">
        <v>592</v>
      </c>
      <c r="G716" s="168" t="s">
        <v>617</v>
      </c>
      <c r="H716" s="168" t="s">
        <v>608</v>
      </c>
      <c r="I716">
        <v>132.78988111524961</v>
      </c>
    </row>
    <row r="717" spans="1:9" x14ac:dyDescent="0.3">
      <c r="A717">
        <v>66</v>
      </c>
      <c r="B717" s="168" t="s">
        <v>98</v>
      </c>
      <c r="C717" s="168" t="s">
        <v>99</v>
      </c>
      <c r="D717">
        <v>196.6</v>
      </c>
      <c r="E717">
        <v>2020</v>
      </c>
      <c r="F717" s="168" t="s">
        <v>592</v>
      </c>
      <c r="G717" s="168" t="s">
        <v>617</v>
      </c>
      <c r="H717" s="168" t="s">
        <v>609</v>
      </c>
      <c r="I717">
        <v>99.59241083643721</v>
      </c>
    </row>
    <row r="718" spans="1:9" x14ac:dyDescent="0.3">
      <c r="A718">
        <v>67</v>
      </c>
      <c r="B718" s="168" t="s">
        <v>81</v>
      </c>
      <c r="C718" s="168" t="s">
        <v>100</v>
      </c>
      <c r="D718">
        <v>54.4</v>
      </c>
      <c r="E718">
        <v>2020</v>
      </c>
      <c r="F718" s="168" t="s">
        <v>592</v>
      </c>
      <c r="G718" s="168" t="s">
        <v>612</v>
      </c>
      <c r="H718" s="168" t="s">
        <v>608</v>
      </c>
      <c r="I718">
        <v>0</v>
      </c>
    </row>
    <row r="719" spans="1:9" x14ac:dyDescent="0.3">
      <c r="A719">
        <v>67</v>
      </c>
      <c r="B719" s="168" t="s">
        <v>81</v>
      </c>
      <c r="C719" s="168" t="s">
        <v>100</v>
      </c>
      <c r="D719">
        <v>54.4</v>
      </c>
      <c r="E719">
        <v>2020</v>
      </c>
      <c r="F719" s="168" t="s">
        <v>592</v>
      </c>
      <c r="G719" s="168" t="s">
        <v>612</v>
      </c>
      <c r="H719" s="168" t="s">
        <v>609</v>
      </c>
      <c r="I719">
        <v>68.166736477487191</v>
      </c>
    </row>
    <row r="720" spans="1:9" x14ac:dyDescent="0.3">
      <c r="A720">
        <v>67</v>
      </c>
      <c r="B720" s="168" t="s">
        <v>81</v>
      </c>
      <c r="C720" s="168" t="s">
        <v>100</v>
      </c>
      <c r="D720">
        <v>54.4</v>
      </c>
      <c r="E720">
        <v>2020</v>
      </c>
      <c r="F720" s="168" t="s">
        <v>592</v>
      </c>
      <c r="G720" s="168" t="s">
        <v>617</v>
      </c>
      <c r="H720" s="168" t="s">
        <v>608</v>
      </c>
      <c r="I720">
        <v>36.743486941350859</v>
      </c>
    </row>
    <row r="721" spans="1:9" x14ac:dyDescent="0.3">
      <c r="A721">
        <v>67</v>
      </c>
      <c r="B721" s="168" t="s">
        <v>81</v>
      </c>
      <c r="C721" s="168" t="s">
        <v>100</v>
      </c>
      <c r="D721">
        <v>54.4</v>
      </c>
      <c r="E721">
        <v>2020</v>
      </c>
      <c r="F721" s="168" t="s">
        <v>592</v>
      </c>
      <c r="G721" s="168" t="s">
        <v>617</v>
      </c>
      <c r="H721" s="168" t="s">
        <v>609</v>
      </c>
      <c r="I721">
        <v>27.557615206013146</v>
      </c>
    </row>
    <row r="722" spans="1:9" x14ac:dyDescent="0.3">
      <c r="A722">
        <v>68</v>
      </c>
      <c r="B722" s="168" t="s">
        <v>101</v>
      </c>
      <c r="C722" s="168" t="s">
        <v>102</v>
      </c>
      <c r="D722">
        <v>217</v>
      </c>
      <c r="E722">
        <v>2020</v>
      </c>
      <c r="F722" s="168" t="s">
        <v>593</v>
      </c>
      <c r="G722" s="168" t="s">
        <v>612</v>
      </c>
      <c r="H722" s="168" t="s">
        <v>608</v>
      </c>
      <c r="I722">
        <v>0</v>
      </c>
    </row>
    <row r="723" spans="1:9" x14ac:dyDescent="0.3">
      <c r="A723">
        <v>68</v>
      </c>
      <c r="B723" s="168" t="s">
        <v>101</v>
      </c>
      <c r="C723" s="168" t="s">
        <v>102</v>
      </c>
      <c r="D723">
        <v>217</v>
      </c>
      <c r="E723">
        <v>2020</v>
      </c>
      <c r="F723" s="168" t="s">
        <v>593</v>
      </c>
      <c r="G723" s="168" t="s">
        <v>612</v>
      </c>
      <c r="H723" s="168" t="s">
        <v>609</v>
      </c>
      <c r="I723">
        <v>271.91510690468237</v>
      </c>
    </row>
    <row r="724" spans="1:9" x14ac:dyDescent="0.3">
      <c r="A724">
        <v>68</v>
      </c>
      <c r="B724" s="168" t="s">
        <v>101</v>
      </c>
      <c r="C724" s="168" t="s">
        <v>102</v>
      </c>
      <c r="D724">
        <v>217</v>
      </c>
      <c r="E724">
        <v>2020</v>
      </c>
      <c r="F724" s="168" t="s">
        <v>593</v>
      </c>
      <c r="G724" s="168" t="s">
        <v>617</v>
      </c>
      <c r="H724" s="168" t="s">
        <v>608</v>
      </c>
      <c r="I724">
        <v>146.56868871825617</v>
      </c>
    </row>
    <row r="725" spans="1:9" x14ac:dyDescent="0.3">
      <c r="A725">
        <v>68</v>
      </c>
      <c r="B725" s="168" t="s">
        <v>101</v>
      </c>
      <c r="C725" s="168" t="s">
        <v>102</v>
      </c>
      <c r="D725">
        <v>217</v>
      </c>
      <c r="E725">
        <v>2020</v>
      </c>
      <c r="F725" s="168" t="s">
        <v>593</v>
      </c>
      <c r="G725" s="168" t="s">
        <v>617</v>
      </c>
      <c r="H725" s="168" t="s">
        <v>609</v>
      </c>
      <c r="I725">
        <v>109.92651653869213</v>
      </c>
    </row>
    <row r="726" spans="1:9" x14ac:dyDescent="0.3">
      <c r="A726">
        <v>68</v>
      </c>
      <c r="B726" s="168" t="s">
        <v>101</v>
      </c>
      <c r="C726" s="168" t="s">
        <v>102</v>
      </c>
      <c r="D726">
        <v>217</v>
      </c>
      <c r="E726">
        <v>2020</v>
      </c>
      <c r="F726" s="168" t="s">
        <v>593</v>
      </c>
      <c r="G726" s="168" t="s">
        <v>624</v>
      </c>
      <c r="H726" s="168" t="s">
        <v>608</v>
      </c>
      <c r="I726">
        <v>815.13754158540451</v>
      </c>
    </row>
    <row r="727" spans="1:9" x14ac:dyDescent="0.3">
      <c r="A727">
        <v>68</v>
      </c>
      <c r="B727" s="168" t="s">
        <v>101</v>
      </c>
      <c r="C727" s="168" t="s">
        <v>102</v>
      </c>
      <c r="D727">
        <v>217</v>
      </c>
      <c r="E727">
        <v>2020</v>
      </c>
      <c r="F727" s="168" t="s">
        <v>593</v>
      </c>
      <c r="G727" s="168" t="s">
        <v>624</v>
      </c>
      <c r="H727" s="168" t="s">
        <v>609</v>
      </c>
      <c r="I727">
        <v>815.13754158540451</v>
      </c>
    </row>
    <row r="728" spans="1:9" x14ac:dyDescent="0.3">
      <c r="A728">
        <v>69</v>
      </c>
      <c r="B728" s="168" t="s">
        <v>291</v>
      </c>
      <c r="C728" s="168" t="s">
        <v>103</v>
      </c>
      <c r="D728">
        <v>482.8</v>
      </c>
      <c r="E728">
        <v>2020</v>
      </c>
      <c r="F728" s="168" t="s">
        <v>593</v>
      </c>
      <c r="G728" s="168" t="s">
        <v>616</v>
      </c>
      <c r="H728" s="168" t="s">
        <v>608</v>
      </c>
      <c r="I728">
        <v>450000</v>
      </c>
    </row>
    <row r="729" spans="1:9" x14ac:dyDescent="0.3">
      <c r="A729">
        <v>69</v>
      </c>
      <c r="B729" s="168" t="s">
        <v>291</v>
      </c>
      <c r="C729" s="168" t="s">
        <v>103</v>
      </c>
      <c r="D729">
        <v>482.8</v>
      </c>
      <c r="E729">
        <v>2020</v>
      </c>
      <c r="F729" s="168" t="s">
        <v>593</v>
      </c>
      <c r="G729" s="168" t="s">
        <v>616</v>
      </c>
      <c r="H729" s="168" t="s">
        <v>609</v>
      </c>
      <c r="I729">
        <v>6358</v>
      </c>
    </row>
    <row r="730" spans="1:9" x14ac:dyDescent="0.3">
      <c r="A730">
        <v>69</v>
      </c>
      <c r="B730" s="168" t="s">
        <v>291</v>
      </c>
      <c r="C730" s="168" t="s">
        <v>103</v>
      </c>
      <c r="D730">
        <v>482.8</v>
      </c>
      <c r="E730">
        <v>2020</v>
      </c>
      <c r="F730" s="168" t="s">
        <v>593</v>
      </c>
      <c r="G730" s="168" t="s">
        <v>617</v>
      </c>
      <c r="H730" s="168" t="s">
        <v>608</v>
      </c>
      <c r="I730">
        <v>326.09844660448891</v>
      </c>
    </row>
    <row r="731" spans="1:9" x14ac:dyDescent="0.3">
      <c r="A731">
        <v>69</v>
      </c>
      <c r="B731" s="168" t="s">
        <v>291</v>
      </c>
      <c r="C731" s="168" t="s">
        <v>103</v>
      </c>
      <c r="D731">
        <v>482.8</v>
      </c>
      <c r="E731">
        <v>2020</v>
      </c>
      <c r="F731" s="168" t="s">
        <v>593</v>
      </c>
      <c r="G731" s="168" t="s">
        <v>617</v>
      </c>
      <c r="H731" s="168" t="s">
        <v>609</v>
      </c>
      <c r="I731">
        <v>244.57383495336668</v>
      </c>
    </row>
    <row r="732" spans="1:9" x14ac:dyDescent="0.3">
      <c r="A732">
        <v>69</v>
      </c>
      <c r="B732" s="168" t="s">
        <v>291</v>
      </c>
      <c r="C732" s="168" t="s">
        <v>103</v>
      </c>
      <c r="D732">
        <v>482.8</v>
      </c>
      <c r="E732">
        <v>2020</v>
      </c>
      <c r="F732" s="168" t="s">
        <v>593</v>
      </c>
      <c r="G732" s="168" t="s">
        <v>610</v>
      </c>
      <c r="H732" s="168" t="s">
        <v>608</v>
      </c>
      <c r="I732">
        <v>0</v>
      </c>
    </row>
    <row r="733" spans="1:9" x14ac:dyDescent="0.3">
      <c r="A733">
        <v>69</v>
      </c>
      <c r="B733" s="168" t="s">
        <v>291</v>
      </c>
      <c r="C733" s="168" t="s">
        <v>103</v>
      </c>
      <c r="D733">
        <v>482.8</v>
      </c>
      <c r="E733">
        <v>2020</v>
      </c>
      <c r="F733" s="168" t="s">
        <v>593</v>
      </c>
      <c r="G733" s="168" t="s">
        <v>610</v>
      </c>
      <c r="H733" s="168" t="s">
        <v>609</v>
      </c>
      <c r="I733">
        <v>3272.7272727272725</v>
      </c>
    </row>
    <row r="734" spans="1:9" x14ac:dyDescent="0.3">
      <c r="A734">
        <v>69</v>
      </c>
      <c r="B734" s="168" t="s">
        <v>291</v>
      </c>
      <c r="C734" s="168" t="s">
        <v>103</v>
      </c>
      <c r="D734">
        <v>482.8</v>
      </c>
      <c r="E734">
        <v>2020</v>
      </c>
      <c r="F734" s="168" t="s">
        <v>593</v>
      </c>
      <c r="G734" s="168" t="s">
        <v>624</v>
      </c>
      <c r="H734" s="168" t="s">
        <v>608</v>
      </c>
      <c r="I734">
        <v>7218.4182731190049</v>
      </c>
    </row>
    <row r="735" spans="1:9" x14ac:dyDescent="0.3">
      <c r="A735">
        <v>69</v>
      </c>
      <c r="B735" s="168" t="s">
        <v>291</v>
      </c>
      <c r="C735" s="168" t="s">
        <v>103</v>
      </c>
      <c r="D735">
        <v>482.8</v>
      </c>
      <c r="E735">
        <v>2020</v>
      </c>
      <c r="F735" s="168" t="s">
        <v>593</v>
      </c>
      <c r="G735" s="168" t="s">
        <v>624</v>
      </c>
      <c r="H735" s="168" t="s">
        <v>609</v>
      </c>
      <c r="I735">
        <v>7687.9334206432814</v>
      </c>
    </row>
    <row r="736" spans="1:9" x14ac:dyDescent="0.3">
      <c r="A736">
        <v>69</v>
      </c>
      <c r="B736" s="168" t="s">
        <v>291</v>
      </c>
      <c r="C736" s="168" t="s">
        <v>103</v>
      </c>
      <c r="D736">
        <v>482.8</v>
      </c>
      <c r="E736">
        <v>2020</v>
      </c>
      <c r="F736" s="168" t="s">
        <v>593</v>
      </c>
      <c r="G736" s="168" t="s">
        <v>621</v>
      </c>
      <c r="H736" s="168" t="s">
        <v>608</v>
      </c>
      <c r="I736">
        <v>6230898.6399999997</v>
      </c>
    </row>
    <row r="737" spans="1:9" x14ac:dyDescent="0.3">
      <c r="A737">
        <v>69</v>
      </c>
      <c r="B737" s="168" t="s">
        <v>291</v>
      </c>
      <c r="C737" s="168" t="s">
        <v>103</v>
      </c>
      <c r="D737">
        <v>482.8</v>
      </c>
      <c r="E737">
        <v>2020</v>
      </c>
      <c r="F737" s="168" t="s">
        <v>593</v>
      </c>
      <c r="G737" s="168" t="s">
        <v>621</v>
      </c>
      <c r="H737" s="168" t="s">
        <v>609</v>
      </c>
      <c r="I737">
        <v>0</v>
      </c>
    </row>
    <row r="738" spans="1:9" x14ac:dyDescent="0.3">
      <c r="A738">
        <v>69</v>
      </c>
      <c r="B738" s="168" t="s">
        <v>291</v>
      </c>
      <c r="C738" s="168" t="s">
        <v>103</v>
      </c>
      <c r="D738">
        <v>482.8</v>
      </c>
      <c r="E738">
        <v>2020</v>
      </c>
      <c r="F738" s="168" t="s">
        <v>593</v>
      </c>
      <c r="G738" s="168" t="s">
        <v>613</v>
      </c>
      <c r="H738" s="168" t="s">
        <v>608</v>
      </c>
      <c r="I738">
        <v>18224.780471232545</v>
      </c>
    </row>
    <row r="739" spans="1:9" x14ac:dyDescent="0.3">
      <c r="A739">
        <v>69</v>
      </c>
      <c r="B739" s="168" t="s">
        <v>291</v>
      </c>
      <c r="C739" s="168" t="s">
        <v>103</v>
      </c>
      <c r="D739">
        <v>482.8</v>
      </c>
      <c r="E739">
        <v>2020</v>
      </c>
      <c r="F739" s="168" t="s">
        <v>593</v>
      </c>
      <c r="G739" s="168" t="s">
        <v>613</v>
      </c>
      <c r="H739" s="168" t="s">
        <v>609</v>
      </c>
      <c r="I739">
        <v>3699.0836669338746</v>
      </c>
    </row>
    <row r="740" spans="1:9" x14ac:dyDescent="0.3">
      <c r="A740">
        <v>70</v>
      </c>
      <c r="B740" s="168" t="s">
        <v>104</v>
      </c>
      <c r="C740" s="168" t="s">
        <v>105</v>
      </c>
      <c r="D740">
        <v>11351</v>
      </c>
      <c r="E740">
        <v>2020</v>
      </c>
      <c r="F740" s="168" t="s">
        <v>591</v>
      </c>
      <c r="G740" s="168" t="s">
        <v>607</v>
      </c>
      <c r="H740" s="168" t="s">
        <v>608</v>
      </c>
      <c r="I740">
        <v>197502.68041237112</v>
      </c>
    </row>
    <row r="741" spans="1:9" x14ac:dyDescent="0.3">
      <c r="A741">
        <v>70</v>
      </c>
      <c r="B741" s="168" t="s">
        <v>104</v>
      </c>
      <c r="C741" s="168" t="s">
        <v>105</v>
      </c>
      <c r="D741">
        <v>11351</v>
      </c>
      <c r="E741">
        <v>2020</v>
      </c>
      <c r="F741" s="168" t="s">
        <v>591</v>
      </c>
      <c r="G741" s="168" t="s">
        <v>607</v>
      </c>
      <c r="H741" s="168" t="s">
        <v>609</v>
      </c>
      <c r="I741">
        <v>2027603.6804123709</v>
      </c>
    </row>
    <row r="742" spans="1:9" x14ac:dyDescent="0.3">
      <c r="A742">
        <v>70</v>
      </c>
      <c r="B742" s="168" t="s">
        <v>104</v>
      </c>
      <c r="C742" s="168" t="s">
        <v>105</v>
      </c>
      <c r="D742">
        <v>11351</v>
      </c>
      <c r="E742">
        <v>2020</v>
      </c>
      <c r="F742" s="168" t="s">
        <v>591</v>
      </c>
      <c r="G742" s="168" t="s">
        <v>612</v>
      </c>
      <c r="H742" s="168" t="s">
        <v>608</v>
      </c>
      <c r="I742">
        <v>814567.61</v>
      </c>
    </row>
    <row r="743" spans="1:9" x14ac:dyDescent="0.3">
      <c r="A743">
        <v>70</v>
      </c>
      <c r="B743" s="168" t="s">
        <v>104</v>
      </c>
      <c r="C743" s="168" t="s">
        <v>105</v>
      </c>
      <c r="D743">
        <v>11351</v>
      </c>
      <c r="E743">
        <v>2020</v>
      </c>
      <c r="F743" s="168" t="s">
        <v>591</v>
      </c>
      <c r="G743" s="168" t="s">
        <v>612</v>
      </c>
      <c r="H743" s="168" t="s">
        <v>609</v>
      </c>
      <c r="I743">
        <v>185432.39</v>
      </c>
    </row>
    <row r="744" spans="1:9" x14ac:dyDescent="0.3">
      <c r="A744">
        <v>70</v>
      </c>
      <c r="B744" s="168" t="s">
        <v>104</v>
      </c>
      <c r="C744" s="168" t="s">
        <v>105</v>
      </c>
      <c r="D744">
        <v>11351</v>
      </c>
      <c r="E744">
        <v>2020</v>
      </c>
      <c r="F744" s="168" t="s">
        <v>591</v>
      </c>
      <c r="G744" s="168" t="s">
        <v>616</v>
      </c>
      <c r="H744" s="168" t="s">
        <v>608</v>
      </c>
      <c r="I744">
        <v>1013243.63583247</v>
      </c>
    </row>
    <row r="745" spans="1:9" x14ac:dyDescent="0.3">
      <c r="A745">
        <v>70</v>
      </c>
      <c r="B745" s="168" t="s">
        <v>104</v>
      </c>
      <c r="C745" s="168" t="s">
        <v>105</v>
      </c>
      <c r="D745">
        <v>11351</v>
      </c>
      <c r="E745">
        <v>2020</v>
      </c>
      <c r="F745" s="168" t="s">
        <v>591</v>
      </c>
      <c r="G745" s="168" t="s">
        <v>616</v>
      </c>
      <c r="H745" s="168" t="s">
        <v>609</v>
      </c>
      <c r="I745">
        <v>1605243.6358324699</v>
      </c>
    </row>
    <row r="746" spans="1:9" x14ac:dyDescent="0.3">
      <c r="A746">
        <v>70</v>
      </c>
      <c r="B746" s="168" t="s">
        <v>104</v>
      </c>
      <c r="C746" s="168" t="s">
        <v>105</v>
      </c>
      <c r="D746">
        <v>11351</v>
      </c>
      <c r="E746">
        <v>2020</v>
      </c>
      <c r="F746" s="168" t="s">
        <v>591</v>
      </c>
      <c r="G746" s="168" t="s">
        <v>617</v>
      </c>
      <c r="H746" s="168" t="s">
        <v>608</v>
      </c>
      <c r="I746">
        <v>52210</v>
      </c>
    </row>
    <row r="747" spans="1:9" x14ac:dyDescent="0.3">
      <c r="A747">
        <v>70</v>
      </c>
      <c r="B747" s="168" t="s">
        <v>104</v>
      </c>
      <c r="C747" s="168" t="s">
        <v>105</v>
      </c>
      <c r="D747">
        <v>11351</v>
      </c>
      <c r="E747">
        <v>2020</v>
      </c>
      <c r="F747" s="168" t="s">
        <v>591</v>
      </c>
      <c r="G747" s="168" t="s">
        <v>617</v>
      </c>
      <c r="H747" s="168" t="s">
        <v>609</v>
      </c>
      <c r="I747">
        <v>18630</v>
      </c>
    </row>
    <row r="748" spans="1:9" x14ac:dyDescent="0.3">
      <c r="A748">
        <v>70</v>
      </c>
      <c r="B748" s="168" t="s">
        <v>104</v>
      </c>
      <c r="C748" s="168" t="s">
        <v>105</v>
      </c>
      <c r="D748">
        <v>11351</v>
      </c>
      <c r="E748">
        <v>2020</v>
      </c>
      <c r="F748" s="168" t="s">
        <v>591</v>
      </c>
      <c r="G748" s="168" t="s">
        <v>618</v>
      </c>
      <c r="H748" s="168" t="s">
        <v>608</v>
      </c>
      <c r="I748">
        <v>0</v>
      </c>
    </row>
    <row r="749" spans="1:9" x14ac:dyDescent="0.3">
      <c r="A749">
        <v>70</v>
      </c>
      <c r="B749" s="168" t="s">
        <v>104</v>
      </c>
      <c r="C749" s="168" t="s">
        <v>105</v>
      </c>
      <c r="D749">
        <v>11351</v>
      </c>
      <c r="E749">
        <v>2020</v>
      </c>
      <c r="F749" s="168" t="s">
        <v>591</v>
      </c>
      <c r="G749" s="168" t="s">
        <v>618</v>
      </c>
      <c r="H749" s="168" t="s">
        <v>609</v>
      </c>
      <c r="I749">
        <v>226129.2134831461</v>
      </c>
    </row>
    <row r="750" spans="1:9" x14ac:dyDescent="0.3">
      <c r="A750">
        <v>70</v>
      </c>
      <c r="B750" s="168" t="s">
        <v>104</v>
      </c>
      <c r="C750" s="168" t="s">
        <v>105</v>
      </c>
      <c r="D750">
        <v>11351</v>
      </c>
      <c r="E750">
        <v>2020</v>
      </c>
      <c r="F750" s="168" t="s">
        <v>591</v>
      </c>
      <c r="G750" s="168" t="s">
        <v>610</v>
      </c>
      <c r="H750" s="168" t="s">
        <v>608</v>
      </c>
      <c r="I750">
        <v>0</v>
      </c>
    </row>
    <row r="751" spans="1:9" x14ac:dyDescent="0.3">
      <c r="A751">
        <v>70</v>
      </c>
      <c r="B751" s="168" t="s">
        <v>104</v>
      </c>
      <c r="C751" s="168" t="s">
        <v>105</v>
      </c>
      <c r="D751">
        <v>11351</v>
      </c>
      <c r="E751">
        <v>2020</v>
      </c>
      <c r="F751" s="168" t="s">
        <v>591</v>
      </c>
      <c r="G751" s="168" t="s">
        <v>610</v>
      </c>
      <c r="H751" s="168" t="s">
        <v>609</v>
      </c>
      <c r="I751">
        <v>6545.454545454545</v>
      </c>
    </row>
    <row r="752" spans="1:9" x14ac:dyDescent="0.3">
      <c r="A752">
        <v>70</v>
      </c>
      <c r="B752" s="168" t="s">
        <v>104</v>
      </c>
      <c r="C752" s="168" t="s">
        <v>105</v>
      </c>
      <c r="D752">
        <v>11351</v>
      </c>
      <c r="E752">
        <v>2020</v>
      </c>
      <c r="F752" s="168" t="s">
        <v>591</v>
      </c>
      <c r="G752" s="168" t="s">
        <v>633</v>
      </c>
      <c r="H752" s="168" t="s">
        <v>608</v>
      </c>
      <c r="I752">
        <v>43931.185486393493</v>
      </c>
    </row>
    <row r="753" spans="1:9" x14ac:dyDescent="0.3">
      <c r="A753">
        <v>70</v>
      </c>
      <c r="B753" s="168" t="s">
        <v>104</v>
      </c>
      <c r="C753" s="168" t="s">
        <v>105</v>
      </c>
      <c r="D753">
        <v>11351</v>
      </c>
      <c r="E753">
        <v>2020</v>
      </c>
      <c r="F753" s="168" t="s">
        <v>591</v>
      </c>
      <c r="G753" s="168" t="s">
        <v>633</v>
      </c>
      <c r="H753" s="168" t="s">
        <v>609</v>
      </c>
      <c r="I753">
        <v>18827.650922740071</v>
      </c>
    </row>
    <row r="754" spans="1:9" x14ac:dyDescent="0.3">
      <c r="A754">
        <v>70</v>
      </c>
      <c r="B754" s="168" t="s">
        <v>104</v>
      </c>
      <c r="C754" s="168" t="s">
        <v>105</v>
      </c>
      <c r="D754">
        <v>11351</v>
      </c>
      <c r="E754">
        <v>2020</v>
      </c>
      <c r="F754" s="168" t="s">
        <v>591</v>
      </c>
      <c r="G754" s="168" t="s">
        <v>623</v>
      </c>
      <c r="H754" s="168" t="s">
        <v>608</v>
      </c>
      <c r="I754">
        <v>276442.30769230769</v>
      </c>
    </row>
    <row r="755" spans="1:9" x14ac:dyDescent="0.3">
      <c r="A755">
        <v>70</v>
      </c>
      <c r="B755" s="168" t="s">
        <v>104</v>
      </c>
      <c r="C755" s="168" t="s">
        <v>105</v>
      </c>
      <c r="D755">
        <v>11351</v>
      </c>
      <c r="E755">
        <v>2020</v>
      </c>
      <c r="F755" s="168" t="s">
        <v>591</v>
      </c>
      <c r="G755" s="168" t="s">
        <v>623</v>
      </c>
      <c r="H755" s="168" t="s">
        <v>609</v>
      </c>
      <c r="I755">
        <v>213062.3475</v>
      </c>
    </row>
    <row r="756" spans="1:9" x14ac:dyDescent="0.3">
      <c r="A756">
        <v>70</v>
      </c>
      <c r="B756" s="168" t="s">
        <v>104</v>
      </c>
      <c r="C756" s="168" t="s">
        <v>105</v>
      </c>
      <c r="D756">
        <v>11351</v>
      </c>
      <c r="E756">
        <v>2020</v>
      </c>
      <c r="F756" s="168" t="s">
        <v>591</v>
      </c>
      <c r="G756" s="168" t="s">
        <v>615</v>
      </c>
      <c r="H756" s="168" t="s">
        <v>608</v>
      </c>
      <c r="I756">
        <v>0</v>
      </c>
    </row>
    <row r="757" spans="1:9" x14ac:dyDescent="0.3">
      <c r="A757">
        <v>70</v>
      </c>
      <c r="B757" s="168" t="s">
        <v>104</v>
      </c>
      <c r="C757" s="168" t="s">
        <v>105</v>
      </c>
      <c r="D757">
        <v>11351</v>
      </c>
      <c r="E757">
        <v>2020</v>
      </c>
      <c r="F757" s="168" t="s">
        <v>591</v>
      </c>
      <c r="G757" s="168" t="s">
        <v>615</v>
      </c>
      <c r="H757" s="168" t="s">
        <v>609</v>
      </c>
      <c r="I757">
        <v>7536.5853658536589</v>
      </c>
    </row>
    <row r="758" spans="1:9" x14ac:dyDescent="0.3">
      <c r="A758">
        <v>70</v>
      </c>
      <c r="B758" s="168" t="s">
        <v>104</v>
      </c>
      <c r="C758" s="168" t="s">
        <v>105</v>
      </c>
      <c r="D758">
        <v>11351</v>
      </c>
      <c r="E758">
        <v>2020</v>
      </c>
      <c r="F758" s="168" t="s">
        <v>591</v>
      </c>
      <c r="G758" s="168" t="s">
        <v>624</v>
      </c>
      <c r="H758" s="168" t="s">
        <v>608</v>
      </c>
      <c r="I758">
        <v>212349.40600507832</v>
      </c>
    </row>
    <row r="759" spans="1:9" x14ac:dyDescent="0.3">
      <c r="A759">
        <v>70</v>
      </c>
      <c r="B759" s="168" t="s">
        <v>104</v>
      </c>
      <c r="C759" s="168" t="s">
        <v>105</v>
      </c>
      <c r="D759">
        <v>11351</v>
      </c>
      <c r="E759">
        <v>2020</v>
      </c>
      <c r="F759" s="168" t="s">
        <v>591</v>
      </c>
      <c r="G759" s="168" t="s">
        <v>624</v>
      </c>
      <c r="H759" s="168" t="s">
        <v>609</v>
      </c>
      <c r="I759">
        <v>223388.06888732431</v>
      </c>
    </row>
    <row r="760" spans="1:9" x14ac:dyDescent="0.3">
      <c r="A760">
        <v>70</v>
      </c>
      <c r="B760" s="168" t="s">
        <v>104</v>
      </c>
      <c r="C760" s="168" t="s">
        <v>105</v>
      </c>
      <c r="D760">
        <v>11351</v>
      </c>
      <c r="E760">
        <v>2020</v>
      </c>
      <c r="F760" s="168" t="s">
        <v>591</v>
      </c>
      <c r="G760" s="168" t="s">
        <v>611</v>
      </c>
      <c r="H760" s="168" t="s">
        <v>608</v>
      </c>
      <c r="I760">
        <v>0</v>
      </c>
    </row>
    <row r="761" spans="1:9" x14ac:dyDescent="0.3">
      <c r="A761">
        <v>70</v>
      </c>
      <c r="B761" s="168" t="s">
        <v>104</v>
      </c>
      <c r="C761" s="168" t="s">
        <v>105</v>
      </c>
      <c r="D761">
        <v>11351</v>
      </c>
      <c r="E761">
        <v>2020</v>
      </c>
      <c r="F761" s="168" t="s">
        <v>591</v>
      </c>
      <c r="G761" s="168" t="s">
        <v>611</v>
      </c>
      <c r="H761" s="168" t="s">
        <v>609</v>
      </c>
      <c r="I761">
        <v>47442.429417768071</v>
      </c>
    </row>
    <row r="762" spans="1:9" x14ac:dyDescent="0.3">
      <c r="A762">
        <v>70</v>
      </c>
      <c r="B762" s="168" t="s">
        <v>104</v>
      </c>
      <c r="C762" s="168" t="s">
        <v>105</v>
      </c>
      <c r="D762">
        <v>11351</v>
      </c>
      <c r="E762">
        <v>2020</v>
      </c>
      <c r="F762" s="168" t="s">
        <v>591</v>
      </c>
      <c r="G762" s="168" t="s">
        <v>613</v>
      </c>
      <c r="H762" s="168" t="s">
        <v>608</v>
      </c>
      <c r="I762">
        <v>428478.63117017527</v>
      </c>
    </row>
    <row r="763" spans="1:9" x14ac:dyDescent="0.3">
      <c r="A763">
        <v>70</v>
      </c>
      <c r="B763" s="168" t="s">
        <v>104</v>
      </c>
      <c r="C763" s="168" t="s">
        <v>105</v>
      </c>
      <c r="D763">
        <v>11351</v>
      </c>
      <c r="E763">
        <v>2020</v>
      </c>
      <c r="F763" s="168" t="s">
        <v>591</v>
      </c>
      <c r="G763" s="168" t="s">
        <v>613</v>
      </c>
      <c r="H763" s="168" t="s">
        <v>609</v>
      </c>
      <c r="I763">
        <v>86968.307173501264</v>
      </c>
    </row>
    <row r="764" spans="1:9" x14ac:dyDescent="0.3">
      <c r="A764">
        <v>71</v>
      </c>
      <c r="B764" s="168" t="s">
        <v>106</v>
      </c>
      <c r="C764" s="168" t="s">
        <v>107</v>
      </c>
      <c r="D764">
        <v>8800.7000000000007</v>
      </c>
      <c r="E764">
        <v>2020</v>
      </c>
      <c r="F764" s="168" t="s">
        <v>591</v>
      </c>
      <c r="G764" s="168" t="s">
        <v>610</v>
      </c>
      <c r="H764" s="168" t="s">
        <v>608</v>
      </c>
      <c r="I764">
        <v>0</v>
      </c>
    </row>
    <row r="765" spans="1:9" x14ac:dyDescent="0.3">
      <c r="A765">
        <v>71</v>
      </c>
      <c r="B765" s="168" t="s">
        <v>106</v>
      </c>
      <c r="C765" s="168" t="s">
        <v>107</v>
      </c>
      <c r="D765">
        <v>8800.7000000000007</v>
      </c>
      <c r="E765">
        <v>2020</v>
      </c>
      <c r="F765" s="168" t="s">
        <v>591</v>
      </c>
      <c r="G765" s="168" t="s">
        <v>610</v>
      </c>
      <c r="H765" s="168" t="s">
        <v>609</v>
      </c>
      <c r="I765">
        <v>6545.454545454545</v>
      </c>
    </row>
    <row r="766" spans="1:9" x14ac:dyDescent="0.3">
      <c r="A766">
        <v>72</v>
      </c>
      <c r="B766" s="168" t="s">
        <v>108</v>
      </c>
      <c r="C766" s="168" t="s">
        <v>107</v>
      </c>
      <c r="D766">
        <v>6435.4</v>
      </c>
      <c r="E766">
        <v>2020</v>
      </c>
      <c r="F766" s="168" t="s">
        <v>591</v>
      </c>
      <c r="G766" s="168" t="s">
        <v>607</v>
      </c>
      <c r="H766" s="168" t="s">
        <v>608</v>
      </c>
      <c r="I766">
        <v>164585.56701030899</v>
      </c>
    </row>
    <row r="767" spans="1:9" x14ac:dyDescent="0.3">
      <c r="A767">
        <v>72</v>
      </c>
      <c r="B767" s="168" t="s">
        <v>108</v>
      </c>
      <c r="C767" s="168" t="s">
        <v>107</v>
      </c>
      <c r="D767">
        <v>6435.4</v>
      </c>
      <c r="E767">
        <v>2020</v>
      </c>
      <c r="F767" s="168" t="s">
        <v>591</v>
      </c>
      <c r="G767" s="168" t="s">
        <v>607</v>
      </c>
      <c r="H767" s="168" t="s">
        <v>609</v>
      </c>
      <c r="I767">
        <v>860585.56701030897</v>
      </c>
    </row>
    <row r="768" spans="1:9" x14ac:dyDescent="0.3">
      <c r="A768">
        <v>72</v>
      </c>
      <c r="B768" s="168" t="s">
        <v>108</v>
      </c>
      <c r="C768" s="168" t="s">
        <v>107</v>
      </c>
      <c r="D768">
        <v>6435.4</v>
      </c>
      <c r="E768">
        <v>2020</v>
      </c>
      <c r="F768" s="168" t="s">
        <v>591</v>
      </c>
      <c r="G768" s="168" t="s">
        <v>612</v>
      </c>
      <c r="H768" s="168" t="s">
        <v>608</v>
      </c>
      <c r="I768">
        <v>447525</v>
      </c>
    </row>
    <row r="769" spans="1:9" x14ac:dyDescent="0.3">
      <c r="A769">
        <v>72</v>
      </c>
      <c r="B769" s="168" t="s">
        <v>108</v>
      </c>
      <c r="C769" s="168" t="s">
        <v>107</v>
      </c>
      <c r="D769">
        <v>6435.4</v>
      </c>
      <c r="E769">
        <v>2020</v>
      </c>
      <c r="F769" s="168" t="s">
        <v>591</v>
      </c>
      <c r="G769" s="168" t="s">
        <v>612</v>
      </c>
      <c r="H769" s="168" t="s">
        <v>609</v>
      </c>
      <c r="I769">
        <v>0</v>
      </c>
    </row>
    <row r="770" spans="1:9" x14ac:dyDescent="0.3">
      <c r="A770">
        <v>72</v>
      </c>
      <c r="B770" s="168" t="s">
        <v>108</v>
      </c>
      <c r="C770" s="168" t="s">
        <v>107</v>
      </c>
      <c r="D770">
        <v>6435.4</v>
      </c>
      <c r="E770">
        <v>2020</v>
      </c>
      <c r="F770" s="168" t="s">
        <v>591</v>
      </c>
      <c r="G770" s="168" t="s">
        <v>616</v>
      </c>
      <c r="H770" s="168" t="s">
        <v>608</v>
      </c>
      <c r="I770">
        <v>0</v>
      </c>
    </row>
    <row r="771" spans="1:9" x14ac:dyDescent="0.3">
      <c r="A771">
        <v>72</v>
      </c>
      <c r="B771" s="168" t="s">
        <v>108</v>
      </c>
      <c r="C771" s="168" t="s">
        <v>107</v>
      </c>
      <c r="D771">
        <v>6435.4</v>
      </c>
      <c r="E771">
        <v>2020</v>
      </c>
      <c r="F771" s="168" t="s">
        <v>591</v>
      </c>
      <c r="G771" s="168" t="s">
        <v>616</v>
      </c>
      <c r="H771" s="168" t="s">
        <v>609</v>
      </c>
      <c r="I771">
        <v>705500</v>
      </c>
    </row>
    <row r="772" spans="1:9" x14ac:dyDescent="0.3">
      <c r="A772">
        <v>72</v>
      </c>
      <c r="B772" s="168" t="s">
        <v>108</v>
      </c>
      <c r="C772" s="168" t="s">
        <v>107</v>
      </c>
      <c r="D772">
        <v>6435.4</v>
      </c>
      <c r="E772">
        <v>2020</v>
      </c>
      <c r="F772" s="168" t="s">
        <v>591</v>
      </c>
      <c r="G772" s="168" t="s">
        <v>617</v>
      </c>
      <c r="H772" s="168" t="s">
        <v>608</v>
      </c>
      <c r="I772">
        <v>20400</v>
      </c>
    </row>
    <row r="773" spans="1:9" x14ac:dyDescent="0.3">
      <c r="A773">
        <v>72</v>
      </c>
      <c r="B773" s="168" t="s">
        <v>108</v>
      </c>
      <c r="C773" s="168" t="s">
        <v>107</v>
      </c>
      <c r="D773">
        <v>6435.4</v>
      </c>
      <c r="E773">
        <v>2020</v>
      </c>
      <c r="F773" s="168" t="s">
        <v>591</v>
      </c>
      <c r="G773" s="168" t="s">
        <v>617</v>
      </c>
      <c r="H773" s="168" t="s">
        <v>609</v>
      </c>
      <c r="I773">
        <v>7300</v>
      </c>
    </row>
    <row r="774" spans="1:9" x14ac:dyDescent="0.3">
      <c r="A774">
        <v>72</v>
      </c>
      <c r="B774" s="168" t="s">
        <v>108</v>
      </c>
      <c r="C774" s="168" t="s">
        <v>107</v>
      </c>
      <c r="D774">
        <v>6435.4</v>
      </c>
      <c r="E774">
        <v>2020</v>
      </c>
      <c r="F774" s="168" t="s">
        <v>591</v>
      </c>
      <c r="G774" s="168" t="s">
        <v>618</v>
      </c>
      <c r="H774" s="168" t="s">
        <v>608</v>
      </c>
      <c r="I774">
        <v>0</v>
      </c>
    </row>
    <row r="775" spans="1:9" x14ac:dyDescent="0.3">
      <c r="A775">
        <v>72</v>
      </c>
      <c r="B775" s="168" t="s">
        <v>108</v>
      </c>
      <c r="C775" s="168" t="s">
        <v>107</v>
      </c>
      <c r="D775">
        <v>6435.4</v>
      </c>
      <c r="E775">
        <v>2020</v>
      </c>
      <c r="F775" s="168" t="s">
        <v>591</v>
      </c>
      <c r="G775" s="168" t="s">
        <v>618</v>
      </c>
      <c r="H775" s="168" t="s">
        <v>609</v>
      </c>
      <c r="I775">
        <v>10651.685393258427</v>
      </c>
    </row>
    <row r="776" spans="1:9" x14ac:dyDescent="0.3">
      <c r="A776">
        <v>72</v>
      </c>
      <c r="B776" s="168" t="s">
        <v>108</v>
      </c>
      <c r="C776" s="168" t="s">
        <v>107</v>
      </c>
      <c r="D776">
        <v>6435.4</v>
      </c>
      <c r="E776">
        <v>2020</v>
      </c>
      <c r="F776" s="168" t="s">
        <v>591</v>
      </c>
      <c r="G776" s="168" t="s">
        <v>619</v>
      </c>
      <c r="H776" s="168" t="s">
        <v>608</v>
      </c>
      <c r="I776">
        <v>0</v>
      </c>
    </row>
    <row r="777" spans="1:9" x14ac:dyDescent="0.3">
      <c r="A777">
        <v>72</v>
      </c>
      <c r="B777" s="168" t="s">
        <v>108</v>
      </c>
      <c r="C777" s="168" t="s">
        <v>107</v>
      </c>
      <c r="D777">
        <v>6435.4</v>
      </c>
      <c r="E777">
        <v>2020</v>
      </c>
      <c r="F777" s="168" t="s">
        <v>591</v>
      </c>
      <c r="G777" s="168" t="s">
        <v>619</v>
      </c>
      <c r="H777" s="168" t="s">
        <v>609</v>
      </c>
      <c r="I777">
        <v>79990</v>
      </c>
    </row>
    <row r="778" spans="1:9" x14ac:dyDescent="0.3">
      <c r="A778">
        <v>72</v>
      </c>
      <c r="B778" s="168" t="s">
        <v>108</v>
      </c>
      <c r="C778" s="168" t="s">
        <v>107</v>
      </c>
      <c r="D778">
        <v>6435.4</v>
      </c>
      <c r="E778">
        <v>2020</v>
      </c>
      <c r="F778" s="168" t="s">
        <v>591</v>
      </c>
      <c r="G778" s="168" t="s">
        <v>610</v>
      </c>
      <c r="H778" s="168" t="s">
        <v>608</v>
      </c>
      <c r="I778">
        <v>0</v>
      </c>
    </row>
    <row r="779" spans="1:9" x14ac:dyDescent="0.3">
      <c r="A779">
        <v>72</v>
      </c>
      <c r="B779" s="168" t="s">
        <v>108</v>
      </c>
      <c r="C779" s="168" t="s">
        <v>107</v>
      </c>
      <c r="D779">
        <v>6435.4</v>
      </c>
      <c r="E779">
        <v>2020</v>
      </c>
      <c r="F779" s="168" t="s">
        <v>591</v>
      </c>
      <c r="G779" s="168" t="s">
        <v>610</v>
      </c>
      <c r="H779" s="168" t="s">
        <v>609</v>
      </c>
      <c r="I779">
        <v>6545.454545454545</v>
      </c>
    </row>
    <row r="780" spans="1:9" x14ac:dyDescent="0.3">
      <c r="A780">
        <v>72</v>
      </c>
      <c r="B780" s="168" t="s">
        <v>108</v>
      </c>
      <c r="C780" s="168" t="s">
        <v>107</v>
      </c>
      <c r="D780">
        <v>6435.4</v>
      </c>
      <c r="E780">
        <v>2020</v>
      </c>
      <c r="F780" s="168" t="s">
        <v>591</v>
      </c>
      <c r="G780" s="168" t="s">
        <v>633</v>
      </c>
      <c r="H780" s="168" t="s">
        <v>608</v>
      </c>
      <c r="I780">
        <v>19272.44291523303</v>
      </c>
    </row>
    <row r="781" spans="1:9" x14ac:dyDescent="0.3">
      <c r="A781">
        <v>72</v>
      </c>
      <c r="B781" s="168" t="s">
        <v>108</v>
      </c>
      <c r="C781" s="168" t="s">
        <v>107</v>
      </c>
      <c r="D781">
        <v>6435.4</v>
      </c>
      <c r="E781">
        <v>2020</v>
      </c>
      <c r="F781" s="168" t="s">
        <v>591</v>
      </c>
      <c r="G781" s="168" t="s">
        <v>633</v>
      </c>
      <c r="H781" s="168" t="s">
        <v>609</v>
      </c>
      <c r="I781">
        <v>29859.599999999999</v>
      </c>
    </row>
    <row r="782" spans="1:9" x14ac:dyDescent="0.3">
      <c r="A782">
        <v>72</v>
      </c>
      <c r="B782" s="168" t="s">
        <v>108</v>
      </c>
      <c r="C782" s="168" t="s">
        <v>107</v>
      </c>
      <c r="D782">
        <v>6435.4</v>
      </c>
      <c r="E782">
        <v>2020</v>
      </c>
      <c r="F782" s="168" t="s">
        <v>591</v>
      </c>
      <c r="G782" s="168" t="s">
        <v>623</v>
      </c>
      <c r="H782" s="168" t="s">
        <v>608</v>
      </c>
      <c r="I782">
        <v>48817.307692307702</v>
      </c>
    </row>
    <row r="783" spans="1:9" x14ac:dyDescent="0.3">
      <c r="A783">
        <v>72</v>
      </c>
      <c r="B783" s="168" t="s">
        <v>108</v>
      </c>
      <c r="C783" s="168" t="s">
        <v>107</v>
      </c>
      <c r="D783">
        <v>6435.4</v>
      </c>
      <c r="E783">
        <v>2020</v>
      </c>
      <c r="F783" s="168" t="s">
        <v>591</v>
      </c>
      <c r="G783" s="168" t="s">
        <v>623</v>
      </c>
      <c r="H783" s="168" t="s">
        <v>609</v>
      </c>
      <c r="I783">
        <v>35510.391250000001</v>
      </c>
    </row>
    <row r="784" spans="1:9" x14ac:dyDescent="0.3">
      <c r="A784">
        <v>72</v>
      </c>
      <c r="B784" s="168" t="s">
        <v>108</v>
      </c>
      <c r="C784" s="168" t="s">
        <v>107</v>
      </c>
      <c r="D784">
        <v>6435.4</v>
      </c>
      <c r="E784">
        <v>2020</v>
      </c>
      <c r="F784" s="168" t="s">
        <v>591</v>
      </c>
      <c r="G784" s="168" t="s">
        <v>625</v>
      </c>
      <c r="H784" s="168" t="s">
        <v>608</v>
      </c>
      <c r="I784">
        <v>0</v>
      </c>
    </row>
    <row r="785" spans="1:9" x14ac:dyDescent="0.3">
      <c r="A785">
        <v>72</v>
      </c>
      <c r="B785" s="168" t="s">
        <v>108</v>
      </c>
      <c r="C785" s="168" t="s">
        <v>107</v>
      </c>
      <c r="D785">
        <v>6435.4</v>
      </c>
      <c r="E785">
        <v>2020</v>
      </c>
      <c r="F785" s="168" t="s">
        <v>591</v>
      </c>
      <c r="G785" s="168" t="s">
        <v>625</v>
      </c>
      <c r="H785" s="168" t="s">
        <v>609</v>
      </c>
      <c r="I785">
        <v>51464.1</v>
      </c>
    </row>
    <row r="786" spans="1:9" x14ac:dyDescent="0.3">
      <c r="A786">
        <v>72</v>
      </c>
      <c r="B786" s="168" t="s">
        <v>108</v>
      </c>
      <c r="C786" s="168" t="s">
        <v>107</v>
      </c>
      <c r="D786">
        <v>6435.4</v>
      </c>
      <c r="E786">
        <v>2020</v>
      </c>
      <c r="F786" s="168" t="s">
        <v>591</v>
      </c>
      <c r="G786" s="168" t="s">
        <v>624</v>
      </c>
      <c r="H786" s="168" t="s">
        <v>608</v>
      </c>
      <c r="I786">
        <v>120390.5706462058</v>
      </c>
    </row>
    <row r="787" spans="1:9" x14ac:dyDescent="0.3">
      <c r="A787">
        <v>72</v>
      </c>
      <c r="B787" s="168" t="s">
        <v>108</v>
      </c>
      <c r="C787" s="168" t="s">
        <v>107</v>
      </c>
      <c r="D787">
        <v>6435.4</v>
      </c>
      <c r="E787">
        <v>2020</v>
      </c>
      <c r="F787" s="168" t="s">
        <v>591</v>
      </c>
      <c r="G787" s="168" t="s">
        <v>624</v>
      </c>
      <c r="H787" s="168" t="s">
        <v>609</v>
      </c>
      <c r="I787">
        <v>126648.89247797441</v>
      </c>
    </row>
    <row r="788" spans="1:9" x14ac:dyDescent="0.3">
      <c r="A788">
        <v>72</v>
      </c>
      <c r="B788" s="168" t="s">
        <v>108</v>
      </c>
      <c r="C788" s="168" t="s">
        <v>107</v>
      </c>
      <c r="D788">
        <v>6435.4</v>
      </c>
      <c r="E788">
        <v>2020</v>
      </c>
      <c r="F788" s="168" t="s">
        <v>591</v>
      </c>
      <c r="G788" s="168" t="s">
        <v>611</v>
      </c>
      <c r="H788" s="168" t="s">
        <v>608</v>
      </c>
      <c r="I788">
        <v>0</v>
      </c>
    </row>
    <row r="789" spans="1:9" x14ac:dyDescent="0.3">
      <c r="A789">
        <v>72</v>
      </c>
      <c r="B789" s="168" t="s">
        <v>108</v>
      </c>
      <c r="C789" s="168" t="s">
        <v>107</v>
      </c>
      <c r="D789">
        <v>6435.4</v>
      </c>
      <c r="E789">
        <v>2020</v>
      </c>
      <c r="F789" s="168" t="s">
        <v>591</v>
      </c>
      <c r="G789" s="168" t="s">
        <v>611</v>
      </c>
      <c r="H789" s="168" t="s">
        <v>609</v>
      </c>
      <c r="I789">
        <v>26897.278678099257</v>
      </c>
    </row>
    <row r="790" spans="1:9" x14ac:dyDescent="0.3">
      <c r="A790">
        <v>72</v>
      </c>
      <c r="B790" s="168" t="s">
        <v>108</v>
      </c>
      <c r="C790" s="168" t="s">
        <v>107</v>
      </c>
      <c r="D790">
        <v>6435.4</v>
      </c>
      <c r="E790">
        <v>2020</v>
      </c>
      <c r="F790" s="168" t="s">
        <v>591</v>
      </c>
      <c r="G790" s="168" t="s">
        <v>613</v>
      </c>
      <c r="H790" s="168" t="s">
        <v>608</v>
      </c>
      <c r="I790">
        <v>456040.13279813901</v>
      </c>
    </row>
    <row r="791" spans="1:9" x14ac:dyDescent="0.3">
      <c r="A791">
        <v>72</v>
      </c>
      <c r="B791" s="168" t="s">
        <v>108</v>
      </c>
      <c r="C791" s="168" t="s">
        <v>107</v>
      </c>
      <c r="D791">
        <v>6435.4</v>
      </c>
      <c r="E791">
        <v>2020</v>
      </c>
      <c r="F791" s="168" t="s">
        <v>591</v>
      </c>
      <c r="G791" s="168" t="s">
        <v>613</v>
      </c>
      <c r="H791" s="168" t="s">
        <v>609</v>
      </c>
      <c r="I791">
        <v>185949.20366143071</v>
      </c>
    </row>
    <row r="792" spans="1:9" x14ac:dyDescent="0.3">
      <c r="A792">
        <v>73</v>
      </c>
      <c r="B792" s="168" t="s">
        <v>109</v>
      </c>
      <c r="C792" s="168" t="s">
        <v>110</v>
      </c>
      <c r="D792">
        <v>6896.7</v>
      </c>
      <c r="E792">
        <v>2020</v>
      </c>
      <c r="F792" s="168" t="s">
        <v>593</v>
      </c>
      <c r="G792" s="168" t="s">
        <v>607</v>
      </c>
      <c r="H792" s="168" t="s">
        <v>608</v>
      </c>
      <c r="I792">
        <v>498000</v>
      </c>
    </row>
    <row r="793" spans="1:9" x14ac:dyDescent="0.3">
      <c r="A793">
        <v>73</v>
      </c>
      <c r="B793" s="168" t="s">
        <v>109</v>
      </c>
      <c r="C793" s="168" t="s">
        <v>110</v>
      </c>
      <c r="D793">
        <v>6896.7</v>
      </c>
      <c r="E793">
        <v>2020</v>
      </c>
      <c r="F793" s="168" t="s">
        <v>593</v>
      </c>
      <c r="G793" s="168" t="s">
        <v>607</v>
      </c>
      <c r="H793" s="168" t="s">
        <v>609</v>
      </c>
      <c r="I793">
        <v>7826.086956521739</v>
      </c>
    </row>
    <row r="794" spans="1:9" x14ac:dyDescent="0.3">
      <c r="A794">
        <v>73</v>
      </c>
      <c r="B794" s="168" t="s">
        <v>109</v>
      </c>
      <c r="C794" s="168" t="s">
        <v>110</v>
      </c>
      <c r="D794">
        <v>6896.7</v>
      </c>
      <c r="E794">
        <v>2020</v>
      </c>
      <c r="F794" s="168" t="s">
        <v>593</v>
      </c>
      <c r="G794" s="168" t="s">
        <v>617</v>
      </c>
      <c r="H794" s="168" t="s">
        <v>608</v>
      </c>
      <c r="I794">
        <v>4658.2501174340896</v>
      </c>
    </row>
    <row r="795" spans="1:9" x14ac:dyDescent="0.3">
      <c r="A795">
        <v>73</v>
      </c>
      <c r="B795" s="168" t="s">
        <v>109</v>
      </c>
      <c r="C795" s="168" t="s">
        <v>110</v>
      </c>
      <c r="D795">
        <v>6896.7</v>
      </c>
      <c r="E795">
        <v>2020</v>
      </c>
      <c r="F795" s="168" t="s">
        <v>593</v>
      </c>
      <c r="G795" s="168" t="s">
        <v>617</v>
      </c>
      <c r="H795" s="168" t="s">
        <v>609</v>
      </c>
      <c r="I795">
        <v>3493.6875880755674</v>
      </c>
    </row>
    <row r="796" spans="1:9" x14ac:dyDescent="0.3">
      <c r="A796">
        <v>73</v>
      </c>
      <c r="B796" s="168" t="s">
        <v>109</v>
      </c>
      <c r="C796" s="168" t="s">
        <v>110</v>
      </c>
      <c r="D796">
        <v>6896.7</v>
      </c>
      <c r="E796">
        <v>2020</v>
      </c>
      <c r="F796" s="168" t="s">
        <v>593</v>
      </c>
      <c r="G796" s="168" t="s">
        <v>618</v>
      </c>
      <c r="H796" s="168" t="s">
        <v>608</v>
      </c>
      <c r="I796">
        <v>0</v>
      </c>
    </row>
    <row r="797" spans="1:9" x14ac:dyDescent="0.3">
      <c r="A797">
        <v>73</v>
      </c>
      <c r="B797" s="168" t="s">
        <v>109</v>
      </c>
      <c r="C797" s="168" t="s">
        <v>110</v>
      </c>
      <c r="D797">
        <v>6896.7</v>
      </c>
      <c r="E797">
        <v>2020</v>
      </c>
      <c r="F797" s="168" t="s">
        <v>593</v>
      </c>
      <c r="G797" s="168" t="s">
        <v>618</v>
      </c>
      <c r="H797" s="168" t="s">
        <v>609</v>
      </c>
      <c r="I797">
        <v>5325.8426966292136</v>
      </c>
    </row>
    <row r="798" spans="1:9" x14ac:dyDescent="0.3">
      <c r="A798">
        <v>73</v>
      </c>
      <c r="B798" s="168" t="s">
        <v>109</v>
      </c>
      <c r="C798" s="168" t="s">
        <v>110</v>
      </c>
      <c r="D798">
        <v>6896.7</v>
      </c>
      <c r="E798">
        <v>2020</v>
      </c>
      <c r="F798" s="168" t="s">
        <v>593</v>
      </c>
      <c r="G798" s="168" t="s">
        <v>610</v>
      </c>
      <c r="H798" s="168" t="s">
        <v>608</v>
      </c>
      <c r="I798">
        <v>0</v>
      </c>
    </row>
    <row r="799" spans="1:9" x14ac:dyDescent="0.3">
      <c r="A799">
        <v>73</v>
      </c>
      <c r="B799" s="168" t="s">
        <v>109</v>
      </c>
      <c r="C799" s="168" t="s">
        <v>110</v>
      </c>
      <c r="D799">
        <v>6896.7</v>
      </c>
      <c r="E799">
        <v>2020</v>
      </c>
      <c r="F799" s="168" t="s">
        <v>593</v>
      </c>
      <c r="G799" s="168" t="s">
        <v>610</v>
      </c>
      <c r="H799" s="168" t="s">
        <v>609</v>
      </c>
      <c r="I799">
        <v>6545.454545454545</v>
      </c>
    </row>
    <row r="800" spans="1:9" x14ac:dyDescent="0.3">
      <c r="A800">
        <v>73</v>
      </c>
      <c r="B800" s="168" t="s">
        <v>109</v>
      </c>
      <c r="C800" s="168" t="s">
        <v>110</v>
      </c>
      <c r="D800">
        <v>6896.7</v>
      </c>
      <c r="E800">
        <v>2020</v>
      </c>
      <c r="F800" s="168" t="s">
        <v>593</v>
      </c>
      <c r="G800" s="168" t="s">
        <v>620</v>
      </c>
      <c r="H800" s="168" t="s">
        <v>608</v>
      </c>
      <c r="I800">
        <v>76952.529032258055</v>
      </c>
    </row>
    <row r="801" spans="1:9" x14ac:dyDescent="0.3">
      <c r="A801">
        <v>73</v>
      </c>
      <c r="B801" s="168" t="s">
        <v>109</v>
      </c>
      <c r="C801" s="168" t="s">
        <v>110</v>
      </c>
      <c r="D801">
        <v>6896.7</v>
      </c>
      <c r="E801">
        <v>2020</v>
      </c>
      <c r="F801" s="168" t="s">
        <v>593</v>
      </c>
      <c r="G801" s="168" t="s">
        <v>620</v>
      </c>
      <c r="H801" s="168" t="s">
        <v>609</v>
      </c>
      <c r="I801">
        <v>0</v>
      </c>
    </row>
    <row r="802" spans="1:9" x14ac:dyDescent="0.3">
      <c r="A802">
        <v>73</v>
      </c>
      <c r="B802" s="168" t="s">
        <v>109</v>
      </c>
      <c r="C802" s="168" t="s">
        <v>110</v>
      </c>
      <c r="D802">
        <v>6896.7</v>
      </c>
      <c r="E802">
        <v>2020</v>
      </c>
      <c r="F802" s="168" t="s">
        <v>593</v>
      </c>
      <c r="G802" s="168" t="s">
        <v>633</v>
      </c>
      <c r="H802" s="168" t="s">
        <v>608</v>
      </c>
      <c r="I802">
        <v>0</v>
      </c>
    </row>
    <row r="803" spans="1:9" x14ac:dyDescent="0.3">
      <c r="A803">
        <v>73</v>
      </c>
      <c r="B803" s="168" t="s">
        <v>109</v>
      </c>
      <c r="C803" s="168" t="s">
        <v>110</v>
      </c>
      <c r="D803">
        <v>6896.7</v>
      </c>
      <c r="E803">
        <v>2020</v>
      </c>
      <c r="F803" s="168" t="s">
        <v>593</v>
      </c>
      <c r="G803" s="168" t="s">
        <v>633</v>
      </c>
      <c r="H803" s="168" t="s">
        <v>609</v>
      </c>
      <c r="I803">
        <v>8814.1592920353978</v>
      </c>
    </row>
    <row r="804" spans="1:9" x14ac:dyDescent="0.3">
      <c r="A804">
        <v>73</v>
      </c>
      <c r="B804" s="168" t="s">
        <v>109</v>
      </c>
      <c r="C804" s="168" t="s">
        <v>110</v>
      </c>
      <c r="D804">
        <v>6896.7</v>
      </c>
      <c r="E804">
        <v>2020</v>
      </c>
      <c r="F804" s="168" t="s">
        <v>593</v>
      </c>
      <c r="G804" s="168" t="s">
        <v>615</v>
      </c>
      <c r="H804" s="168" t="s">
        <v>608</v>
      </c>
      <c r="I804">
        <v>0</v>
      </c>
    </row>
    <row r="805" spans="1:9" x14ac:dyDescent="0.3">
      <c r="A805">
        <v>73</v>
      </c>
      <c r="B805" s="168" t="s">
        <v>109</v>
      </c>
      <c r="C805" s="168" t="s">
        <v>110</v>
      </c>
      <c r="D805">
        <v>6896.7</v>
      </c>
      <c r="E805">
        <v>2020</v>
      </c>
      <c r="F805" s="168" t="s">
        <v>593</v>
      </c>
      <c r="G805" s="168" t="s">
        <v>615</v>
      </c>
      <c r="H805" s="168" t="s">
        <v>609</v>
      </c>
      <c r="I805">
        <v>7536.5853658536589</v>
      </c>
    </row>
    <row r="806" spans="1:9" x14ac:dyDescent="0.3">
      <c r="A806">
        <v>73</v>
      </c>
      <c r="B806" s="168" t="s">
        <v>109</v>
      </c>
      <c r="C806" s="168" t="s">
        <v>110</v>
      </c>
      <c r="D806">
        <v>6896.7</v>
      </c>
      <c r="E806">
        <v>2020</v>
      </c>
      <c r="F806" s="168" t="s">
        <v>593</v>
      </c>
      <c r="G806" s="168" t="s">
        <v>624</v>
      </c>
      <c r="H806" s="168" t="s">
        <v>608</v>
      </c>
      <c r="I806">
        <v>103113.63981818526</v>
      </c>
    </row>
    <row r="807" spans="1:9" x14ac:dyDescent="0.3">
      <c r="A807">
        <v>73</v>
      </c>
      <c r="B807" s="168" t="s">
        <v>109</v>
      </c>
      <c r="C807" s="168" t="s">
        <v>110</v>
      </c>
      <c r="D807">
        <v>6896.7</v>
      </c>
      <c r="E807">
        <v>2020</v>
      </c>
      <c r="F807" s="168" t="s">
        <v>593</v>
      </c>
      <c r="G807" s="168" t="s">
        <v>624</v>
      </c>
      <c r="H807" s="168" t="s">
        <v>609</v>
      </c>
      <c r="I807">
        <v>109820.56839716346</v>
      </c>
    </row>
    <row r="808" spans="1:9" x14ac:dyDescent="0.3">
      <c r="A808">
        <v>73</v>
      </c>
      <c r="B808" s="168" t="s">
        <v>109</v>
      </c>
      <c r="C808" s="168" t="s">
        <v>110</v>
      </c>
      <c r="D808">
        <v>6896.7</v>
      </c>
      <c r="E808">
        <v>2020</v>
      </c>
      <c r="F808" s="168" t="s">
        <v>593</v>
      </c>
      <c r="G808" s="168" t="s">
        <v>613</v>
      </c>
      <c r="H808" s="168" t="s">
        <v>608</v>
      </c>
      <c r="I808">
        <v>488729.83557648701</v>
      </c>
    </row>
    <row r="809" spans="1:9" x14ac:dyDescent="0.3">
      <c r="A809">
        <v>73</v>
      </c>
      <c r="B809" s="168" t="s">
        <v>109</v>
      </c>
      <c r="C809" s="168" t="s">
        <v>110</v>
      </c>
      <c r="D809">
        <v>6896.7</v>
      </c>
      <c r="E809">
        <v>2020</v>
      </c>
      <c r="F809" s="168" t="s">
        <v>593</v>
      </c>
      <c r="G809" s="168" t="s">
        <v>613</v>
      </c>
      <c r="H809" s="168" t="s">
        <v>609</v>
      </c>
      <c r="I809">
        <v>199278.34678369461</v>
      </c>
    </row>
    <row r="810" spans="1:9" x14ac:dyDescent="0.3">
      <c r="A810">
        <v>75</v>
      </c>
      <c r="B810" s="168" t="s">
        <v>113</v>
      </c>
      <c r="C810" s="168" t="s">
        <v>114</v>
      </c>
      <c r="D810">
        <v>3455.5</v>
      </c>
      <c r="E810">
        <v>2020</v>
      </c>
      <c r="F810" s="168" t="s">
        <v>593</v>
      </c>
      <c r="G810" s="168" t="s">
        <v>607</v>
      </c>
      <c r="H810" s="168" t="s">
        <v>608</v>
      </c>
      <c r="I810">
        <v>27098.639999999999</v>
      </c>
    </row>
    <row r="811" spans="1:9" x14ac:dyDescent="0.3">
      <c r="A811">
        <v>75</v>
      </c>
      <c r="B811" s="168" t="s">
        <v>113</v>
      </c>
      <c r="C811" s="168" t="s">
        <v>114</v>
      </c>
      <c r="D811">
        <v>3455.5</v>
      </c>
      <c r="E811">
        <v>2020</v>
      </c>
      <c r="F811" s="168" t="s">
        <v>593</v>
      </c>
      <c r="G811" s="168" t="s">
        <v>607</v>
      </c>
      <c r="H811" s="168" t="s">
        <v>609</v>
      </c>
      <c r="I811">
        <v>551706.75020210177</v>
      </c>
    </row>
    <row r="812" spans="1:9" x14ac:dyDescent="0.3">
      <c r="A812">
        <v>75</v>
      </c>
      <c r="B812" s="168" t="s">
        <v>113</v>
      </c>
      <c r="C812" s="168" t="s">
        <v>114</v>
      </c>
      <c r="D812">
        <v>3455.5</v>
      </c>
      <c r="E812">
        <v>2020</v>
      </c>
      <c r="F812" s="168" t="s">
        <v>593</v>
      </c>
      <c r="G812" s="168" t="s">
        <v>612</v>
      </c>
      <c r="H812" s="168" t="s">
        <v>608</v>
      </c>
      <c r="I812">
        <v>0</v>
      </c>
    </row>
    <row r="813" spans="1:9" x14ac:dyDescent="0.3">
      <c r="A813">
        <v>75</v>
      </c>
      <c r="B813" s="168" t="s">
        <v>113</v>
      </c>
      <c r="C813" s="168" t="s">
        <v>114</v>
      </c>
      <c r="D813">
        <v>3455.5</v>
      </c>
      <c r="E813">
        <v>2020</v>
      </c>
      <c r="F813" s="168" t="s">
        <v>593</v>
      </c>
      <c r="G813" s="168" t="s">
        <v>612</v>
      </c>
      <c r="H813" s="168" t="s">
        <v>609</v>
      </c>
      <c r="I813">
        <v>4329.9661378300925</v>
      </c>
    </row>
    <row r="814" spans="1:9" x14ac:dyDescent="0.3">
      <c r="A814">
        <v>75</v>
      </c>
      <c r="B814" s="168" t="s">
        <v>113</v>
      </c>
      <c r="C814" s="168" t="s">
        <v>114</v>
      </c>
      <c r="D814">
        <v>3455.5</v>
      </c>
      <c r="E814">
        <v>2020</v>
      </c>
      <c r="F814" s="168" t="s">
        <v>593</v>
      </c>
      <c r="G814" s="168" t="s">
        <v>616</v>
      </c>
      <c r="H814" s="168" t="s">
        <v>608</v>
      </c>
      <c r="I814">
        <v>0</v>
      </c>
    </row>
    <row r="815" spans="1:9" x14ac:dyDescent="0.3">
      <c r="A815">
        <v>75</v>
      </c>
      <c r="B815" s="168" t="s">
        <v>113</v>
      </c>
      <c r="C815" s="168" t="s">
        <v>114</v>
      </c>
      <c r="D815">
        <v>3455.5</v>
      </c>
      <c r="E815">
        <v>2020</v>
      </c>
      <c r="F815" s="168" t="s">
        <v>593</v>
      </c>
      <c r="G815" s="168" t="s">
        <v>616</v>
      </c>
      <c r="H815" s="168" t="s">
        <v>609</v>
      </c>
      <c r="I815">
        <v>661278.9602503319</v>
      </c>
    </row>
    <row r="816" spans="1:9" x14ac:dyDescent="0.3">
      <c r="A816">
        <v>75</v>
      </c>
      <c r="B816" s="168" t="s">
        <v>113</v>
      </c>
      <c r="C816" s="168" t="s">
        <v>114</v>
      </c>
      <c r="D816">
        <v>3455.5</v>
      </c>
      <c r="E816">
        <v>2020</v>
      </c>
      <c r="F816" s="168" t="s">
        <v>593</v>
      </c>
      <c r="G816" s="168" t="s">
        <v>617</v>
      </c>
      <c r="H816" s="168" t="s">
        <v>608</v>
      </c>
      <c r="I816">
        <v>2333.9543956955495</v>
      </c>
    </row>
    <row r="817" spans="1:9" x14ac:dyDescent="0.3">
      <c r="A817">
        <v>75</v>
      </c>
      <c r="B817" s="168" t="s">
        <v>113</v>
      </c>
      <c r="C817" s="168" t="s">
        <v>114</v>
      </c>
      <c r="D817">
        <v>3455.5</v>
      </c>
      <c r="E817">
        <v>2020</v>
      </c>
      <c r="F817" s="168" t="s">
        <v>593</v>
      </c>
      <c r="G817" s="168" t="s">
        <v>617</v>
      </c>
      <c r="H817" s="168" t="s">
        <v>609</v>
      </c>
      <c r="I817">
        <v>1750.4657967716621</v>
      </c>
    </row>
    <row r="818" spans="1:9" x14ac:dyDescent="0.3">
      <c r="A818">
        <v>75</v>
      </c>
      <c r="B818" s="168" t="s">
        <v>113</v>
      </c>
      <c r="C818" s="168" t="s">
        <v>114</v>
      </c>
      <c r="D818">
        <v>3455.5</v>
      </c>
      <c r="E818">
        <v>2020</v>
      </c>
      <c r="F818" s="168" t="s">
        <v>593</v>
      </c>
      <c r="G818" s="168" t="s">
        <v>618</v>
      </c>
      <c r="H818" s="168" t="s">
        <v>608</v>
      </c>
      <c r="I818">
        <v>0</v>
      </c>
    </row>
    <row r="819" spans="1:9" x14ac:dyDescent="0.3">
      <c r="A819">
        <v>75</v>
      </c>
      <c r="B819" s="168" t="s">
        <v>113</v>
      </c>
      <c r="C819" s="168" t="s">
        <v>114</v>
      </c>
      <c r="D819">
        <v>3455.5</v>
      </c>
      <c r="E819">
        <v>2020</v>
      </c>
      <c r="F819" s="168" t="s">
        <v>593</v>
      </c>
      <c r="G819" s="168" t="s">
        <v>618</v>
      </c>
      <c r="H819" s="168" t="s">
        <v>609</v>
      </c>
      <c r="I819">
        <v>324045.84000000003</v>
      </c>
    </row>
    <row r="820" spans="1:9" x14ac:dyDescent="0.3">
      <c r="A820">
        <v>75</v>
      </c>
      <c r="B820" s="168" t="s">
        <v>113</v>
      </c>
      <c r="C820" s="168" t="s">
        <v>114</v>
      </c>
      <c r="D820">
        <v>3455.5</v>
      </c>
      <c r="E820">
        <v>2020</v>
      </c>
      <c r="F820" s="168" t="s">
        <v>593</v>
      </c>
      <c r="G820" s="168" t="s">
        <v>610</v>
      </c>
      <c r="H820" s="168" t="s">
        <v>608</v>
      </c>
      <c r="I820">
        <v>0</v>
      </c>
    </row>
    <row r="821" spans="1:9" x14ac:dyDescent="0.3">
      <c r="A821">
        <v>75</v>
      </c>
      <c r="B821" s="168" t="s">
        <v>113</v>
      </c>
      <c r="C821" s="168" t="s">
        <v>114</v>
      </c>
      <c r="D821">
        <v>3455.5</v>
      </c>
      <c r="E821">
        <v>2020</v>
      </c>
      <c r="F821" s="168" t="s">
        <v>593</v>
      </c>
      <c r="G821" s="168" t="s">
        <v>610</v>
      </c>
      <c r="H821" s="168" t="s">
        <v>609</v>
      </c>
      <c r="I821">
        <v>3272.7272727272725</v>
      </c>
    </row>
    <row r="822" spans="1:9" x14ac:dyDescent="0.3">
      <c r="A822">
        <v>75</v>
      </c>
      <c r="B822" s="168" t="s">
        <v>113</v>
      </c>
      <c r="C822" s="168" t="s">
        <v>114</v>
      </c>
      <c r="D822">
        <v>3455.5</v>
      </c>
      <c r="E822">
        <v>2020</v>
      </c>
      <c r="F822" s="168" t="s">
        <v>593</v>
      </c>
      <c r="G822" s="168" t="s">
        <v>620</v>
      </c>
      <c r="H822" s="168" t="s">
        <v>608</v>
      </c>
      <c r="I822">
        <v>76952.529032258055</v>
      </c>
    </row>
    <row r="823" spans="1:9" x14ac:dyDescent="0.3">
      <c r="A823">
        <v>75</v>
      </c>
      <c r="B823" s="168" t="s">
        <v>113</v>
      </c>
      <c r="C823" s="168" t="s">
        <v>114</v>
      </c>
      <c r="D823">
        <v>3455.5</v>
      </c>
      <c r="E823">
        <v>2020</v>
      </c>
      <c r="F823" s="168" t="s">
        <v>593</v>
      </c>
      <c r="G823" s="168" t="s">
        <v>620</v>
      </c>
      <c r="H823" s="168" t="s">
        <v>609</v>
      </c>
      <c r="I823">
        <v>0</v>
      </c>
    </row>
    <row r="824" spans="1:9" x14ac:dyDescent="0.3">
      <c r="A824">
        <v>75</v>
      </c>
      <c r="B824" s="168" t="s">
        <v>113</v>
      </c>
      <c r="C824" s="168" t="s">
        <v>114</v>
      </c>
      <c r="D824">
        <v>3455.5</v>
      </c>
      <c r="E824">
        <v>2020</v>
      </c>
      <c r="F824" s="168" t="s">
        <v>593</v>
      </c>
      <c r="G824" s="168" t="s">
        <v>625</v>
      </c>
      <c r="H824" s="168" t="s">
        <v>608</v>
      </c>
      <c r="I824">
        <v>0</v>
      </c>
    </row>
    <row r="825" spans="1:9" x14ac:dyDescent="0.3">
      <c r="A825">
        <v>75</v>
      </c>
      <c r="B825" s="168" t="s">
        <v>113</v>
      </c>
      <c r="C825" s="168" t="s">
        <v>114</v>
      </c>
      <c r="D825">
        <v>3455.5</v>
      </c>
      <c r="E825">
        <v>2020</v>
      </c>
      <c r="F825" s="168" t="s">
        <v>593</v>
      </c>
      <c r="G825" s="168" t="s">
        <v>625</v>
      </c>
      <c r="H825" s="168" t="s">
        <v>609</v>
      </c>
      <c r="I825">
        <v>247500</v>
      </c>
    </row>
    <row r="826" spans="1:9" x14ac:dyDescent="0.3">
      <c r="A826">
        <v>75</v>
      </c>
      <c r="B826" s="168" t="s">
        <v>113</v>
      </c>
      <c r="C826" s="168" t="s">
        <v>114</v>
      </c>
      <c r="D826">
        <v>3455.5</v>
      </c>
      <c r="E826">
        <v>2020</v>
      </c>
      <c r="F826" s="168" t="s">
        <v>593</v>
      </c>
      <c r="G826" s="168" t="s">
        <v>624</v>
      </c>
      <c r="H826" s="168" t="s">
        <v>608</v>
      </c>
      <c r="I826">
        <v>51663.720676807621</v>
      </c>
    </row>
    <row r="827" spans="1:9" x14ac:dyDescent="0.3">
      <c r="A827">
        <v>75</v>
      </c>
      <c r="B827" s="168" t="s">
        <v>113</v>
      </c>
      <c r="C827" s="168" t="s">
        <v>114</v>
      </c>
      <c r="D827">
        <v>3455.5</v>
      </c>
      <c r="E827">
        <v>2020</v>
      </c>
      <c r="F827" s="168" t="s">
        <v>593</v>
      </c>
      <c r="G827" s="168" t="s">
        <v>624</v>
      </c>
      <c r="H827" s="168" t="s">
        <v>609</v>
      </c>
      <c r="I827">
        <v>55024.138225005918</v>
      </c>
    </row>
    <row r="828" spans="1:9" x14ac:dyDescent="0.3">
      <c r="A828">
        <v>75</v>
      </c>
      <c r="B828" s="168" t="s">
        <v>113</v>
      </c>
      <c r="C828" s="168" t="s">
        <v>114</v>
      </c>
      <c r="D828">
        <v>3455.5</v>
      </c>
      <c r="E828">
        <v>2020</v>
      </c>
      <c r="F828" s="168" t="s">
        <v>593</v>
      </c>
      <c r="G828" s="168" t="s">
        <v>621</v>
      </c>
      <c r="H828" s="168" t="s">
        <v>608</v>
      </c>
      <c r="I828">
        <v>0</v>
      </c>
    </row>
    <row r="829" spans="1:9" x14ac:dyDescent="0.3">
      <c r="A829">
        <v>75</v>
      </c>
      <c r="B829" s="168" t="s">
        <v>113</v>
      </c>
      <c r="C829" s="168" t="s">
        <v>114</v>
      </c>
      <c r="D829">
        <v>3455.5</v>
      </c>
      <c r="E829">
        <v>2020</v>
      </c>
      <c r="F829" s="168" t="s">
        <v>593</v>
      </c>
      <c r="G829" s="168" t="s">
        <v>621</v>
      </c>
      <c r="H829" s="168" t="s">
        <v>609</v>
      </c>
      <c r="I829">
        <v>291603.55527485802</v>
      </c>
    </row>
    <row r="830" spans="1:9" x14ac:dyDescent="0.3">
      <c r="A830">
        <v>75</v>
      </c>
      <c r="B830" s="168" t="s">
        <v>113</v>
      </c>
      <c r="C830" s="168" t="s">
        <v>114</v>
      </c>
      <c r="D830">
        <v>3455.5</v>
      </c>
      <c r="E830">
        <v>2020</v>
      </c>
      <c r="F830" s="168" t="s">
        <v>593</v>
      </c>
      <c r="G830" s="168" t="s">
        <v>626</v>
      </c>
      <c r="H830" s="168" t="s">
        <v>608</v>
      </c>
      <c r="I830">
        <v>0</v>
      </c>
    </row>
    <row r="831" spans="1:9" x14ac:dyDescent="0.3">
      <c r="A831">
        <v>75</v>
      </c>
      <c r="B831" s="168" t="s">
        <v>113</v>
      </c>
      <c r="C831" s="168" t="s">
        <v>114</v>
      </c>
      <c r="D831">
        <v>3455.5</v>
      </c>
      <c r="E831">
        <v>2020</v>
      </c>
      <c r="F831" s="168" t="s">
        <v>593</v>
      </c>
      <c r="G831" s="168" t="s">
        <v>626</v>
      </c>
      <c r="H831" s="168" t="s">
        <v>609</v>
      </c>
      <c r="I831">
        <v>2160000</v>
      </c>
    </row>
    <row r="832" spans="1:9" x14ac:dyDescent="0.3">
      <c r="A832">
        <v>75</v>
      </c>
      <c r="B832" s="168" t="s">
        <v>113</v>
      </c>
      <c r="C832" s="168" t="s">
        <v>114</v>
      </c>
      <c r="D832">
        <v>3455.5</v>
      </c>
      <c r="E832">
        <v>2020</v>
      </c>
      <c r="F832" s="168" t="s">
        <v>593</v>
      </c>
      <c r="G832" s="168" t="s">
        <v>613</v>
      </c>
      <c r="H832" s="168" t="s">
        <v>608</v>
      </c>
      <c r="I832">
        <v>130438.543741392</v>
      </c>
    </row>
    <row r="833" spans="1:9" x14ac:dyDescent="0.3">
      <c r="A833">
        <v>75</v>
      </c>
      <c r="B833" s="168" t="s">
        <v>113</v>
      </c>
      <c r="C833" s="168" t="s">
        <v>114</v>
      </c>
      <c r="D833">
        <v>3455.5</v>
      </c>
      <c r="E833">
        <v>2020</v>
      </c>
      <c r="F833" s="168" t="s">
        <v>593</v>
      </c>
      <c r="G833" s="168" t="s">
        <v>613</v>
      </c>
      <c r="H833" s="168" t="s">
        <v>609</v>
      </c>
      <c r="I833">
        <v>26475.111042025688</v>
      </c>
    </row>
    <row r="834" spans="1:9" x14ac:dyDescent="0.3">
      <c r="A834">
        <v>76</v>
      </c>
      <c r="B834" s="168" t="s">
        <v>115</v>
      </c>
      <c r="C834" s="168" t="s">
        <v>116</v>
      </c>
      <c r="D834">
        <v>2482.1</v>
      </c>
      <c r="E834">
        <v>2020</v>
      </c>
      <c r="F834" s="168" t="s">
        <v>593</v>
      </c>
      <c r="G834" s="168" t="s">
        <v>607</v>
      </c>
      <c r="H834" s="168" t="s">
        <v>608</v>
      </c>
      <c r="I834">
        <v>27098.639999999999</v>
      </c>
    </row>
    <row r="835" spans="1:9" x14ac:dyDescent="0.3">
      <c r="A835">
        <v>76</v>
      </c>
      <c r="B835" s="168" t="s">
        <v>115</v>
      </c>
      <c r="C835" s="168" t="s">
        <v>116</v>
      </c>
      <c r="D835">
        <v>2482.1</v>
      </c>
      <c r="E835">
        <v>2020</v>
      </c>
      <c r="F835" s="168" t="s">
        <v>593</v>
      </c>
      <c r="G835" s="168" t="s">
        <v>607</v>
      </c>
      <c r="H835" s="168" t="s">
        <v>609</v>
      </c>
      <c r="I835">
        <v>404119.33675441972</v>
      </c>
    </row>
    <row r="836" spans="1:9" x14ac:dyDescent="0.3">
      <c r="A836">
        <v>76</v>
      </c>
      <c r="B836" s="168" t="s">
        <v>115</v>
      </c>
      <c r="C836" s="168" t="s">
        <v>116</v>
      </c>
      <c r="D836">
        <v>2482.1</v>
      </c>
      <c r="E836">
        <v>2020</v>
      </c>
      <c r="F836" s="168" t="s">
        <v>593</v>
      </c>
      <c r="G836" s="168" t="s">
        <v>612</v>
      </c>
      <c r="H836" s="168" t="s">
        <v>608</v>
      </c>
      <c r="I836">
        <v>0</v>
      </c>
    </row>
    <row r="837" spans="1:9" x14ac:dyDescent="0.3">
      <c r="A837">
        <v>76</v>
      </c>
      <c r="B837" s="168" t="s">
        <v>115</v>
      </c>
      <c r="C837" s="168" t="s">
        <v>116</v>
      </c>
      <c r="D837">
        <v>2482.1</v>
      </c>
      <c r="E837">
        <v>2020</v>
      </c>
      <c r="F837" s="168" t="s">
        <v>593</v>
      </c>
      <c r="G837" s="168" t="s">
        <v>612</v>
      </c>
      <c r="H837" s="168" t="s">
        <v>609</v>
      </c>
      <c r="I837">
        <v>3110.2326582862306</v>
      </c>
    </row>
    <row r="838" spans="1:9" x14ac:dyDescent="0.3">
      <c r="A838">
        <v>76</v>
      </c>
      <c r="B838" s="168" t="s">
        <v>115</v>
      </c>
      <c r="C838" s="168" t="s">
        <v>116</v>
      </c>
      <c r="D838">
        <v>2482.1</v>
      </c>
      <c r="E838">
        <v>2020</v>
      </c>
      <c r="F838" s="168" t="s">
        <v>593</v>
      </c>
      <c r="G838" s="168" t="s">
        <v>616</v>
      </c>
      <c r="H838" s="168" t="s">
        <v>608</v>
      </c>
      <c r="I838">
        <v>0</v>
      </c>
    </row>
    <row r="839" spans="1:9" x14ac:dyDescent="0.3">
      <c r="A839">
        <v>76</v>
      </c>
      <c r="B839" s="168" t="s">
        <v>115</v>
      </c>
      <c r="C839" s="168" t="s">
        <v>116</v>
      </c>
      <c r="D839">
        <v>2482.1</v>
      </c>
      <c r="E839">
        <v>2020</v>
      </c>
      <c r="F839" s="168" t="s">
        <v>593</v>
      </c>
      <c r="G839" s="168" t="s">
        <v>616</v>
      </c>
      <c r="H839" s="168" t="s">
        <v>609</v>
      </c>
      <c r="I839">
        <v>970782.84652798995</v>
      </c>
    </row>
    <row r="840" spans="1:9" x14ac:dyDescent="0.3">
      <c r="A840">
        <v>76</v>
      </c>
      <c r="B840" s="168" t="s">
        <v>115</v>
      </c>
      <c r="C840" s="168" t="s">
        <v>116</v>
      </c>
      <c r="D840">
        <v>2482.1</v>
      </c>
      <c r="E840">
        <v>2020</v>
      </c>
      <c r="F840" s="168" t="s">
        <v>593</v>
      </c>
      <c r="G840" s="168" t="s">
        <v>617</v>
      </c>
      <c r="H840" s="168" t="s">
        <v>608</v>
      </c>
      <c r="I840">
        <v>1676.4891348736573</v>
      </c>
    </row>
    <row r="841" spans="1:9" x14ac:dyDescent="0.3">
      <c r="A841">
        <v>76</v>
      </c>
      <c r="B841" s="168" t="s">
        <v>115</v>
      </c>
      <c r="C841" s="168" t="s">
        <v>116</v>
      </c>
      <c r="D841">
        <v>2482.1</v>
      </c>
      <c r="E841">
        <v>2020</v>
      </c>
      <c r="F841" s="168" t="s">
        <v>593</v>
      </c>
      <c r="G841" s="168" t="s">
        <v>617</v>
      </c>
      <c r="H841" s="168" t="s">
        <v>609</v>
      </c>
      <c r="I841">
        <v>1257.366851155243</v>
      </c>
    </row>
    <row r="842" spans="1:9" x14ac:dyDescent="0.3">
      <c r="A842">
        <v>76</v>
      </c>
      <c r="B842" s="168" t="s">
        <v>115</v>
      </c>
      <c r="C842" s="168" t="s">
        <v>116</v>
      </c>
      <c r="D842">
        <v>2482.1</v>
      </c>
      <c r="E842">
        <v>2020</v>
      </c>
      <c r="F842" s="168" t="s">
        <v>593</v>
      </c>
      <c r="G842" s="168" t="s">
        <v>618</v>
      </c>
      <c r="H842" s="168" t="s">
        <v>608</v>
      </c>
      <c r="I842">
        <v>0</v>
      </c>
    </row>
    <row r="843" spans="1:9" x14ac:dyDescent="0.3">
      <c r="A843">
        <v>76</v>
      </c>
      <c r="B843" s="168" t="s">
        <v>115</v>
      </c>
      <c r="C843" s="168" t="s">
        <v>116</v>
      </c>
      <c r="D843">
        <v>2482.1</v>
      </c>
      <c r="E843">
        <v>2020</v>
      </c>
      <c r="F843" s="168" t="s">
        <v>593</v>
      </c>
      <c r="G843" s="168" t="s">
        <v>618</v>
      </c>
      <c r="H843" s="168" t="s">
        <v>609</v>
      </c>
      <c r="I843">
        <v>149400</v>
      </c>
    </row>
    <row r="844" spans="1:9" x14ac:dyDescent="0.3">
      <c r="A844">
        <v>76</v>
      </c>
      <c r="B844" s="168" t="s">
        <v>115</v>
      </c>
      <c r="C844" s="168" t="s">
        <v>116</v>
      </c>
      <c r="D844">
        <v>2482.1</v>
      </c>
      <c r="E844">
        <v>2020</v>
      </c>
      <c r="F844" s="168" t="s">
        <v>593</v>
      </c>
      <c r="G844" s="168" t="s">
        <v>610</v>
      </c>
      <c r="H844" s="168" t="s">
        <v>608</v>
      </c>
      <c r="I844">
        <v>0</v>
      </c>
    </row>
    <row r="845" spans="1:9" x14ac:dyDescent="0.3">
      <c r="A845">
        <v>76</v>
      </c>
      <c r="B845" s="168" t="s">
        <v>115</v>
      </c>
      <c r="C845" s="168" t="s">
        <v>116</v>
      </c>
      <c r="D845">
        <v>2482.1</v>
      </c>
      <c r="E845">
        <v>2020</v>
      </c>
      <c r="F845" s="168" t="s">
        <v>593</v>
      </c>
      <c r="G845" s="168" t="s">
        <v>610</v>
      </c>
      <c r="H845" s="168" t="s">
        <v>609</v>
      </c>
      <c r="I845">
        <v>3272.7272727272725</v>
      </c>
    </row>
    <row r="846" spans="1:9" x14ac:dyDescent="0.3">
      <c r="A846">
        <v>76</v>
      </c>
      <c r="B846" s="168" t="s">
        <v>115</v>
      </c>
      <c r="C846" s="168" t="s">
        <v>116</v>
      </c>
      <c r="D846">
        <v>2482.1</v>
      </c>
      <c r="E846">
        <v>2020</v>
      </c>
      <c r="F846" s="168" t="s">
        <v>593</v>
      </c>
      <c r="G846" s="168" t="s">
        <v>620</v>
      </c>
      <c r="H846" s="168" t="s">
        <v>608</v>
      </c>
      <c r="I846">
        <v>76952.529032258055</v>
      </c>
    </row>
    <row r="847" spans="1:9" x14ac:dyDescent="0.3">
      <c r="A847">
        <v>76</v>
      </c>
      <c r="B847" s="168" t="s">
        <v>115</v>
      </c>
      <c r="C847" s="168" t="s">
        <v>116</v>
      </c>
      <c r="D847">
        <v>2482.1</v>
      </c>
      <c r="E847">
        <v>2020</v>
      </c>
      <c r="F847" s="168" t="s">
        <v>593</v>
      </c>
      <c r="G847" s="168" t="s">
        <v>620</v>
      </c>
      <c r="H847" s="168" t="s">
        <v>609</v>
      </c>
      <c r="I847">
        <v>0</v>
      </c>
    </row>
    <row r="848" spans="1:9" x14ac:dyDescent="0.3">
      <c r="A848">
        <v>76</v>
      </c>
      <c r="B848" s="168" t="s">
        <v>115</v>
      </c>
      <c r="C848" s="168" t="s">
        <v>116</v>
      </c>
      <c r="D848">
        <v>2482.1</v>
      </c>
      <c r="E848">
        <v>2020</v>
      </c>
      <c r="F848" s="168" t="s">
        <v>593</v>
      </c>
      <c r="G848" s="168" t="s">
        <v>633</v>
      </c>
      <c r="H848" s="168" t="s">
        <v>608</v>
      </c>
      <c r="I848">
        <v>0</v>
      </c>
    </row>
    <row r="849" spans="1:9" x14ac:dyDescent="0.3">
      <c r="A849">
        <v>76</v>
      </c>
      <c r="B849" s="168" t="s">
        <v>115</v>
      </c>
      <c r="C849" s="168" t="s">
        <v>116</v>
      </c>
      <c r="D849">
        <v>2482.1</v>
      </c>
      <c r="E849">
        <v>2020</v>
      </c>
      <c r="F849" s="168" t="s">
        <v>593</v>
      </c>
      <c r="G849" s="168" t="s">
        <v>633</v>
      </c>
      <c r="H849" s="168" t="s">
        <v>609</v>
      </c>
      <c r="I849">
        <v>66106.194690265489</v>
      </c>
    </row>
    <row r="850" spans="1:9" x14ac:dyDescent="0.3">
      <c r="A850">
        <v>76</v>
      </c>
      <c r="B850" s="168" t="s">
        <v>115</v>
      </c>
      <c r="C850" s="168" t="s">
        <v>116</v>
      </c>
      <c r="D850">
        <v>2482.1</v>
      </c>
      <c r="E850">
        <v>2020</v>
      </c>
      <c r="F850" s="168" t="s">
        <v>593</v>
      </c>
      <c r="G850" s="168" t="s">
        <v>625</v>
      </c>
      <c r="H850" s="168" t="s">
        <v>608</v>
      </c>
      <c r="I850">
        <v>0</v>
      </c>
    </row>
    <row r="851" spans="1:9" x14ac:dyDescent="0.3">
      <c r="A851">
        <v>76</v>
      </c>
      <c r="B851" s="168" t="s">
        <v>115</v>
      </c>
      <c r="C851" s="168" t="s">
        <v>116</v>
      </c>
      <c r="D851">
        <v>2482.1</v>
      </c>
      <c r="E851">
        <v>2020</v>
      </c>
      <c r="F851" s="168" t="s">
        <v>593</v>
      </c>
      <c r="G851" s="168" t="s">
        <v>625</v>
      </c>
      <c r="H851" s="168" t="s">
        <v>609</v>
      </c>
      <c r="I851">
        <v>247500</v>
      </c>
    </row>
    <row r="852" spans="1:9" x14ac:dyDescent="0.3">
      <c r="A852">
        <v>76</v>
      </c>
      <c r="B852" s="168" t="s">
        <v>115</v>
      </c>
      <c r="C852" s="168" t="s">
        <v>116</v>
      </c>
      <c r="D852">
        <v>2482.1</v>
      </c>
      <c r="E852">
        <v>2020</v>
      </c>
      <c r="F852" s="168" t="s">
        <v>593</v>
      </c>
      <c r="G852" s="168" t="s">
        <v>624</v>
      </c>
      <c r="H852" s="168" t="s">
        <v>608</v>
      </c>
      <c r="I852">
        <v>37110.26511124416</v>
      </c>
    </row>
    <row r="853" spans="1:9" x14ac:dyDescent="0.3">
      <c r="A853">
        <v>76</v>
      </c>
      <c r="B853" s="168" t="s">
        <v>115</v>
      </c>
      <c r="C853" s="168" t="s">
        <v>116</v>
      </c>
      <c r="D853">
        <v>2482.1</v>
      </c>
      <c r="E853">
        <v>2020</v>
      </c>
      <c r="F853" s="168" t="s">
        <v>593</v>
      </c>
      <c r="G853" s="168" t="s">
        <v>624</v>
      </c>
      <c r="H853" s="168" t="s">
        <v>609</v>
      </c>
      <c r="I853">
        <v>39524.066991256601</v>
      </c>
    </row>
    <row r="854" spans="1:9" x14ac:dyDescent="0.3">
      <c r="A854">
        <v>76</v>
      </c>
      <c r="B854" s="168" t="s">
        <v>115</v>
      </c>
      <c r="C854" s="168" t="s">
        <v>116</v>
      </c>
      <c r="D854">
        <v>2482.1</v>
      </c>
      <c r="E854">
        <v>2020</v>
      </c>
      <c r="F854" s="168" t="s">
        <v>593</v>
      </c>
      <c r="G854" s="168" t="s">
        <v>621</v>
      </c>
      <c r="H854" s="168" t="s">
        <v>608</v>
      </c>
      <c r="I854">
        <v>0</v>
      </c>
    </row>
    <row r="855" spans="1:9" x14ac:dyDescent="0.3">
      <c r="A855">
        <v>76</v>
      </c>
      <c r="B855" s="168" t="s">
        <v>115</v>
      </c>
      <c r="C855" s="168" t="s">
        <v>116</v>
      </c>
      <c r="D855">
        <v>2482.1</v>
      </c>
      <c r="E855">
        <v>2020</v>
      </c>
      <c r="F855" s="168" t="s">
        <v>593</v>
      </c>
      <c r="G855" s="168" t="s">
        <v>621</v>
      </c>
      <c r="H855" s="168" t="s">
        <v>609</v>
      </c>
      <c r="I855">
        <v>307210.714725142</v>
      </c>
    </row>
    <row r="856" spans="1:9" x14ac:dyDescent="0.3">
      <c r="A856">
        <v>76</v>
      </c>
      <c r="B856" s="168" t="s">
        <v>115</v>
      </c>
      <c r="C856" s="168" t="s">
        <v>116</v>
      </c>
      <c r="D856">
        <v>2482.1</v>
      </c>
      <c r="E856">
        <v>2020</v>
      </c>
      <c r="F856" s="168" t="s">
        <v>593</v>
      </c>
      <c r="G856" s="168" t="s">
        <v>613</v>
      </c>
      <c r="H856" s="168" t="s">
        <v>608</v>
      </c>
      <c r="I856">
        <v>93694.547654611219</v>
      </c>
    </row>
    <row r="857" spans="1:9" x14ac:dyDescent="0.3">
      <c r="A857">
        <v>76</v>
      </c>
      <c r="B857" s="168" t="s">
        <v>115</v>
      </c>
      <c r="C857" s="168" t="s">
        <v>116</v>
      </c>
      <c r="D857">
        <v>2482.1</v>
      </c>
      <c r="E857">
        <v>2020</v>
      </c>
      <c r="F857" s="168" t="s">
        <v>593</v>
      </c>
      <c r="G857" s="168" t="s">
        <v>613</v>
      </c>
      <c r="H857" s="168" t="s">
        <v>609</v>
      </c>
      <c r="I857">
        <v>19017.182207325124</v>
      </c>
    </row>
    <row r="858" spans="1:9" x14ac:dyDescent="0.3">
      <c r="A858">
        <v>77</v>
      </c>
      <c r="B858" s="168" t="s">
        <v>117</v>
      </c>
      <c r="C858" s="168" t="s">
        <v>118</v>
      </c>
      <c r="D858">
        <v>404.9</v>
      </c>
      <c r="E858">
        <v>2020</v>
      </c>
      <c r="F858" s="168" t="s">
        <v>593</v>
      </c>
      <c r="G858" s="168" t="s">
        <v>607</v>
      </c>
      <c r="H858" s="168" t="s">
        <v>608</v>
      </c>
      <c r="I858">
        <v>54197.279999999999</v>
      </c>
    </row>
    <row r="859" spans="1:9" x14ac:dyDescent="0.3">
      <c r="A859">
        <v>77</v>
      </c>
      <c r="B859" s="168" t="s">
        <v>117</v>
      </c>
      <c r="C859" s="168" t="s">
        <v>118</v>
      </c>
      <c r="D859">
        <v>404.9</v>
      </c>
      <c r="E859">
        <v>2020</v>
      </c>
      <c r="F859" s="168" t="s">
        <v>593</v>
      </c>
      <c r="G859" s="168" t="s">
        <v>607</v>
      </c>
      <c r="H859" s="168" t="s">
        <v>609</v>
      </c>
      <c r="I859">
        <v>0</v>
      </c>
    </row>
    <row r="860" spans="1:9" x14ac:dyDescent="0.3">
      <c r="A860">
        <v>77</v>
      </c>
      <c r="B860" s="168" t="s">
        <v>117</v>
      </c>
      <c r="C860" s="168" t="s">
        <v>118</v>
      </c>
      <c r="D860">
        <v>404.9</v>
      </c>
      <c r="E860">
        <v>2020</v>
      </c>
      <c r="F860" s="168" t="s">
        <v>593</v>
      </c>
      <c r="G860" s="168" t="s">
        <v>612</v>
      </c>
      <c r="H860" s="168" t="s">
        <v>608</v>
      </c>
      <c r="I860">
        <v>0</v>
      </c>
    </row>
    <row r="861" spans="1:9" x14ac:dyDescent="0.3">
      <c r="A861">
        <v>77</v>
      </c>
      <c r="B861" s="168" t="s">
        <v>117</v>
      </c>
      <c r="C861" s="168" t="s">
        <v>118</v>
      </c>
      <c r="D861">
        <v>404.9</v>
      </c>
      <c r="E861">
        <v>2020</v>
      </c>
      <c r="F861" s="168" t="s">
        <v>593</v>
      </c>
      <c r="G861" s="168" t="s">
        <v>612</v>
      </c>
      <c r="H861" s="168" t="s">
        <v>609</v>
      </c>
      <c r="I861">
        <v>507.36602205394416</v>
      </c>
    </row>
    <row r="862" spans="1:9" x14ac:dyDescent="0.3">
      <c r="A862">
        <v>77</v>
      </c>
      <c r="B862" s="168" t="s">
        <v>117</v>
      </c>
      <c r="C862" s="168" t="s">
        <v>118</v>
      </c>
      <c r="D862">
        <v>404.9</v>
      </c>
      <c r="E862">
        <v>2020</v>
      </c>
      <c r="F862" s="168" t="s">
        <v>593</v>
      </c>
      <c r="G862" s="168" t="s">
        <v>611</v>
      </c>
      <c r="H862" s="168" t="s">
        <v>608</v>
      </c>
      <c r="I862">
        <v>0</v>
      </c>
    </row>
    <row r="863" spans="1:9" x14ac:dyDescent="0.3">
      <c r="A863">
        <v>77</v>
      </c>
      <c r="B863" s="168" t="s">
        <v>117</v>
      </c>
      <c r="C863" s="168" t="s">
        <v>118</v>
      </c>
      <c r="D863">
        <v>404.9</v>
      </c>
      <c r="E863">
        <v>2020</v>
      </c>
      <c r="F863" s="168" t="s">
        <v>593</v>
      </c>
      <c r="G863" s="168" t="s">
        <v>611</v>
      </c>
      <c r="H863" s="168" t="s">
        <v>609</v>
      </c>
      <c r="I863">
        <v>2884.5984934354437</v>
      </c>
    </row>
    <row r="864" spans="1:9" x14ac:dyDescent="0.3">
      <c r="A864">
        <v>78</v>
      </c>
      <c r="B864" s="168" t="s">
        <v>119</v>
      </c>
      <c r="C864" s="168" t="s">
        <v>120</v>
      </c>
      <c r="D864">
        <v>5741.2</v>
      </c>
      <c r="E864">
        <v>2020</v>
      </c>
      <c r="F864" s="168" t="s">
        <v>592</v>
      </c>
      <c r="G864" s="168" t="s">
        <v>612</v>
      </c>
      <c r="H864" s="168" t="s">
        <v>608</v>
      </c>
      <c r="I864">
        <v>0</v>
      </c>
    </row>
    <row r="865" spans="1:9" x14ac:dyDescent="0.3">
      <c r="A865">
        <v>78</v>
      </c>
      <c r="B865" s="168" t="s">
        <v>119</v>
      </c>
      <c r="C865" s="168" t="s">
        <v>120</v>
      </c>
      <c r="D865">
        <v>5741.2</v>
      </c>
      <c r="E865">
        <v>2020</v>
      </c>
      <c r="F865" s="168" t="s">
        <v>592</v>
      </c>
      <c r="G865" s="168" t="s">
        <v>612</v>
      </c>
      <c r="H865" s="168" t="s">
        <v>609</v>
      </c>
      <c r="I865">
        <v>7194.096828392454</v>
      </c>
    </row>
    <row r="866" spans="1:9" x14ac:dyDescent="0.3">
      <c r="A866">
        <v>78</v>
      </c>
      <c r="B866" s="168" t="s">
        <v>119</v>
      </c>
      <c r="C866" s="168" t="s">
        <v>120</v>
      </c>
      <c r="D866">
        <v>5741.2</v>
      </c>
      <c r="E866">
        <v>2020</v>
      </c>
      <c r="F866" s="168" t="s">
        <v>592</v>
      </c>
      <c r="G866" s="168" t="s">
        <v>617</v>
      </c>
      <c r="H866" s="168" t="s">
        <v>608</v>
      </c>
      <c r="I866">
        <v>3877.7887358030061</v>
      </c>
    </row>
    <row r="867" spans="1:9" x14ac:dyDescent="0.3">
      <c r="A867">
        <v>78</v>
      </c>
      <c r="B867" s="168" t="s">
        <v>119</v>
      </c>
      <c r="C867" s="168" t="s">
        <v>120</v>
      </c>
      <c r="D867">
        <v>5741.2</v>
      </c>
      <c r="E867">
        <v>2020</v>
      </c>
      <c r="F867" s="168" t="s">
        <v>592</v>
      </c>
      <c r="G867" s="168" t="s">
        <v>617</v>
      </c>
      <c r="H867" s="168" t="s">
        <v>609</v>
      </c>
      <c r="I867">
        <v>2908.3415518522547</v>
      </c>
    </row>
    <row r="868" spans="1:9" x14ac:dyDescent="0.3">
      <c r="A868">
        <v>78</v>
      </c>
      <c r="B868" s="168" t="s">
        <v>119</v>
      </c>
      <c r="C868" s="168" t="s">
        <v>120</v>
      </c>
      <c r="D868">
        <v>5741.2</v>
      </c>
      <c r="E868">
        <v>2020</v>
      </c>
      <c r="F868" s="168" t="s">
        <v>592</v>
      </c>
      <c r="G868" s="168" t="s">
        <v>610</v>
      </c>
      <c r="H868" s="168" t="s">
        <v>608</v>
      </c>
      <c r="I868">
        <v>0</v>
      </c>
    </row>
    <row r="869" spans="1:9" x14ac:dyDescent="0.3">
      <c r="A869">
        <v>78</v>
      </c>
      <c r="B869" s="168" t="s">
        <v>119</v>
      </c>
      <c r="C869" s="168" t="s">
        <v>120</v>
      </c>
      <c r="D869">
        <v>5741.2</v>
      </c>
      <c r="E869">
        <v>2020</v>
      </c>
      <c r="F869" s="168" t="s">
        <v>592</v>
      </c>
      <c r="G869" s="168" t="s">
        <v>610</v>
      </c>
      <c r="H869" s="168" t="s">
        <v>609</v>
      </c>
      <c r="I869">
        <v>6545.454545454545</v>
      </c>
    </row>
    <row r="870" spans="1:9" x14ac:dyDescent="0.3">
      <c r="A870">
        <v>78</v>
      </c>
      <c r="B870" s="168" t="s">
        <v>119</v>
      </c>
      <c r="C870" s="168" t="s">
        <v>120</v>
      </c>
      <c r="D870">
        <v>5741.2</v>
      </c>
      <c r="E870">
        <v>2020</v>
      </c>
      <c r="F870" s="168" t="s">
        <v>592</v>
      </c>
      <c r="G870" s="168" t="s">
        <v>620</v>
      </c>
      <c r="H870" s="168" t="s">
        <v>608</v>
      </c>
      <c r="I870">
        <v>19238.132258064514</v>
      </c>
    </row>
    <row r="871" spans="1:9" x14ac:dyDescent="0.3">
      <c r="A871">
        <v>78</v>
      </c>
      <c r="B871" s="168" t="s">
        <v>119</v>
      </c>
      <c r="C871" s="168" t="s">
        <v>120</v>
      </c>
      <c r="D871">
        <v>5741.2</v>
      </c>
      <c r="E871">
        <v>2020</v>
      </c>
      <c r="F871" s="168" t="s">
        <v>592</v>
      </c>
      <c r="G871" s="168" t="s">
        <v>620</v>
      </c>
      <c r="H871" s="168" t="s">
        <v>609</v>
      </c>
      <c r="I871">
        <v>0</v>
      </c>
    </row>
    <row r="872" spans="1:9" x14ac:dyDescent="0.3">
      <c r="A872">
        <v>78</v>
      </c>
      <c r="B872" s="168" t="s">
        <v>119</v>
      </c>
      <c r="C872" s="168" t="s">
        <v>120</v>
      </c>
      <c r="D872">
        <v>5741.2</v>
      </c>
      <c r="E872">
        <v>2020</v>
      </c>
      <c r="F872" s="168" t="s">
        <v>592</v>
      </c>
      <c r="G872" s="168" t="s">
        <v>615</v>
      </c>
      <c r="H872" s="168" t="s">
        <v>608</v>
      </c>
      <c r="I872">
        <v>0</v>
      </c>
    </row>
    <row r="873" spans="1:9" x14ac:dyDescent="0.3">
      <c r="A873">
        <v>78</v>
      </c>
      <c r="B873" s="168" t="s">
        <v>119</v>
      </c>
      <c r="C873" s="168" t="s">
        <v>120</v>
      </c>
      <c r="D873">
        <v>5741.2</v>
      </c>
      <c r="E873">
        <v>2020</v>
      </c>
      <c r="F873" s="168" t="s">
        <v>592</v>
      </c>
      <c r="G873" s="168" t="s">
        <v>615</v>
      </c>
      <c r="H873" s="168" t="s">
        <v>609</v>
      </c>
      <c r="I873">
        <v>15073.170731707318</v>
      </c>
    </row>
    <row r="874" spans="1:9" x14ac:dyDescent="0.3">
      <c r="A874">
        <v>78</v>
      </c>
      <c r="B874" s="168" t="s">
        <v>119</v>
      </c>
      <c r="C874" s="168" t="s">
        <v>120</v>
      </c>
      <c r="D874">
        <v>5741.2</v>
      </c>
      <c r="E874">
        <v>2020</v>
      </c>
      <c r="F874" s="168" t="s">
        <v>592</v>
      </c>
      <c r="G874" s="168" t="s">
        <v>624</v>
      </c>
      <c r="H874" s="168" t="s">
        <v>608</v>
      </c>
      <c r="I874">
        <v>107403.78907200749</v>
      </c>
    </row>
    <row r="875" spans="1:9" x14ac:dyDescent="0.3">
      <c r="A875">
        <v>78</v>
      </c>
      <c r="B875" s="168" t="s">
        <v>119</v>
      </c>
      <c r="C875" s="168" t="s">
        <v>120</v>
      </c>
      <c r="D875">
        <v>5741.2</v>
      </c>
      <c r="E875">
        <v>2020</v>
      </c>
      <c r="F875" s="168" t="s">
        <v>592</v>
      </c>
      <c r="G875" s="168" t="s">
        <v>624</v>
      </c>
      <c r="H875" s="168" t="s">
        <v>609</v>
      </c>
      <c r="I875">
        <v>112987.01269455589</v>
      </c>
    </row>
    <row r="876" spans="1:9" x14ac:dyDescent="0.3">
      <c r="A876">
        <v>78</v>
      </c>
      <c r="B876" s="168" t="s">
        <v>119</v>
      </c>
      <c r="C876" s="168" t="s">
        <v>120</v>
      </c>
      <c r="D876">
        <v>5741.2</v>
      </c>
      <c r="E876">
        <v>2020</v>
      </c>
      <c r="F876" s="168" t="s">
        <v>592</v>
      </c>
      <c r="G876" s="168" t="s">
        <v>613</v>
      </c>
      <c r="H876" s="168" t="s">
        <v>608</v>
      </c>
      <c r="I876">
        <v>216719.36545451594</v>
      </c>
    </row>
    <row r="877" spans="1:9" x14ac:dyDescent="0.3">
      <c r="A877">
        <v>78</v>
      </c>
      <c r="B877" s="168" t="s">
        <v>119</v>
      </c>
      <c r="C877" s="168" t="s">
        <v>120</v>
      </c>
      <c r="D877">
        <v>5741.2</v>
      </c>
      <c r="E877">
        <v>2020</v>
      </c>
      <c r="F877" s="168" t="s">
        <v>592</v>
      </c>
      <c r="G877" s="168" t="s">
        <v>613</v>
      </c>
      <c r="H877" s="168" t="s">
        <v>609</v>
      </c>
      <c r="I877">
        <v>43987.529305303979</v>
      </c>
    </row>
    <row r="878" spans="1:9" x14ac:dyDescent="0.3">
      <c r="A878">
        <v>78</v>
      </c>
      <c r="B878" s="168" t="s">
        <v>119</v>
      </c>
      <c r="C878" s="168" t="s">
        <v>120</v>
      </c>
      <c r="D878">
        <v>5741.2</v>
      </c>
      <c r="E878">
        <v>2020</v>
      </c>
      <c r="F878" s="168" t="s">
        <v>592</v>
      </c>
      <c r="G878" s="168" t="s">
        <v>622</v>
      </c>
      <c r="H878" s="168" t="s">
        <v>608</v>
      </c>
      <c r="I878">
        <v>78457.198765190129</v>
      </c>
    </row>
    <row r="879" spans="1:9" x14ac:dyDescent="0.3">
      <c r="A879">
        <v>78</v>
      </c>
      <c r="B879" s="168" t="s">
        <v>119</v>
      </c>
      <c r="C879" s="168" t="s">
        <v>120</v>
      </c>
      <c r="D879">
        <v>5741.2</v>
      </c>
      <c r="E879">
        <v>2020</v>
      </c>
      <c r="F879" s="168" t="s">
        <v>592</v>
      </c>
      <c r="G879" s="168" t="s">
        <v>622</v>
      </c>
      <c r="H879" s="168" t="s">
        <v>609</v>
      </c>
      <c r="I879">
        <v>0</v>
      </c>
    </row>
    <row r="880" spans="1:9" x14ac:dyDescent="0.3">
      <c r="A880">
        <v>79</v>
      </c>
      <c r="B880" s="168" t="s">
        <v>121</v>
      </c>
      <c r="C880" s="168" t="s">
        <v>122</v>
      </c>
      <c r="D880">
        <v>9.1999999999999993</v>
      </c>
      <c r="E880">
        <v>2020</v>
      </c>
      <c r="F880" s="168" t="s">
        <v>593</v>
      </c>
      <c r="G880" s="168" t="s">
        <v>612</v>
      </c>
      <c r="H880" s="168" t="s">
        <v>608</v>
      </c>
      <c r="I880">
        <v>0</v>
      </c>
    </row>
    <row r="881" spans="1:9" x14ac:dyDescent="0.3">
      <c r="A881">
        <v>79</v>
      </c>
      <c r="B881" s="168" t="s">
        <v>121</v>
      </c>
      <c r="C881" s="168" t="s">
        <v>122</v>
      </c>
      <c r="D881">
        <v>9.1999999999999993</v>
      </c>
      <c r="E881">
        <v>2020</v>
      </c>
      <c r="F881" s="168" t="s">
        <v>593</v>
      </c>
      <c r="G881" s="168" t="s">
        <v>612</v>
      </c>
      <c r="H881" s="168" t="s">
        <v>609</v>
      </c>
      <c r="I881">
        <v>11.52819808075151</v>
      </c>
    </row>
    <row r="882" spans="1:9" x14ac:dyDescent="0.3">
      <c r="A882">
        <v>79</v>
      </c>
      <c r="B882" s="168" t="s">
        <v>121</v>
      </c>
      <c r="C882" s="168" t="s">
        <v>122</v>
      </c>
      <c r="D882">
        <v>9.1999999999999993</v>
      </c>
      <c r="E882">
        <v>2020</v>
      </c>
      <c r="F882" s="168" t="s">
        <v>593</v>
      </c>
      <c r="G882" s="168" t="s">
        <v>617</v>
      </c>
      <c r="H882" s="168" t="s">
        <v>608</v>
      </c>
      <c r="I882">
        <v>6.213972056257866</v>
      </c>
    </row>
    <row r="883" spans="1:9" x14ac:dyDescent="0.3">
      <c r="A883">
        <v>79</v>
      </c>
      <c r="B883" s="168" t="s">
        <v>121</v>
      </c>
      <c r="C883" s="168" t="s">
        <v>122</v>
      </c>
      <c r="D883">
        <v>9.1999999999999993</v>
      </c>
      <c r="E883">
        <v>2020</v>
      </c>
      <c r="F883" s="168" t="s">
        <v>593</v>
      </c>
      <c r="G883" s="168" t="s">
        <v>617</v>
      </c>
      <c r="H883" s="168" t="s">
        <v>609</v>
      </c>
      <c r="I883">
        <v>4.6604790421933995</v>
      </c>
    </row>
    <row r="884" spans="1:9" x14ac:dyDescent="0.3">
      <c r="A884">
        <v>79</v>
      </c>
      <c r="B884" s="168" t="s">
        <v>121</v>
      </c>
      <c r="C884" s="168" t="s">
        <v>122</v>
      </c>
      <c r="D884">
        <v>9.1999999999999993</v>
      </c>
      <c r="E884">
        <v>2020</v>
      </c>
      <c r="F884" s="168" t="s">
        <v>593</v>
      </c>
      <c r="G884" s="168" t="s">
        <v>624</v>
      </c>
      <c r="H884" s="168" t="s">
        <v>608</v>
      </c>
      <c r="I884">
        <v>34.558826647860464</v>
      </c>
    </row>
    <row r="885" spans="1:9" x14ac:dyDescent="0.3">
      <c r="A885">
        <v>79</v>
      </c>
      <c r="B885" s="168" t="s">
        <v>121</v>
      </c>
      <c r="C885" s="168" t="s">
        <v>122</v>
      </c>
      <c r="D885">
        <v>9.1999999999999993</v>
      </c>
      <c r="E885">
        <v>2020</v>
      </c>
      <c r="F885" s="168" t="s">
        <v>593</v>
      </c>
      <c r="G885" s="168" t="s">
        <v>624</v>
      </c>
      <c r="H885" s="168" t="s">
        <v>609</v>
      </c>
      <c r="I885">
        <v>34.558826647860464</v>
      </c>
    </row>
    <row r="886" spans="1:9" x14ac:dyDescent="0.3">
      <c r="A886">
        <v>80</v>
      </c>
      <c r="B886" s="168" t="s">
        <v>123</v>
      </c>
      <c r="C886" s="168" t="s">
        <v>124</v>
      </c>
      <c r="D886">
        <v>43</v>
      </c>
      <c r="E886">
        <v>2020</v>
      </c>
      <c r="F886" s="168" t="s">
        <v>593</v>
      </c>
      <c r="G886" s="168" t="s">
        <v>612</v>
      </c>
      <c r="H886" s="168" t="s">
        <v>608</v>
      </c>
      <c r="I886">
        <v>0</v>
      </c>
    </row>
    <row r="887" spans="1:9" x14ac:dyDescent="0.3">
      <c r="A887">
        <v>80</v>
      </c>
      <c r="B887" s="168" t="s">
        <v>123</v>
      </c>
      <c r="C887" s="168" t="s">
        <v>124</v>
      </c>
      <c r="D887">
        <v>43</v>
      </c>
      <c r="E887">
        <v>2020</v>
      </c>
      <c r="F887" s="168" t="s">
        <v>593</v>
      </c>
      <c r="G887" s="168" t="s">
        <v>612</v>
      </c>
      <c r="H887" s="168" t="s">
        <v>609</v>
      </c>
      <c r="I887">
        <v>53.88179537742554</v>
      </c>
    </row>
    <row r="888" spans="1:9" x14ac:dyDescent="0.3">
      <c r="A888">
        <v>80</v>
      </c>
      <c r="B888" s="168" t="s">
        <v>123</v>
      </c>
      <c r="C888" s="168" t="s">
        <v>124</v>
      </c>
      <c r="D888">
        <v>43</v>
      </c>
      <c r="E888">
        <v>2020</v>
      </c>
      <c r="F888" s="168" t="s">
        <v>593</v>
      </c>
      <c r="G888" s="168" t="s">
        <v>617</v>
      </c>
      <c r="H888" s="168" t="s">
        <v>608</v>
      </c>
      <c r="I888">
        <v>29.04356504555307</v>
      </c>
    </row>
    <row r="889" spans="1:9" x14ac:dyDescent="0.3">
      <c r="A889">
        <v>80</v>
      </c>
      <c r="B889" s="168" t="s">
        <v>123</v>
      </c>
      <c r="C889" s="168" t="s">
        <v>124</v>
      </c>
      <c r="D889">
        <v>43</v>
      </c>
      <c r="E889">
        <v>2020</v>
      </c>
      <c r="F889" s="168" t="s">
        <v>593</v>
      </c>
      <c r="G889" s="168" t="s">
        <v>617</v>
      </c>
      <c r="H889" s="168" t="s">
        <v>609</v>
      </c>
      <c r="I889">
        <v>21.782673784164803</v>
      </c>
    </row>
    <row r="890" spans="1:9" x14ac:dyDescent="0.3">
      <c r="A890">
        <v>80</v>
      </c>
      <c r="B890" s="168" t="s">
        <v>123</v>
      </c>
      <c r="C890" s="168" t="s">
        <v>124</v>
      </c>
      <c r="D890">
        <v>43</v>
      </c>
      <c r="E890">
        <v>2020</v>
      </c>
      <c r="F890" s="168" t="s">
        <v>593</v>
      </c>
      <c r="G890" s="168" t="s">
        <v>624</v>
      </c>
      <c r="H890" s="168" t="s">
        <v>608</v>
      </c>
      <c r="I890">
        <v>161.52495063673913</v>
      </c>
    </row>
    <row r="891" spans="1:9" x14ac:dyDescent="0.3">
      <c r="A891">
        <v>80</v>
      </c>
      <c r="B891" s="168" t="s">
        <v>123</v>
      </c>
      <c r="C891" s="168" t="s">
        <v>124</v>
      </c>
      <c r="D891">
        <v>43</v>
      </c>
      <c r="E891">
        <v>2020</v>
      </c>
      <c r="F891" s="168" t="s">
        <v>593</v>
      </c>
      <c r="G891" s="168" t="s">
        <v>624</v>
      </c>
      <c r="H891" s="168" t="s">
        <v>609</v>
      </c>
      <c r="I891">
        <v>161.52495063673913</v>
      </c>
    </row>
    <row r="892" spans="1:9" x14ac:dyDescent="0.3">
      <c r="A892">
        <v>81</v>
      </c>
      <c r="B892" s="168" t="s">
        <v>123</v>
      </c>
      <c r="C892" s="168" t="s">
        <v>125</v>
      </c>
      <c r="D892">
        <v>31.6</v>
      </c>
      <c r="E892">
        <v>2020</v>
      </c>
      <c r="F892" s="168" t="s">
        <v>593</v>
      </c>
      <c r="G892" s="168" t="s">
        <v>612</v>
      </c>
      <c r="H892" s="168" t="s">
        <v>608</v>
      </c>
      <c r="I892">
        <v>0</v>
      </c>
    </row>
    <row r="893" spans="1:9" x14ac:dyDescent="0.3">
      <c r="A893">
        <v>81</v>
      </c>
      <c r="B893" s="168" t="s">
        <v>123</v>
      </c>
      <c r="C893" s="168" t="s">
        <v>125</v>
      </c>
      <c r="D893">
        <v>31.6</v>
      </c>
      <c r="E893">
        <v>2020</v>
      </c>
      <c r="F893" s="168" t="s">
        <v>593</v>
      </c>
      <c r="G893" s="168" t="s">
        <v>612</v>
      </c>
      <c r="H893" s="168" t="s">
        <v>609</v>
      </c>
      <c r="I893">
        <v>39.596854277363889</v>
      </c>
    </row>
    <row r="894" spans="1:9" x14ac:dyDescent="0.3">
      <c r="A894">
        <v>81</v>
      </c>
      <c r="B894" s="168" t="s">
        <v>123</v>
      </c>
      <c r="C894" s="168" t="s">
        <v>125</v>
      </c>
      <c r="D894">
        <v>31.6</v>
      </c>
      <c r="E894">
        <v>2020</v>
      </c>
      <c r="F894" s="168" t="s">
        <v>593</v>
      </c>
      <c r="G894" s="168" t="s">
        <v>617</v>
      </c>
      <c r="H894" s="168" t="s">
        <v>608</v>
      </c>
      <c r="I894">
        <v>21.34364314975528</v>
      </c>
    </row>
    <row r="895" spans="1:9" x14ac:dyDescent="0.3">
      <c r="A895">
        <v>81</v>
      </c>
      <c r="B895" s="168" t="s">
        <v>123</v>
      </c>
      <c r="C895" s="168" t="s">
        <v>125</v>
      </c>
      <c r="D895">
        <v>31.6</v>
      </c>
      <c r="E895">
        <v>2020</v>
      </c>
      <c r="F895" s="168" t="s">
        <v>593</v>
      </c>
      <c r="G895" s="168" t="s">
        <v>617</v>
      </c>
      <c r="H895" s="168" t="s">
        <v>609</v>
      </c>
      <c r="I895">
        <v>16.00773236231646</v>
      </c>
    </row>
    <row r="896" spans="1:9" x14ac:dyDescent="0.3">
      <c r="A896">
        <v>81</v>
      </c>
      <c r="B896" s="168" t="s">
        <v>123</v>
      </c>
      <c r="C896" s="168" t="s">
        <v>125</v>
      </c>
      <c r="D896">
        <v>31.6</v>
      </c>
      <c r="E896">
        <v>2020</v>
      </c>
      <c r="F896" s="168" t="s">
        <v>593</v>
      </c>
      <c r="G896" s="168" t="s">
        <v>624</v>
      </c>
      <c r="H896" s="168" t="s">
        <v>608</v>
      </c>
      <c r="I896">
        <v>118.70205674699901</v>
      </c>
    </row>
    <row r="897" spans="1:9" x14ac:dyDescent="0.3">
      <c r="A897">
        <v>81</v>
      </c>
      <c r="B897" s="168" t="s">
        <v>123</v>
      </c>
      <c r="C897" s="168" t="s">
        <v>125</v>
      </c>
      <c r="D897">
        <v>31.6</v>
      </c>
      <c r="E897">
        <v>2020</v>
      </c>
      <c r="F897" s="168" t="s">
        <v>593</v>
      </c>
      <c r="G897" s="168" t="s">
        <v>624</v>
      </c>
      <c r="H897" s="168" t="s">
        <v>609</v>
      </c>
      <c r="I897">
        <v>118.70205674699901</v>
      </c>
    </row>
    <row r="898" spans="1:9" x14ac:dyDescent="0.3">
      <c r="A898">
        <v>82</v>
      </c>
      <c r="B898" s="168" t="s">
        <v>126</v>
      </c>
      <c r="C898" s="168" t="s">
        <v>127</v>
      </c>
      <c r="D898">
        <v>147.5</v>
      </c>
      <c r="E898">
        <v>2020</v>
      </c>
      <c r="F898" s="168" t="s">
        <v>593</v>
      </c>
      <c r="G898" s="168" t="s">
        <v>612</v>
      </c>
      <c r="H898" s="168" t="s">
        <v>608</v>
      </c>
      <c r="I898">
        <v>0</v>
      </c>
    </row>
    <row r="899" spans="1:9" x14ac:dyDescent="0.3">
      <c r="A899">
        <v>82</v>
      </c>
      <c r="B899" s="168" t="s">
        <v>126</v>
      </c>
      <c r="C899" s="168" t="s">
        <v>127</v>
      </c>
      <c r="D899">
        <v>147.5</v>
      </c>
      <c r="E899">
        <v>2020</v>
      </c>
      <c r="F899" s="168" t="s">
        <v>593</v>
      </c>
      <c r="G899" s="168" t="s">
        <v>612</v>
      </c>
      <c r="H899" s="168" t="s">
        <v>609</v>
      </c>
      <c r="I899">
        <v>184.82708879465739</v>
      </c>
    </row>
    <row r="900" spans="1:9" x14ac:dyDescent="0.3">
      <c r="A900">
        <v>82</v>
      </c>
      <c r="B900" s="168" t="s">
        <v>126</v>
      </c>
      <c r="C900" s="168" t="s">
        <v>127</v>
      </c>
      <c r="D900">
        <v>147.5</v>
      </c>
      <c r="E900">
        <v>2020</v>
      </c>
      <c r="F900" s="168" t="s">
        <v>593</v>
      </c>
      <c r="G900" s="168" t="s">
        <v>617</v>
      </c>
      <c r="H900" s="168" t="s">
        <v>608</v>
      </c>
      <c r="I900">
        <v>99.626182423699476</v>
      </c>
    </row>
    <row r="901" spans="1:9" x14ac:dyDescent="0.3">
      <c r="A901">
        <v>82</v>
      </c>
      <c r="B901" s="168" t="s">
        <v>126</v>
      </c>
      <c r="C901" s="168" t="s">
        <v>127</v>
      </c>
      <c r="D901">
        <v>147.5</v>
      </c>
      <c r="E901">
        <v>2020</v>
      </c>
      <c r="F901" s="168" t="s">
        <v>593</v>
      </c>
      <c r="G901" s="168" t="s">
        <v>617</v>
      </c>
      <c r="H901" s="168" t="s">
        <v>609</v>
      </c>
      <c r="I901">
        <v>74.7196368177746</v>
      </c>
    </row>
    <row r="902" spans="1:9" x14ac:dyDescent="0.3">
      <c r="A902">
        <v>82</v>
      </c>
      <c r="B902" s="168" t="s">
        <v>126</v>
      </c>
      <c r="C902" s="168" t="s">
        <v>127</v>
      </c>
      <c r="D902">
        <v>147.5</v>
      </c>
      <c r="E902">
        <v>2020</v>
      </c>
      <c r="F902" s="168" t="s">
        <v>593</v>
      </c>
      <c r="G902" s="168" t="s">
        <v>624</v>
      </c>
      <c r="H902" s="168" t="s">
        <v>608</v>
      </c>
      <c r="I902">
        <v>554.06814462602381</v>
      </c>
    </row>
    <row r="903" spans="1:9" x14ac:dyDescent="0.3">
      <c r="A903">
        <v>82</v>
      </c>
      <c r="B903" s="168" t="s">
        <v>126</v>
      </c>
      <c r="C903" s="168" t="s">
        <v>127</v>
      </c>
      <c r="D903">
        <v>147.5</v>
      </c>
      <c r="E903">
        <v>2020</v>
      </c>
      <c r="F903" s="168" t="s">
        <v>593</v>
      </c>
      <c r="G903" s="168" t="s">
        <v>624</v>
      </c>
      <c r="H903" s="168" t="s">
        <v>609</v>
      </c>
      <c r="I903">
        <v>554.06814462602381</v>
      </c>
    </row>
    <row r="904" spans="1:9" x14ac:dyDescent="0.3">
      <c r="A904">
        <v>83</v>
      </c>
      <c r="B904" s="168" t="s">
        <v>128</v>
      </c>
      <c r="C904" s="168" t="s">
        <v>129</v>
      </c>
      <c r="D904">
        <v>3106.9</v>
      </c>
      <c r="E904">
        <v>2020</v>
      </c>
      <c r="F904" s="168" t="s">
        <v>592</v>
      </c>
      <c r="G904" s="168" t="s">
        <v>612</v>
      </c>
      <c r="H904" s="168" t="s">
        <v>608</v>
      </c>
      <c r="I904">
        <v>33656</v>
      </c>
    </row>
    <row r="905" spans="1:9" x14ac:dyDescent="0.3">
      <c r="A905">
        <v>83</v>
      </c>
      <c r="B905" s="168" t="s">
        <v>128</v>
      </c>
      <c r="C905" s="168" t="s">
        <v>129</v>
      </c>
      <c r="D905">
        <v>3106.9</v>
      </c>
      <c r="E905">
        <v>2020</v>
      </c>
      <c r="F905" s="168" t="s">
        <v>592</v>
      </c>
      <c r="G905" s="168" t="s">
        <v>612</v>
      </c>
      <c r="H905" s="168" t="s">
        <v>609</v>
      </c>
      <c r="I905">
        <v>53893.147675770313</v>
      </c>
    </row>
    <row r="906" spans="1:9" x14ac:dyDescent="0.3">
      <c r="A906">
        <v>83</v>
      </c>
      <c r="B906" s="168" t="s">
        <v>128</v>
      </c>
      <c r="C906" s="168" t="s">
        <v>129</v>
      </c>
      <c r="D906">
        <v>3106.9</v>
      </c>
      <c r="E906">
        <v>2020</v>
      </c>
      <c r="F906" s="168" t="s">
        <v>592</v>
      </c>
      <c r="G906" s="168" t="s">
        <v>616</v>
      </c>
      <c r="H906" s="168" t="s">
        <v>608</v>
      </c>
      <c r="I906">
        <v>0</v>
      </c>
    </row>
    <row r="907" spans="1:9" x14ac:dyDescent="0.3">
      <c r="A907">
        <v>83</v>
      </c>
      <c r="B907" s="168" t="s">
        <v>128</v>
      </c>
      <c r="C907" s="168" t="s">
        <v>129</v>
      </c>
      <c r="D907">
        <v>3106.9</v>
      </c>
      <c r="E907">
        <v>2020</v>
      </c>
      <c r="F907" s="168" t="s">
        <v>592</v>
      </c>
      <c r="G907" s="168" t="s">
        <v>616</v>
      </c>
      <c r="H907" s="168" t="s">
        <v>609</v>
      </c>
      <c r="I907">
        <v>259290.32</v>
      </c>
    </row>
    <row r="908" spans="1:9" x14ac:dyDescent="0.3">
      <c r="A908">
        <v>83</v>
      </c>
      <c r="B908" s="168" t="s">
        <v>128</v>
      </c>
      <c r="C908" s="168" t="s">
        <v>129</v>
      </c>
      <c r="D908">
        <v>3106.9</v>
      </c>
      <c r="E908">
        <v>2020</v>
      </c>
      <c r="F908" s="168" t="s">
        <v>592</v>
      </c>
      <c r="G908" s="168" t="s">
        <v>617</v>
      </c>
      <c r="H908" s="168" t="s">
        <v>608</v>
      </c>
      <c r="I908">
        <v>2098.4988893029963</v>
      </c>
    </row>
    <row r="909" spans="1:9" x14ac:dyDescent="0.3">
      <c r="A909">
        <v>83</v>
      </c>
      <c r="B909" s="168" t="s">
        <v>128</v>
      </c>
      <c r="C909" s="168" t="s">
        <v>129</v>
      </c>
      <c r="D909">
        <v>3106.9</v>
      </c>
      <c r="E909">
        <v>2020</v>
      </c>
      <c r="F909" s="168" t="s">
        <v>592</v>
      </c>
      <c r="G909" s="168" t="s">
        <v>617</v>
      </c>
      <c r="H909" s="168" t="s">
        <v>609</v>
      </c>
      <c r="I909">
        <v>1573.8741669772501</v>
      </c>
    </row>
    <row r="910" spans="1:9" x14ac:dyDescent="0.3">
      <c r="A910">
        <v>83</v>
      </c>
      <c r="B910" s="168" t="s">
        <v>128</v>
      </c>
      <c r="C910" s="168" t="s">
        <v>129</v>
      </c>
      <c r="D910">
        <v>3106.9</v>
      </c>
      <c r="E910">
        <v>2020</v>
      </c>
      <c r="F910" s="168" t="s">
        <v>592</v>
      </c>
      <c r="G910" s="168" t="s">
        <v>618</v>
      </c>
      <c r="H910" s="168" t="s">
        <v>608</v>
      </c>
      <c r="I910">
        <v>0</v>
      </c>
    </row>
    <row r="911" spans="1:9" x14ac:dyDescent="0.3">
      <c r="A911">
        <v>83</v>
      </c>
      <c r="B911" s="168" t="s">
        <v>128</v>
      </c>
      <c r="C911" s="168" t="s">
        <v>129</v>
      </c>
      <c r="D911">
        <v>3106.9</v>
      </c>
      <c r="E911">
        <v>2020</v>
      </c>
      <c r="F911" s="168" t="s">
        <v>592</v>
      </c>
      <c r="G911" s="168" t="s">
        <v>618</v>
      </c>
      <c r="H911" s="168" t="s">
        <v>609</v>
      </c>
      <c r="I911">
        <v>15977.528089887641</v>
      </c>
    </row>
    <row r="912" spans="1:9" x14ac:dyDescent="0.3">
      <c r="A912">
        <v>83</v>
      </c>
      <c r="B912" s="168" t="s">
        <v>128</v>
      </c>
      <c r="C912" s="168" t="s">
        <v>129</v>
      </c>
      <c r="D912">
        <v>3106.9</v>
      </c>
      <c r="E912">
        <v>2020</v>
      </c>
      <c r="F912" s="168" t="s">
        <v>592</v>
      </c>
      <c r="G912" s="168" t="s">
        <v>610</v>
      </c>
      <c r="H912" s="168" t="s">
        <v>608</v>
      </c>
      <c r="I912">
        <v>0</v>
      </c>
    </row>
    <row r="913" spans="1:9" x14ac:dyDescent="0.3">
      <c r="A913">
        <v>83</v>
      </c>
      <c r="B913" s="168" t="s">
        <v>128</v>
      </c>
      <c r="C913" s="168" t="s">
        <v>129</v>
      </c>
      <c r="D913">
        <v>3106.9</v>
      </c>
      <c r="E913">
        <v>2020</v>
      </c>
      <c r="F913" s="168" t="s">
        <v>592</v>
      </c>
      <c r="G913" s="168" t="s">
        <v>610</v>
      </c>
      <c r="H913" s="168" t="s">
        <v>609</v>
      </c>
      <c r="I913">
        <v>6545.454545454545</v>
      </c>
    </row>
    <row r="914" spans="1:9" x14ac:dyDescent="0.3">
      <c r="A914">
        <v>83</v>
      </c>
      <c r="B914" s="168" t="s">
        <v>128</v>
      </c>
      <c r="C914" s="168" t="s">
        <v>129</v>
      </c>
      <c r="D914">
        <v>3106.9</v>
      </c>
      <c r="E914">
        <v>2020</v>
      </c>
      <c r="F914" s="168" t="s">
        <v>592</v>
      </c>
      <c r="G914" s="168" t="s">
        <v>620</v>
      </c>
      <c r="H914" s="168" t="s">
        <v>608</v>
      </c>
      <c r="I914">
        <v>19238.132258064514</v>
      </c>
    </row>
    <row r="915" spans="1:9" x14ac:dyDescent="0.3">
      <c r="A915">
        <v>83</v>
      </c>
      <c r="B915" s="168" t="s">
        <v>128</v>
      </c>
      <c r="C915" s="168" t="s">
        <v>129</v>
      </c>
      <c r="D915">
        <v>3106.9</v>
      </c>
      <c r="E915">
        <v>2020</v>
      </c>
      <c r="F915" s="168" t="s">
        <v>592</v>
      </c>
      <c r="G915" s="168" t="s">
        <v>620</v>
      </c>
      <c r="H915" s="168" t="s">
        <v>609</v>
      </c>
      <c r="I915">
        <v>0</v>
      </c>
    </row>
    <row r="916" spans="1:9" x14ac:dyDescent="0.3">
      <c r="A916">
        <v>83</v>
      </c>
      <c r="B916" s="168" t="s">
        <v>128</v>
      </c>
      <c r="C916" s="168" t="s">
        <v>129</v>
      </c>
      <c r="D916">
        <v>3106.9</v>
      </c>
      <c r="E916">
        <v>2020</v>
      </c>
      <c r="F916" s="168" t="s">
        <v>592</v>
      </c>
      <c r="G916" s="168" t="s">
        <v>633</v>
      </c>
      <c r="H916" s="168" t="s">
        <v>608</v>
      </c>
      <c r="I916">
        <v>0</v>
      </c>
    </row>
    <row r="917" spans="1:9" x14ac:dyDescent="0.3">
      <c r="A917">
        <v>83</v>
      </c>
      <c r="B917" s="168" t="s">
        <v>128</v>
      </c>
      <c r="C917" s="168" t="s">
        <v>129</v>
      </c>
      <c r="D917">
        <v>3106.9</v>
      </c>
      <c r="E917">
        <v>2020</v>
      </c>
      <c r="F917" s="168" t="s">
        <v>592</v>
      </c>
      <c r="G917" s="168" t="s">
        <v>633</v>
      </c>
      <c r="H917" s="168" t="s">
        <v>609</v>
      </c>
      <c r="I917">
        <v>70513.274336283182</v>
      </c>
    </row>
    <row r="918" spans="1:9" x14ac:dyDescent="0.3">
      <c r="A918">
        <v>83</v>
      </c>
      <c r="B918" s="168" t="s">
        <v>128</v>
      </c>
      <c r="C918" s="168" t="s">
        <v>129</v>
      </c>
      <c r="D918">
        <v>3106.9</v>
      </c>
      <c r="E918">
        <v>2020</v>
      </c>
      <c r="F918" s="168" t="s">
        <v>592</v>
      </c>
      <c r="G918" s="168" t="s">
        <v>623</v>
      </c>
      <c r="H918" s="168" t="s">
        <v>608</v>
      </c>
      <c r="I918">
        <v>97634.615384615405</v>
      </c>
    </row>
    <row r="919" spans="1:9" x14ac:dyDescent="0.3">
      <c r="A919">
        <v>83</v>
      </c>
      <c r="B919" s="168" t="s">
        <v>128</v>
      </c>
      <c r="C919" s="168" t="s">
        <v>129</v>
      </c>
      <c r="D919">
        <v>3106.9</v>
      </c>
      <c r="E919">
        <v>2020</v>
      </c>
      <c r="F919" s="168" t="s">
        <v>592</v>
      </c>
      <c r="G919" s="168" t="s">
        <v>623</v>
      </c>
      <c r="H919" s="168" t="s">
        <v>609</v>
      </c>
      <c r="I919">
        <v>71020.782500000001</v>
      </c>
    </row>
    <row r="920" spans="1:9" x14ac:dyDescent="0.3">
      <c r="A920">
        <v>83</v>
      </c>
      <c r="B920" s="168" t="s">
        <v>128</v>
      </c>
      <c r="C920" s="168" t="s">
        <v>129</v>
      </c>
      <c r="D920">
        <v>3106.9</v>
      </c>
      <c r="E920">
        <v>2020</v>
      </c>
      <c r="F920" s="168" t="s">
        <v>592</v>
      </c>
      <c r="G920" s="168" t="s">
        <v>615</v>
      </c>
      <c r="H920" s="168" t="s">
        <v>608</v>
      </c>
      <c r="I920">
        <v>0</v>
      </c>
    </row>
    <row r="921" spans="1:9" x14ac:dyDescent="0.3">
      <c r="A921">
        <v>83</v>
      </c>
      <c r="B921" s="168" t="s">
        <v>128</v>
      </c>
      <c r="C921" s="168" t="s">
        <v>129</v>
      </c>
      <c r="D921">
        <v>3106.9</v>
      </c>
      <c r="E921">
        <v>2020</v>
      </c>
      <c r="F921" s="168" t="s">
        <v>592</v>
      </c>
      <c r="G921" s="168" t="s">
        <v>615</v>
      </c>
      <c r="H921" s="168" t="s">
        <v>609</v>
      </c>
      <c r="I921">
        <v>7536.5853658536589</v>
      </c>
    </row>
    <row r="922" spans="1:9" x14ac:dyDescent="0.3">
      <c r="A922">
        <v>83</v>
      </c>
      <c r="B922" s="168" t="s">
        <v>128</v>
      </c>
      <c r="C922" s="168" t="s">
        <v>129</v>
      </c>
      <c r="D922">
        <v>3106.9</v>
      </c>
      <c r="E922">
        <v>2020</v>
      </c>
      <c r="F922" s="168" t="s">
        <v>592</v>
      </c>
      <c r="G922" s="168" t="s">
        <v>624</v>
      </c>
      <c r="H922" s="168" t="s">
        <v>608</v>
      </c>
      <c r="I922">
        <v>58122.488724973897</v>
      </c>
    </row>
    <row r="923" spans="1:9" x14ac:dyDescent="0.3">
      <c r="A923">
        <v>83</v>
      </c>
      <c r="B923" s="168" t="s">
        <v>128</v>
      </c>
      <c r="C923" s="168" t="s">
        <v>129</v>
      </c>
      <c r="D923">
        <v>3106.9</v>
      </c>
      <c r="E923">
        <v>2020</v>
      </c>
      <c r="F923" s="168" t="s">
        <v>592</v>
      </c>
      <c r="G923" s="168" t="s">
        <v>624</v>
      </c>
      <c r="H923" s="168" t="s">
        <v>609</v>
      </c>
      <c r="I923">
        <v>61143.898442958896</v>
      </c>
    </row>
    <row r="924" spans="1:9" x14ac:dyDescent="0.3">
      <c r="A924">
        <v>83</v>
      </c>
      <c r="B924" s="168" t="s">
        <v>128</v>
      </c>
      <c r="C924" s="168" t="s">
        <v>129</v>
      </c>
      <c r="D924">
        <v>3106.9</v>
      </c>
      <c r="E924">
        <v>2020</v>
      </c>
      <c r="F924" s="168" t="s">
        <v>592</v>
      </c>
      <c r="G924" s="168" t="s">
        <v>613</v>
      </c>
      <c r="H924" s="168" t="s">
        <v>608</v>
      </c>
      <c r="I924">
        <v>220168.30167363898</v>
      </c>
    </row>
    <row r="925" spans="1:9" x14ac:dyDescent="0.3">
      <c r="A925">
        <v>83</v>
      </c>
      <c r="B925" s="168" t="s">
        <v>128</v>
      </c>
      <c r="C925" s="168" t="s">
        <v>129</v>
      </c>
      <c r="D925">
        <v>3106.9</v>
      </c>
      <c r="E925">
        <v>2020</v>
      </c>
      <c r="F925" s="168" t="s">
        <v>592</v>
      </c>
      <c r="G925" s="168" t="s">
        <v>613</v>
      </c>
      <c r="H925" s="168" t="s">
        <v>609</v>
      </c>
      <c r="I925">
        <v>89773.064744335803</v>
      </c>
    </row>
    <row r="926" spans="1:9" x14ac:dyDescent="0.3">
      <c r="A926">
        <v>83</v>
      </c>
      <c r="B926" s="168" t="s">
        <v>128</v>
      </c>
      <c r="C926" s="168" t="s">
        <v>129</v>
      </c>
      <c r="D926">
        <v>3106.9</v>
      </c>
      <c r="E926">
        <v>2020</v>
      </c>
      <c r="F926" s="168" t="s">
        <v>592</v>
      </c>
      <c r="G926" s="168" t="s">
        <v>622</v>
      </c>
      <c r="H926" s="168" t="s">
        <v>608</v>
      </c>
      <c r="I926">
        <v>28213.045859466878</v>
      </c>
    </row>
    <row r="927" spans="1:9" x14ac:dyDescent="0.3">
      <c r="A927">
        <v>83</v>
      </c>
      <c r="B927" s="168" t="s">
        <v>128</v>
      </c>
      <c r="C927" s="168" t="s">
        <v>129</v>
      </c>
      <c r="D927">
        <v>3106.9</v>
      </c>
      <c r="E927">
        <v>2020</v>
      </c>
      <c r="F927" s="168" t="s">
        <v>592</v>
      </c>
      <c r="G927" s="168" t="s">
        <v>622</v>
      </c>
      <c r="H927" s="168" t="s">
        <v>609</v>
      </c>
      <c r="I927">
        <v>0</v>
      </c>
    </row>
    <row r="928" spans="1:9" x14ac:dyDescent="0.3">
      <c r="A928">
        <v>84</v>
      </c>
      <c r="B928" s="168" t="s">
        <v>130</v>
      </c>
      <c r="C928" s="168" t="s">
        <v>131</v>
      </c>
      <c r="D928">
        <v>18213.3</v>
      </c>
      <c r="E928">
        <v>2020</v>
      </c>
      <c r="F928" s="168" t="s">
        <v>592</v>
      </c>
      <c r="G928" s="168" t="s">
        <v>612</v>
      </c>
      <c r="H928" s="168" t="s">
        <v>608</v>
      </c>
      <c r="I928">
        <v>0</v>
      </c>
    </row>
    <row r="929" spans="1:9" x14ac:dyDescent="0.3">
      <c r="A929">
        <v>84</v>
      </c>
      <c r="B929" s="168" t="s">
        <v>130</v>
      </c>
      <c r="C929" s="168" t="s">
        <v>131</v>
      </c>
      <c r="D929">
        <v>18213.3</v>
      </c>
      <c r="E929">
        <v>2020</v>
      </c>
      <c r="F929" s="168" t="s">
        <v>592</v>
      </c>
      <c r="G929" s="168" t="s">
        <v>612</v>
      </c>
      <c r="H929" s="168" t="s">
        <v>609</v>
      </c>
      <c r="I929">
        <v>22822.448924364293</v>
      </c>
    </row>
    <row r="930" spans="1:9" x14ac:dyDescent="0.3">
      <c r="A930">
        <v>84</v>
      </c>
      <c r="B930" s="168" t="s">
        <v>130</v>
      </c>
      <c r="C930" s="168" t="s">
        <v>131</v>
      </c>
      <c r="D930">
        <v>18213.3</v>
      </c>
      <c r="E930">
        <v>2020</v>
      </c>
      <c r="F930" s="168" t="s">
        <v>592</v>
      </c>
      <c r="G930" s="168" t="s">
        <v>617</v>
      </c>
      <c r="H930" s="168" t="s">
        <v>608</v>
      </c>
      <c r="I930">
        <v>12301.841005678411</v>
      </c>
    </row>
    <row r="931" spans="1:9" x14ac:dyDescent="0.3">
      <c r="A931">
        <v>84</v>
      </c>
      <c r="B931" s="168" t="s">
        <v>130</v>
      </c>
      <c r="C931" s="168" t="s">
        <v>131</v>
      </c>
      <c r="D931">
        <v>18213.3</v>
      </c>
      <c r="E931">
        <v>2020</v>
      </c>
      <c r="F931" s="168" t="s">
        <v>592</v>
      </c>
      <c r="G931" s="168" t="s">
        <v>617</v>
      </c>
      <c r="H931" s="168" t="s">
        <v>609</v>
      </c>
      <c r="I931">
        <v>9226.3807542588074</v>
      </c>
    </row>
    <row r="932" spans="1:9" x14ac:dyDescent="0.3">
      <c r="A932">
        <v>84</v>
      </c>
      <c r="B932" s="168" t="s">
        <v>130</v>
      </c>
      <c r="C932" s="168" t="s">
        <v>131</v>
      </c>
      <c r="D932">
        <v>18213.3</v>
      </c>
      <c r="E932">
        <v>2020</v>
      </c>
      <c r="F932" s="168" t="s">
        <v>592</v>
      </c>
      <c r="G932" s="168" t="s">
        <v>618</v>
      </c>
      <c r="H932" s="168" t="s">
        <v>608</v>
      </c>
      <c r="I932">
        <v>0</v>
      </c>
    </row>
    <row r="933" spans="1:9" x14ac:dyDescent="0.3">
      <c r="A933">
        <v>84</v>
      </c>
      <c r="B933" s="168" t="s">
        <v>130</v>
      </c>
      <c r="C933" s="168" t="s">
        <v>131</v>
      </c>
      <c r="D933">
        <v>18213.3</v>
      </c>
      <c r="E933">
        <v>2020</v>
      </c>
      <c r="F933" s="168" t="s">
        <v>592</v>
      </c>
      <c r="G933" s="168" t="s">
        <v>618</v>
      </c>
      <c r="H933" s="168" t="s">
        <v>609</v>
      </c>
      <c r="I933">
        <v>21303.370786516854</v>
      </c>
    </row>
    <row r="934" spans="1:9" x14ac:dyDescent="0.3">
      <c r="A934">
        <v>84</v>
      </c>
      <c r="B934" s="168" t="s">
        <v>130</v>
      </c>
      <c r="C934" s="168" t="s">
        <v>131</v>
      </c>
      <c r="D934">
        <v>18213.3</v>
      </c>
      <c r="E934">
        <v>2020</v>
      </c>
      <c r="F934" s="168" t="s">
        <v>592</v>
      </c>
      <c r="G934" s="168" t="s">
        <v>610</v>
      </c>
      <c r="H934" s="168" t="s">
        <v>608</v>
      </c>
      <c r="I934">
        <v>0</v>
      </c>
    </row>
    <row r="935" spans="1:9" x14ac:dyDescent="0.3">
      <c r="A935">
        <v>84</v>
      </c>
      <c r="B935" s="168" t="s">
        <v>130</v>
      </c>
      <c r="C935" s="168" t="s">
        <v>131</v>
      </c>
      <c r="D935">
        <v>18213.3</v>
      </c>
      <c r="E935">
        <v>2020</v>
      </c>
      <c r="F935" s="168" t="s">
        <v>592</v>
      </c>
      <c r="G935" s="168" t="s">
        <v>610</v>
      </c>
      <c r="H935" s="168" t="s">
        <v>609</v>
      </c>
      <c r="I935">
        <v>13090.90909090909</v>
      </c>
    </row>
    <row r="936" spans="1:9" x14ac:dyDescent="0.3">
      <c r="A936">
        <v>84</v>
      </c>
      <c r="B936" s="168" t="s">
        <v>130</v>
      </c>
      <c r="C936" s="168" t="s">
        <v>131</v>
      </c>
      <c r="D936">
        <v>18213.3</v>
      </c>
      <c r="E936">
        <v>2020</v>
      </c>
      <c r="F936" s="168" t="s">
        <v>592</v>
      </c>
      <c r="G936" s="168" t="s">
        <v>633</v>
      </c>
      <c r="H936" s="168" t="s">
        <v>608</v>
      </c>
      <c r="I936">
        <v>0</v>
      </c>
    </row>
    <row r="937" spans="1:9" x14ac:dyDescent="0.3">
      <c r="A937">
        <v>84</v>
      </c>
      <c r="B937" s="168" t="s">
        <v>130</v>
      </c>
      <c r="C937" s="168" t="s">
        <v>131</v>
      </c>
      <c r="D937">
        <v>18213.3</v>
      </c>
      <c r="E937">
        <v>2020</v>
      </c>
      <c r="F937" s="168" t="s">
        <v>592</v>
      </c>
      <c r="G937" s="168" t="s">
        <v>633</v>
      </c>
      <c r="H937" s="168" t="s">
        <v>609</v>
      </c>
      <c r="I937">
        <v>79327.433628318584</v>
      </c>
    </row>
    <row r="938" spans="1:9" x14ac:dyDescent="0.3">
      <c r="A938">
        <v>84</v>
      </c>
      <c r="B938" s="168" t="s">
        <v>130</v>
      </c>
      <c r="C938" s="168" t="s">
        <v>131</v>
      </c>
      <c r="D938">
        <v>18213.3</v>
      </c>
      <c r="E938">
        <v>2020</v>
      </c>
      <c r="F938" s="168" t="s">
        <v>592</v>
      </c>
      <c r="G938" s="168" t="s">
        <v>623</v>
      </c>
      <c r="H938" s="168" t="s">
        <v>608</v>
      </c>
      <c r="I938">
        <v>227625</v>
      </c>
    </row>
    <row r="939" spans="1:9" x14ac:dyDescent="0.3">
      <c r="A939">
        <v>84</v>
      </c>
      <c r="B939" s="168" t="s">
        <v>130</v>
      </c>
      <c r="C939" s="168" t="s">
        <v>131</v>
      </c>
      <c r="D939">
        <v>18213.3</v>
      </c>
      <c r="E939">
        <v>2020</v>
      </c>
      <c r="F939" s="168" t="s">
        <v>592</v>
      </c>
      <c r="G939" s="168" t="s">
        <v>623</v>
      </c>
      <c r="H939" s="168" t="s">
        <v>609</v>
      </c>
      <c r="I939">
        <v>177551.95625000002</v>
      </c>
    </row>
    <row r="940" spans="1:9" x14ac:dyDescent="0.3">
      <c r="A940">
        <v>84</v>
      </c>
      <c r="B940" s="168" t="s">
        <v>130</v>
      </c>
      <c r="C940" s="168" t="s">
        <v>131</v>
      </c>
      <c r="D940">
        <v>18213.3</v>
      </c>
      <c r="E940">
        <v>2020</v>
      </c>
      <c r="F940" s="168" t="s">
        <v>592</v>
      </c>
      <c r="G940" s="168" t="s">
        <v>615</v>
      </c>
      <c r="H940" s="168" t="s">
        <v>608</v>
      </c>
      <c r="I940">
        <v>0</v>
      </c>
    </row>
    <row r="941" spans="1:9" x14ac:dyDescent="0.3">
      <c r="A941">
        <v>84</v>
      </c>
      <c r="B941" s="168" t="s">
        <v>130</v>
      </c>
      <c r="C941" s="168" t="s">
        <v>131</v>
      </c>
      <c r="D941">
        <v>18213.3</v>
      </c>
      <c r="E941">
        <v>2020</v>
      </c>
      <c r="F941" s="168" t="s">
        <v>592</v>
      </c>
      <c r="G941" s="168" t="s">
        <v>615</v>
      </c>
      <c r="H941" s="168" t="s">
        <v>609</v>
      </c>
      <c r="I941">
        <v>7536.5853658536589</v>
      </c>
    </row>
    <row r="942" spans="1:9" x14ac:dyDescent="0.3">
      <c r="A942">
        <v>84</v>
      </c>
      <c r="B942" s="168" t="s">
        <v>130</v>
      </c>
      <c r="C942" s="168" t="s">
        <v>131</v>
      </c>
      <c r="D942">
        <v>18213.3</v>
      </c>
      <c r="E942">
        <v>2020</v>
      </c>
      <c r="F942" s="168" t="s">
        <v>592</v>
      </c>
      <c r="G942" s="168" t="s">
        <v>624</v>
      </c>
      <c r="H942" s="168" t="s">
        <v>608</v>
      </c>
      <c r="I942">
        <v>340726.22997024941</v>
      </c>
    </row>
    <row r="943" spans="1:9" x14ac:dyDescent="0.3">
      <c r="A943">
        <v>84</v>
      </c>
      <c r="B943" s="168" t="s">
        <v>130</v>
      </c>
      <c r="C943" s="168" t="s">
        <v>131</v>
      </c>
      <c r="D943">
        <v>18213.3</v>
      </c>
      <c r="E943">
        <v>2020</v>
      </c>
      <c r="F943" s="168" t="s">
        <v>592</v>
      </c>
      <c r="G943" s="168" t="s">
        <v>624</v>
      </c>
      <c r="H943" s="168" t="s">
        <v>609</v>
      </c>
      <c r="I943">
        <v>358438.36799096939</v>
      </c>
    </row>
    <row r="944" spans="1:9" x14ac:dyDescent="0.3">
      <c r="A944">
        <v>84</v>
      </c>
      <c r="B944" s="168" t="s">
        <v>130</v>
      </c>
      <c r="C944" s="168" t="s">
        <v>131</v>
      </c>
      <c r="D944">
        <v>18213.3</v>
      </c>
      <c r="E944">
        <v>2020</v>
      </c>
      <c r="F944" s="168" t="s">
        <v>592</v>
      </c>
      <c r="G944" s="168" t="s">
        <v>621</v>
      </c>
      <c r="H944" s="168" t="s">
        <v>608</v>
      </c>
      <c r="I944">
        <v>0</v>
      </c>
    </row>
    <row r="945" spans="1:9" x14ac:dyDescent="0.3">
      <c r="A945">
        <v>84</v>
      </c>
      <c r="B945" s="168" t="s">
        <v>130</v>
      </c>
      <c r="C945" s="168" t="s">
        <v>131</v>
      </c>
      <c r="D945">
        <v>18213.3</v>
      </c>
      <c r="E945">
        <v>2020</v>
      </c>
      <c r="F945" s="168" t="s">
        <v>592</v>
      </c>
      <c r="G945" s="168" t="s">
        <v>621</v>
      </c>
      <c r="H945" s="168" t="s">
        <v>609</v>
      </c>
      <c r="I945">
        <v>622300</v>
      </c>
    </row>
    <row r="946" spans="1:9" x14ac:dyDescent="0.3">
      <c r="A946">
        <v>84</v>
      </c>
      <c r="B946" s="168" t="s">
        <v>130</v>
      </c>
      <c r="C946" s="168" t="s">
        <v>131</v>
      </c>
      <c r="D946">
        <v>18213.3</v>
      </c>
      <c r="E946">
        <v>2020</v>
      </c>
      <c r="F946" s="168" t="s">
        <v>592</v>
      </c>
      <c r="G946" s="168" t="s">
        <v>613</v>
      </c>
      <c r="H946" s="168" t="s">
        <v>608</v>
      </c>
      <c r="I946">
        <v>687517.38640575798</v>
      </c>
    </row>
    <row r="947" spans="1:9" x14ac:dyDescent="0.3">
      <c r="A947">
        <v>84</v>
      </c>
      <c r="B947" s="168" t="s">
        <v>130</v>
      </c>
      <c r="C947" s="168" t="s">
        <v>131</v>
      </c>
      <c r="D947">
        <v>18213.3</v>
      </c>
      <c r="E947">
        <v>2020</v>
      </c>
      <c r="F947" s="168" t="s">
        <v>592</v>
      </c>
      <c r="G947" s="168" t="s">
        <v>613</v>
      </c>
      <c r="H947" s="168" t="s">
        <v>609</v>
      </c>
      <c r="I947">
        <v>139545.40296389101</v>
      </c>
    </row>
    <row r="948" spans="1:9" x14ac:dyDescent="0.3">
      <c r="A948">
        <v>85</v>
      </c>
      <c r="B948" s="168" t="s">
        <v>132</v>
      </c>
      <c r="C948" s="168" t="s">
        <v>133</v>
      </c>
      <c r="D948">
        <v>14009.5</v>
      </c>
      <c r="E948">
        <v>2020</v>
      </c>
      <c r="F948" s="168" t="s">
        <v>591</v>
      </c>
      <c r="G948" s="168" t="s">
        <v>607</v>
      </c>
      <c r="H948" s="168" t="s">
        <v>608</v>
      </c>
      <c r="I948">
        <v>347687.01030927838</v>
      </c>
    </row>
    <row r="949" spans="1:9" x14ac:dyDescent="0.3">
      <c r="A949">
        <v>85</v>
      </c>
      <c r="B949" s="168" t="s">
        <v>132</v>
      </c>
      <c r="C949" s="168" t="s">
        <v>133</v>
      </c>
      <c r="D949">
        <v>14009.5</v>
      </c>
      <c r="E949">
        <v>2020</v>
      </c>
      <c r="F949" s="168" t="s">
        <v>591</v>
      </c>
      <c r="G949" s="168" t="s">
        <v>607</v>
      </c>
      <c r="H949" s="168" t="s">
        <v>609</v>
      </c>
      <c r="I949">
        <v>347687.01030927838</v>
      </c>
    </row>
    <row r="950" spans="1:9" x14ac:dyDescent="0.3">
      <c r="A950">
        <v>85</v>
      </c>
      <c r="B950" s="168" t="s">
        <v>132</v>
      </c>
      <c r="C950" s="168" t="s">
        <v>133</v>
      </c>
      <c r="D950">
        <v>14009.5</v>
      </c>
      <c r="E950">
        <v>2020</v>
      </c>
      <c r="F950" s="168" t="s">
        <v>591</v>
      </c>
      <c r="G950" s="168" t="s">
        <v>612</v>
      </c>
      <c r="H950" s="168" t="s">
        <v>608</v>
      </c>
      <c r="I950">
        <v>560000</v>
      </c>
    </row>
    <row r="951" spans="1:9" x14ac:dyDescent="0.3">
      <c r="A951">
        <v>85</v>
      </c>
      <c r="B951" s="168" t="s">
        <v>132</v>
      </c>
      <c r="C951" s="168" t="s">
        <v>133</v>
      </c>
      <c r="D951">
        <v>14009.5</v>
      </c>
      <c r="E951">
        <v>2020</v>
      </c>
      <c r="F951" s="168" t="s">
        <v>591</v>
      </c>
      <c r="G951" s="168" t="s">
        <v>612</v>
      </c>
      <c r="H951" s="168" t="s">
        <v>609</v>
      </c>
      <c r="I951">
        <v>0</v>
      </c>
    </row>
    <row r="952" spans="1:9" x14ac:dyDescent="0.3">
      <c r="A952">
        <v>85</v>
      </c>
      <c r="B952" s="168" t="s">
        <v>132</v>
      </c>
      <c r="C952" s="168" t="s">
        <v>133</v>
      </c>
      <c r="D952">
        <v>14009.5</v>
      </c>
      <c r="E952">
        <v>2020</v>
      </c>
      <c r="F952" s="168" t="s">
        <v>591</v>
      </c>
      <c r="G952" s="168" t="s">
        <v>617</v>
      </c>
      <c r="H952" s="168" t="s">
        <v>608</v>
      </c>
      <c r="I952">
        <v>55640</v>
      </c>
    </row>
    <row r="953" spans="1:9" x14ac:dyDescent="0.3">
      <c r="A953">
        <v>85</v>
      </c>
      <c r="B953" s="168" t="s">
        <v>132</v>
      </c>
      <c r="C953" s="168" t="s">
        <v>133</v>
      </c>
      <c r="D953">
        <v>14009.5</v>
      </c>
      <c r="E953">
        <v>2020</v>
      </c>
      <c r="F953" s="168" t="s">
        <v>591</v>
      </c>
      <c r="G953" s="168" t="s">
        <v>617</v>
      </c>
      <c r="H953" s="168" t="s">
        <v>609</v>
      </c>
      <c r="I953">
        <v>19860</v>
      </c>
    </row>
    <row r="954" spans="1:9" x14ac:dyDescent="0.3">
      <c r="A954">
        <v>85</v>
      </c>
      <c r="B954" s="168" t="s">
        <v>132</v>
      </c>
      <c r="C954" s="168" t="s">
        <v>133</v>
      </c>
      <c r="D954">
        <v>14009.5</v>
      </c>
      <c r="E954">
        <v>2020</v>
      </c>
      <c r="F954" s="168" t="s">
        <v>591</v>
      </c>
      <c r="G954" s="168" t="s">
        <v>610</v>
      </c>
      <c r="H954" s="168" t="s">
        <v>608</v>
      </c>
      <c r="I954">
        <v>0</v>
      </c>
    </row>
    <row r="955" spans="1:9" x14ac:dyDescent="0.3">
      <c r="A955">
        <v>85</v>
      </c>
      <c r="B955" s="168" t="s">
        <v>132</v>
      </c>
      <c r="C955" s="168" t="s">
        <v>133</v>
      </c>
      <c r="D955">
        <v>14009.5</v>
      </c>
      <c r="E955">
        <v>2020</v>
      </c>
      <c r="F955" s="168" t="s">
        <v>591</v>
      </c>
      <c r="G955" s="168" t="s">
        <v>610</v>
      </c>
      <c r="H955" s="168" t="s">
        <v>609</v>
      </c>
      <c r="I955">
        <v>13090.90909090909</v>
      </c>
    </row>
    <row r="956" spans="1:9" x14ac:dyDescent="0.3">
      <c r="A956">
        <v>85</v>
      </c>
      <c r="B956" s="168" t="s">
        <v>132</v>
      </c>
      <c r="C956" s="168" t="s">
        <v>133</v>
      </c>
      <c r="D956">
        <v>14009.5</v>
      </c>
      <c r="E956">
        <v>2020</v>
      </c>
      <c r="F956" s="168" t="s">
        <v>591</v>
      </c>
      <c r="G956" s="168" t="s">
        <v>623</v>
      </c>
      <c r="H956" s="168" t="s">
        <v>608</v>
      </c>
      <c r="I956">
        <v>319210.2</v>
      </c>
    </row>
    <row r="957" spans="1:9" x14ac:dyDescent="0.3">
      <c r="A957">
        <v>85</v>
      </c>
      <c r="B957" s="168" t="s">
        <v>132</v>
      </c>
      <c r="C957" s="168" t="s">
        <v>133</v>
      </c>
      <c r="D957">
        <v>14009.5</v>
      </c>
      <c r="E957">
        <v>2020</v>
      </c>
      <c r="F957" s="168" t="s">
        <v>591</v>
      </c>
      <c r="G957" s="168" t="s">
        <v>623</v>
      </c>
      <c r="H957" s="168" t="s">
        <v>609</v>
      </c>
      <c r="I957">
        <v>111535.67999999999</v>
      </c>
    </row>
    <row r="958" spans="1:9" x14ac:dyDescent="0.3">
      <c r="A958">
        <v>85</v>
      </c>
      <c r="B958" s="168" t="s">
        <v>132</v>
      </c>
      <c r="C958" s="168" t="s">
        <v>133</v>
      </c>
      <c r="D958">
        <v>14009.5</v>
      </c>
      <c r="E958">
        <v>2020</v>
      </c>
      <c r="F958" s="168" t="s">
        <v>591</v>
      </c>
      <c r="G958" s="168" t="s">
        <v>624</v>
      </c>
      <c r="H958" s="168" t="s">
        <v>608</v>
      </c>
      <c r="I958">
        <v>262083.4290748077</v>
      </c>
    </row>
    <row r="959" spans="1:9" x14ac:dyDescent="0.3">
      <c r="A959">
        <v>85</v>
      </c>
      <c r="B959" s="168" t="s">
        <v>132</v>
      </c>
      <c r="C959" s="168" t="s">
        <v>133</v>
      </c>
      <c r="D959">
        <v>14009.5</v>
      </c>
      <c r="E959">
        <v>2020</v>
      </c>
      <c r="F959" s="168" t="s">
        <v>591</v>
      </c>
      <c r="G959" s="168" t="s">
        <v>624</v>
      </c>
      <c r="H959" s="168" t="s">
        <v>609</v>
      </c>
      <c r="I959">
        <v>275707.43996801769</v>
      </c>
    </row>
    <row r="960" spans="1:9" x14ac:dyDescent="0.3">
      <c r="A960">
        <v>85</v>
      </c>
      <c r="B960" s="168" t="s">
        <v>132</v>
      </c>
      <c r="C960" s="168" t="s">
        <v>133</v>
      </c>
      <c r="D960">
        <v>14009.5</v>
      </c>
      <c r="E960">
        <v>2020</v>
      </c>
      <c r="F960" s="168" t="s">
        <v>591</v>
      </c>
      <c r="G960" s="168" t="s">
        <v>611</v>
      </c>
      <c r="H960" s="168" t="s">
        <v>608</v>
      </c>
      <c r="I960">
        <v>0</v>
      </c>
    </row>
    <row r="961" spans="1:9" x14ac:dyDescent="0.3">
      <c r="A961">
        <v>85</v>
      </c>
      <c r="B961" s="168" t="s">
        <v>132</v>
      </c>
      <c r="C961" s="168" t="s">
        <v>133</v>
      </c>
      <c r="D961">
        <v>14009.5</v>
      </c>
      <c r="E961">
        <v>2020</v>
      </c>
      <c r="F961" s="168" t="s">
        <v>591</v>
      </c>
      <c r="G961" s="168" t="s">
        <v>611</v>
      </c>
      <c r="H961" s="168" t="s">
        <v>609</v>
      </c>
      <c r="I961">
        <v>58553.846791315467</v>
      </c>
    </row>
    <row r="962" spans="1:9" x14ac:dyDescent="0.3">
      <c r="A962">
        <v>85</v>
      </c>
      <c r="B962" s="168" t="s">
        <v>132</v>
      </c>
      <c r="C962" s="168" t="s">
        <v>133</v>
      </c>
      <c r="D962">
        <v>14009.5</v>
      </c>
      <c r="E962">
        <v>2020</v>
      </c>
      <c r="F962" s="168" t="s">
        <v>591</v>
      </c>
      <c r="G962" s="168" t="s">
        <v>628</v>
      </c>
      <c r="H962" s="168" t="s">
        <v>608</v>
      </c>
      <c r="I962">
        <v>0</v>
      </c>
    </row>
    <row r="963" spans="1:9" x14ac:dyDescent="0.3">
      <c r="A963">
        <v>85</v>
      </c>
      <c r="B963" s="168" t="s">
        <v>132</v>
      </c>
      <c r="C963" s="168" t="s">
        <v>133</v>
      </c>
      <c r="D963">
        <v>14009.5</v>
      </c>
      <c r="E963">
        <v>2020</v>
      </c>
      <c r="F963" s="168" t="s">
        <v>591</v>
      </c>
      <c r="G963" s="168" t="s">
        <v>628</v>
      </c>
      <c r="H963" s="168" t="s">
        <v>609</v>
      </c>
      <c r="I963">
        <v>492000</v>
      </c>
    </row>
    <row r="964" spans="1:9" x14ac:dyDescent="0.3">
      <c r="A964">
        <v>85</v>
      </c>
      <c r="B964" s="168" t="s">
        <v>132</v>
      </c>
      <c r="C964" s="168" t="s">
        <v>133</v>
      </c>
      <c r="D964">
        <v>14009.5</v>
      </c>
      <c r="E964">
        <v>2020</v>
      </c>
      <c r="F964" s="168" t="s">
        <v>591</v>
      </c>
      <c r="G964" s="168" t="s">
        <v>613</v>
      </c>
      <c r="H964" s="168" t="s">
        <v>608</v>
      </c>
      <c r="I964">
        <v>992773.44693966699</v>
      </c>
    </row>
    <row r="965" spans="1:9" x14ac:dyDescent="0.3">
      <c r="A965">
        <v>85</v>
      </c>
      <c r="B965" s="168" t="s">
        <v>132</v>
      </c>
      <c r="C965" s="168" t="s">
        <v>133</v>
      </c>
      <c r="D965">
        <v>14009.5</v>
      </c>
      <c r="E965">
        <v>2020</v>
      </c>
      <c r="F965" s="168" t="s">
        <v>591</v>
      </c>
      <c r="G965" s="168" t="s">
        <v>613</v>
      </c>
      <c r="H965" s="168" t="s">
        <v>609</v>
      </c>
      <c r="I965">
        <v>404800.84667539096</v>
      </c>
    </row>
    <row r="966" spans="1:9" x14ac:dyDescent="0.3">
      <c r="A966">
        <v>86</v>
      </c>
      <c r="B966" s="168" t="s">
        <v>134</v>
      </c>
      <c r="C966" s="168" t="s">
        <v>135</v>
      </c>
      <c r="D966">
        <v>11408</v>
      </c>
      <c r="E966">
        <v>2020</v>
      </c>
      <c r="F966" s="168" t="s">
        <v>591</v>
      </c>
      <c r="G966" s="168" t="s">
        <v>607</v>
      </c>
      <c r="H966" s="168" t="s">
        <v>608</v>
      </c>
      <c r="I966">
        <v>197502.68041237112</v>
      </c>
    </row>
    <row r="967" spans="1:9" x14ac:dyDescent="0.3">
      <c r="A967">
        <v>86</v>
      </c>
      <c r="B967" s="168" t="s">
        <v>134</v>
      </c>
      <c r="C967" s="168" t="s">
        <v>135</v>
      </c>
      <c r="D967">
        <v>11408</v>
      </c>
      <c r="E967">
        <v>2020</v>
      </c>
      <c r="F967" s="168" t="s">
        <v>591</v>
      </c>
      <c r="G967" s="168" t="s">
        <v>607</v>
      </c>
      <c r="H967" s="168" t="s">
        <v>609</v>
      </c>
      <c r="I967">
        <v>197502.68041237112</v>
      </c>
    </row>
    <row r="968" spans="1:9" x14ac:dyDescent="0.3">
      <c r="A968">
        <v>86</v>
      </c>
      <c r="B968" s="168" t="s">
        <v>134</v>
      </c>
      <c r="C968" s="168" t="s">
        <v>135</v>
      </c>
      <c r="D968">
        <v>11408</v>
      </c>
      <c r="E968">
        <v>2020</v>
      </c>
      <c r="F968" s="168" t="s">
        <v>591</v>
      </c>
      <c r="G968" s="168" t="s">
        <v>612</v>
      </c>
      <c r="H968" s="168" t="s">
        <v>608</v>
      </c>
      <c r="I968">
        <v>447525</v>
      </c>
    </row>
    <row r="969" spans="1:9" x14ac:dyDescent="0.3">
      <c r="A969">
        <v>86</v>
      </c>
      <c r="B969" s="168" t="s">
        <v>134</v>
      </c>
      <c r="C969" s="168" t="s">
        <v>135</v>
      </c>
      <c r="D969">
        <v>11408</v>
      </c>
      <c r="E969">
        <v>2020</v>
      </c>
      <c r="F969" s="168" t="s">
        <v>591</v>
      </c>
      <c r="G969" s="168" t="s">
        <v>612</v>
      </c>
      <c r="H969" s="168" t="s">
        <v>609</v>
      </c>
      <c r="I969">
        <v>0</v>
      </c>
    </row>
    <row r="970" spans="1:9" x14ac:dyDescent="0.3">
      <c r="A970">
        <v>86</v>
      </c>
      <c r="B970" s="168" t="s">
        <v>134</v>
      </c>
      <c r="C970" s="168" t="s">
        <v>135</v>
      </c>
      <c r="D970">
        <v>11408</v>
      </c>
      <c r="E970">
        <v>2020</v>
      </c>
      <c r="F970" s="168" t="s">
        <v>591</v>
      </c>
      <c r="G970" s="168" t="s">
        <v>617</v>
      </c>
      <c r="H970" s="168" t="s">
        <v>608</v>
      </c>
      <c r="I970">
        <v>49670</v>
      </c>
    </row>
    <row r="971" spans="1:9" x14ac:dyDescent="0.3">
      <c r="A971">
        <v>86</v>
      </c>
      <c r="B971" s="168" t="s">
        <v>134</v>
      </c>
      <c r="C971" s="168" t="s">
        <v>135</v>
      </c>
      <c r="D971">
        <v>11408</v>
      </c>
      <c r="E971">
        <v>2020</v>
      </c>
      <c r="F971" s="168" t="s">
        <v>591</v>
      </c>
      <c r="G971" s="168" t="s">
        <v>617</v>
      </c>
      <c r="H971" s="168" t="s">
        <v>609</v>
      </c>
      <c r="I971">
        <v>17730</v>
      </c>
    </row>
    <row r="972" spans="1:9" x14ac:dyDescent="0.3">
      <c r="A972">
        <v>86</v>
      </c>
      <c r="B972" s="168" t="s">
        <v>134</v>
      </c>
      <c r="C972" s="168" t="s">
        <v>135</v>
      </c>
      <c r="D972">
        <v>11408</v>
      </c>
      <c r="E972">
        <v>2020</v>
      </c>
      <c r="F972" s="168" t="s">
        <v>591</v>
      </c>
      <c r="G972" s="168" t="s">
        <v>618</v>
      </c>
      <c r="H972" s="168" t="s">
        <v>608</v>
      </c>
      <c r="I972">
        <v>0</v>
      </c>
    </row>
    <row r="973" spans="1:9" x14ac:dyDescent="0.3">
      <c r="A973">
        <v>86</v>
      </c>
      <c r="B973" s="168" t="s">
        <v>134</v>
      </c>
      <c r="C973" s="168" t="s">
        <v>135</v>
      </c>
      <c r="D973">
        <v>11408</v>
      </c>
      <c r="E973">
        <v>2020</v>
      </c>
      <c r="F973" s="168" t="s">
        <v>591</v>
      </c>
      <c r="G973" s="168" t="s">
        <v>618</v>
      </c>
      <c r="H973" s="168" t="s">
        <v>609</v>
      </c>
      <c r="I973">
        <v>35205.839999999997</v>
      </c>
    </row>
    <row r="974" spans="1:9" x14ac:dyDescent="0.3">
      <c r="A974">
        <v>86</v>
      </c>
      <c r="B974" s="168" t="s">
        <v>134</v>
      </c>
      <c r="C974" s="168" t="s">
        <v>135</v>
      </c>
      <c r="D974">
        <v>11408</v>
      </c>
      <c r="E974">
        <v>2020</v>
      </c>
      <c r="F974" s="168" t="s">
        <v>591</v>
      </c>
      <c r="G974" s="168" t="s">
        <v>610</v>
      </c>
      <c r="H974" s="168" t="s">
        <v>608</v>
      </c>
      <c r="I974">
        <v>0</v>
      </c>
    </row>
    <row r="975" spans="1:9" x14ac:dyDescent="0.3">
      <c r="A975">
        <v>86</v>
      </c>
      <c r="B975" s="168" t="s">
        <v>134</v>
      </c>
      <c r="C975" s="168" t="s">
        <v>135</v>
      </c>
      <c r="D975">
        <v>11408</v>
      </c>
      <c r="E975">
        <v>2020</v>
      </c>
      <c r="F975" s="168" t="s">
        <v>591</v>
      </c>
      <c r="G975" s="168" t="s">
        <v>610</v>
      </c>
      <c r="H975" s="168" t="s">
        <v>609</v>
      </c>
      <c r="I975">
        <v>9818.181818181818</v>
      </c>
    </row>
    <row r="976" spans="1:9" x14ac:dyDescent="0.3">
      <c r="A976">
        <v>86</v>
      </c>
      <c r="B976" s="168" t="s">
        <v>134</v>
      </c>
      <c r="C976" s="168" t="s">
        <v>135</v>
      </c>
      <c r="D976">
        <v>11408</v>
      </c>
      <c r="E976">
        <v>2020</v>
      </c>
      <c r="F976" s="168" t="s">
        <v>591</v>
      </c>
      <c r="G976" s="168" t="s">
        <v>623</v>
      </c>
      <c r="H976" s="168" t="s">
        <v>608</v>
      </c>
      <c r="I976">
        <v>333321.2</v>
      </c>
    </row>
    <row r="977" spans="1:9" x14ac:dyDescent="0.3">
      <c r="A977">
        <v>86</v>
      </c>
      <c r="B977" s="168" t="s">
        <v>134</v>
      </c>
      <c r="C977" s="168" t="s">
        <v>135</v>
      </c>
      <c r="D977">
        <v>11408</v>
      </c>
      <c r="E977">
        <v>2020</v>
      </c>
      <c r="F977" s="168" t="s">
        <v>591</v>
      </c>
      <c r="G977" s="168" t="s">
        <v>623</v>
      </c>
      <c r="H977" s="168" t="s">
        <v>609</v>
      </c>
      <c r="I977">
        <v>116754.43999999999</v>
      </c>
    </row>
    <row r="978" spans="1:9" x14ac:dyDescent="0.3">
      <c r="A978">
        <v>86</v>
      </c>
      <c r="B978" s="168" t="s">
        <v>134</v>
      </c>
      <c r="C978" s="168" t="s">
        <v>135</v>
      </c>
      <c r="D978">
        <v>11408</v>
      </c>
      <c r="E978">
        <v>2020</v>
      </c>
      <c r="F978" s="168" t="s">
        <v>591</v>
      </c>
      <c r="G978" s="168" t="s">
        <v>615</v>
      </c>
      <c r="H978" s="168" t="s">
        <v>608</v>
      </c>
      <c r="I978">
        <v>0</v>
      </c>
    </row>
    <row r="979" spans="1:9" x14ac:dyDescent="0.3">
      <c r="A979">
        <v>86</v>
      </c>
      <c r="B979" s="168" t="s">
        <v>134</v>
      </c>
      <c r="C979" s="168" t="s">
        <v>135</v>
      </c>
      <c r="D979">
        <v>11408</v>
      </c>
      <c r="E979">
        <v>2020</v>
      </c>
      <c r="F979" s="168" t="s">
        <v>591</v>
      </c>
      <c r="G979" s="168" t="s">
        <v>615</v>
      </c>
      <c r="H979" s="168" t="s">
        <v>609</v>
      </c>
      <c r="I979">
        <v>7536.5853658536589</v>
      </c>
    </row>
    <row r="980" spans="1:9" x14ac:dyDescent="0.3">
      <c r="A980">
        <v>86</v>
      </c>
      <c r="B980" s="168" t="s">
        <v>134</v>
      </c>
      <c r="C980" s="168" t="s">
        <v>135</v>
      </c>
      <c r="D980">
        <v>11408</v>
      </c>
      <c r="E980">
        <v>2020</v>
      </c>
      <c r="F980" s="168" t="s">
        <v>591</v>
      </c>
      <c r="G980" s="168" t="s">
        <v>624</v>
      </c>
      <c r="H980" s="168" t="s">
        <v>608</v>
      </c>
      <c r="I980">
        <v>213415.73638498198</v>
      </c>
    </row>
    <row r="981" spans="1:9" x14ac:dyDescent="0.3">
      <c r="A981">
        <v>86</v>
      </c>
      <c r="B981" s="168" t="s">
        <v>134</v>
      </c>
      <c r="C981" s="168" t="s">
        <v>135</v>
      </c>
      <c r="D981">
        <v>11408</v>
      </c>
      <c r="E981">
        <v>2020</v>
      </c>
      <c r="F981" s="168" t="s">
        <v>591</v>
      </c>
      <c r="G981" s="168" t="s">
        <v>624</v>
      </c>
      <c r="H981" s="168" t="s">
        <v>609</v>
      </c>
      <c r="I981">
        <v>224509.830840154</v>
      </c>
    </row>
    <row r="982" spans="1:9" x14ac:dyDescent="0.3">
      <c r="A982">
        <v>86</v>
      </c>
      <c r="B982" s="168" t="s">
        <v>134</v>
      </c>
      <c r="C982" s="168" t="s">
        <v>135</v>
      </c>
      <c r="D982">
        <v>11408</v>
      </c>
      <c r="E982">
        <v>2020</v>
      </c>
      <c r="F982" s="168" t="s">
        <v>591</v>
      </c>
      <c r="G982" s="168" t="s">
        <v>611</v>
      </c>
      <c r="H982" s="168" t="s">
        <v>608</v>
      </c>
      <c r="I982">
        <v>0</v>
      </c>
    </row>
    <row r="983" spans="1:9" x14ac:dyDescent="0.3">
      <c r="A983">
        <v>86</v>
      </c>
      <c r="B983" s="168" t="s">
        <v>134</v>
      </c>
      <c r="C983" s="168" t="s">
        <v>135</v>
      </c>
      <c r="D983">
        <v>11408</v>
      </c>
      <c r="E983">
        <v>2020</v>
      </c>
      <c r="F983" s="168" t="s">
        <v>591</v>
      </c>
      <c r="G983" s="168" t="s">
        <v>611</v>
      </c>
      <c r="H983" s="168" t="s">
        <v>609</v>
      </c>
      <c r="I983">
        <v>47680.665562320341</v>
      </c>
    </row>
    <row r="984" spans="1:9" x14ac:dyDescent="0.3">
      <c r="A984">
        <v>86</v>
      </c>
      <c r="B984" s="168" t="s">
        <v>134</v>
      </c>
      <c r="C984" s="168" t="s">
        <v>135</v>
      </c>
      <c r="D984">
        <v>11408</v>
      </c>
      <c r="E984">
        <v>2020</v>
      </c>
      <c r="F984" s="168" t="s">
        <v>591</v>
      </c>
      <c r="G984" s="168" t="s">
        <v>621</v>
      </c>
      <c r="H984" s="168" t="s">
        <v>608</v>
      </c>
      <c r="I984">
        <v>0</v>
      </c>
    </row>
    <row r="985" spans="1:9" x14ac:dyDescent="0.3">
      <c r="A985">
        <v>86</v>
      </c>
      <c r="B985" s="168" t="s">
        <v>134</v>
      </c>
      <c r="C985" s="168" t="s">
        <v>135</v>
      </c>
      <c r="D985">
        <v>11408</v>
      </c>
      <c r="E985">
        <v>2020</v>
      </c>
      <c r="F985" s="168" t="s">
        <v>591</v>
      </c>
      <c r="G985" s="168" t="s">
        <v>621</v>
      </c>
      <c r="H985" s="168" t="s">
        <v>609</v>
      </c>
      <c r="I985">
        <v>1099980</v>
      </c>
    </row>
    <row r="986" spans="1:9" x14ac:dyDescent="0.3">
      <c r="A986">
        <v>86</v>
      </c>
      <c r="B986" s="168" t="s">
        <v>134</v>
      </c>
      <c r="C986" s="168" t="s">
        <v>135</v>
      </c>
      <c r="D986">
        <v>11408</v>
      </c>
      <c r="E986">
        <v>2020</v>
      </c>
      <c r="F986" s="168" t="s">
        <v>591</v>
      </c>
      <c r="G986" s="168" t="s">
        <v>613</v>
      </c>
      <c r="H986" s="168" t="s">
        <v>608</v>
      </c>
      <c r="I986">
        <v>808419.96378798096</v>
      </c>
    </row>
    <row r="987" spans="1:9" x14ac:dyDescent="0.3">
      <c r="A987">
        <v>86</v>
      </c>
      <c r="B987" s="168" t="s">
        <v>134</v>
      </c>
      <c r="C987" s="168" t="s">
        <v>135</v>
      </c>
      <c r="D987">
        <v>11408</v>
      </c>
      <c r="E987">
        <v>2020</v>
      </c>
      <c r="F987" s="168" t="s">
        <v>591</v>
      </c>
      <c r="G987" s="168" t="s">
        <v>613</v>
      </c>
      <c r="H987" s="168" t="s">
        <v>609</v>
      </c>
      <c r="I987">
        <v>329631.1830452804</v>
      </c>
    </row>
    <row r="988" spans="1:9" x14ac:dyDescent="0.3">
      <c r="A988">
        <v>88</v>
      </c>
      <c r="B988" s="168" t="s">
        <v>138</v>
      </c>
      <c r="C988" s="168" t="s">
        <v>139</v>
      </c>
      <c r="D988">
        <v>7858.3</v>
      </c>
      <c r="E988">
        <v>2020</v>
      </c>
      <c r="F988" s="168" t="s">
        <v>591</v>
      </c>
      <c r="G988" s="168" t="s">
        <v>607</v>
      </c>
      <c r="H988" s="168" t="s">
        <v>608</v>
      </c>
      <c r="I988">
        <v>1701714.2809526739</v>
      </c>
    </row>
    <row r="989" spans="1:9" x14ac:dyDescent="0.3">
      <c r="A989">
        <v>88</v>
      </c>
      <c r="B989" s="168" t="s">
        <v>138</v>
      </c>
      <c r="C989" s="168" t="s">
        <v>139</v>
      </c>
      <c r="D989">
        <v>7858.3</v>
      </c>
      <c r="E989">
        <v>2020</v>
      </c>
      <c r="F989" s="168" t="s">
        <v>591</v>
      </c>
      <c r="G989" s="168" t="s">
        <v>607</v>
      </c>
      <c r="H989" s="168" t="s">
        <v>609</v>
      </c>
      <c r="I989">
        <v>845182.02355093195</v>
      </c>
    </row>
    <row r="990" spans="1:9" x14ac:dyDescent="0.3">
      <c r="A990">
        <v>88</v>
      </c>
      <c r="B990" s="168" t="s">
        <v>138</v>
      </c>
      <c r="C990" s="168" t="s">
        <v>139</v>
      </c>
      <c r="D990">
        <v>7858.3</v>
      </c>
      <c r="E990">
        <v>2020</v>
      </c>
      <c r="F990" s="168" t="s">
        <v>591</v>
      </c>
      <c r="G990" s="168" t="s">
        <v>612</v>
      </c>
      <c r="H990" s="168" t="s">
        <v>608</v>
      </c>
      <c r="I990">
        <v>447525</v>
      </c>
    </row>
    <row r="991" spans="1:9" x14ac:dyDescent="0.3">
      <c r="A991">
        <v>88</v>
      </c>
      <c r="B991" s="168" t="s">
        <v>138</v>
      </c>
      <c r="C991" s="168" t="s">
        <v>139</v>
      </c>
      <c r="D991">
        <v>7858.3</v>
      </c>
      <c r="E991">
        <v>2020</v>
      </c>
      <c r="F991" s="168" t="s">
        <v>591</v>
      </c>
      <c r="G991" s="168" t="s">
        <v>612</v>
      </c>
      <c r="H991" s="168" t="s">
        <v>609</v>
      </c>
      <c r="I991">
        <v>0</v>
      </c>
    </row>
    <row r="992" spans="1:9" x14ac:dyDescent="0.3">
      <c r="A992">
        <v>88</v>
      </c>
      <c r="B992" s="168" t="s">
        <v>138</v>
      </c>
      <c r="C992" s="168" t="s">
        <v>139</v>
      </c>
      <c r="D992">
        <v>7858.3</v>
      </c>
      <c r="E992">
        <v>2020</v>
      </c>
      <c r="F992" s="168" t="s">
        <v>591</v>
      </c>
      <c r="G992" s="168" t="s">
        <v>616</v>
      </c>
      <c r="H992" s="168" t="s">
        <v>608</v>
      </c>
      <c r="I992">
        <v>2050705.7493528002</v>
      </c>
    </row>
    <row r="993" spans="1:9" x14ac:dyDescent="0.3">
      <c r="A993">
        <v>88</v>
      </c>
      <c r="B993" s="168" t="s">
        <v>138</v>
      </c>
      <c r="C993" s="168" t="s">
        <v>139</v>
      </c>
      <c r="D993">
        <v>7858.3</v>
      </c>
      <c r="E993">
        <v>2020</v>
      </c>
      <c r="F993" s="168" t="s">
        <v>591</v>
      </c>
      <c r="G993" s="168" t="s">
        <v>616</v>
      </c>
      <c r="H993" s="168" t="s">
        <v>609</v>
      </c>
      <c r="I993">
        <v>936511.87489001092</v>
      </c>
    </row>
    <row r="994" spans="1:9" x14ac:dyDescent="0.3">
      <c r="A994">
        <v>88</v>
      </c>
      <c r="B994" s="168" t="s">
        <v>138</v>
      </c>
      <c r="C994" s="168" t="s">
        <v>139</v>
      </c>
      <c r="D994">
        <v>7858.3</v>
      </c>
      <c r="E994">
        <v>2020</v>
      </c>
      <c r="F994" s="168" t="s">
        <v>591</v>
      </c>
      <c r="G994" s="168" t="s">
        <v>617</v>
      </c>
      <c r="H994" s="168" t="s">
        <v>608</v>
      </c>
      <c r="I994">
        <v>42215</v>
      </c>
    </row>
    <row r="995" spans="1:9" x14ac:dyDescent="0.3">
      <c r="A995">
        <v>88</v>
      </c>
      <c r="B995" s="168" t="s">
        <v>138</v>
      </c>
      <c r="C995" s="168" t="s">
        <v>139</v>
      </c>
      <c r="D995">
        <v>7858.3</v>
      </c>
      <c r="E995">
        <v>2020</v>
      </c>
      <c r="F995" s="168" t="s">
        <v>591</v>
      </c>
      <c r="G995" s="168" t="s">
        <v>617</v>
      </c>
      <c r="H995" s="168" t="s">
        <v>609</v>
      </c>
      <c r="I995">
        <v>15075</v>
      </c>
    </row>
    <row r="996" spans="1:9" x14ac:dyDescent="0.3">
      <c r="A996">
        <v>88</v>
      </c>
      <c r="B996" s="168" t="s">
        <v>138</v>
      </c>
      <c r="C996" s="168" t="s">
        <v>139</v>
      </c>
      <c r="D996">
        <v>7858.3</v>
      </c>
      <c r="E996">
        <v>2020</v>
      </c>
      <c r="F996" s="168" t="s">
        <v>591</v>
      </c>
      <c r="G996" s="168" t="s">
        <v>618</v>
      </c>
      <c r="H996" s="168" t="s">
        <v>608</v>
      </c>
      <c r="I996">
        <v>0</v>
      </c>
    </row>
    <row r="997" spans="1:9" x14ac:dyDescent="0.3">
      <c r="A997">
        <v>88</v>
      </c>
      <c r="B997" s="168" t="s">
        <v>138</v>
      </c>
      <c r="C997" s="168" t="s">
        <v>139</v>
      </c>
      <c r="D997">
        <v>7858.3</v>
      </c>
      <c r="E997">
        <v>2020</v>
      </c>
      <c r="F997" s="168" t="s">
        <v>591</v>
      </c>
      <c r="G997" s="168" t="s">
        <v>618</v>
      </c>
      <c r="H997" s="168" t="s">
        <v>609</v>
      </c>
      <c r="I997">
        <v>37280.898876404492</v>
      </c>
    </row>
    <row r="998" spans="1:9" x14ac:dyDescent="0.3">
      <c r="A998">
        <v>88</v>
      </c>
      <c r="B998" s="168" t="s">
        <v>138</v>
      </c>
      <c r="C998" s="168" t="s">
        <v>139</v>
      </c>
      <c r="D998">
        <v>7858.3</v>
      </c>
      <c r="E998">
        <v>2020</v>
      </c>
      <c r="F998" s="168" t="s">
        <v>591</v>
      </c>
      <c r="G998" s="168" t="s">
        <v>610</v>
      </c>
      <c r="H998" s="168" t="s">
        <v>608</v>
      </c>
      <c r="I998">
        <v>0</v>
      </c>
    </row>
    <row r="999" spans="1:9" x14ac:dyDescent="0.3">
      <c r="A999">
        <v>88</v>
      </c>
      <c r="B999" s="168" t="s">
        <v>138</v>
      </c>
      <c r="C999" s="168" t="s">
        <v>139</v>
      </c>
      <c r="D999">
        <v>7858.3</v>
      </c>
      <c r="E999">
        <v>2020</v>
      </c>
      <c r="F999" s="168" t="s">
        <v>591</v>
      </c>
      <c r="G999" s="168" t="s">
        <v>610</v>
      </c>
      <c r="H999" s="168" t="s">
        <v>609</v>
      </c>
      <c r="I999">
        <v>9818.181818181818</v>
      </c>
    </row>
    <row r="1000" spans="1:9" x14ac:dyDescent="0.3">
      <c r="A1000">
        <v>88</v>
      </c>
      <c r="B1000" s="168" t="s">
        <v>138</v>
      </c>
      <c r="C1000" s="168" t="s">
        <v>139</v>
      </c>
      <c r="D1000">
        <v>7858.3</v>
      </c>
      <c r="E1000">
        <v>2020</v>
      </c>
      <c r="F1000" s="168" t="s">
        <v>591</v>
      </c>
      <c r="G1000" s="168" t="s">
        <v>623</v>
      </c>
      <c r="H1000" s="168" t="s">
        <v>608</v>
      </c>
      <c r="I1000">
        <v>311517</v>
      </c>
    </row>
    <row r="1001" spans="1:9" x14ac:dyDescent="0.3">
      <c r="A1001">
        <v>88</v>
      </c>
      <c r="B1001" s="168" t="s">
        <v>138</v>
      </c>
      <c r="C1001" s="168" t="s">
        <v>139</v>
      </c>
      <c r="D1001">
        <v>7858.3</v>
      </c>
      <c r="E1001">
        <v>2020</v>
      </c>
      <c r="F1001" s="168" t="s">
        <v>591</v>
      </c>
      <c r="G1001" s="168" t="s">
        <v>623</v>
      </c>
      <c r="H1001" s="168" t="s">
        <v>609</v>
      </c>
      <c r="I1001">
        <v>108184.87999999999</v>
      </c>
    </row>
    <row r="1002" spans="1:9" x14ac:dyDescent="0.3">
      <c r="A1002">
        <v>88</v>
      </c>
      <c r="B1002" s="168" t="s">
        <v>138</v>
      </c>
      <c r="C1002" s="168" t="s">
        <v>139</v>
      </c>
      <c r="D1002">
        <v>7858.3</v>
      </c>
      <c r="E1002">
        <v>2020</v>
      </c>
      <c r="F1002" s="168" t="s">
        <v>591</v>
      </c>
      <c r="G1002" s="168" t="s">
        <v>624</v>
      </c>
      <c r="H1002" s="168" t="s">
        <v>608</v>
      </c>
      <c r="I1002">
        <v>147009.5442877021</v>
      </c>
    </row>
    <row r="1003" spans="1:9" x14ac:dyDescent="0.3">
      <c r="A1003">
        <v>88</v>
      </c>
      <c r="B1003" s="168" t="s">
        <v>138</v>
      </c>
      <c r="C1003" s="168" t="s">
        <v>139</v>
      </c>
      <c r="D1003">
        <v>7858.3</v>
      </c>
      <c r="E1003">
        <v>2020</v>
      </c>
      <c r="F1003" s="168" t="s">
        <v>591</v>
      </c>
      <c r="G1003" s="168" t="s">
        <v>624</v>
      </c>
      <c r="H1003" s="168" t="s">
        <v>609</v>
      </c>
      <c r="I1003">
        <v>154651.6132267871</v>
      </c>
    </row>
    <row r="1004" spans="1:9" x14ac:dyDescent="0.3">
      <c r="A1004">
        <v>88</v>
      </c>
      <c r="B1004" s="168" t="s">
        <v>138</v>
      </c>
      <c r="C1004" s="168" t="s">
        <v>139</v>
      </c>
      <c r="D1004">
        <v>7858.3</v>
      </c>
      <c r="E1004">
        <v>2020</v>
      </c>
      <c r="F1004" s="168" t="s">
        <v>591</v>
      </c>
      <c r="G1004" s="168" t="s">
        <v>611</v>
      </c>
      <c r="H1004" s="168" t="s">
        <v>608</v>
      </c>
      <c r="I1004">
        <v>0</v>
      </c>
    </row>
    <row r="1005" spans="1:9" x14ac:dyDescent="0.3">
      <c r="A1005">
        <v>88</v>
      </c>
      <c r="B1005" s="168" t="s">
        <v>138</v>
      </c>
      <c r="C1005" s="168" t="s">
        <v>139</v>
      </c>
      <c r="D1005">
        <v>7858.3</v>
      </c>
      <c r="E1005">
        <v>2020</v>
      </c>
      <c r="F1005" s="168" t="s">
        <v>591</v>
      </c>
      <c r="G1005" s="168" t="s">
        <v>611</v>
      </c>
      <c r="H1005" s="168" t="s">
        <v>609</v>
      </c>
      <c r="I1005">
        <v>32844.405170790844</v>
      </c>
    </row>
    <row r="1006" spans="1:9" x14ac:dyDescent="0.3">
      <c r="A1006">
        <v>88</v>
      </c>
      <c r="B1006" s="168" t="s">
        <v>138</v>
      </c>
      <c r="C1006" s="168" t="s">
        <v>139</v>
      </c>
      <c r="D1006">
        <v>7858.3</v>
      </c>
      <c r="E1006">
        <v>2020</v>
      </c>
      <c r="F1006" s="168" t="s">
        <v>591</v>
      </c>
      <c r="G1006" s="168" t="s">
        <v>613</v>
      </c>
      <c r="H1006" s="168" t="s">
        <v>608</v>
      </c>
      <c r="I1006">
        <v>296635.85827897</v>
      </c>
    </row>
    <row r="1007" spans="1:9" x14ac:dyDescent="0.3">
      <c r="A1007">
        <v>88</v>
      </c>
      <c r="B1007" s="168" t="s">
        <v>138</v>
      </c>
      <c r="C1007" s="168" t="s">
        <v>139</v>
      </c>
      <c r="D1007">
        <v>7858.3</v>
      </c>
      <c r="E1007">
        <v>2020</v>
      </c>
      <c r="F1007" s="168" t="s">
        <v>591</v>
      </c>
      <c r="G1007" s="168" t="s">
        <v>613</v>
      </c>
      <c r="H1007" s="168" t="s">
        <v>609</v>
      </c>
      <c r="I1007">
        <v>60208.179742888293</v>
      </c>
    </row>
    <row r="1008" spans="1:9" x14ac:dyDescent="0.3">
      <c r="A1008">
        <v>89</v>
      </c>
      <c r="B1008" s="168" t="s">
        <v>140</v>
      </c>
      <c r="C1008" s="168" t="s">
        <v>141</v>
      </c>
      <c r="D1008">
        <v>7847.8</v>
      </c>
      <c r="E1008">
        <v>2020</v>
      </c>
      <c r="F1008" s="168" t="s">
        <v>591</v>
      </c>
      <c r="G1008" s="168" t="s">
        <v>607</v>
      </c>
      <c r="H1008" s="168" t="s">
        <v>608</v>
      </c>
      <c r="I1008">
        <v>1699720.8968019439</v>
      </c>
    </row>
    <row r="1009" spans="1:9" x14ac:dyDescent="0.3">
      <c r="A1009">
        <v>89</v>
      </c>
      <c r="B1009" s="168" t="s">
        <v>140</v>
      </c>
      <c r="C1009" s="168" t="s">
        <v>141</v>
      </c>
      <c r="D1009">
        <v>7847.8</v>
      </c>
      <c r="E1009">
        <v>2020</v>
      </c>
      <c r="F1009" s="168" t="s">
        <v>591</v>
      </c>
      <c r="G1009" s="168" t="s">
        <v>607</v>
      </c>
      <c r="H1009" s="168" t="s">
        <v>609</v>
      </c>
      <c r="I1009">
        <v>844333.10941315</v>
      </c>
    </row>
    <row r="1010" spans="1:9" x14ac:dyDescent="0.3">
      <c r="A1010">
        <v>89</v>
      </c>
      <c r="B1010" s="168" t="s">
        <v>140</v>
      </c>
      <c r="C1010" s="168" t="s">
        <v>141</v>
      </c>
      <c r="D1010">
        <v>7847.8</v>
      </c>
      <c r="E1010">
        <v>2020</v>
      </c>
      <c r="F1010" s="168" t="s">
        <v>591</v>
      </c>
      <c r="G1010" s="168" t="s">
        <v>612</v>
      </c>
      <c r="H1010" s="168" t="s">
        <v>608</v>
      </c>
      <c r="I1010">
        <v>447525</v>
      </c>
    </row>
    <row r="1011" spans="1:9" x14ac:dyDescent="0.3">
      <c r="A1011">
        <v>89</v>
      </c>
      <c r="B1011" s="168" t="s">
        <v>140</v>
      </c>
      <c r="C1011" s="168" t="s">
        <v>141</v>
      </c>
      <c r="D1011">
        <v>7847.8</v>
      </c>
      <c r="E1011">
        <v>2020</v>
      </c>
      <c r="F1011" s="168" t="s">
        <v>591</v>
      </c>
      <c r="G1011" s="168" t="s">
        <v>612</v>
      </c>
      <c r="H1011" s="168" t="s">
        <v>609</v>
      </c>
      <c r="I1011">
        <v>0</v>
      </c>
    </row>
    <row r="1012" spans="1:9" x14ac:dyDescent="0.3">
      <c r="A1012">
        <v>89</v>
      </c>
      <c r="B1012" s="168" t="s">
        <v>140</v>
      </c>
      <c r="C1012" s="168" t="s">
        <v>141</v>
      </c>
      <c r="D1012">
        <v>7847.8</v>
      </c>
      <c r="E1012">
        <v>2020</v>
      </c>
      <c r="F1012" s="168" t="s">
        <v>591</v>
      </c>
      <c r="G1012" s="168" t="s">
        <v>616</v>
      </c>
      <c r="H1012" s="168" t="s">
        <v>608</v>
      </c>
      <c r="I1012">
        <v>2048122.9506472</v>
      </c>
    </row>
    <row r="1013" spans="1:9" x14ac:dyDescent="0.3">
      <c r="A1013">
        <v>89</v>
      </c>
      <c r="B1013" s="168" t="s">
        <v>140</v>
      </c>
      <c r="C1013" s="168" t="s">
        <v>141</v>
      </c>
      <c r="D1013">
        <v>7847.8</v>
      </c>
      <c r="E1013">
        <v>2020</v>
      </c>
      <c r="F1013" s="168" t="s">
        <v>591</v>
      </c>
      <c r="G1013" s="168" t="s">
        <v>616</v>
      </c>
      <c r="H1013" s="168" t="s">
        <v>609</v>
      </c>
      <c r="I1013">
        <v>935417.82510998903</v>
      </c>
    </row>
    <row r="1014" spans="1:9" x14ac:dyDescent="0.3">
      <c r="A1014">
        <v>89</v>
      </c>
      <c r="B1014" s="168" t="s">
        <v>140</v>
      </c>
      <c r="C1014" s="168" t="s">
        <v>141</v>
      </c>
      <c r="D1014">
        <v>7847.8</v>
      </c>
      <c r="E1014">
        <v>2020</v>
      </c>
      <c r="F1014" s="168" t="s">
        <v>591</v>
      </c>
      <c r="G1014" s="168" t="s">
        <v>617</v>
      </c>
      <c r="H1014" s="168" t="s">
        <v>608</v>
      </c>
      <c r="I1014">
        <v>42215</v>
      </c>
    </row>
    <row r="1015" spans="1:9" x14ac:dyDescent="0.3">
      <c r="A1015">
        <v>89</v>
      </c>
      <c r="B1015" s="168" t="s">
        <v>140</v>
      </c>
      <c r="C1015" s="168" t="s">
        <v>141</v>
      </c>
      <c r="D1015">
        <v>7847.8</v>
      </c>
      <c r="E1015">
        <v>2020</v>
      </c>
      <c r="F1015" s="168" t="s">
        <v>591</v>
      </c>
      <c r="G1015" s="168" t="s">
        <v>617</v>
      </c>
      <c r="H1015" s="168" t="s">
        <v>609</v>
      </c>
      <c r="I1015">
        <v>15075</v>
      </c>
    </row>
    <row r="1016" spans="1:9" x14ac:dyDescent="0.3">
      <c r="A1016">
        <v>89</v>
      </c>
      <c r="B1016" s="168" t="s">
        <v>140</v>
      </c>
      <c r="C1016" s="168" t="s">
        <v>141</v>
      </c>
      <c r="D1016">
        <v>7847.8</v>
      </c>
      <c r="E1016">
        <v>2020</v>
      </c>
      <c r="F1016" s="168" t="s">
        <v>591</v>
      </c>
      <c r="G1016" s="168" t="s">
        <v>618</v>
      </c>
      <c r="H1016" s="168" t="s">
        <v>608</v>
      </c>
      <c r="I1016">
        <v>0</v>
      </c>
    </row>
    <row r="1017" spans="1:9" x14ac:dyDescent="0.3">
      <c r="A1017">
        <v>89</v>
      </c>
      <c r="B1017" s="168" t="s">
        <v>140</v>
      </c>
      <c r="C1017" s="168" t="s">
        <v>141</v>
      </c>
      <c r="D1017">
        <v>7847.8</v>
      </c>
      <c r="E1017">
        <v>2020</v>
      </c>
      <c r="F1017" s="168" t="s">
        <v>591</v>
      </c>
      <c r="G1017" s="168" t="s">
        <v>618</v>
      </c>
      <c r="H1017" s="168" t="s">
        <v>609</v>
      </c>
      <c r="I1017">
        <v>37280.898876404492</v>
      </c>
    </row>
    <row r="1018" spans="1:9" x14ac:dyDescent="0.3">
      <c r="A1018">
        <v>89</v>
      </c>
      <c r="B1018" s="168" t="s">
        <v>140</v>
      </c>
      <c r="C1018" s="168" t="s">
        <v>141</v>
      </c>
      <c r="D1018">
        <v>7847.8</v>
      </c>
      <c r="E1018">
        <v>2020</v>
      </c>
      <c r="F1018" s="168" t="s">
        <v>591</v>
      </c>
      <c r="G1018" s="168" t="s">
        <v>610</v>
      </c>
      <c r="H1018" s="168" t="s">
        <v>608</v>
      </c>
      <c r="I1018">
        <v>0</v>
      </c>
    </row>
    <row r="1019" spans="1:9" x14ac:dyDescent="0.3">
      <c r="A1019">
        <v>89</v>
      </c>
      <c r="B1019" s="168" t="s">
        <v>140</v>
      </c>
      <c r="C1019" s="168" t="s">
        <v>141</v>
      </c>
      <c r="D1019">
        <v>7847.8</v>
      </c>
      <c r="E1019">
        <v>2020</v>
      </c>
      <c r="F1019" s="168" t="s">
        <v>591</v>
      </c>
      <c r="G1019" s="168" t="s">
        <v>610</v>
      </c>
      <c r="H1019" s="168" t="s">
        <v>609</v>
      </c>
      <c r="I1019">
        <v>9818.181818181818</v>
      </c>
    </row>
    <row r="1020" spans="1:9" x14ac:dyDescent="0.3">
      <c r="A1020">
        <v>89</v>
      </c>
      <c r="B1020" s="168" t="s">
        <v>140</v>
      </c>
      <c r="C1020" s="168" t="s">
        <v>141</v>
      </c>
      <c r="D1020">
        <v>7847.8</v>
      </c>
      <c r="E1020">
        <v>2020</v>
      </c>
      <c r="F1020" s="168" t="s">
        <v>591</v>
      </c>
      <c r="G1020" s="168" t="s">
        <v>623</v>
      </c>
      <c r="H1020" s="168" t="s">
        <v>608</v>
      </c>
      <c r="I1020">
        <v>311517</v>
      </c>
    </row>
    <row r="1021" spans="1:9" x14ac:dyDescent="0.3">
      <c r="A1021">
        <v>89</v>
      </c>
      <c r="B1021" s="168" t="s">
        <v>140</v>
      </c>
      <c r="C1021" s="168" t="s">
        <v>141</v>
      </c>
      <c r="D1021">
        <v>7847.8</v>
      </c>
      <c r="E1021">
        <v>2020</v>
      </c>
      <c r="F1021" s="168" t="s">
        <v>591</v>
      </c>
      <c r="G1021" s="168" t="s">
        <v>623</v>
      </c>
      <c r="H1021" s="168" t="s">
        <v>609</v>
      </c>
      <c r="I1021">
        <v>198184.88</v>
      </c>
    </row>
    <row r="1022" spans="1:9" x14ac:dyDescent="0.3">
      <c r="A1022">
        <v>89</v>
      </c>
      <c r="B1022" s="168" t="s">
        <v>140</v>
      </c>
      <c r="C1022" s="168" t="s">
        <v>141</v>
      </c>
      <c r="D1022">
        <v>7847.8</v>
      </c>
      <c r="E1022">
        <v>2020</v>
      </c>
      <c r="F1022" s="168" t="s">
        <v>591</v>
      </c>
      <c r="G1022" s="168" t="s">
        <v>624</v>
      </c>
      <c r="H1022" s="168" t="s">
        <v>608</v>
      </c>
      <c r="I1022">
        <v>146813.11500719411</v>
      </c>
    </row>
    <row r="1023" spans="1:9" x14ac:dyDescent="0.3">
      <c r="A1023">
        <v>89</v>
      </c>
      <c r="B1023" s="168" t="s">
        <v>140</v>
      </c>
      <c r="C1023" s="168" t="s">
        <v>141</v>
      </c>
      <c r="D1023">
        <v>7847.8</v>
      </c>
      <c r="E1023">
        <v>2020</v>
      </c>
      <c r="F1023" s="168" t="s">
        <v>591</v>
      </c>
      <c r="G1023" s="168" t="s">
        <v>624</v>
      </c>
      <c r="H1023" s="168" t="s">
        <v>609</v>
      </c>
      <c r="I1023">
        <v>154444.9728670551</v>
      </c>
    </row>
    <row r="1024" spans="1:9" x14ac:dyDescent="0.3">
      <c r="A1024">
        <v>89</v>
      </c>
      <c r="B1024" s="168" t="s">
        <v>140</v>
      </c>
      <c r="C1024" s="168" t="s">
        <v>141</v>
      </c>
      <c r="D1024">
        <v>7847.8</v>
      </c>
      <c r="E1024">
        <v>2020</v>
      </c>
      <c r="F1024" s="168" t="s">
        <v>591</v>
      </c>
      <c r="G1024" s="168" t="s">
        <v>611</v>
      </c>
      <c r="H1024" s="168" t="s">
        <v>608</v>
      </c>
      <c r="I1024">
        <v>0</v>
      </c>
    </row>
    <row r="1025" spans="1:9" x14ac:dyDescent="0.3">
      <c r="A1025">
        <v>89</v>
      </c>
      <c r="B1025" s="168" t="s">
        <v>140</v>
      </c>
      <c r="C1025" s="168" t="s">
        <v>141</v>
      </c>
      <c r="D1025">
        <v>7847.8</v>
      </c>
      <c r="E1025">
        <v>2020</v>
      </c>
      <c r="F1025" s="168" t="s">
        <v>591</v>
      </c>
      <c r="G1025" s="168" t="s">
        <v>611</v>
      </c>
      <c r="H1025" s="168" t="s">
        <v>609</v>
      </c>
      <c r="I1025">
        <v>32800.519565215422</v>
      </c>
    </row>
    <row r="1026" spans="1:9" x14ac:dyDescent="0.3">
      <c r="A1026">
        <v>89</v>
      </c>
      <c r="B1026" s="168" t="s">
        <v>140</v>
      </c>
      <c r="C1026" s="168" t="s">
        <v>141</v>
      </c>
      <c r="D1026">
        <v>7847.8</v>
      </c>
      <c r="E1026">
        <v>2020</v>
      </c>
      <c r="F1026" s="168" t="s">
        <v>591</v>
      </c>
      <c r="G1026" s="168" t="s">
        <v>613</v>
      </c>
      <c r="H1026" s="168" t="s">
        <v>608</v>
      </c>
      <c r="I1026">
        <v>296239.50327700662</v>
      </c>
    </row>
    <row r="1027" spans="1:9" x14ac:dyDescent="0.3">
      <c r="A1027">
        <v>89</v>
      </c>
      <c r="B1027" s="168" t="s">
        <v>140</v>
      </c>
      <c r="C1027" s="168" t="s">
        <v>141</v>
      </c>
      <c r="D1027">
        <v>7847.8</v>
      </c>
      <c r="E1027">
        <v>2020</v>
      </c>
      <c r="F1027" s="168" t="s">
        <v>591</v>
      </c>
      <c r="G1027" s="168" t="s">
        <v>613</v>
      </c>
      <c r="H1027" s="168" t="s">
        <v>609</v>
      </c>
      <c r="I1027">
        <v>60127.731568690273</v>
      </c>
    </row>
    <row r="1028" spans="1:9" x14ac:dyDescent="0.3">
      <c r="A1028">
        <v>90</v>
      </c>
      <c r="B1028" s="168" t="s">
        <v>142</v>
      </c>
      <c r="C1028" s="168" t="s">
        <v>143</v>
      </c>
      <c r="D1028">
        <v>1453.6</v>
      </c>
      <c r="E1028">
        <v>2020</v>
      </c>
      <c r="F1028" s="168" t="s">
        <v>592</v>
      </c>
      <c r="G1028" s="168" t="s">
        <v>618</v>
      </c>
      <c r="H1028" s="168" t="s">
        <v>608</v>
      </c>
      <c r="I1028">
        <v>0</v>
      </c>
    </row>
    <row r="1029" spans="1:9" x14ac:dyDescent="0.3">
      <c r="A1029">
        <v>90</v>
      </c>
      <c r="B1029" s="168" t="s">
        <v>142</v>
      </c>
      <c r="C1029" s="168" t="s">
        <v>143</v>
      </c>
      <c r="D1029">
        <v>1453.6</v>
      </c>
      <c r="E1029">
        <v>2020</v>
      </c>
      <c r="F1029" s="168" t="s">
        <v>592</v>
      </c>
      <c r="G1029" s="168" t="s">
        <v>618</v>
      </c>
      <c r="H1029" s="168" t="s">
        <v>609</v>
      </c>
      <c r="I1029">
        <v>10651.685393258427</v>
      </c>
    </row>
    <row r="1030" spans="1:9" x14ac:dyDescent="0.3">
      <c r="A1030">
        <v>90</v>
      </c>
      <c r="B1030" s="168" t="s">
        <v>142</v>
      </c>
      <c r="C1030" s="168" t="s">
        <v>143</v>
      </c>
      <c r="D1030">
        <v>1453.6</v>
      </c>
      <c r="E1030">
        <v>2020</v>
      </c>
      <c r="F1030" s="168" t="s">
        <v>592</v>
      </c>
      <c r="G1030" s="168" t="s">
        <v>610</v>
      </c>
      <c r="H1030" s="168" t="s">
        <v>608</v>
      </c>
      <c r="I1030">
        <v>0</v>
      </c>
    </row>
    <row r="1031" spans="1:9" x14ac:dyDescent="0.3">
      <c r="A1031">
        <v>90</v>
      </c>
      <c r="B1031" s="168" t="s">
        <v>142</v>
      </c>
      <c r="C1031" s="168" t="s">
        <v>143</v>
      </c>
      <c r="D1031">
        <v>1453.6</v>
      </c>
      <c r="E1031">
        <v>2020</v>
      </c>
      <c r="F1031" s="168" t="s">
        <v>592</v>
      </c>
      <c r="G1031" s="168" t="s">
        <v>610</v>
      </c>
      <c r="H1031" s="168" t="s">
        <v>609</v>
      </c>
      <c r="I1031">
        <v>13090.90909090909</v>
      </c>
    </row>
    <row r="1032" spans="1:9" x14ac:dyDescent="0.3">
      <c r="A1032">
        <v>90</v>
      </c>
      <c r="B1032" s="168" t="s">
        <v>142</v>
      </c>
      <c r="C1032" s="168" t="s">
        <v>143</v>
      </c>
      <c r="D1032">
        <v>1453.6</v>
      </c>
      <c r="E1032">
        <v>2020</v>
      </c>
      <c r="F1032" s="168" t="s">
        <v>592</v>
      </c>
      <c r="G1032" s="168" t="s">
        <v>624</v>
      </c>
      <c r="H1032" s="168" t="s">
        <v>608</v>
      </c>
      <c r="I1032">
        <v>21733.00083224065</v>
      </c>
    </row>
    <row r="1033" spans="1:9" x14ac:dyDescent="0.3">
      <c r="A1033">
        <v>90</v>
      </c>
      <c r="B1033" s="168" t="s">
        <v>142</v>
      </c>
      <c r="C1033" s="168" t="s">
        <v>143</v>
      </c>
      <c r="D1033">
        <v>1453.6</v>
      </c>
      <c r="E1033">
        <v>2020</v>
      </c>
      <c r="F1033" s="168" t="s">
        <v>592</v>
      </c>
      <c r="G1033" s="168" t="s">
        <v>624</v>
      </c>
      <c r="H1033" s="168" t="s">
        <v>609</v>
      </c>
      <c r="I1033">
        <v>23146.603190238344</v>
      </c>
    </row>
    <row r="1034" spans="1:9" x14ac:dyDescent="0.3">
      <c r="A1034">
        <v>90</v>
      </c>
      <c r="B1034" s="168" t="s">
        <v>142</v>
      </c>
      <c r="C1034" s="168" t="s">
        <v>143</v>
      </c>
      <c r="D1034">
        <v>1453.6</v>
      </c>
      <c r="E1034">
        <v>2020</v>
      </c>
      <c r="F1034" s="168" t="s">
        <v>592</v>
      </c>
      <c r="G1034" s="168" t="s">
        <v>613</v>
      </c>
      <c r="H1034" s="168" t="s">
        <v>608</v>
      </c>
      <c r="I1034">
        <v>54870.631509908097</v>
      </c>
    </row>
    <row r="1035" spans="1:9" x14ac:dyDescent="0.3">
      <c r="A1035">
        <v>90</v>
      </c>
      <c r="B1035" s="168" t="s">
        <v>142</v>
      </c>
      <c r="C1035" s="168" t="s">
        <v>143</v>
      </c>
      <c r="D1035">
        <v>1453.6</v>
      </c>
      <c r="E1035">
        <v>2020</v>
      </c>
      <c r="F1035" s="168" t="s">
        <v>592</v>
      </c>
      <c r="G1035" s="168" t="s">
        <v>613</v>
      </c>
      <c r="H1035" s="168" t="s">
        <v>609</v>
      </c>
      <c r="I1035">
        <v>11137.092001356836</v>
      </c>
    </row>
    <row r="1036" spans="1:9" x14ac:dyDescent="0.3">
      <c r="A1036">
        <v>91</v>
      </c>
      <c r="B1036" s="168" t="s">
        <v>144</v>
      </c>
      <c r="C1036" s="168" t="s">
        <v>145</v>
      </c>
      <c r="D1036">
        <v>6172.3</v>
      </c>
      <c r="E1036">
        <v>2020</v>
      </c>
      <c r="F1036" s="168" t="s">
        <v>592</v>
      </c>
      <c r="G1036" s="168" t="s">
        <v>607</v>
      </c>
      <c r="H1036" s="168" t="s">
        <v>608</v>
      </c>
      <c r="I1036">
        <v>0</v>
      </c>
    </row>
    <row r="1037" spans="1:9" x14ac:dyDescent="0.3">
      <c r="A1037">
        <v>91</v>
      </c>
      <c r="B1037" s="168" t="s">
        <v>144</v>
      </c>
      <c r="C1037" s="168" t="s">
        <v>145</v>
      </c>
      <c r="D1037">
        <v>6172.3</v>
      </c>
      <c r="E1037">
        <v>2020</v>
      </c>
      <c r="F1037" s="168" t="s">
        <v>592</v>
      </c>
      <c r="G1037" s="168" t="s">
        <v>607</v>
      </c>
      <c r="H1037" s="168" t="s">
        <v>609</v>
      </c>
      <c r="I1037">
        <v>905850</v>
      </c>
    </row>
    <row r="1038" spans="1:9" x14ac:dyDescent="0.3">
      <c r="A1038">
        <v>91</v>
      </c>
      <c r="B1038" s="168" t="s">
        <v>144</v>
      </c>
      <c r="C1038" s="168" t="s">
        <v>145</v>
      </c>
      <c r="D1038">
        <v>6172.3</v>
      </c>
      <c r="E1038">
        <v>2020</v>
      </c>
      <c r="F1038" s="168" t="s">
        <v>592</v>
      </c>
      <c r="G1038" s="168" t="s">
        <v>612</v>
      </c>
      <c r="H1038" s="168" t="s">
        <v>608</v>
      </c>
      <c r="I1038">
        <v>0</v>
      </c>
    </row>
    <row r="1039" spans="1:9" x14ac:dyDescent="0.3">
      <c r="A1039">
        <v>91</v>
      </c>
      <c r="B1039" s="168" t="s">
        <v>144</v>
      </c>
      <c r="C1039" s="168" t="s">
        <v>145</v>
      </c>
      <c r="D1039">
        <v>6172.3</v>
      </c>
      <c r="E1039">
        <v>2020</v>
      </c>
      <c r="F1039" s="168" t="s">
        <v>592</v>
      </c>
      <c r="G1039" s="168" t="s">
        <v>612</v>
      </c>
      <c r="H1039" s="168" t="s">
        <v>609</v>
      </c>
      <c r="I1039">
        <v>86786</v>
      </c>
    </row>
    <row r="1040" spans="1:9" x14ac:dyDescent="0.3">
      <c r="A1040">
        <v>91</v>
      </c>
      <c r="B1040" s="168" t="s">
        <v>144</v>
      </c>
      <c r="C1040" s="168" t="s">
        <v>145</v>
      </c>
      <c r="D1040">
        <v>6172.3</v>
      </c>
      <c r="E1040">
        <v>2020</v>
      </c>
      <c r="F1040" s="168" t="s">
        <v>592</v>
      </c>
      <c r="G1040" s="168" t="s">
        <v>616</v>
      </c>
      <c r="H1040" s="168" t="s">
        <v>608</v>
      </c>
      <c r="I1040">
        <v>0</v>
      </c>
    </row>
    <row r="1041" spans="1:9" x14ac:dyDescent="0.3">
      <c r="A1041">
        <v>91</v>
      </c>
      <c r="B1041" s="168" t="s">
        <v>144</v>
      </c>
      <c r="C1041" s="168" t="s">
        <v>145</v>
      </c>
      <c r="D1041">
        <v>6172.3</v>
      </c>
      <c r="E1041">
        <v>2020</v>
      </c>
      <c r="F1041" s="168" t="s">
        <v>592</v>
      </c>
      <c r="G1041" s="168" t="s">
        <v>616</v>
      </c>
      <c r="H1041" s="168" t="s">
        <v>609</v>
      </c>
      <c r="I1041">
        <v>1033793.85</v>
      </c>
    </row>
    <row r="1042" spans="1:9" x14ac:dyDescent="0.3">
      <c r="A1042">
        <v>91</v>
      </c>
      <c r="B1042" s="168" t="s">
        <v>144</v>
      </c>
      <c r="C1042" s="168" t="s">
        <v>145</v>
      </c>
      <c r="D1042">
        <v>6172.3</v>
      </c>
      <c r="E1042">
        <v>2020</v>
      </c>
      <c r="F1042" s="168" t="s">
        <v>592</v>
      </c>
      <c r="G1042" s="168" t="s">
        <v>617</v>
      </c>
      <c r="H1042" s="168" t="s">
        <v>608</v>
      </c>
      <c r="I1042">
        <v>0</v>
      </c>
    </row>
    <row r="1043" spans="1:9" x14ac:dyDescent="0.3">
      <c r="A1043">
        <v>91</v>
      </c>
      <c r="B1043" s="168" t="s">
        <v>144</v>
      </c>
      <c r="C1043" s="168" t="s">
        <v>145</v>
      </c>
      <c r="D1043">
        <v>6172.3</v>
      </c>
      <c r="E1043">
        <v>2020</v>
      </c>
      <c r="F1043" s="168" t="s">
        <v>592</v>
      </c>
      <c r="G1043" s="168" t="s">
        <v>617</v>
      </c>
      <c r="H1043" s="168" t="s">
        <v>609</v>
      </c>
      <c r="I1043">
        <v>26200</v>
      </c>
    </row>
    <row r="1044" spans="1:9" x14ac:dyDescent="0.3">
      <c r="A1044">
        <v>91</v>
      </c>
      <c r="B1044" s="168" t="s">
        <v>144</v>
      </c>
      <c r="C1044" s="168" t="s">
        <v>145</v>
      </c>
      <c r="D1044">
        <v>6172.3</v>
      </c>
      <c r="E1044">
        <v>2020</v>
      </c>
      <c r="F1044" s="168" t="s">
        <v>592</v>
      </c>
      <c r="G1044" s="168" t="s">
        <v>618</v>
      </c>
      <c r="H1044" s="168" t="s">
        <v>608</v>
      </c>
      <c r="I1044">
        <v>0</v>
      </c>
    </row>
    <row r="1045" spans="1:9" x14ac:dyDescent="0.3">
      <c r="A1045">
        <v>91</v>
      </c>
      <c r="B1045" s="168" t="s">
        <v>144</v>
      </c>
      <c r="C1045" s="168" t="s">
        <v>145</v>
      </c>
      <c r="D1045">
        <v>6172.3</v>
      </c>
      <c r="E1045">
        <v>2020</v>
      </c>
      <c r="F1045" s="168" t="s">
        <v>592</v>
      </c>
      <c r="G1045" s="168" t="s">
        <v>618</v>
      </c>
      <c r="H1045" s="168" t="s">
        <v>609</v>
      </c>
      <c r="I1045">
        <v>260000</v>
      </c>
    </row>
    <row r="1046" spans="1:9" x14ac:dyDescent="0.3">
      <c r="A1046">
        <v>91</v>
      </c>
      <c r="B1046" s="168" t="s">
        <v>144</v>
      </c>
      <c r="C1046" s="168" t="s">
        <v>145</v>
      </c>
      <c r="D1046">
        <v>6172.3</v>
      </c>
      <c r="E1046">
        <v>2020</v>
      </c>
      <c r="F1046" s="168" t="s">
        <v>592</v>
      </c>
      <c r="G1046" s="168" t="s">
        <v>619</v>
      </c>
      <c r="H1046" s="168" t="s">
        <v>608</v>
      </c>
      <c r="I1046">
        <v>0</v>
      </c>
    </row>
    <row r="1047" spans="1:9" x14ac:dyDescent="0.3">
      <c r="A1047">
        <v>91</v>
      </c>
      <c r="B1047" s="168" t="s">
        <v>144</v>
      </c>
      <c r="C1047" s="168" t="s">
        <v>145</v>
      </c>
      <c r="D1047">
        <v>6172.3</v>
      </c>
      <c r="E1047">
        <v>2020</v>
      </c>
      <c r="F1047" s="168" t="s">
        <v>592</v>
      </c>
      <c r="G1047" s="168" t="s">
        <v>619</v>
      </c>
      <c r="H1047" s="168" t="s">
        <v>609</v>
      </c>
      <c r="I1047">
        <v>786040</v>
      </c>
    </row>
    <row r="1048" spans="1:9" x14ac:dyDescent="0.3">
      <c r="A1048">
        <v>91</v>
      </c>
      <c r="B1048" s="168" t="s">
        <v>144</v>
      </c>
      <c r="C1048" s="168" t="s">
        <v>145</v>
      </c>
      <c r="D1048">
        <v>6172.3</v>
      </c>
      <c r="E1048">
        <v>2020</v>
      </c>
      <c r="F1048" s="168" t="s">
        <v>592</v>
      </c>
      <c r="G1048" s="168" t="s">
        <v>610</v>
      </c>
      <c r="H1048" s="168" t="s">
        <v>608</v>
      </c>
      <c r="I1048">
        <v>0</v>
      </c>
    </row>
    <row r="1049" spans="1:9" x14ac:dyDescent="0.3">
      <c r="A1049">
        <v>91</v>
      </c>
      <c r="B1049" s="168" t="s">
        <v>144</v>
      </c>
      <c r="C1049" s="168" t="s">
        <v>145</v>
      </c>
      <c r="D1049">
        <v>6172.3</v>
      </c>
      <c r="E1049">
        <v>2020</v>
      </c>
      <c r="F1049" s="168" t="s">
        <v>592</v>
      </c>
      <c r="G1049" s="168" t="s">
        <v>610</v>
      </c>
      <c r="H1049" s="168" t="s">
        <v>609</v>
      </c>
      <c r="I1049">
        <v>6545.454545454545</v>
      </c>
    </row>
    <row r="1050" spans="1:9" x14ac:dyDescent="0.3">
      <c r="A1050">
        <v>91</v>
      </c>
      <c r="B1050" s="168" t="s">
        <v>144</v>
      </c>
      <c r="C1050" s="168" t="s">
        <v>145</v>
      </c>
      <c r="D1050">
        <v>6172.3</v>
      </c>
      <c r="E1050">
        <v>2020</v>
      </c>
      <c r="F1050" s="168" t="s">
        <v>592</v>
      </c>
      <c r="G1050" s="168" t="s">
        <v>620</v>
      </c>
      <c r="H1050" s="168" t="s">
        <v>608</v>
      </c>
      <c r="I1050">
        <v>0</v>
      </c>
    </row>
    <row r="1051" spans="1:9" x14ac:dyDescent="0.3">
      <c r="A1051">
        <v>91</v>
      </c>
      <c r="B1051" s="168" t="s">
        <v>144</v>
      </c>
      <c r="C1051" s="168" t="s">
        <v>145</v>
      </c>
      <c r="D1051">
        <v>6172.3</v>
      </c>
      <c r="E1051">
        <v>2020</v>
      </c>
      <c r="F1051" s="168" t="s">
        <v>592</v>
      </c>
      <c r="G1051" s="168" t="s">
        <v>620</v>
      </c>
      <c r="H1051" s="168" t="s">
        <v>609</v>
      </c>
      <c r="I1051">
        <v>32400</v>
      </c>
    </row>
    <row r="1052" spans="1:9" x14ac:dyDescent="0.3">
      <c r="A1052">
        <v>91</v>
      </c>
      <c r="B1052" s="168" t="s">
        <v>144</v>
      </c>
      <c r="C1052" s="168" t="s">
        <v>145</v>
      </c>
      <c r="D1052">
        <v>6172.3</v>
      </c>
      <c r="E1052">
        <v>2020</v>
      </c>
      <c r="F1052" s="168" t="s">
        <v>592</v>
      </c>
      <c r="G1052" s="168" t="s">
        <v>633</v>
      </c>
      <c r="H1052" s="168" t="s">
        <v>608</v>
      </c>
      <c r="I1052">
        <v>0</v>
      </c>
    </row>
    <row r="1053" spans="1:9" x14ac:dyDescent="0.3">
      <c r="A1053">
        <v>91</v>
      </c>
      <c r="B1053" s="168" t="s">
        <v>144</v>
      </c>
      <c r="C1053" s="168" t="s">
        <v>145</v>
      </c>
      <c r="D1053">
        <v>6172.3</v>
      </c>
      <c r="E1053">
        <v>2020</v>
      </c>
      <c r="F1053" s="168" t="s">
        <v>592</v>
      </c>
      <c r="G1053" s="168" t="s">
        <v>633</v>
      </c>
      <c r="H1053" s="168" t="s">
        <v>609</v>
      </c>
      <c r="I1053">
        <v>199200</v>
      </c>
    </row>
    <row r="1054" spans="1:9" x14ac:dyDescent="0.3">
      <c r="A1054">
        <v>91</v>
      </c>
      <c r="B1054" s="168" t="s">
        <v>144</v>
      </c>
      <c r="C1054" s="168" t="s">
        <v>145</v>
      </c>
      <c r="D1054">
        <v>6172.3</v>
      </c>
      <c r="E1054">
        <v>2020</v>
      </c>
      <c r="F1054" s="168" t="s">
        <v>592</v>
      </c>
      <c r="G1054" s="168" t="s">
        <v>623</v>
      </c>
      <c r="H1054" s="168" t="s">
        <v>608</v>
      </c>
      <c r="I1054">
        <v>37500</v>
      </c>
    </row>
    <row r="1055" spans="1:9" x14ac:dyDescent="0.3">
      <c r="A1055">
        <v>91</v>
      </c>
      <c r="B1055" s="168" t="s">
        <v>144</v>
      </c>
      <c r="C1055" s="168" t="s">
        <v>145</v>
      </c>
      <c r="D1055">
        <v>6172.3</v>
      </c>
      <c r="E1055">
        <v>2020</v>
      </c>
      <c r="F1055" s="168" t="s">
        <v>592</v>
      </c>
      <c r="G1055" s="168" t="s">
        <v>623</v>
      </c>
      <c r="H1055" s="168" t="s">
        <v>609</v>
      </c>
      <c r="I1055">
        <v>35510.391250000001</v>
      </c>
    </row>
    <row r="1056" spans="1:9" x14ac:dyDescent="0.3">
      <c r="A1056">
        <v>91</v>
      </c>
      <c r="B1056" s="168" t="s">
        <v>144</v>
      </c>
      <c r="C1056" s="168" t="s">
        <v>145</v>
      </c>
      <c r="D1056">
        <v>6172.3</v>
      </c>
      <c r="E1056">
        <v>2020</v>
      </c>
      <c r="F1056" s="168" t="s">
        <v>592</v>
      </c>
      <c r="G1056" s="168" t="s">
        <v>611</v>
      </c>
      <c r="H1056" s="168" t="s">
        <v>608</v>
      </c>
      <c r="I1056">
        <v>0</v>
      </c>
    </row>
    <row r="1057" spans="1:9" x14ac:dyDescent="0.3">
      <c r="A1057">
        <v>91</v>
      </c>
      <c r="B1057" s="168" t="s">
        <v>144</v>
      </c>
      <c r="C1057" s="168" t="s">
        <v>145</v>
      </c>
      <c r="D1057">
        <v>6172.3</v>
      </c>
      <c r="E1057">
        <v>2020</v>
      </c>
      <c r="F1057" s="168" t="s">
        <v>592</v>
      </c>
      <c r="G1057" s="168" t="s">
        <v>611</v>
      </c>
      <c r="H1057" s="168" t="s">
        <v>609</v>
      </c>
      <c r="I1057">
        <v>2581.6125510797324</v>
      </c>
    </row>
    <row r="1058" spans="1:9" x14ac:dyDescent="0.3">
      <c r="A1058">
        <v>91</v>
      </c>
      <c r="B1058" s="168" t="s">
        <v>144</v>
      </c>
      <c r="C1058" s="168" t="s">
        <v>145</v>
      </c>
      <c r="D1058">
        <v>6172.3</v>
      </c>
      <c r="E1058">
        <v>2020</v>
      </c>
      <c r="F1058" s="168" t="s">
        <v>592</v>
      </c>
      <c r="G1058" s="168" t="s">
        <v>626</v>
      </c>
      <c r="H1058" s="168" t="s">
        <v>608</v>
      </c>
      <c r="I1058">
        <v>0</v>
      </c>
    </row>
    <row r="1059" spans="1:9" x14ac:dyDescent="0.3">
      <c r="A1059">
        <v>91</v>
      </c>
      <c r="B1059" s="168" t="s">
        <v>144</v>
      </c>
      <c r="C1059" s="168" t="s">
        <v>145</v>
      </c>
      <c r="D1059">
        <v>6172.3</v>
      </c>
      <c r="E1059">
        <v>2020</v>
      </c>
      <c r="F1059" s="168" t="s">
        <v>592</v>
      </c>
      <c r="G1059" s="168" t="s">
        <v>626</v>
      </c>
      <c r="H1059" s="168" t="s">
        <v>609</v>
      </c>
      <c r="I1059">
        <v>64636.35</v>
      </c>
    </row>
    <row r="1060" spans="1:9" x14ac:dyDescent="0.3">
      <c r="A1060">
        <v>91</v>
      </c>
      <c r="B1060" s="168" t="s">
        <v>144</v>
      </c>
      <c r="C1060" s="168" t="s">
        <v>145</v>
      </c>
      <c r="D1060">
        <v>6172.3</v>
      </c>
      <c r="E1060">
        <v>2020</v>
      </c>
      <c r="F1060" s="168" t="s">
        <v>592</v>
      </c>
      <c r="G1060" s="168" t="s">
        <v>613</v>
      </c>
      <c r="H1060" s="168" t="s">
        <v>608</v>
      </c>
      <c r="I1060">
        <v>0</v>
      </c>
    </row>
    <row r="1061" spans="1:9" x14ac:dyDescent="0.3">
      <c r="A1061">
        <v>91</v>
      </c>
      <c r="B1061" s="168" t="s">
        <v>144</v>
      </c>
      <c r="C1061" s="168" t="s">
        <v>145</v>
      </c>
      <c r="D1061">
        <v>6172.3</v>
      </c>
      <c r="E1061">
        <v>2020</v>
      </c>
      <c r="F1061" s="168" t="s">
        <v>592</v>
      </c>
      <c r="G1061" s="168" t="s">
        <v>613</v>
      </c>
      <c r="H1061" s="168" t="s">
        <v>609</v>
      </c>
      <c r="I1061">
        <v>169200</v>
      </c>
    </row>
    <row r="1062" spans="1:9" x14ac:dyDescent="0.3">
      <c r="A1062">
        <v>92</v>
      </c>
      <c r="B1062" s="168" t="s">
        <v>146</v>
      </c>
      <c r="C1062" s="168" t="s">
        <v>147</v>
      </c>
      <c r="D1062">
        <v>57815.38</v>
      </c>
      <c r="E1062">
        <v>2020</v>
      </c>
      <c r="F1062" s="168" t="s">
        <v>592</v>
      </c>
      <c r="G1062" s="168" t="s">
        <v>607</v>
      </c>
      <c r="H1062" s="168" t="s">
        <v>608</v>
      </c>
      <c r="I1062">
        <v>839276.40987978806</v>
      </c>
    </row>
    <row r="1063" spans="1:9" x14ac:dyDescent="0.3">
      <c r="A1063">
        <v>92</v>
      </c>
      <c r="B1063" s="168" t="s">
        <v>146</v>
      </c>
      <c r="C1063" s="168" t="s">
        <v>147</v>
      </c>
      <c r="D1063">
        <v>57815.38</v>
      </c>
      <c r="E1063">
        <v>2020</v>
      </c>
      <c r="F1063" s="168" t="s">
        <v>592</v>
      </c>
      <c r="G1063" s="168" t="s">
        <v>607</v>
      </c>
      <c r="H1063" s="168" t="s">
        <v>609</v>
      </c>
      <c r="I1063">
        <v>1028056.8205880978</v>
      </c>
    </row>
    <row r="1064" spans="1:9" x14ac:dyDescent="0.3">
      <c r="A1064">
        <v>92</v>
      </c>
      <c r="B1064" s="168" t="s">
        <v>146</v>
      </c>
      <c r="C1064" s="168" t="s">
        <v>147</v>
      </c>
      <c r="D1064">
        <v>57815.38</v>
      </c>
      <c r="E1064">
        <v>2020</v>
      </c>
      <c r="F1064" s="168" t="s">
        <v>592</v>
      </c>
      <c r="G1064" s="168" t="s">
        <v>612</v>
      </c>
      <c r="H1064" s="168" t="s">
        <v>608</v>
      </c>
      <c r="I1064">
        <v>167500</v>
      </c>
    </row>
    <row r="1065" spans="1:9" x14ac:dyDescent="0.3">
      <c r="A1065">
        <v>92</v>
      </c>
      <c r="B1065" s="168" t="s">
        <v>146</v>
      </c>
      <c r="C1065" s="168" t="s">
        <v>147</v>
      </c>
      <c r="D1065">
        <v>57815.38</v>
      </c>
      <c r="E1065">
        <v>2020</v>
      </c>
      <c r="F1065" s="168" t="s">
        <v>592</v>
      </c>
      <c r="G1065" s="168" t="s">
        <v>612</v>
      </c>
      <c r="H1065" s="168" t="s">
        <v>609</v>
      </c>
      <c r="I1065">
        <v>0</v>
      </c>
    </row>
    <row r="1066" spans="1:9" x14ac:dyDescent="0.3">
      <c r="A1066">
        <v>92</v>
      </c>
      <c r="B1066" s="168" t="s">
        <v>146</v>
      </c>
      <c r="C1066" s="168" t="s">
        <v>147</v>
      </c>
      <c r="D1066">
        <v>57815.38</v>
      </c>
      <c r="E1066">
        <v>2020</v>
      </c>
      <c r="F1066" s="168" t="s">
        <v>592</v>
      </c>
      <c r="G1066" s="168" t="s">
        <v>616</v>
      </c>
      <c r="H1066" s="168" t="s">
        <v>608</v>
      </c>
      <c r="I1066">
        <v>71573.597794766101</v>
      </c>
    </row>
    <row r="1067" spans="1:9" x14ac:dyDescent="0.3">
      <c r="A1067">
        <v>92</v>
      </c>
      <c r="B1067" s="168" t="s">
        <v>146</v>
      </c>
      <c r="C1067" s="168" t="s">
        <v>147</v>
      </c>
      <c r="D1067">
        <v>57815.38</v>
      </c>
      <c r="E1067">
        <v>2020</v>
      </c>
      <c r="F1067" s="168" t="s">
        <v>592</v>
      </c>
      <c r="G1067" s="168" t="s">
        <v>616</v>
      </c>
      <c r="H1067" s="168" t="s">
        <v>609</v>
      </c>
      <c r="I1067">
        <v>0</v>
      </c>
    </row>
    <row r="1068" spans="1:9" x14ac:dyDescent="0.3">
      <c r="A1068">
        <v>92</v>
      </c>
      <c r="B1068" s="168" t="s">
        <v>146</v>
      </c>
      <c r="C1068" s="168" t="s">
        <v>147</v>
      </c>
      <c r="D1068">
        <v>57815.38</v>
      </c>
      <c r="E1068">
        <v>2020</v>
      </c>
      <c r="F1068" s="168" t="s">
        <v>592</v>
      </c>
      <c r="G1068" s="168" t="s">
        <v>617</v>
      </c>
      <c r="H1068" s="168" t="s">
        <v>608</v>
      </c>
      <c r="I1068">
        <v>28800</v>
      </c>
    </row>
    <row r="1069" spans="1:9" x14ac:dyDescent="0.3">
      <c r="A1069">
        <v>92</v>
      </c>
      <c r="B1069" s="168" t="s">
        <v>146</v>
      </c>
      <c r="C1069" s="168" t="s">
        <v>147</v>
      </c>
      <c r="D1069">
        <v>57815.38</v>
      </c>
      <c r="E1069">
        <v>2020</v>
      </c>
      <c r="F1069" s="168" t="s">
        <v>592</v>
      </c>
      <c r="G1069" s="168" t="s">
        <v>617</v>
      </c>
      <c r="H1069" s="168" t="s">
        <v>609</v>
      </c>
      <c r="I1069">
        <v>49867.199999999997</v>
      </c>
    </row>
    <row r="1070" spans="1:9" x14ac:dyDescent="0.3">
      <c r="A1070">
        <v>92</v>
      </c>
      <c r="B1070" s="168" t="s">
        <v>146</v>
      </c>
      <c r="C1070" s="168" t="s">
        <v>147</v>
      </c>
      <c r="D1070">
        <v>57815.38</v>
      </c>
      <c r="E1070">
        <v>2020</v>
      </c>
      <c r="F1070" s="168" t="s">
        <v>592</v>
      </c>
      <c r="G1070" s="168" t="s">
        <v>618</v>
      </c>
      <c r="H1070" s="168" t="s">
        <v>608</v>
      </c>
      <c r="I1070">
        <v>0</v>
      </c>
    </row>
    <row r="1071" spans="1:9" x14ac:dyDescent="0.3">
      <c r="A1071">
        <v>92</v>
      </c>
      <c r="B1071" s="168" t="s">
        <v>146</v>
      </c>
      <c r="C1071" s="168" t="s">
        <v>147</v>
      </c>
      <c r="D1071">
        <v>57815.38</v>
      </c>
      <c r="E1071">
        <v>2020</v>
      </c>
      <c r="F1071" s="168" t="s">
        <v>592</v>
      </c>
      <c r="G1071" s="168" t="s">
        <v>618</v>
      </c>
      <c r="H1071" s="168" t="s">
        <v>609</v>
      </c>
      <c r="I1071">
        <v>5325.8426966292136</v>
      </c>
    </row>
    <row r="1072" spans="1:9" x14ac:dyDescent="0.3">
      <c r="A1072">
        <v>92</v>
      </c>
      <c r="B1072" s="168" t="s">
        <v>146</v>
      </c>
      <c r="C1072" s="168" t="s">
        <v>147</v>
      </c>
      <c r="D1072">
        <v>57815.38</v>
      </c>
      <c r="E1072">
        <v>2020</v>
      </c>
      <c r="F1072" s="168" t="s">
        <v>592</v>
      </c>
      <c r="G1072" s="168" t="s">
        <v>610</v>
      </c>
      <c r="H1072" s="168" t="s">
        <v>608</v>
      </c>
      <c r="I1072">
        <v>0</v>
      </c>
    </row>
    <row r="1073" spans="1:9" x14ac:dyDescent="0.3">
      <c r="A1073">
        <v>92</v>
      </c>
      <c r="B1073" s="168" t="s">
        <v>146</v>
      </c>
      <c r="C1073" s="168" t="s">
        <v>147</v>
      </c>
      <c r="D1073">
        <v>57815.38</v>
      </c>
      <c r="E1073">
        <v>2020</v>
      </c>
      <c r="F1073" s="168" t="s">
        <v>592</v>
      </c>
      <c r="G1073" s="168" t="s">
        <v>610</v>
      </c>
      <c r="H1073" s="168" t="s">
        <v>609</v>
      </c>
      <c r="I1073">
        <v>6545.454545454545</v>
      </c>
    </row>
    <row r="1074" spans="1:9" x14ac:dyDescent="0.3">
      <c r="A1074">
        <v>92</v>
      </c>
      <c r="B1074" s="168" t="s">
        <v>146</v>
      </c>
      <c r="C1074" s="168" t="s">
        <v>147</v>
      </c>
      <c r="D1074">
        <v>57815.38</v>
      </c>
      <c r="E1074">
        <v>2020</v>
      </c>
      <c r="F1074" s="168" t="s">
        <v>592</v>
      </c>
      <c r="G1074" s="168" t="s">
        <v>620</v>
      </c>
      <c r="H1074" s="168" t="s">
        <v>608</v>
      </c>
      <c r="I1074">
        <v>89820</v>
      </c>
    </row>
    <row r="1075" spans="1:9" x14ac:dyDescent="0.3">
      <c r="A1075">
        <v>92</v>
      </c>
      <c r="B1075" s="168" t="s">
        <v>146</v>
      </c>
      <c r="C1075" s="168" t="s">
        <v>147</v>
      </c>
      <c r="D1075">
        <v>57815.38</v>
      </c>
      <c r="E1075">
        <v>2020</v>
      </c>
      <c r="F1075" s="168" t="s">
        <v>592</v>
      </c>
      <c r="G1075" s="168" t="s">
        <v>620</v>
      </c>
      <c r="H1075" s="168" t="s">
        <v>609</v>
      </c>
      <c r="I1075">
        <v>159680</v>
      </c>
    </row>
    <row r="1076" spans="1:9" x14ac:dyDescent="0.3">
      <c r="A1076">
        <v>92</v>
      </c>
      <c r="B1076" s="168" t="s">
        <v>146</v>
      </c>
      <c r="C1076" s="168" t="s">
        <v>147</v>
      </c>
      <c r="D1076">
        <v>57815.38</v>
      </c>
      <c r="E1076">
        <v>2020</v>
      </c>
      <c r="F1076" s="168" t="s">
        <v>592</v>
      </c>
      <c r="G1076" s="168" t="s">
        <v>611</v>
      </c>
      <c r="H1076" s="168" t="s">
        <v>608</v>
      </c>
      <c r="I1076">
        <v>0</v>
      </c>
    </row>
    <row r="1077" spans="1:9" x14ac:dyDescent="0.3">
      <c r="A1077">
        <v>92</v>
      </c>
      <c r="B1077" s="168" t="s">
        <v>146</v>
      </c>
      <c r="C1077" s="168" t="s">
        <v>147</v>
      </c>
      <c r="D1077">
        <v>57815.38</v>
      </c>
      <c r="E1077">
        <v>2020</v>
      </c>
      <c r="F1077" s="168" t="s">
        <v>592</v>
      </c>
      <c r="G1077" s="168" t="s">
        <v>611</v>
      </c>
      <c r="H1077" s="168" t="s">
        <v>609</v>
      </c>
      <c r="I1077">
        <v>16892.143764992201</v>
      </c>
    </row>
    <row r="1078" spans="1:9" x14ac:dyDescent="0.3">
      <c r="A1078">
        <v>92</v>
      </c>
      <c r="B1078" s="168" t="s">
        <v>146</v>
      </c>
      <c r="C1078" s="168" t="s">
        <v>147</v>
      </c>
      <c r="D1078">
        <v>57815.38</v>
      </c>
      <c r="E1078">
        <v>2020</v>
      </c>
      <c r="F1078" s="168" t="s">
        <v>592</v>
      </c>
      <c r="G1078" s="168" t="s">
        <v>626</v>
      </c>
      <c r="H1078" s="168" t="s">
        <v>608</v>
      </c>
      <c r="I1078">
        <v>0</v>
      </c>
    </row>
    <row r="1079" spans="1:9" x14ac:dyDescent="0.3">
      <c r="A1079">
        <v>92</v>
      </c>
      <c r="B1079" s="168" t="s">
        <v>146</v>
      </c>
      <c r="C1079" s="168" t="s">
        <v>147</v>
      </c>
      <c r="D1079">
        <v>57815.38</v>
      </c>
      <c r="E1079">
        <v>2020</v>
      </c>
      <c r="F1079" s="168" t="s">
        <v>592</v>
      </c>
      <c r="G1079" s="168" t="s">
        <v>626</v>
      </c>
      <c r="H1079" s="168" t="s">
        <v>609</v>
      </c>
      <c r="I1079">
        <v>177172.69675494215</v>
      </c>
    </row>
    <row r="1080" spans="1:9" x14ac:dyDescent="0.3">
      <c r="A1080">
        <v>92</v>
      </c>
      <c r="B1080" s="168" t="s">
        <v>146</v>
      </c>
      <c r="C1080" s="168" t="s">
        <v>147</v>
      </c>
      <c r="D1080">
        <v>57815.38</v>
      </c>
      <c r="E1080">
        <v>2020</v>
      </c>
      <c r="F1080" s="168" t="s">
        <v>592</v>
      </c>
      <c r="G1080" s="168" t="s">
        <v>613</v>
      </c>
      <c r="H1080" s="168" t="s">
        <v>608</v>
      </c>
      <c r="I1080">
        <v>1914626.1005936211</v>
      </c>
    </row>
    <row r="1081" spans="1:9" x14ac:dyDescent="0.3">
      <c r="A1081">
        <v>92</v>
      </c>
      <c r="B1081" s="168" t="s">
        <v>146</v>
      </c>
      <c r="C1081" s="168" t="s">
        <v>147</v>
      </c>
      <c r="D1081">
        <v>57815.38</v>
      </c>
      <c r="E1081">
        <v>2020</v>
      </c>
      <c r="F1081" s="168" t="s">
        <v>592</v>
      </c>
      <c r="G1081" s="168" t="s">
        <v>613</v>
      </c>
      <c r="H1081" s="168" t="s">
        <v>609</v>
      </c>
      <c r="I1081">
        <v>1227594.4359346679</v>
      </c>
    </row>
    <row r="1082" spans="1:9" x14ac:dyDescent="0.3">
      <c r="A1082">
        <v>93</v>
      </c>
      <c r="B1082" s="168" t="s">
        <v>148</v>
      </c>
      <c r="C1082" s="168" t="s">
        <v>149</v>
      </c>
      <c r="D1082">
        <v>1556.1</v>
      </c>
      <c r="E1082">
        <v>2020</v>
      </c>
      <c r="F1082" s="168" t="s">
        <v>592</v>
      </c>
      <c r="G1082" s="168" t="s">
        <v>607</v>
      </c>
      <c r="H1082" s="168" t="s">
        <v>608</v>
      </c>
      <c r="I1082">
        <v>450275.51012021198</v>
      </c>
    </row>
    <row r="1083" spans="1:9" x14ac:dyDescent="0.3">
      <c r="A1083">
        <v>93</v>
      </c>
      <c r="B1083" s="168" t="s">
        <v>148</v>
      </c>
      <c r="C1083" s="168" t="s">
        <v>149</v>
      </c>
      <c r="D1083">
        <v>1556.1</v>
      </c>
      <c r="E1083">
        <v>2020</v>
      </c>
      <c r="F1083" s="168" t="s">
        <v>592</v>
      </c>
      <c r="G1083" s="168" t="s">
        <v>607</v>
      </c>
      <c r="H1083" s="168" t="s">
        <v>609</v>
      </c>
      <c r="I1083">
        <v>439910.57071624597</v>
      </c>
    </row>
    <row r="1084" spans="1:9" x14ac:dyDescent="0.3">
      <c r="A1084">
        <v>93</v>
      </c>
      <c r="B1084" s="168" t="s">
        <v>148</v>
      </c>
      <c r="C1084" s="168" t="s">
        <v>149</v>
      </c>
      <c r="D1084">
        <v>1556.1</v>
      </c>
      <c r="E1084">
        <v>2020</v>
      </c>
      <c r="F1084" s="168" t="s">
        <v>592</v>
      </c>
      <c r="G1084" s="168" t="s">
        <v>612</v>
      </c>
      <c r="H1084" s="168" t="s">
        <v>608</v>
      </c>
      <c r="I1084">
        <v>128000</v>
      </c>
    </row>
    <row r="1085" spans="1:9" x14ac:dyDescent="0.3">
      <c r="A1085">
        <v>93</v>
      </c>
      <c r="B1085" s="168" t="s">
        <v>148</v>
      </c>
      <c r="C1085" s="168" t="s">
        <v>149</v>
      </c>
      <c r="D1085">
        <v>1556.1</v>
      </c>
      <c r="E1085">
        <v>2020</v>
      </c>
      <c r="F1085" s="168" t="s">
        <v>592</v>
      </c>
      <c r="G1085" s="168" t="s">
        <v>612</v>
      </c>
      <c r="H1085" s="168" t="s">
        <v>609</v>
      </c>
      <c r="I1085">
        <v>0</v>
      </c>
    </row>
    <row r="1086" spans="1:9" x14ac:dyDescent="0.3">
      <c r="A1086">
        <v>93</v>
      </c>
      <c r="B1086" s="168" t="s">
        <v>148</v>
      </c>
      <c r="C1086" s="168" t="s">
        <v>149</v>
      </c>
      <c r="D1086">
        <v>1556.1</v>
      </c>
      <c r="E1086">
        <v>2020</v>
      </c>
      <c r="F1086" s="168" t="s">
        <v>592</v>
      </c>
      <c r="G1086" s="168" t="s">
        <v>616</v>
      </c>
      <c r="H1086" s="168" t="s">
        <v>608</v>
      </c>
      <c r="I1086">
        <v>1926.4022052338935</v>
      </c>
    </row>
    <row r="1087" spans="1:9" x14ac:dyDescent="0.3">
      <c r="A1087">
        <v>93</v>
      </c>
      <c r="B1087" s="168" t="s">
        <v>148</v>
      </c>
      <c r="C1087" s="168" t="s">
        <v>149</v>
      </c>
      <c r="D1087">
        <v>1556.1</v>
      </c>
      <c r="E1087">
        <v>2020</v>
      </c>
      <c r="F1087" s="168" t="s">
        <v>592</v>
      </c>
      <c r="G1087" s="168" t="s">
        <v>616</v>
      </c>
      <c r="H1087" s="168" t="s">
        <v>609</v>
      </c>
      <c r="I1087">
        <v>0</v>
      </c>
    </row>
    <row r="1088" spans="1:9" x14ac:dyDescent="0.3">
      <c r="A1088">
        <v>93</v>
      </c>
      <c r="B1088" s="168" t="s">
        <v>148</v>
      </c>
      <c r="C1088" s="168" t="s">
        <v>149</v>
      </c>
      <c r="D1088">
        <v>1556.1</v>
      </c>
      <c r="E1088">
        <v>2020</v>
      </c>
      <c r="F1088" s="168" t="s">
        <v>592</v>
      </c>
      <c r="G1088" s="168" t="s">
        <v>617</v>
      </c>
      <c r="H1088" s="168" t="s">
        <v>608</v>
      </c>
      <c r="I1088">
        <v>12211.2</v>
      </c>
    </row>
    <row r="1089" spans="1:9" x14ac:dyDescent="0.3">
      <c r="A1089">
        <v>93</v>
      </c>
      <c r="B1089" s="168" t="s">
        <v>148</v>
      </c>
      <c r="C1089" s="168" t="s">
        <v>149</v>
      </c>
      <c r="D1089">
        <v>1556.1</v>
      </c>
      <c r="E1089">
        <v>2020</v>
      </c>
      <c r="F1089" s="168" t="s">
        <v>592</v>
      </c>
      <c r="G1089" s="168" t="s">
        <v>617</v>
      </c>
      <c r="H1089" s="168" t="s">
        <v>609</v>
      </c>
      <c r="I1089">
        <v>49867.199999999997</v>
      </c>
    </row>
    <row r="1090" spans="1:9" x14ac:dyDescent="0.3">
      <c r="A1090">
        <v>93</v>
      </c>
      <c r="B1090" s="168" t="s">
        <v>148</v>
      </c>
      <c r="C1090" s="168" t="s">
        <v>149</v>
      </c>
      <c r="D1090">
        <v>1556.1</v>
      </c>
      <c r="E1090">
        <v>2020</v>
      </c>
      <c r="F1090" s="168" t="s">
        <v>592</v>
      </c>
      <c r="G1090" s="168" t="s">
        <v>618</v>
      </c>
      <c r="H1090" s="168" t="s">
        <v>608</v>
      </c>
      <c r="I1090">
        <v>0</v>
      </c>
    </row>
    <row r="1091" spans="1:9" x14ac:dyDescent="0.3">
      <c r="A1091">
        <v>93</v>
      </c>
      <c r="B1091" s="168" t="s">
        <v>148</v>
      </c>
      <c r="C1091" s="168" t="s">
        <v>149</v>
      </c>
      <c r="D1091">
        <v>1556.1</v>
      </c>
      <c r="E1091">
        <v>2020</v>
      </c>
      <c r="F1091" s="168" t="s">
        <v>592</v>
      </c>
      <c r="G1091" s="168" t="s">
        <v>618</v>
      </c>
      <c r="H1091" s="168" t="s">
        <v>609</v>
      </c>
      <c r="I1091">
        <v>5325.8426966292136</v>
      </c>
    </row>
    <row r="1092" spans="1:9" x14ac:dyDescent="0.3">
      <c r="A1092">
        <v>93</v>
      </c>
      <c r="B1092" s="168" t="s">
        <v>148</v>
      </c>
      <c r="C1092" s="168" t="s">
        <v>149</v>
      </c>
      <c r="D1092">
        <v>1556.1</v>
      </c>
      <c r="E1092">
        <v>2020</v>
      </c>
      <c r="F1092" s="168" t="s">
        <v>592</v>
      </c>
      <c r="G1092" s="168" t="s">
        <v>610</v>
      </c>
      <c r="H1092" s="168" t="s">
        <v>608</v>
      </c>
      <c r="I1092">
        <v>0</v>
      </c>
    </row>
    <row r="1093" spans="1:9" x14ac:dyDescent="0.3">
      <c r="A1093">
        <v>93</v>
      </c>
      <c r="B1093" s="168" t="s">
        <v>148</v>
      </c>
      <c r="C1093" s="168" t="s">
        <v>149</v>
      </c>
      <c r="D1093">
        <v>1556.1</v>
      </c>
      <c r="E1093">
        <v>2020</v>
      </c>
      <c r="F1093" s="168" t="s">
        <v>592</v>
      </c>
      <c r="G1093" s="168" t="s">
        <v>610</v>
      </c>
      <c r="H1093" s="168" t="s">
        <v>609</v>
      </c>
      <c r="I1093">
        <v>6545.454545454545</v>
      </c>
    </row>
    <row r="1094" spans="1:9" x14ac:dyDescent="0.3">
      <c r="A1094">
        <v>93</v>
      </c>
      <c r="B1094" s="168" t="s">
        <v>148</v>
      </c>
      <c r="C1094" s="168" t="s">
        <v>149</v>
      </c>
      <c r="D1094">
        <v>1556.1</v>
      </c>
      <c r="E1094">
        <v>2020</v>
      </c>
      <c r="F1094" s="168" t="s">
        <v>592</v>
      </c>
      <c r="G1094" s="168" t="s">
        <v>620</v>
      </c>
      <c r="H1094" s="168" t="s">
        <v>608</v>
      </c>
      <c r="I1094">
        <v>38484</v>
      </c>
    </row>
    <row r="1095" spans="1:9" x14ac:dyDescent="0.3">
      <c r="A1095">
        <v>93</v>
      </c>
      <c r="B1095" s="168" t="s">
        <v>148</v>
      </c>
      <c r="C1095" s="168" t="s">
        <v>149</v>
      </c>
      <c r="D1095">
        <v>1556.1</v>
      </c>
      <c r="E1095">
        <v>2020</v>
      </c>
      <c r="F1095" s="168" t="s">
        <v>592</v>
      </c>
      <c r="G1095" s="168" t="s">
        <v>620</v>
      </c>
      <c r="H1095" s="168" t="s">
        <v>609</v>
      </c>
      <c r="I1095">
        <v>68416</v>
      </c>
    </row>
    <row r="1096" spans="1:9" x14ac:dyDescent="0.3">
      <c r="A1096">
        <v>93</v>
      </c>
      <c r="B1096" s="168" t="s">
        <v>148</v>
      </c>
      <c r="C1096" s="168" t="s">
        <v>149</v>
      </c>
      <c r="D1096">
        <v>1556.1</v>
      </c>
      <c r="E1096">
        <v>2020</v>
      </c>
      <c r="F1096" s="168" t="s">
        <v>592</v>
      </c>
      <c r="G1096" s="168" t="s">
        <v>614</v>
      </c>
      <c r="H1096" s="168" t="s">
        <v>608</v>
      </c>
      <c r="I1096">
        <v>378700</v>
      </c>
    </row>
    <row r="1097" spans="1:9" x14ac:dyDescent="0.3">
      <c r="A1097">
        <v>93</v>
      </c>
      <c r="B1097" s="168" t="s">
        <v>148</v>
      </c>
      <c r="C1097" s="168" t="s">
        <v>149</v>
      </c>
      <c r="D1097">
        <v>1556.1</v>
      </c>
      <c r="E1097">
        <v>2020</v>
      </c>
      <c r="F1097" s="168" t="s">
        <v>592</v>
      </c>
      <c r="G1097" s="168" t="s">
        <v>614</v>
      </c>
      <c r="H1097" s="168" t="s">
        <v>609</v>
      </c>
      <c r="I1097">
        <v>0</v>
      </c>
    </row>
    <row r="1098" spans="1:9" x14ac:dyDescent="0.3">
      <c r="A1098">
        <v>93</v>
      </c>
      <c r="B1098" s="168" t="s">
        <v>148</v>
      </c>
      <c r="C1098" s="168" t="s">
        <v>149</v>
      </c>
      <c r="D1098">
        <v>1556.1</v>
      </c>
      <c r="E1098">
        <v>2020</v>
      </c>
      <c r="F1098" s="168" t="s">
        <v>592</v>
      </c>
      <c r="G1098" s="168" t="s">
        <v>611</v>
      </c>
      <c r="H1098" s="168" t="s">
        <v>608</v>
      </c>
      <c r="I1098">
        <v>0</v>
      </c>
    </row>
    <row r="1099" spans="1:9" x14ac:dyDescent="0.3">
      <c r="A1099">
        <v>93</v>
      </c>
      <c r="B1099" s="168" t="s">
        <v>148</v>
      </c>
      <c r="C1099" s="168" t="s">
        <v>149</v>
      </c>
      <c r="D1099">
        <v>1556.1</v>
      </c>
      <c r="E1099">
        <v>2020</v>
      </c>
      <c r="F1099" s="168" t="s">
        <v>592</v>
      </c>
      <c r="G1099" s="168" t="s">
        <v>611</v>
      </c>
      <c r="H1099" s="168" t="s">
        <v>609</v>
      </c>
      <c r="I1099">
        <v>8273.8467462768804</v>
      </c>
    </row>
    <row r="1100" spans="1:9" x14ac:dyDescent="0.3">
      <c r="A1100">
        <v>93</v>
      </c>
      <c r="B1100" s="168" t="s">
        <v>148</v>
      </c>
      <c r="C1100" s="168" t="s">
        <v>149</v>
      </c>
      <c r="D1100">
        <v>1556.1</v>
      </c>
      <c r="E1100">
        <v>2020</v>
      </c>
      <c r="F1100" s="168" t="s">
        <v>592</v>
      </c>
      <c r="G1100" s="168" t="s">
        <v>626</v>
      </c>
      <c r="H1100" s="168" t="s">
        <v>608</v>
      </c>
      <c r="I1100">
        <v>0</v>
      </c>
    </row>
    <row r="1101" spans="1:9" x14ac:dyDescent="0.3">
      <c r="A1101">
        <v>93</v>
      </c>
      <c r="B1101" s="168" t="s">
        <v>148</v>
      </c>
      <c r="C1101" s="168" t="s">
        <v>149</v>
      </c>
      <c r="D1101">
        <v>1556.1</v>
      </c>
      <c r="E1101">
        <v>2020</v>
      </c>
      <c r="F1101" s="168" t="s">
        <v>592</v>
      </c>
      <c r="G1101" s="168" t="s">
        <v>626</v>
      </c>
      <c r="H1101" s="168" t="s">
        <v>609</v>
      </c>
      <c r="I1101">
        <v>22827.303245057814</v>
      </c>
    </row>
    <row r="1102" spans="1:9" x14ac:dyDescent="0.3">
      <c r="A1102">
        <v>93</v>
      </c>
      <c r="B1102" s="168" t="s">
        <v>148</v>
      </c>
      <c r="C1102" s="168" t="s">
        <v>149</v>
      </c>
      <c r="D1102">
        <v>1556.1</v>
      </c>
      <c r="E1102">
        <v>2020</v>
      </c>
      <c r="F1102" s="168" t="s">
        <v>592</v>
      </c>
      <c r="G1102" s="168" t="s">
        <v>613</v>
      </c>
      <c r="H1102" s="168" t="s">
        <v>608</v>
      </c>
      <c r="I1102">
        <v>51532.129947666755</v>
      </c>
    </row>
    <row r="1103" spans="1:9" x14ac:dyDescent="0.3">
      <c r="A1103">
        <v>93</v>
      </c>
      <c r="B1103" s="168" t="s">
        <v>148</v>
      </c>
      <c r="C1103" s="168" t="s">
        <v>149</v>
      </c>
      <c r="D1103">
        <v>1556.1</v>
      </c>
      <c r="E1103">
        <v>2020</v>
      </c>
      <c r="F1103" s="168" t="s">
        <v>592</v>
      </c>
      <c r="G1103" s="168" t="s">
        <v>613</v>
      </c>
      <c r="H1103" s="168" t="s">
        <v>609</v>
      </c>
      <c r="I1103">
        <v>33040.684014494698</v>
      </c>
    </row>
    <row r="1104" spans="1:9" x14ac:dyDescent="0.3">
      <c r="A1104">
        <v>94</v>
      </c>
      <c r="B1104" s="168" t="s">
        <v>150</v>
      </c>
      <c r="C1104" s="168" t="s">
        <v>151</v>
      </c>
      <c r="D1104">
        <v>2615.5</v>
      </c>
      <c r="E1104">
        <v>2020</v>
      </c>
      <c r="F1104" s="168" t="s">
        <v>592</v>
      </c>
      <c r="G1104" s="168" t="s">
        <v>607</v>
      </c>
      <c r="H1104" s="168" t="s">
        <v>608</v>
      </c>
      <c r="I1104">
        <v>1000000</v>
      </c>
    </row>
    <row r="1105" spans="1:9" x14ac:dyDescent="0.3">
      <c r="A1105">
        <v>94</v>
      </c>
      <c r="B1105" s="168" t="s">
        <v>150</v>
      </c>
      <c r="C1105" s="168" t="s">
        <v>151</v>
      </c>
      <c r="D1105">
        <v>2615.5</v>
      </c>
      <c r="E1105">
        <v>2020</v>
      </c>
      <c r="F1105" s="168" t="s">
        <v>592</v>
      </c>
      <c r="G1105" s="168" t="s">
        <v>607</v>
      </c>
      <c r="H1105" s="168" t="s">
        <v>609</v>
      </c>
      <c r="I1105">
        <v>457104.8</v>
      </c>
    </row>
    <row r="1106" spans="1:9" x14ac:dyDescent="0.3">
      <c r="A1106">
        <v>94</v>
      </c>
      <c r="B1106" s="168" t="s">
        <v>150</v>
      </c>
      <c r="C1106" s="168" t="s">
        <v>151</v>
      </c>
      <c r="D1106">
        <v>2615.5</v>
      </c>
      <c r="E1106">
        <v>2020</v>
      </c>
      <c r="F1106" s="168" t="s">
        <v>592</v>
      </c>
      <c r="G1106" s="168" t="s">
        <v>612</v>
      </c>
      <c r="H1106" s="168" t="s">
        <v>608</v>
      </c>
      <c r="I1106">
        <v>105704</v>
      </c>
    </row>
    <row r="1107" spans="1:9" x14ac:dyDescent="0.3">
      <c r="A1107">
        <v>94</v>
      </c>
      <c r="B1107" s="168" t="s">
        <v>150</v>
      </c>
      <c r="C1107" s="168" t="s">
        <v>151</v>
      </c>
      <c r="D1107">
        <v>2615.5</v>
      </c>
      <c r="E1107">
        <v>2020</v>
      </c>
      <c r="F1107" s="168" t="s">
        <v>592</v>
      </c>
      <c r="G1107" s="168" t="s">
        <v>612</v>
      </c>
      <c r="H1107" s="168" t="s">
        <v>609</v>
      </c>
      <c r="I1107">
        <v>50000</v>
      </c>
    </row>
    <row r="1108" spans="1:9" x14ac:dyDescent="0.3">
      <c r="A1108">
        <v>94</v>
      </c>
      <c r="B1108" s="168" t="s">
        <v>150</v>
      </c>
      <c r="C1108" s="168" t="s">
        <v>151</v>
      </c>
      <c r="D1108">
        <v>2615.5</v>
      </c>
      <c r="E1108">
        <v>2020</v>
      </c>
      <c r="F1108" s="168" t="s">
        <v>592</v>
      </c>
      <c r="G1108" s="168" t="s">
        <v>610</v>
      </c>
      <c r="H1108" s="168" t="s">
        <v>608</v>
      </c>
      <c r="I1108">
        <v>0</v>
      </c>
    </row>
    <row r="1109" spans="1:9" x14ac:dyDescent="0.3">
      <c r="A1109">
        <v>94</v>
      </c>
      <c r="B1109" s="168" t="s">
        <v>150</v>
      </c>
      <c r="C1109" s="168" t="s">
        <v>151</v>
      </c>
      <c r="D1109">
        <v>2615.5</v>
      </c>
      <c r="E1109">
        <v>2020</v>
      </c>
      <c r="F1109" s="168" t="s">
        <v>592</v>
      </c>
      <c r="G1109" s="168" t="s">
        <v>610</v>
      </c>
      <c r="H1109" s="168" t="s">
        <v>609</v>
      </c>
      <c r="I1109">
        <v>6545.454545454545</v>
      </c>
    </row>
    <row r="1110" spans="1:9" x14ac:dyDescent="0.3">
      <c r="A1110">
        <v>94</v>
      </c>
      <c r="B1110" s="168" t="s">
        <v>150</v>
      </c>
      <c r="C1110" s="168" t="s">
        <v>151</v>
      </c>
      <c r="D1110">
        <v>2615.5</v>
      </c>
      <c r="E1110">
        <v>2020</v>
      </c>
      <c r="F1110" s="168" t="s">
        <v>592</v>
      </c>
      <c r="G1110" s="168" t="s">
        <v>625</v>
      </c>
      <c r="H1110" s="168" t="s">
        <v>608</v>
      </c>
      <c r="I1110">
        <v>0</v>
      </c>
    </row>
    <row r="1111" spans="1:9" x14ac:dyDescent="0.3">
      <c r="A1111">
        <v>94</v>
      </c>
      <c r="B1111" s="168" t="s">
        <v>150</v>
      </c>
      <c r="C1111" s="168" t="s">
        <v>151</v>
      </c>
      <c r="D1111">
        <v>2615.5</v>
      </c>
      <c r="E1111">
        <v>2020</v>
      </c>
      <c r="F1111" s="168" t="s">
        <v>592</v>
      </c>
      <c r="G1111" s="168" t="s">
        <v>625</v>
      </c>
      <c r="H1111" s="168" t="s">
        <v>609</v>
      </c>
      <c r="I1111">
        <v>25732.05</v>
      </c>
    </row>
    <row r="1112" spans="1:9" x14ac:dyDescent="0.3">
      <c r="A1112">
        <v>94</v>
      </c>
      <c r="B1112" s="168" t="s">
        <v>150</v>
      </c>
      <c r="C1112" s="168" t="s">
        <v>151</v>
      </c>
      <c r="D1112">
        <v>2615.5</v>
      </c>
      <c r="E1112">
        <v>2020</v>
      </c>
      <c r="F1112" s="168" t="s">
        <v>592</v>
      </c>
      <c r="G1112" s="168" t="s">
        <v>611</v>
      </c>
      <c r="H1112" s="168" t="s">
        <v>608</v>
      </c>
      <c r="I1112">
        <v>0</v>
      </c>
    </row>
    <row r="1113" spans="1:9" x14ac:dyDescent="0.3">
      <c r="A1113">
        <v>94</v>
      </c>
      <c r="B1113" s="168" t="s">
        <v>150</v>
      </c>
      <c r="C1113" s="168" t="s">
        <v>151</v>
      </c>
      <c r="D1113">
        <v>2615.5</v>
      </c>
      <c r="E1113">
        <v>2020</v>
      </c>
      <c r="F1113" s="168" t="s">
        <v>592</v>
      </c>
      <c r="G1113" s="168" t="s">
        <v>611</v>
      </c>
      <c r="H1113" s="168" t="s">
        <v>609</v>
      </c>
      <c r="I1113">
        <v>10931.695369762347</v>
      </c>
    </row>
    <row r="1114" spans="1:9" x14ac:dyDescent="0.3">
      <c r="A1114">
        <v>94</v>
      </c>
      <c r="B1114" s="168" t="s">
        <v>150</v>
      </c>
      <c r="C1114" s="168" t="s">
        <v>151</v>
      </c>
      <c r="D1114">
        <v>2615.5</v>
      </c>
      <c r="E1114">
        <v>2020</v>
      </c>
      <c r="F1114" s="168" t="s">
        <v>592</v>
      </c>
      <c r="G1114" s="168" t="s">
        <v>622</v>
      </c>
      <c r="H1114" s="168" t="s">
        <v>608</v>
      </c>
      <c r="I1114">
        <v>763.20232261858098</v>
      </c>
    </row>
    <row r="1115" spans="1:9" x14ac:dyDescent="0.3">
      <c r="A1115">
        <v>94</v>
      </c>
      <c r="B1115" s="168" t="s">
        <v>150</v>
      </c>
      <c r="C1115" s="168" t="s">
        <v>151</v>
      </c>
      <c r="D1115">
        <v>2615.5</v>
      </c>
      <c r="E1115">
        <v>2020</v>
      </c>
      <c r="F1115" s="168" t="s">
        <v>592</v>
      </c>
      <c r="G1115" s="168" t="s">
        <v>622</v>
      </c>
      <c r="H1115" s="168" t="s">
        <v>609</v>
      </c>
      <c r="I1115">
        <v>0</v>
      </c>
    </row>
    <row r="1116" spans="1:9" x14ac:dyDescent="0.3">
      <c r="A1116">
        <v>95</v>
      </c>
      <c r="B1116" s="168" t="s">
        <v>152</v>
      </c>
      <c r="C1116" s="168" t="s">
        <v>153</v>
      </c>
      <c r="D1116">
        <v>22228.9</v>
      </c>
      <c r="E1116">
        <v>2020</v>
      </c>
      <c r="F1116" s="168" t="s">
        <v>592</v>
      </c>
      <c r="G1116" s="168" t="s">
        <v>607</v>
      </c>
      <c r="H1116" s="168" t="s">
        <v>608</v>
      </c>
      <c r="I1116">
        <v>0</v>
      </c>
    </row>
    <row r="1117" spans="1:9" x14ac:dyDescent="0.3">
      <c r="A1117">
        <v>95</v>
      </c>
      <c r="B1117" s="168" t="s">
        <v>152</v>
      </c>
      <c r="C1117" s="168" t="s">
        <v>153</v>
      </c>
      <c r="D1117">
        <v>22228.9</v>
      </c>
      <c r="E1117">
        <v>2020</v>
      </c>
      <c r="F1117" s="168" t="s">
        <v>592</v>
      </c>
      <c r="G1117" s="168" t="s">
        <v>607</v>
      </c>
      <c r="H1117" s="168" t="s">
        <v>609</v>
      </c>
      <c r="I1117">
        <v>4987077.9145169593</v>
      </c>
    </row>
    <row r="1118" spans="1:9" x14ac:dyDescent="0.3">
      <c r="A1118">
        <v>95</v>
      </c>
      <c r="B1118" s="168" t="s">
        <v>152</v>
      </c>
      <c r="C1118" s="168" t="s">
        <v>153</v>
      </c>
      <c r="D1118">
        <v>22228.9</v>
      </c>
      <c r="E1118">
        <v>2020</v>
      </c>
      <c r="F1118" s="168" t="s">
        <v>592</v>
      </c>
      <c r="G1118" s="168" t="s">
        <v>616</v>
      </c>
      <c r="H1118" s="168" t="s">
        <v>608</v>
      </c>
      <c r="I1118">
        <v>0</v>
      </c>
    </row>
    <row r="1119" spans="1:9" x14ac:dyDescent="0.3">
      <c r="A1119">
        <v>95</v>
      </c>
      <c r="B1119" s="168" t="s">
        <v>152</v>
      </c>
      <c r="C1119" s="168" t="s">
        <v>153</v>
      </c>
      <c r="D1119">
        <v>22228.9</v>
      </c>
      <c r="E1119">
        <v>2020</v>
      </c>
      <c r="F1119" s="168" t="s">
        <v>592</v>
      </c>
      <c r="G1119" s="168" t="s">
        <v>616</v>
      </c>
      <c r="H1119" s="168" t="s">
        <v>609</v>
      </c>
      <c r="I1119">
        <v>1396879.252543303</v>
      </c>
    </row>
    <row r="1120" spans="1:9" x14ac:dyDescent="0.3">
      <c r="A1120">
        <v>95</v>
      </c>
      <c r="B1120" s="168" t="s">
        <v>152</v>
      </c>
      <c r="C1120" s="168" t="s">
        <v>153</v>
      </c>
      <c r="D1120">
        <v>22228.9</v>
      </c>
      <c r="E1120">
        <v>2020</v>
      </c>
      <c r="F1120" s="168" t="s">
        <v>592</v>
      </c>
      <c r="G1120" s="168" t="s">
        <v>617</v>
      </c>
      <c r="H1120" s="168" t="s">
        <v>608</v>
      </c>
      <c r="I1120">
        <v>0</v>
      </c>
    </row>
    <row r="1121" spans="1:9" x14ac:dyDescent="0.3">
      <c r="A1121">
        <v>95</v>
      </c>
      <c r="B1121" s="168" t="s">
        <v>152</v>
      </c>
      <c r="C1121" s="168" t="s">
        <v>153</v>
      </c>
      <c r="D1121">
        <v>22228.9</v>
      </c>
      <c r="E1121">
        <v>2020</v>
      </c>
      <c r="F1121" s="168" t="s">
        <v>592</v>
      </c>
      <c r="G1121" s="168" t="s">
        <v>617</v>
      </c>
      <c r="H1121" s="168" t="s">
        <v>609</v>
      </c>
      <c r="I1121">
        <v>76172.665187759674</v>
      </c>
    </row>
    <row r="1122" spans="1:9" x14ac:dyDescent="0.3">
      <c r="A1122">
        <v>95</v>
      </c>
      <c r="B1122" s="168" t="s">
        <v>152</v>
      </c>
      <c r="C1122" s="168" t="s">
        <v>153</v>
      </c>
      <c r="D1122">
        <v>22228.9</v>
      </c>
      <c r="E1122">
        <v>2020</v>
      </c>
      <c r="F1122" s="168" t="s">
        <v>592</v>
      </c>
      <c r="G1122" s="168" t="s">
        <v>610</v>
      </c>
      <c r="H1122" s="168" t="s">
        <v>608</v>
      </c>
      <c r="I1122">
        <v>0</v>
      </c>
    </row>
    <row r="1123" spans="1:9" x14ac:dyDescent="0.3">
      <c r="A1123">
        <v>95</v>
      </c>
      <c r="B1123" s="168" t="s">
        <v>152</v>
      </c>
      <c r="C1123" s="168" t="s">
        <v>153</v>
      </c>
      <c r="D1123">
        <v>22228.9</v>
      </c>
      <c r="E1123">
        <v>2020</v>
      </c>
      <c r="F1123" s="168" t="s">
        <v>592</v>
      </c>
      <c r="G1123" s="168" t="s">
        <v>610</v>
      </c>
      <c r="H1123" s="168" t="s">
        <v>609</v>
      </c>
      <c r="I1123">
        <v>32727.272727272728</v>
      </c>
    </row>
    <row r="1124" spans="1:9" x14ac:dyDescent="0.3">
      <c r="A1124">
        <v>95</v>
      </c>
      <c r="B1124" s="168" t="s">
        <v>152</v>
      </c>
      <c r="C1124" s="168" t="s">
        <v>153</v>
      </c>
      <c r="D1124">
        <v>22228.9</v>
      </c>
      <c r="E1124">
        <v>2020</v>
      </c>
      <c r="F1124" s="168" t="s">
        <v>592</v>
      </c>
      <c r="G1124" s="168" t="s">
        <v>633</v>
      </c>
      <c r="H1124" s="168" t="s">
        <v>608</v>
      </c>
      <c r="I1124">
        <v>0</v>
      </c>
    </row>
    <row r="1125" spans="1:9" x14ac:dyDescent="0.3">
      <c r="A1125">
        <v>95</v>
      </c>
      <c r="B1125" s="168" t="s">
        <v>152</v>
      </c>
      <c r="C1125" s="168" t="s">
        <v>153</v>
      </c>
      <c r="D1125">
        <v>22228.9</v>
      </c>
      <c r="E1125">
        <v>2020</v>
      </c>
      <c r="F1125" s="168" t="s">
        <v>592</v>
      </c>
      <c r="G1125" s="168" t="s">
        <v>633</v>
      </c>
      <c r="H1125" s="168" t="s">
        <v>609</v>
      </c>
      <c r="I1125">
        <v>354974.56912338495</v>
      </c>
    </row>
    <row r="1126" spans="1:9" x14ac:dyDescent="0.3">
      <c r="A1126">
        <v>95</v>
      </c>
      <c r="B1126" s="168" t="s">
        <v>152</v>
      </c>
      <c r="C1126" s="168" t="s">
        <v>153</v>
      </c>
      <c r="D1126">
        <v>22228.9</v>
      </c>
      <c r="E1126">
        <v>2020</v>
      </c>
      <c r="F1126" s="168" t="s">
        <v>592</v>
      </c>
      <c r="G1126" s="168" t="s">
        <v>623</v>
      </c>
      <c r="H1126" s="168" t="s">
        <v>608</v>
      </c>
      <c r="I1126">
        <v>0</v>
      </c>
    </row>
    <row r="1127" spans="1:9" x14ac:dyDescent="0.3">
      <c r="A1127">
        <v>95</v>
      </c>
      <c r="B1127" s="168" t="s">
        <v>152</v>
      </c>
      <c r="C1127" s="168" t="s">
        <v>153</v>
      </c>
      <c r="D1127">
        <v>22228.9</v>
      </c>
      <c r="E1127">
        <v>2020</v>
      </c>
      <c r="F1127" s="168" t="s">
        <v>592</v>
      </c>
      <c r="G1127" s="168" t="s">
        <v>623</v>
      </c>
      <c r="H1127" s="168" t="s">
        <v>609</v>
      </c>
      <c r="I1127">
        <v>600000</v>
      </c>
    </row>
    <row r="1128" spans="1:9" x14ac:dyDescent="0.3">
      <c r="A1128">
        <v>95</v>
      </c>
      <c r="B1128" s="168" t="s">
        <v>152</v>
      </c>
      <c r="C1128" s="168" t="s">
        <v>153</v>
      </c>
      <c r="D1128">
        <v>22228.9</v>
      </c>
      <c r="E1128">
        <v>2020</v>
      </c>
      <c r="F1128" s="168" t="s">
        <v>592</v>
      </c>
      <c r="G1128" s="168" t="s">
        <v>615</v>
      </c>
      <c r="H1128" s="168" t="s">
        <v>608</v>
      </c>
      <c r="I1128">
        <v>0</v>
      </c>
    </row>
    <row r="1129" spans="1:9" x14ac:dyDescent="0.3">
      <c r="A1129">
        <v>95</v>
      </c>
      <c r="B1129" s="168" t="s">
        <v>152</v>
      </c>
      <c r="C1129" s="168" t="s">
        <v>153</v>
      </c>
      <c r="D1129">
        <v>22228.9</v>
      </c>
      <c r="E1129">
        <v>2020</v>
      </c>
      <c r="F1129" s="168" t="s">
        <v>592</v>
      </c>
      <c r="G1129" s="168" t="s">
        <v>615</v>
      </c>
      <c r="H1129" s="168" t="s">
        <v>609</v>
      </c>
      <c r="I1129">
        <v>7536.5853658536589</v>
      </c>
    </row>
    <row r="1130" spans="1:9" x14ac:dyDescent="0.3">
      <c r="A1130">
        <v>95</v>
      </c>
      <c r="B1130" s="168" t="s">
        <v>152</v>
      </c>
      <c r="C1130" s="168" t="s">
        <v>153</v>
      </c>
      <c r="D1130">
        <v>22228.9</v>
      </c>
      <c r="E1130">
        <v>2020</v>
      </c>
      <c r="F1130" s="168" t="s">
        <v>592</v>
      </c>
      <c r="G1130" s="168" t="s">
        <v>624</v>
      </c>
      <c r="H1130" s="168" t="s">
        <v>608</v>
      </c>
      <c r="I1130">
        <v>0</v>
      </c>
    </row>
    <row r="1131" spans="1:9" x14ac:dyDescent="0.3">
      <c r="A1131">
        <v>95</v>
      </c>
      <c r="B1131" s="168" t="s">
        <v>152</v>
      </c>
      <c r="C1131" s="168" t="s">
        <v>153</v>
      </c>
      <c r="D1131">
        <v>22228.9</v>
      </c>
      <c r="E1131">
        <v>2020</v>
      </c>
      <c r="F1131" s="168" t="s">
        <v>592</v>
      </c>
      <c r="G1131" s="168" t="s">
        <v>624</v>
      </c>
      <c r="H1131" s="168" t="s">
        <v>609</v>
      </c>
      <c r="I1131">
        <v>3900000</v>
      </c>
    </row>
    <row r="1132" spans="1:9" x14ac:dyDescent="0.3">
      <c r="A1132">
        <v>95</v>
      </c>
      <c r="B1132" s="168" t="s">
        <v>152</v>
      </c>
      <c r="C1132" s="168" t="s">
        <v>153</v>
      </c>
      <c r="D1132">
        <v>22228.9</v>
      </c>
      <c r="E1132">
        <v>2020</v>
      </c>
      <c r="F1132" s="168" t="s">
        <v>592</v>
      </c>
      <c r="G1132" s="168" t="s">
        <v>611</v>
      </c>
      <c r="H1132" s="168" t="s">
        <v>608</v>
      </c>
      <c r="I1132">
        <v>0</v>
      </c>
    </row>
    <row r="1133" spans="1:9" x14ac:dyDescent="0.3">
      <c r="A1133">
        <v>95</v>
      </c>
      <c r="B1133" s="168" t="s">
        <v>152</v>
      </c>
      <c r="C1133" s="168" t="s">
        <v>153</v>
      </c>
      <c r="D1133">
        <v>22228.9</v>
      </c>
      <c r="E1133">
        <v>2020</v>
      </c>
      <c r="F1133" s="168" t="s">
        <v>592</v>
      </c>
      <c r="G1133" s="168" t="s">
        <v>611</v>
      </c>
      <c r="H1133" s="168" t="s">
        <v>609</v>
      </c>
      <c r="I1133">
        <v>92907.49883575234</v>
      </c>
    </row>
    <row r="1134" spans="1:9" x14ac:dyDescent="0.3">
      <c r="A1134">
        <v>95</v>
      </c>
      <c r="B1134" s="168" t="s">
        <v>152</v>
      </c>
      <c r="C1134" s="168" t="s">
        <v>153</v>
      </c>
      <c r="D1134">
        <v>22228.9</v>
      </c>
      <c r="E1134">
        <v>2020</v>
      </c>
      <c r="F1134" s="168" t="s">
        <v>592</v>
      </c>
      <c r="G1134" s="168" t="s">
        <v>621</v>
      </c>
      <c r="H1134" s="168" t="s">
        <v>608</v>
      </c>
      <c r="I1134">
        <v>0</v>
      </c>
    </row>
    <row r="1135" spans="1:9" x14ac:dyDescent="0.3">
      <c r="A1135">
        <v>95</v>
      </c>
      <c r="B1135" s="168" t="s">
        <v>152</v>
      </c>
      <c r="C1135" s="168" t="s">
        <v>153</v>
      </c>
      <c r="D1135">
        <v>22228.9</v>
      </c>
      <c r="E1135">
        <v>2020</v>
      </c>
      <c r="F1135" s="168" t="s">
        <v>592</v>
      </c>
      <c r="G1135" s="168" t="s">
        <v>621</v>
      </c>
      <c r="H1135" s="168" t="s">
        <v>609</v>
      </c>
      <c r="I1135">
        <v>1403749.2</v>
      </c>
    </row>
    <row r="1136" spans="1:9" x14ac:dyDescent="0.3">
      <c r="A1136">
        <v>95</v>
      </c>
      <c r="B1136" s="168" t="s">
        <v>152</v>
      </c>
      <c r="C1136" s="168" t="s">
        <v>153</v>
      </c>
      <c r="D1136">
        <v>22228.9</v>
      </c>
      <c r="E1136">
        <v>2020</v>
      </c>
      <c r="F1136" s="168" t="s">
        <v>592</v>
      </c>
      <c r="G1136" s="168" t="s">
        <v>613</v>
      </c>
      <c r="H1136" s="168" t="s">
        <v>608</v>
      </c>
      <c r="I1136">
        <v>0</v>
      </c>
    </row>
    <row r="1137" spans="1:9" x14ac:dyDescent="0.3">
      <c r="A1137">
        <v>95</v>
      </c>
      <c r="B1137" s="168" t="s">
        <v>152</v>
      </c>
      <c r="C1137" s="168" t="s">
        <v>153</v>
      </c>
      <c r="D1137">
        <v>22228.9</v>
      </c>
      <c r="E1137">
        <v>2020</v>
      </c>
      <c r="F1137" s="168" t="s">
        <v>592</v>
      </c>
      <c r="G1137" s="168" t="s">
        <v>613</v>
      </c>
      <c r="H1137" s="168" t="s">
        <v>609</v>
      </c>
      <c r="I1137">
        <v>2780651.5710701784</v>
      </c>
    </row>
    <row r="1138" spans="1:9" x14ac:dyDescent="0.3">
      <c r="A1138">
        <v>96</v>
      </c>
      <c r="B1138" s="168" t="s">
        <v>154</v>
      </c>
      <c r="C1138" s="168" t="s">
        <v>155</v>
      </c>
      <c r="D1138">
        <v>481.3</v>
      </c>
      <c r="E1138">
        <v>2020</v>
      </c>
      <c r="F1138" s="168" t="s">
        <v>593</v>
      </c>
      <c r="G1138" s="168" t="s">
        <v>616</v>
      </c>
      <c r="H1138" s="168" t="s">
        <v>609</v>
      </c>
      <c r="I1138">
        <v>3477.9190141379913</v>
      </c>
    </row>
    <row r="1139" spans="1:9" x14ac:dyDescent="0.3">
      <c r="A1139">
        <v>96</v>
      </c>
      <c r="B1139" s="168" t="s">
        <v>154</v>
      </c>
      <c r="C1139" s="168" t="s">
        <v>155</v>
      </c>
      <c r="D1139">
        <v>481.3</v>
      </c>
      <c r="E1139">
        <v>2020</v>
      </c>
      <c r="F1139" s="168" t="s">
        <v>593</v>
      </c>
      <c r="G1139" s="168" t="s">
        <v>617</v>
      </c>
      <c r="H1139" s="168" t="s">
        <v>608</v>
      </c>
      <c r="I1139">
        <v>0</v>
      </c>
    </row>
    <row r="1140" spans="1:9" x14ac:dyDescent="0.3">
      <c r="A1140">
        <v>96</v>
      </c>
      <c r="B1140" s="168" t="s">
        <v>154</v>
      </c>
      <c r="C1140" s="168" t="s">
        <v>155</v>
      </c>
      <c r="D1140">
        <v>481.3</v>
      </c>
      <c r="E1140">
        <v>2020</v>
      </c>
      <c r="F1140" s="168" t="s">
        <v>593</v>
      </c>
      <c r="G1140" s="168" t="s">
        <v>617</v>
      </c>
      <c r="H1140" s="168" t="s">
        <v>609</v>
      </c>
      <c r="I1140">
        <v>13343.166586499658</v>
      </c>
    </row>
    <row r="1141" spans="1:9" x14ac:dyDescent="0.3">
      <c r="A1141">
        <v>97</v>
      </c>
      <c r="B1141" s="168" t="s">
        <v>156</v>
      </c>
      <c r="C1141" s="168" t="s">
        <v>157</v>
      </c>
      <c r="D1141">
        <v>140.9</v>
      </c>
      <c r="E1141">
        <v>2020</v>
      </c>
      <c r="F1141" s="168" t="s">
        <v>593</v>
      </c>
      <c r="G1141" s="168" t="s">
        <v>616</v>
      </c>
      <c r="H1141" s="168" t="s">
        <v>609</v>
      </c>
      <c r="I1141">
        <v>1018.1566363848805</v>
      </c>
    </row>
    <row r="1142" spans="1:9" x14ac:dyDescent="0.3">
      <c r="A1142">
        <v>97</v>
      </c>
      <c r="B1142" s="168" t="s">
        <v>156</v>
      </c>
      <c r="C1142" s="168" t="s">
        <v>157</v>
      </c>
      <c r="D1142">
        <v>140.9</v>
      </c>
      <c r="E1142">
        <v>2020</v>
      </c>
      <c r="F1142" s="168" t="s">
        <v>593</v>
      </c>
      <c r="G1142" s="168" t="s">
        <v>617</v>
      </c>
      <c r="H1142" s="168" t="s">
        <v>608</v>
      </c>
      <c r="I1142">
        <v>0</v>
      </c>
    </row>
    <row r="1143" spans="1:9" x14ac:dyDescent="0.3">
      <c r="A1143">
        <v>97</v>
      </c>
      <c r="B1143" s="168" t="s">
        <v>156</v>
      </c>
      <c r="C1143" s="168" t="s">
        <v>157</v>
      </c>
      <c r="D1143">
        <v>140.9</v>
      </c>
      <c r="E1143">
        <v>2020</v>
      </c>
      <c r="F1143" s="168" t="s">
        <v>593</v>
      </c>
      <c r="G1143" s="168" t="s">
        <v>617</v>
      </c>
      <c r="H1143" s="168" t="s">
        <v>609</v>
      </c>
      <c r="I1143">
        <v>6843.0815709988428</v>
      </c>
    </row>
    <row r="1144" spans="1:9" x14ac:dyDescent="0.3">
      <c r="A1144">
        <v>98</v>
      </c>
      <c r="B1144" s="168" t="s">
        <v>158</v>
      </c>
      <c r="C1144" s="168" t="s">
        <v>159</v>
      </c>
      <c r="D1144">
        <v>7998.2</v>
      </c>
      <c r="E1144">
        <v>2020</v>
      </c>
      <c r="F1144" s="168" t="s">
        <v>592</v>
      </c>
      <c r="G1144" s="168" t="s">
        <v>607</v>
      </c>
      <c r="H1144" s="168" t="s">
        <v>608</v>
      </c>
      <c r="I1144">
        <v>0</v>
      </c>
    </row>
    <row r="1145" spans="1:9" x14ac:dyDescent="0.3">
      <c r="A1145">
        <v>98</v>
      </c>
      <c r="B1145" s="168" t="s">
        <v>158</v>
      </c>
      <c r="C1145" s="168" t="s">
        <v>159</v>
      </c>
      <c r="D1145">
        <v>7998.2</v>
      </c>
      <c r="E1145">
        <v>2020</v>
      </c>
      <c r="F1145" s="168" t="s">
        <v>592</v>
      </c>
      <c r="G1145" s="168" t="s">
        <v>607</v>
      </c>
      <c r="H1145" s="168" t="s">
        <v>609</v>
      </c>
      <c r="I1145">
        <v>1263491.306716284</v>
      </c>
    </row>
    <row r="1146" spans="1:9" x14ac:dyDescent="0.3">
      <c r="A1146">
        <v>98</v>
      </c>
      <c r="B1146" s="168" t="s">
        <v>158</v>
      </c>
      <c r="C1146" s="168" t="s">
        <v>159</v>
      </c>
      <c r="D1146">
        <v>7998.2</v>
      </c>
      <c r="E1146">
        <v>2020</v>
      </c>
      <c r="F1146" s="168" t="s">
        <v>592</v>
      </c>
      <c r="G1146" s="168" t="s">
        <v>616</v>
      </c>
      <c r="H1146" s="168" t="s">
        <v>609</v>
      </c>
      <c r="I1146">
        <v>399434.82591725508</v>
      </c>
    </row>
    <row r="1147" spans="1:9" x14ac:dyDescent="0.3">
      <c r="A1147">
        <v>98</v>
      </c>
      <c r="B1147" s="168" t="s">
        <v>158</v>
      </c>
      <c r="C1147" s="168" t="s">
        <v>159</v>
      </c>
      <c r="D1147">
        <v>7998.2</v>
      </c>
      <c r="E1147">
        <v>2020</v>
      </c>
      <c r="F1147" s="168" t="s">
        <v>592</v>
      </c>
      <c r="G1147" s="168" t="s">
        <v>633</v>
      </c>
      <c r="H1147" s="168" t="s">
        <v>608</v>
      </c>
      <c r="I1147">
        <v>0</v>
      </c>
    </row>
    <row r="1148" spans="1:9" x14ac:dyDescent="0.3">
      <c r="A1148">
        <v>98</v>
      </c>
      <c r="B1148" s="168" t="s">
        <v>158</v>
      </c>
      <c r="C1148" s="168" t="s">
        <v>159</v>
      </c>
      <c r="D1148">
        <v>7998.2</v>
      </c>
      <c r="E1148">
        <v>2020</v>
      </c>
      <c r="F1148" s="168" t="s">
        <v>592</v>
      </c>
      <c r="G1148" s="168" t="s">
        <v>633</v>
      </c>
      <c r="H1148" s="168" t="s">
        <v>609</v>
      </c>
      <c r="I1148">
        <v>127723.71096917335</v>
      </c>
    </row>
    <row r="1149" spans="1:9" x14ac:dyDescent="0.3">
      <c r="A1149">
        <v>98</v>
      </c>
      <c r="B1149" s="168" t="s">
        <v>158</v>
      </c>
      <c r="C1149" s="168" t="s">
        <v>159</v>
      </c>
      <c r="D1149">
        <v>7998.2</v>
      </c>
      <c r="E1149">
        <v>2020</v>
      </c>
      <c r="F1149" s="168" t="s">
        <v>592</v>
      </c>
      <c r="G1149" s="168" t="s">
        <v>624</v>
      </c>
      <c r="H1149" s="168" t="s">
        <v>608</v>
      </c>
      <c r="I1149">
        <v>0</v>
      </c>
    </row>
    <row r="1150" spans="1:9" x14ac:dyDescent="0.3">
      <c r="A1150">
        <v>98</v>
      </c>
      <c r="B1150" s="168" t="s">
        <v>158</v>
      </c>
      <c r="C1150" s="168" t="s">
        <v>159</v>
      </c>
      <c r="D1150">
        <v>7998.2</v>
      </c>
      <c r="E1150">
        <v>2020</v>
      </c>
      <c r="F1150" s="168" t="s">
        <v>592</v>
      </c>
      <c r="G1150" s="168" t="s">
        <v>624</v>
      </c>
      <c r="H1150" s="168" t="s">
        <v>609</v>
      </c>
      <c r="I1150">
        <v>268672.88912349741</v>
      </c>
    </row>
    <row r="1151" spans="1:9" x14ac:dyDescent="0.3">
      <c r="A1151">
        <v>98</v>
      </c>
      <c r="B1151" s="168" t="s">
        <v>158</v>
      </c>
      <c r="C1151" s="168" t="s">
        <v>159</v>
      </c>
      <c r="D1151">
        <v>7998.2</v>
      </c>
      <c r="E1151">
        <v>2020</v>
      </c>
      <c r="F1151" s="168" t="s">
        <v>592</v>
      </c>
      <c r="G1151" s="168" t="s">
        <v>613</v>
      </c>
      <c r="H1151" s="168" t="s">
        <v>608</v>
      </c>
      <c r="I1151">
        <v>0</v>
      </c>
    </row>
    <row r="1152" spans="1:9" x14ac:dyDescent="0.3">
      <c r="A1152">
        <v>98</v>
      </c>
      <c r="B1152" s="168" t="s">
        <v>158</v>
      </c>
      <c r="C1152" s="168" t="s">
        <v>159</v>
      </c>
      <c r="D1152">
        <v>7998.2</v>
      </c>
      <c r="E1152">
        <v>2020</v>
      </c>
      <c r="F1152" s="168" t="s">
        <v>592</v>
      </c>
      <c r="G1152" s="168" t="s">
        <v>613</v>
      </c>
      <c r="H1152" s="168" t="s">
        <v>609</v>
      </c>
      <c r="I1152">
        <v>989993.82239574613</v>
      </c>
    </row>
    <row r="1153" spans="1:9" x14ac:dyDescent="0.3">
      <c r="A1153">
        <v>99</v>
      </c>
      <c r="B1153" s="168" t="s">
        <v>158</v>
      </c>
      <c r="C1153" s="168" t="s">
        <v>160</v>
      </c>
      <c r="D1153">
        <v>4101.8999999999996</v>
      </c>
      <c r="E1153">
        <v>2020</v>
      </c>
      <c r="F1153" s="168" t="s">
        <v>592</v>
      </c>
      <c r="G1153" s="168" t="s">
        <v>607</v>
      </c>
      <c r="H1153" s="168" t="s">
        <v>608</v>
      </c>
      <c r="I1153">
        <v>0</v>
      </c>
    </row>
    <row r="1154" spans="1:9" x14ac:dyDescent="0.3">
      <c r="A1154">
        <v>99</v>
      </c>
      <c r="B1154" s="168" t="s">
        <v>158</v>
      </c>
      <c r="C1154" s="168" t="s">
        <v>160</v>
      </c>
      <c r="D1154">
        <v>4101.8999999999996</v>
      </c>
      <c r="E1154">
        <v>2020</v>
      </c>
      <c r="F1154" s="168" t="s">
        <v>592</v>
      </c>
      <c r="G1154" s="168" t="s">
        <v>607</v>
      </c>
      <c r="H1154" s="168" t="s">
        <v>609</v>
      </c>
      <c r="I1154">
        <v>638942.35119812726</v>
      </c>
    </row>
    <row r="1155" spans="1:9" x14ac:dyDescent="0.3">
      <c r="A1155">
        <v>99</v>
      </c>
      <c r="B1155" s="168" t="s">
        <v>158</v>
      </c>
      <c r="C1155" s="168" t="s">
        <v>160</v>
      </c>
      <c r="D1155">
        <v>4101.8999999999996</v>
      </c>
      <c r="E1155">
        <v>2020</v>
      </c>
      <c r="F1155" s="168" t="s">
        <v>592</v>
      </c>
      <c r="G1155" s="168" t="s">
        <v>616</v>
      </c>
      <c r="H1155" s="168" t="s">
        <v>609</v>
      </c>
      <c r="I1155">
        <v>129865.66922521795</v>
      </c>
    </row>
    <row r="1156" spans="1:9" x14ac:dyDescent="0.3">
      <c r="A1156">
        <v>99</v>
      </c>
      <c r="B1156" s="168" t="s">
        <v>158</v>
      </c>
      <c r="C1156" s="168" t="s">
        <v>160</v>
      </c>
      <c r="D1156">
        <v>4101.8999999999996</v>
      </c>
      <c r="E1156">
        <v>2020</v>
      </c>
      <c r="F1156" s="168" t="s">
        <v>592</v>
      </c>
      <c r="G1156" s="168" t="s">
        <v>633</v>
      </c>
      <c r="H1156" s="168" t="s">
        <v>608</v>
      </c>
      <c r="I1156">
        <v>0</v>
      </c>
    </row>
    <row r="1157" spans="1:9" x14ac:dyDescent="0.3">
      <c r="A1157">
        <v>99</v>
      </c>
      <c r="B1157" s="168" t="s">
        <v>158</v>
      </c>
      <c r="C1157" s="168" t="s">
        <v>160</v>
      </c>
      <c r="D1157">
        <v>4101.8999999999996</v>
      </c>
      <c r="E1157">
        <v>2020</v>
      </c>
      <c r="F1157" s="168" t="s">
        <v>592</v>
      </c>
      <c r="G1157" s="168" t="s">
        <v>633</v>
      </c>
      <c r="H1157" s="168" t="s">
        <v>609</v>
      </c>
      <c r="I1157">
        <v>65503.474534826855</v>
      </c>
    </row>
    <row r="1158" spans="1:9" x14ac:dyDescent="0.3">
      <c r="A1158">
        <v>99</v>
      </c>
      <c r="B1158" s="168" t="s">
        <v>158</v>
      </c>
      <c r="C1158" s="168" t="s">
        <v>160</v>
      </c>
      <c r="D1158">
        <v>4101.8999999999996</v>
      </c>
      <c r="E1158">
        <v>2020</v>
      </c>
      <c r="F1158" s="168" t="s">
        <v>592</v>
      </c>
      <c r="G1158" s="168" t="s">
        <v>624</v>
      </c>
      <c r="H1158" s="168" t="s">
        <v>608</v>
      </c>
      <c r="I1158">
        <v>0</v>
      </c>
    </row>
    <row r="1159" spans="1:9" x14ac:dyDescent="0.3">
      <c r="A1159">
        <v>99</v>
      </c>
      <c r="B1159" s="168" t="s">
        <v>158</v>
      </c>
      <c r="C1159" s="168" t="s">
        <v>160</v>
      </c>
      <c r="D1159">
        <v>4101.8999999999996</v>
      </c>
      <c r="E1159">
        <v>2020</v>
      </c>
      <c r="F1159" s="168" t="s">
        <v>592</v>
      </c>
      <c r="G1159" s="168" t="s">
        <v>624</v>
      </c>
      <c r="H1159" s="168" t="s">
        <v>609</v>
      </c>
      <c r="I1159">
        <v>137789.66816229577</v>
      </c>
    </row>
    <row r="1160" spans="1:9" x14ac:dyDescent="0.3">
      <c r="A1160">
        <v>99</v>
      </c>
      <c r="B1160" s="168" t="s">
        <v>158</v>
      </c>
      <c r="C1160" s="168" t="s">
        <v>160</v>
      </c>
      <c r="D1160">
        <v>4101.8999999999996</v>
      </c>
      <c r="E1160">
        <v>2020</v>
      </c>
      <c r="F1160" s="168" t="s">
        <v>592</v>
      </c>
      <c r="G1160" s="168" t="s">
        <v>613</v>
      </c>
      <c r="H1160" s="168" t="s">
        <v>608</v>
      </c>
      <c r="I1160">
        <v>0</v>
      </c>
    </row>
    <row r="1161" spans="1:9" x14ac:dyDescent="0.3">
      <c r="A1161">
        <v>99</v>
      </c>
      <c r="B1161" s="168" t="s">
        <v>158</v>
      </c>
      <c r="C1161" s="168" t="s">
        <v>160</v>
      </c>
      <c r="D1161">
        <v>4101.8999999999996</v>
      </c>
      <c r="E1161">
        <v>2020</v>
      </c>
      <c r="F1161" s="168" t="s">
        <v>592</v>
      </c>
      <c r="G1161" s="168" t="s">
        <v>613</v>
      </c>
      <c r="H1161" s="168" t="s">
        <v>609</v>
      </c>
      <c r="I1161">
        <v>507721.19477946416</v>
      </c>
    </row>
    <row r="1162" spans="1:9" x14ac:dyDescent="0.3">
      <c r="A1162">
        <v>100</v>
      </c>
      <c r="B1162" s="168" t="s">
        <v>161</v>
      </c>
      <c r="C1162" s="168" t="s">
        <v>162</v>
      </c>
      <c r="D1162">
        <v>489.2</v>
      </c>
      <c r="E1162">
        <v>2020</v>
      </c>
      <c r="F1162" s="168" t="s">
        <v>593</v>
      </c>
      <c r="G1162" s="168" t="s">
        <v>617</v>
      </c>
      <c r="H1162" s="168" t="s">
        <v>608</v>
      </c>
      <c r="I1162">
        <v>0</v>
      </c>
    </row>
    <row r="1163" spans="1:9" x14ac:dyDescent="0.3">
      <c r="A1163">
        <v>100</v>
      </c>
      <c r="B1163" s="168" t="s">
        <v>161</v>
      </c>
      <c r="C1163" s="168" t="s">
        <v>162</v>
      </c>
      <c r="D1163">
        <v>489.2</v>
      </c>
      <c r="E1163">
        <v>2020</v>
      </c>
      <c r="F1163" s="168" t="s">
        <v>593</v>
      </c>
      <c r="G1163" s="168" t="s">
        <v>617</v>
      </c>
      <c r="H1163" s="168" t="s">
        <v>609</v>
      </c>
      <c r="I1163">
        <v>10329.554408999693</v>
      </c>
    </row>
    <row r="1164" spans="1:9" x14ac:dyDescent="0.3">
      <c r="A1164">
        <v>101</v>
      </c>
      <c r="B1164" s="168" t="s">
        <v>163</v>
      </c>
      <c r="C1164" s="168" t="s">
        <v>164</v>
      </c>
      <c r="D1164">
        <v>482.4</v>
      </c>
      <c r="E1164">
        <v>2020</v>
      </c>
      <c r="F1164" s="168" t="s">
        <v>593</v>
      </c>
      <c r="G1164" s="168" t="s">
        <v>617</v>
      </c>
      <c r="H1164" s="168" t="s">
        <v>608</v>
      </c>
      <c r="I1164">
        <v>0</v>
      </c>
    </row>
    <row r="1165" spans="1:9" x14ac:dyDescent="0.3">
      <c r="A1165">
        <v>101</v>
      </c>
      <c r="B1165" s="168" t="s">
        <v>163</v>
      </c>
      <c r="C1165" s="168" t="s">
        <v>164</v>
      </c>
      <c r="D1165">
        <v>482.4</v>
      </c>
      <c r="E1165">
        <v>2020</v>
      </c>
      <c r="F1165" s="168" t="s">
        <v>593</v>
      </c>
      <c r="G1165" s="168" t="s">
        <v>617</v>
      </c>
      <c r="H1165" s="168" t="s">
        <v>609</v>
      </c>
      <c r="I1165">
        <v>2700.2322457421274</v>
      </c>
    </row>
    <row r="1166" spans="1:9" x14ac:dyDescent="0.3">
      <c r="A1166">
        <v>102</v>
      </c>
      <c r="B1166" s="168" t="s">
        <v>165</v>
      </c>
      <c r="C1166" s="168" t="s">
        <v>166</v>
      </c>
      <c r="D1166">
        <v>10231.5</v>
      </c>
      <c r="E1166">
        <v>2020</v>
      </c>
      <c r="F1166" s="168" t="s">
        <v>592</v>
      </c>
      <c r="G1166" s="168" t="s">
        <v>607</v>
      </c>
      <c r="H1166" s="168" t="s">
        <v>608</v>
      </c>
      <c r="I1166">
        <v>0</v>
      </c>
    </row>
    <row r="1167" spans="1:9" x14ac:dyDescent="0.3">
      <c r="A1167">
        <v>102</v>
      </c>
      <c r="B1167" s="168" t="s">
        <v>165</v>
      </c>
      <c r="C1167" s="168" t="s">
        <v>166</v>
      </c>
      <c r="D1167">
        <v>10231.5</v>
      </c>
      <c r="E1167">
        <v>2020</v>
      </c>
      <c r="F1167" s="168" t="s">
        <v>592</v>
      </c>
      <c r="G1167" s="168" t="s">
        <v>607</v>
      </c>
      <c r="H1167" s="168" t="s">
        <v>609</v>
      </c>
      <c r="I1167">
        <v>1396009.791563041</v>
      </c>
    </row>
    <row r="1168" spans="1:9" x14ac:dyDescent="0.3">
      <c r="A1168">
        <v>102</v>
      </c>
      <c r="B1168" s="168" t="s">
        <v>165</v>
      </c>
      <c r="C1168" s="168" t="s">
        <v>166</v>
      </c>
      <c r="D1168">
        <v>10231.5</v>
      </c>
      <c r="E1168">
        <v>2020</v>
      </c>
      <c r="F1168" s="168" t="s">
        <v>592</v>
      </c>
      <c r="G1168" s="168" t="s">
        <v>616</v>
      </c>
      <c r="H1168" s="168" t="s">
        <v>609</v>
      </c>
      <c r="I1168">
        <v>646416.0181841345</v>
      </c>
    </row>
    <row r="1169" spans="1:9" x14ac:dyDescent="0.3">
      <c r="A1169">
        <v>102</v>
      </c>
      <c r="B1169" s="168" t="s">
        <v>165</v>
      </c>
      <c r="C1169" s="168" t="s">
        <v>166</v>
      </c>
      <c r="D1169">
        <v>10231.5</v>
      </c>
      <c r="E1169">
        <v>2020</v>
      </c>
      <c r="F1169" s="168" t="s">
        <v>592</v>
      </c>
      <c r="G1169" s="168" t="s">
        <v>633</v>
      </c>
      <c r="H1169" s="168" t="s">
        <v>608</v>
      </c>
      <c r="I1169">
        <v>0</v>
      </c>
    </row>
    <row r="1170" spans="1:9" x14ac:dyDescent="0.3">
      <c r="A1170">
        <v>102</v>
      </c>
      <c r="B1170" s="168" t="s">
        <v>165</v>
      </c>
      <c r="C1170" s="168" t="s">
        <v>166</v>
      </c>
      <c r="D1170">
        <v>10231.5</v>
      </c>
      <c r="E1170">
        <v>2020</v>
      </c>
      <c r="F1170" s="168" t="s">
        <v>592</v>
      </c>
      <c r="G1170" s="168" t="s">
        <v>633</v>
      </c>
      <c r="H1170" s="168" t="s">
        <v>609</v>
      </c>
      <c r="I1170">
        <v>163387.40576393402</v>
      </c>
    </row>
    <row r="1171" spans="1:9" x14ac:dyDescent="0.3">
      <c r="A1171">
        <v>102</v>
      </c>
      <c r="B1171" s="168" t="s">
        <v>165</v>
      </c>
      <c r="C1171" s="168" t="s">
        <v>166</v>
      </c>
      <c r="D1171">
        <v>10231.5</v>
      </c>
      <c r="E1171">
        <v>2020</v>
      </c>
      <c r="F1171" s="168" t="s">
        <v>592</v>
      </c>
      <c r="G1171" s="168" t="s">
        <v>615</v>
      </c>
      <c r="H1171" s="168" t="s">
        <v>608</v>
      </c>
      <c r="I1171">
        <v>0</v>
      </c>
    </row>
    <row r="1172" spans="1:9" x14ac:dyDescent="0.3">
      <c r="A1172">
        <v>102</v>
      </c>
      <c r="B1172" s="168" t="s">
        <v>165</v>
      </c>
      <c r="C1172" s="168" t="s">
        <v>166</v>
      </c>
      <c r="D1172">
        <v>10231.5</v>
      </c>
      <c r="E1172">
        <v>2020</v>
      </c>
      <c r="F1172" s="168" t="s">
        <v>592</v>
      </c>
      <c r="G1172" s="168" t="s">
        <v>615</v>
      </c>
      <c r="H1172" s="168" t="s">
        <v>609</v>
      </c>
      <c r="I1172">
        <v>7536.5853658536589</v>
      </c>
    </row>
    <row r="1173" spans="1:9" x14ac:dyDescent="0.3">
      <c r="A1173">
        <v>102</v>
      </c>
      <c r="B1173" s="168" t="s">
        <v>165</v>
      </c>
      <c r="C1173" s="168" t="s">
        <v>166</v>
      </c>
      <c r="D1173">
        <v>10231.5</v>
      </c>
      <c r="E1173">
        <v>2020</v>
      </c>
      <c r="F1173" s="168" t="s">
        <v>592</v>
      </c>
      <c r="G1173" s="168" t="s">
        <v>624</v>
      </c>
      <c r="H1173" s="168" t="s">
        <v>608</v>
      </c>
      <c r="I1173">
        <v>0</v>
      </c>
    </row>
    <row r="1174" spans="1:9" x14ac:dyDescent="0.3">
      <c r="A1174">
        <v>102</v>
      </c>
      <c r="B1174" s="168" t="s">
        <v>165</v>
      </c>
      <c r="C1174" s="168" t="s">
        <v>166</v>
      </c>
      <c r="D1174">
        <v>10231.5</v>
      </c>
      <c r="E1174">
        <v>2020</v>
      </c>
      <c r="F1174" s="168" t="s">
        <v>592</v>
      </c>
      <c r="G1174" s="168" t="s">
        <v>624</v>
      </c>
      <c r="H1174" s="168" t="s">
        <v>609</v>
      </c>
      <c r="I1174">
        <v>343693.16409530438</v>
      </c>
    </row>
    <row r="1175" spans="1:9" x14ac:dyDescent="0.3">
      <c r="A1175">
        <v>102</v>
      </c>
      <c r="B1175" s="168" t="s">
        <v>165</v>
      </c>
      <c r="C1175" s="168" t="s">
        <v>166</v>
      </c>
      <c r="D1175">
        <v>10231.5</v>
      </c>
      <c r="E1175">
        <v>2020</v>
      </c>
      <c r="F1175" s="168" t="s">
        <v>592</v>
      </c>
      <c r="G1175" s="168" t="s">
        <v>613</v>
      </c>
      <c r="H1175" s="168" t="s">
        <v>608</v>
      </c>
      <c r="I1175">
        <v>0</v>
      </c>
    </row>
    <row r="1176" spans="1:9" x14ac:dyDescent="0.3">
      <c r="A1176">
        <v>102</v>
      </c>
      <c r="B1176" s="168" t="s">
        <v>165</v>
      </c>
      <c r="C1176" s="168" t="s">
        <v>166</v>
      </c>
      <c r="D1176">
        <v>10231.5</v>
      </c>
      <c r="E1176">
        <v>2020</v>
      </c>
      <c r="F1176" s="168" t="s">
        <v>592</v>
      </c>
      <c r="G1176" s="168" t="s">
        <v>613</v>
      </c>
      <c r="H1176" s="168" t="s">
        <v>609</v>
      </c>
      <c r="I1176">
        <v>1266425.1698934832</v>
      </c>
    </row>
    <row r="1177" spans="1:9" x14ac:dyDescent="0.3">
      <c r="A1177">
        <v>103</v>
      </c>
      <c r="B1177" s="168" t="s">
        <v>167</v>
      </c>
      <c r="C1177" s="168" t="s">
        <v>168</v>
      </c>
      <c r="D1177">
        <v>2674.6</v>
      </c>
      <c r="E1177">
        <v>2020</v>
      </c>
      <c r="F1177" s="168" t="s">
        <v>592</v>
      </c>
      <c r="G1177" s="168" t="s">
        <v>607</v>
      </c>
      <c r="H1177" s="168" t="s">
        <v>608</v>
      </c>
      <c r="I1177">
        <v>0</v>
      </c>
    </row>
    <row r="1178" spans="1:9" x14ac:dyDescent="0.3">
      <c r="A1178">
        <v>103</v>
      </c>
      <c r="B1178" s="168" t="s">
        <v>167</v>
      </c>
      <c r="C1178" s="168" t="s">
        <v>168</v>
      </c>
      <c r="D1178">
        <v>2674.6</v>
      </c>
      <c r="E1178">
        <v>2020</v>
      </c>
      <c r="F1178" s="168" t="s">
        <v>592</v>
      </c>
      <c r="G1178" s="168" t="s">
        <v>607</v>
      </c>
      <c r="H1178" s="168" t="s">
        <v>609</v>
      </c>
      <c r="I1178">
        <v>516036.69600558869</v>
      </c>
    </row>
    <row r="1179" spans="1:9" x14ac:dyDescent="0.3">
      <c r="A1179">
        <v>103</v>
      </c>
      <c r="B1179" s="168" t="s">
        <v>167</v>
      </c>
      <c r="C1179" s="168" t="s">
        <v>168</v>
      </c>
      <c r="D1179">
        <v>2674.6</v>
      </c>
      <c r="E1179">
        <v>2020</v>
      </c>
      <c r="F1179" s="168" t="s">
        <v>592</v>
      </c>
      <c r="G1179" s="168" t="s">
        <v>616</v>
      </c>
      <c r="H1179" s="168" t="s">
        <v>609</v>
      </c>
      <c r="I1179">
        <v>114489.35847957147</v>
      </c>
    </row>
    <row r="1180" spans="1:9" x14ac:dyDescent="0.3">
      <c r="A1180">
        <v>103</v>
      </c>
      <c r="B1180" s="168" t="s">
        <v>167</v>
      </c>
      <c r="C1180" s="168" t="s">
        <v>168</v>
      </c>
      <c r="D1180">
        <v>2674.6</v>
      </c>
      <c r="E1180">
        <v>2020</v>
      </c>
      <c r="F1180" s="168" t="s">
        <v>592</v>
      </c>
      <c r="G1180" s="168" t="s">
        <v>633</v>
      </c>
      <c r="H1180" s="168" t="s">
        <v>608</v>
      </c>
      <c r="I1180">
        <v>0</v>
      </c>
    </row>
    <row r="1181" spans="1:9" x14ac:dyDescent="0.3">
      <c r="A1181">
        <v>103</v>
      </c>
      <c r="B1181" s="168" t="s">
        <v>167</v>
      </c>
      <c r="C1181" s="168" t="s">
        <v>168</v>
      </c>
      <c r="D1181">
        <v>2674.6</v>
      </c>
      <c r="E1181">
        <v>2020</v>
      </c>
      <c r="F1181" s="168" t="s">
        <v>592</v>
      </c>
      <c r="G1181" s="168" t="s">
        <v>633</v>
      </c>
      <c r="H1181" s="168" t="s">
        <v>609</v>
      </c>
      <c r="I1181">
        <v>42710.839608680835</v>
      </c>
    </row>
    <row r="1182" spans="1:9" x14ac:dyDescent="0.3">
      <c r="A1182">
        <v>103</v>
      </c>
      <c r="B1182" s="168" t="s">
        <v>167</v>
      </c>
      <c r="C1182" s="168" t="s">
        <v>168</v>
      </c>
      <c r="D1182">
        <v>2674.6</v>
      </c>
      <c r="E1182">
        <v>2020</v>
      </c>
      <c r="F1182" s="168" t="s">
        <v>592</v>
      </c>
      <c r="G1182" s="168" t="s">
        <v>624</v>
      </c>
      <c r="H1182" s="168" t="s">
        <v>608</v>
      </c>
      <c r="I1182">
        <v>0</v>
      </c>
    </row>
    <row r="1183" spans="1:9" x14ac:dyDescent="0.3">
      <c r="A1183">
        <v>103</v>
      </c>
      <c r="B1183" s="168" t="s">
        <v>167</v>
      </c>
      <c r="C1183" s="168" t="s">
        <v>168</v>
      </c>
      <c r="D1183">
        <v>2674.6</v>
      </c>
      <c r="E1183">
        <v>2020</v>
      </c>
      <c r="F1183" s="168" t="s">
        <v>592</v>
      </c>
      <c r="G1183" s="168" t="s">
        <v>624</v>
      </c>
      <c r="H1183" s="168" t="s">
        <v>609</v>
      </c>
      <c r="I1183">
        <v>89844.278618902521</v>
      </c>
    </row>
    <row r="1184" spans="1:9" x14ac:dyDescent="0.3">
      <c r="A1184">
        <v>103</v>
      </c>
      <c r="B1184" s="168" t="s">
        <v>167</v>
      </c>
      <c r="C1184" s="168" t="s">
        <v>168</v>
      </c>
      <c r="D1184">
        <v>2674.6</v>
      </c>
      <c r="E1184">
        <v>2020</v>
      </c>
      <c r="F1184" s="168" t="s">
        <v>592</v>
      </c>
      <c r="G1184" s="168" t="s">
        <v>613</v>
      </c>
      <c r="H1184" s="168" t="s">
        <v>608</v>
      </c>
      <c r="I1184">
        <v>0</v>
      </c>
    </row>
    <row r="1185" spans="1:9" x14ac:dyDescent="0.3">
      <c r="A1185">
        <v>103</v>
      </c>
      <c r="B1185" s="168" t="s">
        <v>167</v>
      </c>
      <c r="C1185" s="168" t="s">
        <v>168</v>
      </c>
      <c r="D1185">
        <v>2674.6</v>
      </c>
      <c r="E1185">
        <v>2020</v>
      </c>
      <c r="F1185" s="168" t="s">
        <v>592</v>
      </c>
      <c r="G1185" s="168" t="s">
        <v>613</v>
      </c>
      <c r="H1185" s="168" t="s">
        <v>609</v>
      </c>
      <c r="I1185">
        <v>331054.17186112673</v>
      </c>
    </row>
    <row r="1186" spans="1:9" x14ac:dyDescent="0.3">
      <c r="A1186">
        <v>1</v>
      </c>
      <c r="B1186" s="168" t="s">
        <v>4</v>
      </c>
      <c r="C1186" s="168" t="s">
        <v>5</v>
      </c>
      <c r="D1186">
        <v>896.1</v>
      </c>
      <c r="E1186">
        <v>2021</v>
      </c>
      <c r="F1186" s="168" t="s">
        <v>590</v>
      </c>
      <c r="G1186" s="168" t="s">
        <v>607</v>
      </c>
      <c r="H1186" s="168" t="s">
        <v>608</v>
      </c>
      <c r="I1186">
        <v>0</v>
      </c>
    </row>
    <row r="1187" spans="1:9" x14ac:dyDescent="0.3">
      <c r="A1187">
        <v>1</v>
      </c>
      <c r="B1187" s="168" t="s">
        <v>4</v>
      </c>
      <c r="C1187" s="168" t="s">
        <v>5</v>
      </c>
      <c r="D1187">
        <v>896.1</v>
      </c>
      <c r="E1187">
        <v>2021</v>
      </c>
      <c r="F1187" s="168" t="s">
        <v>590</v>
      </c>
      <c r="G1187" s="168" t="s">
        <v>607</v>
      </c>
      <c r="H1187" s="168" t="s">
        <v>609</v>
      </c>
      <c r="I1187">
        <v>535097.6291738305</v>
      </c>
    </row>
    <row r="1188" spans="1:9" x14ac:dyDescent="0.3">
      <c r="A1188">
        <v>2</v>
      </c>
      <c r="B1188" s="168" t="s">
        <v>6</v>
      </c>
      <c r="C1188" s="168" t="s">
        <v>5</v>
      </c>
      <c r="D1188">
        <v>189</v>
      </c>
      <c r="E1188">
        <v>2021</v>
      </c>
      <c r="F1188" s="168" t="s">
        <v>590</v>
      </c>
      <c r="G1188" s="168" t="s">
        <v>607</v>
      </c>
      <c r="H1188" s="168" t="s">
        <v>608</v>
      </c>
      <c r="I1188">
        <v>0</v>
      </c>
    </row>
    <row r="1189" spans="1:9" x14ac:dyDescent="0.3">
      <c r="A1189">
        <v>2</v>
      </c>
      <c r="B1189" s="168" t="s">
        <v>6</v>
      </c>
      <c r="C1189" s="168" t="s">
        <v>5</v>
      </c>
      <c r="D1189">
        <v>189</v>
      </c>
      <c r="E1189">
        <v>2021</v>
      </c>
      <c r="F1189" s="168" t="s">
        <v>590</v>
      </c>
      <c r="G1189" s="168" t="s">
        <v>607</v>
      </c>
      <c r="H1189" s="168" t="s">
        <v>609</v>
      </c>
      <c r="I1189">
        <v>112859.5602207945</v>
      </c>
    </row>
    <row r="1190" spans="1:9" x14ac:dyDescent="0.3">
      <c r="A1190">
        <v>3</v>
      </c>
      <c r="B1190" s="168" t="s">
        <v>7</v>
      </c>
      <c r="C1190" s="168" t="s">
        <v>5</v>
      </c>
      <c r="D1190">
        <v>20</v>
      </c>
      <c r="E1190">
        <v>2021</v>
      </c>
      <c r="F1190" s="168" t="s">
        <v>590</v>
      </c>
      <c r="G1190" s="168" t="s">
        <v>607</v>
      </c>
      <c r="H1190" s="168" t="s">
        <v>608</v>
      </c>
      <c r="I1190">
        <v>0</v>
      </c>
    </row>
    <row r="1191" spans="1:9" x14ac:dyDescent="0.3">
      <c r="A1191">
        <v>3</v>
      </c>
      <c r="B1191" s="168" t="s">
        <v>7</v>
      </c>
      <c r="C1191" s="168" t="s">
        <v>5</v>
      </c>
      <c r="D1191">
        <v>20</v>
      </c>
      <c r="E1191">
        <v>2021</v>
      </c>
      <c r="F1191" s="168" t="s">
        <v>590</v>
      </c>
      <c r="G1191" s="168" t="s">
        <v>607</v>
      </c>
      <c r="H1191" s="168" t="s">
        <v>609</v>
      </c>
      <c r="I1191">
        <v>11942.81060537508</v>
      </c>
    </row>
    <row r="1192" spans="1:9" x14ac:dyDescent="0.3">
      <c r="A1192">
        <v>4</v>
      </c>
      <c r="B1192" s="168" t="s">
        <v>8</v>
      </c>
      <c r="C1192" s="168" t="s">
        <v>5</v>
      </c>
      <c r="D1192">
        <v>243</v>
      </c>
      <c r="E1192">
        <v>2021</v>
      </c>
      <c r="F1192" s="168" t="s">
        <v>590</v>
      </c>
      <c r="G1192" s="168" t="s">
        <v>610</v>
      </c>
      <c r="H1192" s="168" t="s">
        <v>608</v>
      </c>
      <c r="I1192">
        <v>0</v>
      </c>
    </row>
    <row r="1193" spans="1:9" x14ac:dyDescent="0.3">
      <c r="A1193">
        <v>4</v>
      </c>
      <c r="B1193" s="168" t="s">
        <v>8</v>
      </c>
      <c r="C1193" s="168" t="s">
        <v>5</v>
      </c>
      <c r="D1193">
        <v>243</v>
      </c>
      <c r="E1193">
        <v>2021</v>
      </c>
      <c r="F1193" s="168" t="s">
        <v>590</v>
      </c>
      <c r="G1193" s="168" t="s">
        <v>610</v>
      </c>
      <c r="H1193" s="168" t="s">
        <v>609</v>
      </c>
      <c r="I1193">
        <v>6545.454545454545</v>
      </c>
    </row>
    <row r="1194" spans="1:9" x14ac:dyDescent="0.3">
      <c r="A1194">
        <v>4</v>
      </c>
      <c r="B1194" s="168" t="s">
        <v>8</v>
      </c>
      <c r="C1194" s="168" t="s">
        <v>5</v>
      </c>
      <c r="D1194">
        <v>243</v>
      </c>
      <c r="E1194">
        <v>2021</v>
      </c>
      <c r="F1194" s="168" t="s">
        <v>590</v>
      </c>
      <c r="G1194" s="168" t="s">
        <v>611</v>
      </c>
      <c r="H1194" s="168" t="s">
        <v>608</v>
      </c>
      <c r="I1194">
        <v>0</v>
      </c>
    </row>
    <row r="1195" spans="1:9" x14ac:dyDescent="0.3">
      <c r="A1195">
        <v>4</v>
      </c>
      <c r="B1195" s="168" t="s">
        <v>8</v>
      </c>
      <c r="C1195" s="168" t="s">
        <v>5</v>
      </c>
      <c r="D1195">
        <v>243</v>
      </c>
      <c r="E1195">
        <v>2021</v>
      </c>
      <c r="F1195" s="168" t="s">
        <v>590</v>
      </c>
      <c r="G1195" s="168" t="s">
        <v>611</v>
      </c>
      <c r="H1195" s="168" t="s">
        <v>609</v>
      </c>
      <c r="I1195">
        <v>1015.6383004596636</v>
      </c>
    </row>
    <row r="1196" spans="1:9" x14ac:dyDescent="0.3">
      <c r="A1196">
        <v>5</v>
      </c>
      <c r="B1196" s="168" t="s">
        <v>9</v>
      </c>
      <c r="C1196" s="168" t="s">
        <v>10</v>
      </c>
      <c r="D1196">
        <v>7098.7</v>
      </c>
      <c r="E1196">
        <v>2021</v>
      </c>
      <c r="F1196" s="168" t="s">
        <v>590</v>
      </c>
      <c r="G1196" s="168" t="s">
        <v>612</v>
      </c>
      <c r="H1196" s="168" t="s">
        <v>608</v>
      </c>
      <c r="I1196">
        <v>0</v>
      </c>
    </row>
    <row r="1197" spans="1:9" x14ac:dyDescent="0.3">
      <c r="A1197">
        <v>5</v>
      </c>
      <c r="B1197" s="168" t="s">
        <v>9</v>
      </c>
      <c r="C1197" s="168" t="s">
        <v>10</v>
      </c>
      <c r="D1197">
        <v>7098.7</v>
      </c>
      <c r="E1197">
        <v>2021</v>
      </c>
      <c r="F1197" s="168" t="s">
        <v>590</v>
      </c>
      <c r="G1197" s="168" t="s">
        <v>612</v>
      </c>
      <c r="H1197" s="168" t="s">
        <v>609</v>
      </c>
      <c r="I1197">
        <v>13594.866730341048</v>
      </c>
    </row>
    <row r="1198" spans="1:9" x14ac:dyDescent="0.3">
      <c r="A1198">
        <v>5</v>
      </c>
      <c r="B1198" s="168" t="s">
        <v>9</v>
      </c>
      <c r="C1198" s="168" t="s">
        <v>10</v>
      </c>
      <c r="D1198">
        <v>7098.7</v>
      </c>
      <c r="E1198">
        <v>2021</v>
      </c>
      <c r="F1198" s="168" t="s">
        <v>590</v>
      </c>
      <c r="G1198" s="168" t="s">
        <v>611</v>
      </c>
      <c r="H1198" s="168" t="s">
        <v>608</v>
      </c>
      <c r="I1198">
        <v>0</v>
      </c>
    </row>
    <row r="1199" spans="1:9" x14ac:dyDescent="0.3">
      <c r="A1199">
        <v>5</v>
      </c>
      <c r="B1199" s="168" t="s">
        <v>9</v>
      </c>
      <c r="C1199" s="168" t="s">
        <v>10</v>
      </c>
      <c r="D1199">
        <v>7098.7</v>
      </c>
      <c r="E1199">
        <v>2021</v>
      </c>
      <c r="F1199" s="168" t="s">
        <v>590</v>
      </c>
      <c r="G1199" s="168" t="s">
        <v>611</v>
      </c>
      <c r="H1199" s="168" t="s">
        <v>609</v>
      </c>
      <c r="I1199">
        <v>2969.0865668145902</v>
      </c>
    </row>
    <row r="1200" spans="1:9" x14ac:dyDescent="0.3">
      <c r="A1200">
        <v>5</v>
      </c>
      <c r="B1200" s="168" t="s">
        <v>9</v>
      </c>
      <c r="C1200" s="168" t="s">
        <v>10</v>
      </c>
      <c r="D1200">
        <v>7098.7</v>
      </c>
      <c r="E1200">
        <v>2021</v>
      </c>
      <c r="F1200" s="168" t="s">
        <v>590</v>
      </c>
      <c r="G1200" s="168" t="s">
        <v>613</v>
      </c>
      <c r="H1200" s="168" t="s">
        <v>608</v>
      </c>
      <c r="I1200">
        <v>235082.01970278387</v>
      </c>
    </row>
    <row r="1201" spans="1:9" x14ac:dyDescent="0.3">
      <c r="A1201">
        <v>5</v>
      </c>
      <c r="B1201" s="168" t="s">
        <v>9</v>
      </c>
      <c r="C1201" s="168" t="s">
        <v>10</v>
      </c>
      <c r="D1201">
        <v>7098.7</v>
      </c>
      <c r="E1201">
        <v>2021</v>
      </c>
      <c r="F1201" s="168" t="s">
        <v>590</v>
      </c>
      <c r="G1201" s="168" t="s">
        <v>613</v>
      </c>
      <c r="H1201" s="168" t="s">
        <v>609</v>
      </c>
      <c r="I1201">
        <v>150726.75510166027</v>
      </c>
    </row>
    <row r="1202" spans="1:9" x14ac:dyDescent="0.3">
      <c r="A1202">
        <v>6</v>
      </c>
      <c r="B1202" s="168" t="s">
        <v>11</v>
      </c>
      <c r="C1202" s="168" t="s">
        <v>12</v>
      </c>
      <c r="D1202">
        <v>1070.3</v>
      </c>
      <c r="E1202">
        <v>2021</v>
      </c>
      <c r="F1202" s="168" t="s">
        <v>590</v>
      </c>
      <c r="G1202" s="168" t="s">
        <v>612</v>
      </c>
      <c r="H1202" s="168" t="s">
        <v>608</v>
      </c>
      <c r="I1202">
        <v>0</v>
      </c>
    </row>
    <row r="1203" spans="1:9" x14ac:dyDescent="0.3">
      <c r="A1203">
        <v>6</v>
      </c>
      <c r="B1203" s="168" t="s">
        <v>11</v>
      </c>
      <c r="C1203" s="168" t="s">
        <v>12</v>
      </c>
      <c r="D1203">
        <v>1070.3</v>
      </c>
      <c r="E1203">
        <v>2021</v>
      </c>
      <c r="F1203" s="168" t="s">
        <v>590</v>
      </c>
      <c r="G1203" s="168" t="s">
        <v>612</v>
      </c>
      <c r="H1203" s="168" t="s">
        <v>609</v>
      </c>
      <c r="I1203">
        <v>2049.7535973465597</v>
      </c>
    </row>
    <row r="1204" spans="1:9" x14ac:dyDescent="0.3">
      <c r="A1204">
        <v>6</v>
      </c>
      <c r="B1204" s="168" t="s">
        <v>11</v>
      </c>
      <c r="C1204" s="168" t="s">
        <v>12</v>
      </c>
      <c r="D1204">
        <v>1070.3</v>
      </c>
      <c r="E1204">
        <v>2021</v>
      </c>
      <c r="F1204" s="168" t="s">
        <v>590</v>
      </c>
      <c r="G1204" s="168" t="s">
        <v>611</v>
      </c>
      <c r="H1204" s="168" t="s">
        <v>608</v>
      </c>
      <c r="I1204">
        <v>0</v>
      </c>
    </row>
    <row r="1205" spans="1:9" x14ac:dyDescent="0.3">
      <c r="A1205">
        <v>6</v>
      </c>
      <c r="B1205" s="168" t="s">
        <v>11</v>
      </c>
      <c r="C1205" s="168" t="s">
        <v>12</v>
      </c>
      <c r="D1205">
        <v>1070.3</v>
      </c>
      <c r="E1205">
        <v>2021</v>
      </c>
      <c r="F1205" s="168" t="s">
        <v>590</v>
      </c>
      <c r="G1205" s="168" t="s">
        <v>611</v>
      </c>
      <c r="H1205" s="168" t="s">
        <v>609</v>
      </c>
      <c r="I1205">
        <v>447.66131157277471</v>
      </c>
    </row>
    <row r="1206" spans="1:9" x14ac:dyDescent="0.3">
      <c r="A1206">
        <v>6</v>
      </c>
      <c r="B1206" s="168" t="s">
        <v>11</v>
      </c>
      <c r="C1206" s="168" t="s">
        <v>12</v>
      </c>
      <c r="D1206">
        <v>1070.3</v>
      </c>
      <c r="E1206">
        <v>2021</v>
      </c>
      <c r="F1206" s="168" t="s">
        <v>590</v>
      </c>
      <c r="G1206" s="168" t="s">
        <v>613</v>
      </c>
      <c r="H1206" s="168" t="s">
        <v>608</v>
      </c>
      <c r="I1206">
        <v>35444.276513712313</v>
      </c>
    </row>
    <row r="1207" spans="1:9" x14ac:dyDescent="0.3">
      <c r="A1207">
        <v>6</v>
      </c>
      <c r="B1207" s="168" t="s">
        <v>11</v>
      </c>
      <c r="C1207" s="168" t="s">
        <v>12</v>
      </c>
      <c r="D1207">
        <v>1070.3</v>
      </c>
      <c r="E1207">
        <v>2021</v>
      </c>
      <c r="F1207" s="168" t="s">
        <v>590</v>
      </c>
      <c r="G1207" s="168" t="s">
        <v>613</v>
      </c>
      <c r="H1207" s="168" t="s">
        <v>609</v>
      </c>
      <c r="I1207">
        <v>22725.688645147278</v>
      </c>
    </row>
    <row r="1208" spans="1:9" x14ac:dyDescent="0.3">
      <c r="A1208">
        <v>7</v>
      </c>
      <c r="B1208" s="168" t="s">
        <v>13</v>
      </c>
      <c r="C1208" s="168" t="s">
        <v>12</v>
      </c>
      <c r="D1208">
        <v>1076.9000000000001</v>
      </c>
      <c r="E1208">
        <v>2021</v>
      </c>
      <c r="F1208" s="168" t="s">
        <v>590</v>
      </c>
      <c r="G1208" s="168" t="s">
        <v>612</v>
      </c>
      <c r="H1208" s="168" t="s">
        <v>608</v>
      </c>
      <c r="I1208">
        <v>0</v>
      </c>
    </row>
    <row r="1209" spans="1:9" x14ac:dyDescent="0.3">
      <c r="A1209">
        <v>7</v>
      </c>
      <c r="B1209" s="168" t="s">
        <v>13</v>
      </c>
      <c r="C1209" s="168" t="s">
        <v>12</v>
      </c>
      <c r="D1209">
        <v>1076.9000000000001</v>
      </c>
      <c r="E1209">
        <v>2021</v>
      </c>
      <c r="F1209" s="168" t="s">
        <v>590</v>
      </c>
      <c r="G1209" s="168" t="s">
        <v>612</v>
      </c>
      <c r="H1209" s="168" t="s">
        <v>609</v>
      </c>
      <c r="I1209">
        <v>2062.3933934247507</v>
      </c>
    </row>
    <row r="1210" spans="1:9" x14ac:dyDescent="0.3">
      <c r="A1210">
        <v>7</v>
      </c>
      <c r="B1210" s="168" t="s">
        <v>13</v>
      </c>
      <c r="C1210" s="168" t="s">
        <v>12</v>
      </c>
      <c r="D1210">
        <v>1076.9000000000001</v>
      </c>
      <c r="E1210">
        <v>2021</v>
      </c>
      <c r="F1210" s="168" t="s">
        <v>590</v>
      </c>
      <c r="G1210" s="168" t="s">
        <v>611</v>
      </c>
      <c r="H1210" s="168" t="s">
        <v>608</v>
      </c>
      <c r="I1210">
        <v>0</v>
      </c>
    </row>
    <row r="1211" spans="1:9" x14ac:dyDescent="0.3">
      <c r="A1211">
        <v>7</v>
      </c>
      <c r="B1211" s="168" t="s">
        <v>13</v>
      </c>
      <c r="C1211" s="168" t="s">
        <v>12</v>
      </c>
      <c r="D1211">
        <v>1076.9000000000001</v>
      </c>
      <c r="E1211">
        <v>2021</v>
      </c>
      <c r="F1211" s="168" t="s">
        <v>590</v>
      </c>
      <c r="G1211" s="168" t="s">
        <v>611</v>
      </c>
      <c r="H1211" s="168" t="s">
        <v>609</v>
      </c>
      <c r="I1211">
        <v>450.42181298021222</v>
      </c>
    </row>
    <row r="1212" spans="1:9" x14ac:dyDescent="0.3">
      <c r="A1212">
        <v>7</v>
      </c>
      <c r="B1212" s="168" t="s">
        <v>13</v>
      </c>
      <c r="C1212" s="168" t="s">
        <v>12</v>
      </c>
      <c r="D1212">
        <v>1076.9000000000001</v>
      </c>
      <c r="E1212">
        <v>2021</v>
      </c>
      <c r="F1212" s="168" t="s">
        <v>590</v>
      </c>
      <c r="G1212" s="168" t="s">
        <v>613</v>
      </c>
      <c r="H1212" s="168" t="s">
        <v>608</v>
      </c>
      <c r="I1212">
        <v>35662.843480908901</v>
      </c>
    </row>
    <row r="1213" spans="1:9" x14ac:dyDescent="0.3">
      <c r="A1213">
        <v>7</v>
      </c>
      <c r="B1213" s="168" t="s">
        <v>13</v>
      </c>
      <c r="C1213" s="168" t="s">
        <v>12</v>
      </c>
      <c r="D1213">
        <v>1076.9000000000001</v>
      </c>
      <c r="E1213">
        <v>2021</v>
      </c>
      <c r="F1213" s="168" t="s">
        <v>590</v>
      </c>
      <c r="G1213" s="168" t="s">
        <v>613</v>
      </c>
      <c r="H1213" s="168" t="s">
        <v>609</v>
      </c>
      <c r="I1213">
        <v>22865.826499074192</v>
      </c>
    </row>
    <row r="1214" spans="1:9" x14ac:dyDescent="0.3">
      <c r="A1214">
        <v>8</v>
      </c>
      <c r="B1214" s="168" t="s">
        <v>14</v>
      </c>
      <c r="C1214" s="168" t="s">
        <v>12</v>
      </c>
      <c r="D1214">
        <v>1909.4</v>
      </c>
      <c r="E1214">
        <v>2021</v>
      </c>
      <c r="F1214" s="168" t="s">
        <v>590</v>
      </c>
      <c r="G1214" s="168" t="s">
        <v>612</v>
      </c>
      <c r="H1214" s="168" t="s">
        <v>608</v>
      </c>
      <c r="I1214">
        <v>0</v>
      </c>
    </row>
    <row r="1215" spans="1:9" x14ac:dyDescent="0.3">
      <c r="A1215">
        <v>8</v>
      </c>
      <c r="B1215" s="168" t="s">
        <v>14</v>
      </c>
      <c r="C1215" s="168" t="s">
        <v>12</v>
      </c>
      <c r="D1215">
        <v>1909.4</v>
      </c>
      <c r="E1215">
        <v>2021</v>
      </c>
      <c r="F1215" s="168" t="s">
        <v>590</v>
      </c>
      <c r="G1215" s="168" t="s">
        <v>612</v>
      </c>
      <c r="H1215" s="168" t="s">
        <v>609</v>
      </c>
      <c r="I1215">
        <v>3656.7313078328712</v>
      </c>
    </row>
    <row r="1216" spans="1:9" x14ac:dyDescent="0.3">
      <c r="A1216">
        <v>8</v>
      </c>
      <c r="B1216" s="168" t="s">
        <v>14</v>
      </c>
      <c r="C1216" s="168" t="s">
        <v>12</v>
      </c>
      <c r="D1216">
        <v>1909.4</v>
      </c>
      <c r="E1216">
        <v>2021</v>
      </c>
      <c r="F1216" s="168" t="s">
        <v>590</v>
      </c>
      <c r="G1216" s="168" t="s">
        <v>629</v>
      </c>
      <c r="H1216" s="168" t="s">
        <v>608</v>
      </c>
      <c r="I1216">
        <v>173755.4</v>
      </c>
    </row>
    <row r="1217" spans="1:9" x14ac:dyDescent="0.3">
      <c r="A1217">
        <v>8</v>
      </c>
      <c r="B1217" s="168" t="s">
        <v>14</v>
      </c>
      <c r="C1217" s="168" t="s">
        <v>12</v>
      </c>
      <c r="D1217">
        <v>1909.4</v>
      </c>
      <c r="E1217">
        <v>2021</v>
      </c>
      <c r="F1217" s="168" t="s">
        <v>590</v>
      </c>
      <c r="G1217" s="168" t="s">
        <v>629</v>
      </c>
      <c r="H1217" s="168" t="s">
        <v>609</v>
      </c>
      <c r="I1217">
        <v>74466.599999999991</v>
      </c>
    </row>
    <row r="1218" spans="1:9" x14ac:dyDescent="0.3">
      <c r="A1218">
        <v>8</v>
      </c>
      <c r="B1218" s="168" t="s">
        <v>14</v>
      </c>
      <c r="C1218" s="168" t="s">
        <v>12</v>
      </c>
      <c r="D1218">
        <v>1909.4</v>
      </c>
      <c r="E1218">
        <v>2021</v>
      </c>
      <c r="F1218" s="168" t="s">
        <v>590</v>
      </c>
      <c r="G1218" s="168" t="s">
        <v>611</v>
      </c>
      <c r="H1218" s="168" t="s">
        <v>608</v>
      </c>
      <c r="I1218">
        <v>0</v>
      </c>
    </row>
    <row r="1219" spans="1:9" x14ac:dyDescent="0.3">
      <c r="A1219">
        <v>8</v>
      </c>
      <c r="B1219" s="168" t="s">
        <v>14</v>
      </c>
      <c r="C1219" s="168" t="s">
        <v>12</v>
      </c>
      <c r="D1219">
        <v>1909.4</v>
      </c>
      <c r="E1219">
        <v>2021</v>
      </c>
      <c r="F1219" s="168" t="s">
        <v>590</v>
      </c>
      <c r="G1219" s="168" t="s">
        <v>611</v>
      </c>
      <c r="H1219" s="168" t="s">
        <v>609</v>
      </c>
      <c r="I1219">
        <v>798.62142232743736</v>
      </c>
    </row>
    <row r="1220" spans="1:9" x14ac:dyDescent="0.3">
      <c r="A1220">
        <v>8</v>
      </c>
      <c r="B1220" s="168" t="s">
        <v>14</v>
      </c>
      <c r="C1220" s="168" t="s">
        <v>12</v>
      </c>
      <c r="D1220">
        <v>1909.4</v>
      </c>
      <c r="E1220">
        <v>2021</v>
      </c>
      <c r="F1220" s="168" t="s">
        <v>590</v>
      </c>
      <c r="G1220" s="168" t="s">
        <v>613</v>
      </c>
      <c r="H1220" s="168" t="s">
        <v>608</v>
      </c>
      <c r="I1220">
        <v>63232.085934114075</v>
      </c>
    </row>
    <row r="1221" spans="1:9" x14ac:dyDescent="0.3">
      <c r="A1221">
        <v>8</v>
      </c>
      <c r="B1221" s="168" t="s">
        <v>14</v>
      </c>
      <c r="C1221" s="168" t="s">
        <v>12</v>
      </c>
      <c r="D1221">
        <v>1909.4</v>
      </c>
      <c r="E1221">
        <v>2021</v>
      </c>
      <c r="F1221" s="168" t="s">
        <v>590</v>
      </c>
      <c r="G1221" s="168" t="s">
        <v>613</v>
      </c>
      <c r="H1221" s="168" t="s">
        <v>609</v>
      </c>
      <c r="I1221">
        <v>40542.30580121855</v>
      </c>
    </row>
    <row r="1222" spans="1:9" x14ac:dyDescent="0.3">
      <c r="A1222">
        <v>9</v>
      </c>
      <c r="B1222" s="168" t="s">
        <v>15</v>
      </c>
      <c r="C1222" s="168" t="s">
        <v>10</v>
      </c>
      <c r="D1222">
        <v>161.19999999999999</v>
      </c>
      <c r="E1222">
        <v>2021</v>
      </c>
      <c r="F1222" s="168" t="s">
        <v>590</v>
      </c>
      <c r="G1222" s="168" t="s">
        <v>612</v>
      </c>
      <c r="H1222" s="168" t="s">
        <v>608</v>
      </c>
      <c r="I1222">
        <v>0</v>
      </c>
    </row>
    <row r="1223" spans="1:9" x14ac:dyDescent="0.3">
      <c r="A1223">
        <v>9</v>
      </c>
      <c r="B1223" s="168" t="s">
        <v>15</v>
      </c>
      <c r="C1223" s="168" t="s">
        <v>10</v>
      </c>
      <c r="D1223">
        <v>161.19999999999999</v>
      </c>
      <c r="E1223">
        <v>2021</v>
      </c>
      <c r="F1223" s="168" t="s">
        <v>590</v>
      </c>
      <c r="G1223" s="168" t="s">
        <v>612</v>
      </c>
      <c r="H1223" s="168" t="s">
        <v>609</v>
      </c>
      <c r="I1223">
        <v>308.71744360671346</v>
      </c>
    </row>
    <row r="1224" spans="1:9" x14ac:dyDescent="0.3">
      <c r="A1224">
        <v>9</v>
      </c>
      <c r="B1224" s="168" t="s">
        <v>15</v>
      </c>
      <c r="C1224" s="168" t="s">
        <v>10</v>
      </c>
      <c r="D1224">
        <v>161.19999999999999</v>
      </c>
      <c r="E1224">
        <v>2021</v>
      </c>
      <c r="F1224" s="168" t="s">
        <v>590</v>
      </c>
      <c r="G1224" s="168" t="s">
        <v>611</v>
      </c>
      <c r="H1224" s="168" t="s">
        <v>608</v>
      </c>
      <c r="I1224">
        <v>0</v>
      </c>
    </row>
    <row r="1225" spans="1:9" x14ac:dyDescent="0.3">
      <c r="A1225">
        <v>9</v>
      </c>
      <c r="B1225" s="168" t="s">
        <v>15</v>
      </c>
      <c r="C1225" s="168" t="s">
        <v>10</v>
      </c>
      <c r="D1225">
        <v>161.19999999999999</v>
      </c>
      <c r="E1225">
        <v>2021</v>
      </c>
      <c r="F1225" s="168" t="s">
        <v>590</v>
      </c>
      <c r="G1225" s="168" t="s">
        <v>611</v>
      </c>
      <c r="H1225" s="168" t="s">
        <v>609</v>
      </c>
      <c r="I1225">
        <v>67.423155587714916</v>
      </c>
    </row>
    <row r="1226" spans="1:9" x14ac:dyDescent="0.3">
      <c r="A1226">
        <v>9</v>
      </c>
      <c r="B1226" s="168" t="s">
        <v>15</v>
      </c>
      <c r="C1226" s="168" t="s">
        <v>10</v>
      </c>
      <c r="D1226">
        <v>161.19999999999999</v>
      </c>
      <c r="E1226">
        <v>2021</v>
      </c>
      <c r="F1226" s="168" t="s">
        <v>590</v>
      </c>
      <c r="G1226" s="168" t="s">
        <v>613</v>
      </c>
      <c r="H1226" s="168" t="s">
        <v>608</v>
      </c>
      <c r="I1226">
        <v>5338.3325927407495</v>
      </c>
    </row>
    <row r="1227" spans="1:9" x14ac:dyDescent="0.3">
      <c r="A1227">
        <v>9</v>
      </c>
      <c r="B1227" s="168" t="s">
        <v>15</v>
      </c>
      <c r="C1227" s="168" t="s">
        <v>10</v>
      </c>
      <c r="D1227">
        <v>161.19999999999999</v>
      </c>
      <c r="E1227">
        <v>2021</v>
      </c>
      <c r="F1227" s="168" t="s">
        <v>590</v>
      </c>
      <c r="G1227" s="168" t="s">
        <v>613</v>
      </c>
      <c r="H1227" s="168" t="s">
        <v>609</v>
      </c>
      <c r="I1227">
        <v>3422.7609171239287</v>
      </c>
    </row>
    <row r="1228" spans="1:9" x14ac:dyDescent="0.3">
      <c r="A1228">
        <v>10</v>
      </c>
      <c r="B1228" s="168" t="s">
        <v>16</v>
      </c>
      <c r="C1228" s="168" t="s">
        <v>10</v>
      </c>
      <c r="D1228">
        <v>32.200000000000003</v>
      </c>
      <c r="E1228">
        <v>2021</v>
      </c>
      <c r="F1228" s="168" t="s">
        <v>590</v>
      </c>
      <c r="G1228" s="168" t="s">
        <v>612</v>
      </c>
      <c r="H1228" s="168" t="s">
        <v>608</v>
      </c>
      <c r="I1228">
        <v>0</v>
      </c>
    </row>
    <row r="1229" spans="1:9" x14ac:dyDescent="0.3">
      <c r="A1229">
        <v>10</v>
      </c>
      <c r="B1229" s="168" t="s">
        <v>16</v>
      </c>
      <c r="C1229" s="168" t="s">
        <v>10</v>
      </c>
      <c r="D1229">
        <v>32.200000000000003</v>
      </c>
      <c r="E1229">
        <v>2021</v>
      </c>
      <c r="F1229" s="168" t="s">
        <v>590</v>
      </c>
      <c r="G1229" s="168" t="s">
        <v>612</v>
      </c>
      <c r="H1229" s="168" t="s">
        <v>609</v>
      </c>
      <c r="I1229">
        <v>61.666883896626395</v>
      </c>
    </row>
    <row r="1230" spans="1:9" x14ac:dyDescent="0.3">
      <c r="A1230">
        <v>10</v>
      </c>
      <c r="B1230" s="168" t="s">
        <v>16</v>
      </c>
      <c r="C1230" s="168" t="s">
        <v>10</v>
      </c>
      <c r="D1230">
        <v>32.200000000000003</v>
      </c>
      <c r="E1230">
        <v>2021</v>
      </c>
      <c r="F1230" s="168" t="s">
        <v>590</v>
      </c>
      <c r="G1230" s="168" t="s">
        <v>611</v>
      </c>
      <c r="H1230" s="168" t="s">
        <v>608</v>
      </c>
      <c r="I1230">
        <v>0</v>
      </c>
    </row>
    <row r="1231" spans="1:9" x14ac:dyDescent="0.3">
      <c r="A1231">
        <v>10</v>
      </c>
      <c r="B1231" s="168" t="s">
        <v>16</v>
      </c>
      <c r="C1231" s="168" t="s">
        <v>10</v>
      </c>
      <c r="D1231">
        <v>32.200000000000003</v>
      </c>
      <c r="E1231">
        <v>2021</v>
      </c>
      <c r="F1231" s="168" t="s">
        <v>590</v>
      </c>
      <c r="G1231" s="168" t="s">
        <v>611</v>
      </c>
      <c r="H1231" s="168" t="s">
        <v>609</v>
      </c>
      <c r="I1231">
        <v>13.46790080598276</v>
      </c>
    </row>
    <row r="1232" spans="1:9" x14ac:dyDescent="0.3">
      <c r="A1232">
        <v>10</v>
      </c>
      <c r="B1232" s="168" t="s">
        <v>16</v>
      </c>
      <c r="C1232" s="168" t="s">
        <v>10</v>
      </c>
      <c r="D1232">
        <v>32.200000000000003</v>
      </c>
      <c r="E1232">
        <v>2021</v>
      </c>
      <c r="F1232" s="168" t="s">
        <v>590</v>
      </c>
      <c r="G1232" s="168" t="s">
        <v>613</v>
      </c>
      <c r="H1232" s="168" t="s">
        <v>608</v>
      </c>
      <c r="I1232">
        <v>1066.3418702621102</v>
      </c>
    </row>
    <row r="1233" spans="1:9" x14ac:dyDescent="0.3">
      <c r="A1233">
        <v>10</v>
      </c>
      <c r="B1233" s="168" t="s">
        <v>16</v>
      </c>
      <c r="C1233" s="168" t="s">
        <v>10</v>
      </c>
      <c r="D1233">
        <v>32.200000000000003</v>
      </c>
      <c r="E1233">
        <v>2021</v>
      </c>
      <c r="F1233" s="168" t="s">
        <v>590</v>
      </c>
      <c r="G1233" s="168" t="s">
        <v>613</v>
      </c>
      <c r="H1233" s="168" t="s">
        <v>609</v>
      </c>
      <c r="I1233">
        <v>683.70286309795608</v>
      </c>
    </row>
    <row r="1234" spans="1:9" x14ac:dyDescent="0.3">
      <c r="A1234">
        <v>11</v>
      </c>
      <c r="B1234" s="168" t="s">
        <v>17</v>
      </c>
      <c r="C1234" s="168" t="s">
        <v>12</v>
      </c>
      <c r="D1234">
        <v>67.099999999999994</v>
      </c>
      <c r="E1234">
        <v>2021</v>
      </c>
      <c r="F1234" s="168" t="s">
        <v>590</v>
      </c>
      <c r="G1234" s="168" t="s">
        <v>612</v>
      </c>
      <c r="H1234" s="168" t="s">
        <v>608</v>
      </c>
      <c r="I1234">
        <v>0</v>
      </c>
    </row>
    <row r="1235" spans="1:9" x14ac:dyDescent="0.3">
      <c r="A1235">
        <v>11</v>
      </c>
      <c r="B1235" s="168" t="s">
        <v>17</v>
      </c>
      <c r="C1235" s="168" t="s">
        <v>12</v>
      </c>
      <c r="D1235">
        <v>67.099999999999994</v>
      </c>
      <c r="E1235">
        <v>2021</v>
      </c>
      <c r="F1235" s="168" t="s">
        <v>590</v>
      </c>
      <c r="G1235" s="168" t="s">
        <v>612</v>
      </c>
      <c r="H1235" s="168" t="s">
        <v>609</v>
      </c>
      <c r="I1235">
        <v>128.50459346160343</v>
      </c>
    </row>
    <row r="1236" spans="1:9" x14ac:dyDescent="0.3">
      <c r="A1236">
        <v>11</v>
      </c>
      <c r="B1236" s="168" t="s">
        <v>17</v>
      </c>
      <c r="C1236" s="168" t="s">
        <v>12</v>
      </c>
      <c r="D1236">
        <v>67.099999999999994</v>
      </c>
      <c r="E1236">
        <v>2021</v>
      </c>
      <c r="F1236" s="168" t="s">
        <v>590</v>
      </c>
      <c r="G1236" s="168" t="s">
        <v>611</v>
      </c>
      <c r="H1236" s="168" t="s">
        <v>608</v>
      </c>
      <c r="I1236">
        <v>0</v>
      </c>
    </row>
    <row r="1237" spans="1:9" x14ac:dyDescent="0.3">
      <c r="A1237">
        <v>11</v>
      </c>
      <c r="B1237" s="168" t="s">
        <v>17</v>
      </c>
      <c r="C1237" s="168" t="s">
        <v>12</v>
      </c>
      <c r="D1237">
        <v>67.099999999999994</v>
      </c>
      <c r="E1237">
        <v>2021</v>
      </c>
      <c r="F1237" s="168" t="s">
        <v>590</v>
      </c>
      <c r="G1237" s="168" t="s">
        <v>611</v>
      </c>
      <c r="H1237" s="168" t="s">
        <v>609</v>
      </c>
      <c r="I1237">
        <v>28.06509764228084</v>
      </c>
    </row>
    <row r="1238" spans="1:9" x14ac:dyDescent="0.3">
      <c r="A1238">
        <v>11</v>
      </c>
      <c r="B1238" s="168" t="s">
        <v>17</v>
      </c>
      <c r="C1238" s="168" t="s">
        <v>12</v>
      </c>
      <c r="D1238">
        <v>67.099999999999994</v>
      </c>
      <c r="E1238">
        <v>2021</v>
      </c>
      <c r="F1238" s="168" t="s">
        <v>590</v>
      </c>
      <c r="G1238" s="168" t="s">
        <v>613</v>
      </c>
      <c r="H1238" s="168" t="s">
        <v>608</v>
      </c>
      <c r="I1238">
        <v>2222.0974998319125</v>
      </c>
    </row>
    <row r="1239" spans="1:9" x14ac:dyDescent="0.3">
      <c r="A1239">
        <v>11</v>
      </c>
      <c r="B1239" s="168" t="s">
        <v>17</v>
      </c>
      <c r="C1239" s="168" t="s">
        <v>12</v>
      </c>
      <c r="D1239">
        <v>67.099999999999994</v>
      </c>
      <c r="E1239">
        <v>2021</v>
      </c>
      <c r="F1239" s="168" t="s">
        <v>590</v>
      </c>
      <c r="G1239" s="168" t="s">
        <v>613</v>
      </c>
      <c r="H1239" s="168" t="s">
        <v>609</v>
      </c>
      <c r="I1239">
        <v>1424.7348482569207</v>
      </c>
    </row>
    <row r="1240" spans="1:9" x14ac:dyDescent="0.3">
      <c r="A1240">
        <v>12</v>
      </c>
      <c r="B1240" s="168" t="s">
        <v>18</v>
      </c>
      <c r="C1240" s="168" t="s">
        <v>12</v>
      </c>
      <c r="D1240">
        <v>43.9</v>
      </c>
      <c r="E1240">
        <v>2021</v>
      </c>
      <c r="F1240" s="168" t="s">
        <v>590</v>
      </c>
      <c r="G1240" s="168" t="s">
        <v>612</v>
      </c>
      <c r="H1240" s="168" t="s">
        <v>608</v>
      </c>
      <c r="I1240">
        <v>0</v>
      </c>
    </row>
    <row r="1241" spans="1:9" x14ac:dyDescent="0.3">
      <c r="A1241">
        <v>12</v>
      </c>
      <c r="B1241" s="168" t="s">
        <v>18</v>
      </c>
      <c r="C1241" s="168" t="s">
        <v>12</v>
      </c>
      <c r="D1241">
        <v>43.9</v>
      </c>
      <c r="E1241">
        <v>2021</v>
      </c>
      <c r="F1241" s="168" t="s">
        <v>590</v>
      </c>
      <c r="G1241" s="168" t="s">
        <v>612</v>
      </c>
      <c r="H1241" s="168" t="s">
        <v>609</v>
      </c>
      <c r="I1241">
        <v>84.07379512614591</v>
      </c>
    </row>
    <row r="1242" spans="1:9" x14ac:dyDescent="0.3">
      <c r="A1242">
        <v>12</v>
      </c>
      <c r="B1242" s="168" t="s">
        <v>18</v>
      </c>
      <c r="C1242" s="168" t="s">
        <v>12</v>
      </c>
      <c r="D1242">
        <v>43.9</v>
      </c>
      <c r="E1242">
        <v>2021</v>
      </c>
      <c r="F1242" s="168" t="s">
        <v>590</v>
      </c>
      <c r="G1242" s="168" t="s">
        <v>611</v>
      </c>
      <c r="H1242" s="168" t="s">
        <v>608</v>
      </c>
      <c r="I1242">
        <v>0</v>
      </c>
    </row>
    <row r="1243" spans="1:9" x14ac:dyDescent="0.3">
      <c r="A1243">
        <v>12</v>
      </c>
      <c r="B1243" s="168" t="s">
        <v>18</v>
      </c>
      <c r="C1243" s="168" t="s">
        <v>12</v>
      </c>
      <c r="D1243">
        <v>43.9</v>
      </c>
      <c r="E1243">
        <v>2021</v>
      </c>
      <c r="F1243" s="168" t="s">
        <v>590</v>
      </c>
      <c r="G1243" s="168" t="s">
        <v>611</v>
      </c>
      <c r="H1243" s="168" t="s">
        <v>609</v>
      </c>
      <c r="I1243">
        <v>18.361516937349165</v>
      </c>
    </row>
    <row r="1244" spans="1:9" x14ac:dyDescent="0.3">
      <c r="A1244">
        <v>12</v>
      </c>
      <c r="B1244" s="168" t="s">
        <v>18</v>
      </c>
      <c r="C1244" s="168" t="s">
        <v>12</v>
      </c>
      <c r="D1244">
        <v>43.9</v>
      </c>
      <c r="E1244">
        <v>2021</v>
      </c>
      <c r="F1244" s="168" t="s">
        <v>590</v>
      </c>
      <c r="G1244" s="168" t="s">
        <v>613</v>
      </c>
      <c r="H1244" s="168" t="s">
        <v>608</v>
      </c>
      <c r="I1244">
        <v>1453.8014939287775</v>
      </c>
    </row>
    <row r="1245" spans="1:9" x14ac:dyDescent="0.3">
      <c r="A1245">
        <v>12</v>
      </c>
      <c r="B1245" s="168" t="s">
        <v>18</v>
      </c>
      <c r="C1245" s="168" t="s">
        <v>12</v>
      </c>
      <c r="D1245">
        <v>43.9</v>
      </c>
      <c r="E1245">
        <v>2021</v>
      </c>
      <c r="F1245" s="168" t="s">
        <v>590</v>
      </c>
      <c r="G1245" s="168" t="s">
        <v>613</v>
      </c>
      <c r="H1245" s="168" t="s">
        <v>609</v>
      </c>
      <c r="I1245">
        <v>932.12905869566066</v>
      </c>
    </row>
    <row r="1246" spans="1:9" x14ac:dyDescent="0.3">
      <c r="A1246">
        <v>13</v>
      </c>
      <c r="B1246" s="168" t="s">
        <v>19</v>
      </c>
      <c r="C1246" s="168" t="s">
        <v>10</v>
      </c>
      <c r="D1246">
        <v>93.8</v>
      </c>
      <c r="E1246">
        <v>2021</v>
      </c>
      <c r="F1246" s="168" t="s">
        <v>590</v>
      </c>
      <c r="G1246" s="168" t="s">
        <v>612</v>
      </c>
      <c r="H1246" s="168" t="s">
        <v>608</v>
      </c>
      <c r="I1246">
        <v>0</v>
      </c>
    </row>
    <row r="1247" spans="1:9" x14ac:dyDescent="0.3">
      <c r="A1247">
        <v>13</v>
      </c>
      <c r="B1247" s="168" t="s">
        <v>19</v>
      </c>
      <c r="C1247" s="168" t="s">
        <v>10</v>
      </c>
      <c r="D1247">
        <v>93.8</v>
      </c>
      <c r="E1247">
        <v>2021</v>
      </c>
      <c r="F1247" s="168" t="s">
        <v>590</v>
      </c>
      <c r="G1247" s="168" t="s">
        <v>612</v>
      </c>
      <c r="H1247" s="168" t="s">
        <v>609</v>
      </c>
      <c r="I1247">
        <v>179.63831395973773</v>
      </c>
    </row>
    <row r="1248" spans="1:9" x14ac:dyDescent="0.3">
      <c r="A1248">
        <v>13</v>
      </c>
      <c r="B1248" s="168" t="s">
        <v>19</v>
      </c>
      <c r="C1248" s="168" t="s">
        <v>10</v>
      </c>
      <c r="D1248">
        <v>93.8</v>
      </c>
      <c r="E1248">
        <v>2021</v>
      </c>
      <c r="F1248" s="168" t="s">
        <v>590</v>
      </c>
      <c r="G1248" s="168" t="s">
        <v>614</v>
      </c>
      <c r="H1248" s="168" t="s">
        <v>608</v>
      </c>
      <c r="I1248">
        <v>0</v>
      </c>
    </row>
    <row r="1249" spans="1:9" x14ac:dyDescent="0.3">
      <c r="A1249">
        <v>13</v>
      </c>
      <c r="B1249" s="168" t="s">
        <v>19</v>
      </c>
      <c r="C1249" s="168" t="s">
        <v>10</v>
      </c>
      <c r="D1249">
        <v>93.8</v>
      </c>
      <c r="E1249">
        <v>2021</v>
      </c>
      <c r="F1249" s="168" t="s">
        <v>590</v>
      </c>
      <c r="G1249" s="168" t="s">
        <v>614</v>
      </c>
      <c r="H1249" s="168" t="s">
        <v>609</v>
      </c>
      <c r="I1249">
        <v>277200</v>
      </c>
    </row>
    <row r="1250" spans="1:9" x14ac:dyDescent="0.3">
      <c r="A1250">
        <v>13</v>
      </c>
      <c r="B1250" s="168" t="s">
        <v>19</v>
      </c>
      <c r="C1250" s="168" t="s">
        <v>10</v>
      </c>
      <c r="D1250">
        <v>93.8</v>
      </c>
      <c r="E1250">
        <v>2021</v>
      </c>
      <c r="F1250" s="168" t="s">
        <v>590</v>
      </c>
      <c r="G1250" s="168" t="s">
        <v>611</v>
      </c>
      <c r="H1250" s="168" t="s">
        <v>608</v>
      </c>
      <c r="I1250">
        <v>0</v>
      </c>
    </row>
    <row r="1251" spans="1:9" x14ac:dyDescent="0.3">
      <c r="A1251">
        <v>13</v>
      </c>
      <c r="B1251" s="168" t="s">
        <v>19</v>
      </c>
      <c r="C1251" s="168" t="s">
        <v>10</v>
      </c>
      <c r="D1251">
        <v>93.8</v>
      </c>
      <c r="E1251">
        <v>2021</v>
      </c>
      <c r="F1251" s="168" t="s">
        <v>590</v>
      </c>
      <c r="G1251" s="168" t="s">
        <v>611</v>
      </c>
      <c r="H1251" s="168" t="s">
        <v>609</v>
      </c>
      <c r="I1251">
        <v>39.232580608732384</v>
      </c>
    </row>
    <row r="1252" spans="1:9" x14ac:dyDescent="0.3">
      <c r="A1252">
        <v>13</v>
      </c>
      <c r="B1252" s="168" t="s">
        <v>19</v>
      </c>
      <c r="C1252" s="168" t="s">
        <v>10</v>
      </c>
      <c r="D1252">
        <v>93.8</v>
      </c>
      <c r="E1252">
        <v>2021</v>
      </c>
      <c r="F1252" s="168" t="s">
        <v>590</v>
      </c>
      <c r="G1252" s="168" t="s">
        <v>613</v>
      </c>
      <c r="H1252" s="168" t="s">
        <v>608</v>
      </c>
      <c r="I1252">
        <v>3106.3002307635384</v>
      </c>
    </row>
    <row r="1253" spans="1:9" x14ac:dyDescent="0.3">
      <c r="A1253">
        <v>13</v>
      </c>
      <c r="B1253" s="168" t="s">
        <v>19</v>
      </c>
      <c r="C1253" s="168" t="s">
        <v>10</v>
      </c>
      <c r="D1253">
        <v>93.8</v>
      </c>
      <c r="E1253">
        <v>2021</v>
      </c>
      <c r="F1253" s="168" t="s">
        <v>590</v>
      </c>
      <c r="G1253" s="168" t="s">
        <v>613</v>
      </c>
      <c r="H1253" s="168" t="s">
        <v>609</v>
      </c>
      <c r="I1253">
        <v>1991.656166415785</v>
      </c>
    </row>
    <row r="1254" spans="1:9" x14ac:dyDescent="0.3">
      <c r="A1254">
        <v>14</v>
      </c>
      <c r="B1254" s="168" t="s">
        <v>20</v>
      </c>
      <c r="C1254" s="168" t="s">
        <v>10</v>
      </c>
      <c r="D1254">
        <v>53.7</v>
      </c>
      <c r="E1254">
        <v>2021</v>
      </c>
      <c r="F1254" s="168" t="s">
        <v>590</v>
      </c>
      <c r="G1254" s="168" t="s">
        <v>612</v>
      </c>
      <c r="H1254" s="168" t="s">
        <v>608</v>
      </c>
      <c r="I1254">
        <v>0</v>
      </c>
    </row>
    <row r="1255" spans="1:9" x14ac:dyDescent="0.3">
      <c r="A1255">
        <v>14</v>
      </c>
      <c r="B1255" s="168" t="s">
        <v>20</v>
      </c>
      <c r="C1255" s="168" t="s">
        <v>10</v>
      </c>
      <c r="D1255">
        <v>53.7</v>
      </c>
      <c r="E1255">
        <v>2021</v>
      </c>
      <c r="F1255" s="168" t="s">
        <v>590</v>
      </c>
      <c r="G1255" s="168" t="s">
        <v>612</v>
      </c>
      <c r="H1255" s="168" t="s">
        <v>609</v>
      </c>
      <c r="I1255">
        <v>102.84197718164091</v>
      </c>
    </row>
    <row r="1256" spans="1:9" x14ac:dyDescent="0.3">
      <c r="A1256">
        <v>14</v>
      </c>
      <c r="B1256" s="168" t="s">
        <v>20</v>
      </c>
      <c r="C1256" s="168" t="s">
        <v>10</v>
      </c>
      <c r="D1256">
        <v>53.7</v>
      </c>
      <c r="E1256">
        <v>2021</v>
      </c>
      <c r="F1256" s="168" t="s">
        <v>590</v>
      </c>
      <c r="G1256" s="168" t="s">
        <v>611</v>
      </c>
      <c r="H1256" s="168" t="s">
        <v>608</v>
      </c>
      <c r="I1256">
        <v>0</v>
      </c>
    </row>
    <row r="1257" spans="1:9" x14ac:dyDescent="0.3">
      <c r="A1257">
        <v>14</v>
      </c>
      <c r="B1257" s="168" t="s">
        <v>20</v>
      </c>
      <c r="C1257" s="168" t="s">
        <v>10</v>
      </c>
      <c r="D1257">
        <v>53.7</v>
      </c>
      <c r="E1257">
        <v>2021</v>
      </c>
      <c r="F1257" s="168" t="s">
        <v>590</v>
      </c>
      <c r="G1257" s="168" t="s">
        <v>611</v>
      </c>
      <c r="H1257" s="168" t="s">
        <v>609</v>
      </c>
      <c r="I1257">
        <v>22.460443269604788</v>
      </c>
    </row>
    <row r="1258" spans="1:9" x14ac:dyDescent="0.3">
      <c r="A1258">
        <v>14</v>
      </c>
      <c r="B1258" s="168" t="s">
        <v>20</v>
      </c>
      <c r="C1258" s="168" t="s">
        <v>10</v>
      </c>
      <c r="D1258">
        <v>53.7</v>
      </c>
      <c r="E1258">
        <v>2021</v>
      </c>
      <c r="F1258" s="168" t="s">
        <v>590</v>
      </c>
      <c r="G1258" s="168" t="s">
        <v>613</v>
      </c>
      <c r="H1258" s="168" t="s">
        <v>608</v>
      </c>
      <c r="I1258">
        <v>1778.3403240085502</v>
      </c>
    </row>
    <row r="1259" spans="1:9" x14ac:dyDescent="0.3">
      <c r="A1259">
        <v>14</v>
      </c>
      <c r="B1259" s="168" t="s">
        <v>20</v>
      </c>
      <c r="C1259" s="168" t="s">
        <v>10</v>
      </c>
      <c r="D1259">
        <v>53.7</v>
      </c>
      <c r="E1259">
        <v>2021</v>
      </c>
      <c r="F1259" s="168" t="s">
        <v>590</v>
      </c>
      <c r="G1259" s="168" t="s">
        <v>613</v>
      </c>
      <c r="H1259" s="168" t="s">
        <v>609</v>
      </c>
      <c r="I1259">
        <v>1140.2125387689516</v>
      </c>
    </row>
    <row r="1260" spans="1:9" x14ac:dyDescent="0.3">
      <c r="A1260">
        <v>15</v>
      </c>
      <c r="B1260" s="168" t="s">
        <v>21</v>
      </c>
      <c r="C1260" s="168" t="s">
        <v>12</v>
      </c>
      <c r="D1260">
        <v>454.3</v>
      </c>
      <c r="E1260">
        <v>2021</v>
      </c>
      <c r="F1260" s="168" t="s">
        <v>590</v>
      </c>
      <c r="G1260" s="168" t="s">
        <v>612</v>
      </c>
      <c r="H1260" s="168" t="s">
        <v>608</v>
      </c>
      <c r="I1260">
        <v>0</v>
      </c>
    </row>
    <row r="1261" spans="1:9" x14ac:dyDescent="0.3">
      <c r="A1261">
        <v>15</v>
      </c>
      <c r="B1261" s="168" t="s">
        <v>21</v>
      </c>
      <c r="C1261" s="168" t="s">
        <v>12</v>
      </c>
      <c r="D1261">
        <v>454.3</v>
      </c>
      <c r="E1261">
        <v>2021</v>
      </c>
      <c r="F1261" s="168" t="s">
        <v>590</v>
      </c>
      <c r="G1261" s="168" t="s">
        <v>612</v>
      </c>
      <c r="H1261" s="168" t="s">
        <v>609</v>
      </c>
      <c r="I1261">
        <v>870.03929671544631</v>
      </c>
    </row>
    <row r="1262" spans="1:9" x14ac:dyDescent="0.3">
      <c r="A1262">
        <v>15</v>
      </c>
      <c r="B1262" s="168" t="s">
        <v>21</v>
      </c>
      <c r="C1262" s="168" t="s">
        <v>12</v>
      </c>
      <c r="D1262">
        <v>454.3</v>
      </c>
      <c r="E1262">
        <v>2021</v>
      </c>
      <c r="F1262" s="168" t="s">
        <v>590</v>
      </c>
      <c r="G1262" s="168" t="s">
        <v>611</v>
      </c>
      <c r="H1262" s="168" t="s">
        <v>608</v>
      </c>
      <c r="I1262">
        <v>0</v>
      </c>
    </row>
    <row r="1263" spans="1:9" x14ac:dyDescent="0.3">
      <c r="A1263">
        <v>15</v>
      </c>
      <c r="B1263" s="168" t="s">
        <v>21</v>
      </c>
      <c r="C1263" s="168" t="s">
        <v>12</v>
      </c>
      <c r="D1263">
        <v>454.3</v>
      </c>
      <c r="E1263">
        <v>2021</v>
      </c>
      <c r="F1263" s="168" t="s">
        <v>590</v>
      </c>
      <c r="G1263" s="168" t="s">
        <v>611</v>
      </c>
      <c r="H1263" s="168" t="s">
        <v>609</v>
      </c>
      <c r="I1263">
        <v>190.01451354527848</v>
      </c>
    </row>
    <row r="1264" spans="1:9" x14ac:dyDescent="0.3">
      <c r="A1264">
        <v>15</v>
      </c>
      <c r="B1264" s="168" t="s">
        <v>21</v>
      </c>
      <c r="C1264" s="168" t="s">
        <v>12</v>
      </c>
      <c r="D1264">
        <v>454.3</v>
      </c>
      <c r="E1264">
        <v>2021</v>
      </c>
      <c r="F1264" s="168" t="s">
        <v>590</v>
      </c>
      <c r="G1264" s="168" t="s">
        <v>613</v>
      </c>
      <c r="H1264" s="168" t="s">
        <v>608</v>
      </c>
      <c r="I1264">
        <v>15044.692908698033</v>
      </c>
    </row>
    <row r="1265" spans="1:9" x14ac:dyDescent="0.3">
      <c r="A1265">
        <v>15</v>
      </c>
      <c r="B1265" s="168" t="s">
        <v>21</v>
      </c>
      <c r="C1265" s="168" t="s">
        <v>12</v>
      </c>
      <c r="D1265">
        <v>454.3</v>
      </c>
      <c r="E1265">
        <v>2021</v>
      </c>
      <c r="F1265" s="168" t="s">
        <v>590</v>
      </c>
      <c r="G1265" s="168" t="s">
        <v>613</v>
      </c>
      <c r="H1265" s="168" t="s">
        <v>609</v>
      </c>
      <c r="I1265">
        <v>9646.1556119689885</v>
      </c>
    </row>
    <row r="1266" spans="1:9" x14ac:dyDescent="0.3">
      <c r="A1266">
        <v>16</v>
      </c>
      <c r="B1266" s="168" t="s">
        <v>22</v>
      </c>
      <c r="C1266" s="168" t="s">
        <v>10</v>
      </c>
      <c r="D1266">
        <v>91</v>
      </c>
      <c r="E1266">
        <v>2021</v>
      </c>
      <c r="F1266" s="168" t="s">
        <v>590</v>
      </c>
      <c r="G1266" s="168" t="s">
        <v>612</v>
      </c>
      <c r="H1266" s="168" t="s">
        <v>608</v>
      </c>
      <c r="I1266">
        <v>0</v>
      </c>
    </row>
    <row r="1267" spans="1:9" x14ac:dyDescent="0.3">
      <c r="A1267">
        <v>16</v>
      </c>
      <c r="B1267" s="168" t="s">
        <v>22</v>
      </c>
      <c r="C1267" s="168" t="s">
        <v>10</v>
      </c>
      <c r="D1267">
        <v>91</v>
      </c>
      <c r="E1267">
        <v>2021</v>
      </c>
      <c r="F1267" s="168" t="s">
        <v>590</v>
      </c>
      <c r="G1267" s="168" t="s">
        <v>612</v>
      </c>
      <c r="H1267" s="168" t="s">
        <v>609</v>
      </c>
      <c r="I1267">
        <v>174.27597622959632</v>
      </c>
    </row>
    <row r="1268" spans="1:9" x14ac:dyDescent="0.3">
      <c r="A1268">
        <v>16</v>
      </c>
      <c r="B1268" s="168" t="s">
        <v>22</v>
      </c>
      <c r="C1268" s="168" t="s">
        <v>10</v>
      </c>
      <c r="D1268">
        <v>91</v>
      </c>
      <c r="E1268">
        <v>2021</v>
      </c>
      <c r="F1268" s="168" t="s">
        <v>590</v>
      </c>
      <c r="G1268" s="168" t="s">
        <v>611</v>
      </c>
      <c r="H1268" s="168" t="s">
        <v>608</v>
      </c>
      <c r="I1268">
        <v>0</v>
      </c>
    </row>
    <row r="1269" spans="1:9" x14ac:dyDescent="0.3">
      <c r="A1269">
        <v>16</v>
      </c>
      <c r="B1269" s="168" t="s">
        <v>22</v>
      </c>
      <c r="C1269" s="168" t="s">
        <v>10</v>
      </c>
      <c r="D1269">
        <v>91</v>
      </c>
      <c r="E1269">
        <v>2021</v>
      </c>
      <c r="F1269" s="168" t="s">
        <v>590</v>
      </c>
      <c r="G1269" s="168" t="s">
        <v>611</v>
      </c>
      <c r="H1269" s="168" t="s">
        <v>609</v>
      </c>
      <c r="I1269">
        <v>38.061458799516487</v>
      </c>
    </row>
    <row r="1270" spans="1:9" x14ac:dyDescent="0.3">
      <c r="A1270">
        <v>16</v>
      </c>
      <c r="B1270" s="168" t="s">
        <v>22</v>
      </c>
      <c r="C1270" s="168" t="s">
        <v>10</v>
      </c>
      <c r="D1270">
        <v>91</v>
      </c>
      <c r="E1270">
        <v>2021</v>
      </c>
      <c r="F1270" s="168" t="s">
        <v>590</v>
      </c>
      <c r="G1270" s="168" t="s">
        <v>613</v>
      </c>
      <c r="H1270" s="168" t="s">
        <v>608</v>
      </c>
      <c r="I1270">
        <v>3013.5748507407461</v>
      </c>
    </row>
    <row r="1271" spans="1:9" x14ac:dyDescent="0.3">
      <c r="A1271">
        <v>16</v>
      </c>
      <c r="B1271" s="168" t="s">
        <v>22</v>
      </c>
      <c r="C1271" s="168" t="s">
        <v>10</v>
      </c>
      <c r="D1271">
        <v>91</v>
      </c>
      <c r="E1271">
        <v>2021</v>
      </c>
      <c r="F1271" s="168" t="s">
        <v>590</v>
      </c>
      <c r="G1271" s="168" t="s">
        <v>613</v>
      </c>
      <c r="H1271" s="168" t="s">
        <v>609</v>
      </c>
      <c r="I1271">
        <v>1932.2037435377019</v>
      </c>
    </row>
    <row r="1272" spans="1:9" x14ac:dyDescent="0.3">
      <c r="A1272">
        <v>17</v>
      </c>
      <c r="B1272" s="168" t="s">
        <v>23</v>
      </c>
      <c r="C1272" s="168" t="s">
        <v>12</v>
      </c>
      <c r="D1272">
        <v>420.5</v>
      </c>
      <c r="E1272">
        <v>2021</v>
      </c>
      <c r="F1272" s="168" t="s">
        <v>590</v>
      </c>
      <c r="G1272" s="168" t="s">
        <v>612</v>
      </c>
      <c r="H1272" s="168" t="s">
        <v>608</v>
      </c>
      <c r="I1272">
        <v>0</v>
      </c>
    </row>
    <row r="1273" spans="1:9" x14ac:dyDescent="0.3">
      <c r="A1273">
        <v>17</v>
      </c>
      <c r="B1273" s="168" t="s">
        <v>23</v>
      </c>
      <c r="C1273" s="168" t="s">
        <v>12</v>
      </c>
      <c r="D1273">
        <v>420.5</v>
      </c>
      <c r="E1273">
        <v>2021</v>
      </c>
      <c r="F1273" s="168" t="s">
        <v>590</v>
      </c>
      <c r="G1273" s="168" t="s">
        <v>612</v>
      </c>
      <c r="H1273" s="168" t="s">
        <v>609</v>
      </c>
      <c r="I1273">
        <v>805.30821983016756</v>
      </c>
    </row>
    <row r="1274" spans="1:9" x14ac:dyDescent="0.3">
      <c r="A1274">
        <v>17</v>
      </c>
      <c r="B1274" s="168" t="s">
        <v>23</v>
      </c>
      <c r="C1274" s="168" t="s">
        <v>12</v>
      </c>
      <c r="D1274">
        <v>420.5</v>
      </c>
      <c r="E1274">
        <v>2021</v>
      </c>
      <c r="F1274" s="168" t="s">
        <v>590</v>
      </c>
      <c r="G1274" s="168" t="s">
        <v>614</v>
      </c>
      <c r="H1274" s="168" t="s">
        <v>608</v>
      </c>
      <c r="I1274">
        <v>0</v>
      </c>
    </row>
    <row r="1275" spans="1:9" x14ac:dyDescent="0.3">
      <c r="A1275">
        <v>17</v>
      </c>
      <c r="B1275" s="168" t="s">
        <v>23</v>
      </c>
      <c r="C1275" s="168" t="s">
        <v>12</v>
      </c>
      <c r="D1275">
        <v>420.5</v>
      </c>
      <c r="E1275">
        <v>2021</v>
      </c>
      <c r="F1275" s="168" t="s">
        <v>590</v>
      </c>
      <c r="G1275" s="168" t="s">
        <v>614</v>
      </c>
      <c r="H1275" s="168" t="s">
        <v>609</v>
      </c>
      <c r="I1275">
        <v>30000</v>
      </c>
    </row>
    <row r="1276" spans="1:9" x14ac:dyDescent="0.3">
      <c r="A1276">
        <v>17</v>
      </c>
      <c r="B1276" s="168" t="s">
        <v>23</v>
      </c>
      <c r="C1276" s="168" t="s">
        <v>12</v>
      </c>
      <c r="D1276">
        <v>420.5</v>
      </c>
      <c r="E1276">
        <v>2021</v>
      </c>
      <c r="F1276" s="168" t="s">
        <v>590</v>
      </c>
      <c r="G1276" s="168" t="s">
        <v>611</v>
      </c>
      <c r="H1276" s="168" t="s">
        <v>608</v>
      </c>
      <c r="I1276">
        <v>0</v>
      </c>
    </row>
    <row r="1277" spans="1:9" x14ac:dyDescent="0.3">
      <c r="A1277">
        <v>17</v>
      </c>
      <c r="B1277" s="168" t="s">
        <v>23</v>
      </c>
      <c r="C1277" s="168" t="s">
        <v>12</v>
      </c>
      <c r="D1277">
        <v>420.5</v>
      </c>
      <c r="E1277">
        <v>2021</v>
      </c>
      <c r="F1277" s="168" t="s">
        <v>590</v>
      </c>
      <c r="G1277" s="168" t="s">
        <v>611</v>
      </c>
      <c r="H1277" s="168" t="s">
        <v>609</v>
      </c>
      <c r="I1277">
        <v>175.87740027688665</v>
      </c>
    </row>
    <row r="1278" spans="1:9" x14ac:dyDescent="0.3">
      <c r="A1278">
        <v>17</v>
      </c>
      <c r="B1278" s="168" t="s">
        <v>23</v>
      </c>
      <c r="C1278" s="168" t="s">
        <v>12</v>
      </c>
      <c r="D1278">
        <v>420.5</v>
      </c>
      <c r="E1278">
        <v>2021</v>
      </c>
      <c r="F1278" s="168" t="s">
        <v>590</v>
      </c>
      <c r="G1278" s="168" t="s">
        <v>613</v>
      </c>
      <c r="H1278" s="168" t="s">
        <v>608</v>
      </c>
      <c r="I1278">
        <v>13925.365106994328</v>
      </c>
    </row>
    <row r="1279" spans="1:9" x14ac:dyDescent="0.3">
      <c r="A1279">
        <v>17</v>
      </c>
      <c r="B1279" s="168" t="s">
        <v>23</v>
      </c>
      <c r="C1279" s="168" t="s">
        <v>12</v>
      </c>
      <c r="D1279">
        <v>420.5</v>
      </c>
      <c r="E1279">
        <v>2021</v>
      </c>
      <c r="F1279" s="168" t="s">
        <v>590</v>
      </c>
      <c r="G1279" s="168" t="s">
        <v>613</v>
      </c>
      <c r="H1279" s="168" t="s">
        <v>609</v>
      </c>
      <c r="I1279">
        <v>8928.4799357978427</v>
      </c>
    </row>
    <row r="1280" spans="1:9" x14ac:dyDescent="0.3">
      <c r="A1280">
        <v>18</v>
      </c>
      <c r="B1280" s="168" t="s">
        <v>24</v>
      </c>
      <c r="C1280" s="168" t="s">
        <v>10</v>
      </c>
      <c r="D1280">
        <v>9.8000000000000007</v>
      </c>
      <c r="E1280">
        <v>2021</v>
      </c>
      <c r="F1280" s="168" t="s">
        <v>590</v>
      </c>
      <c r="G1280" s="168" t="s">
        <v>612</v>
      </c>
      <c r="H1280" s="168" t="s">
        <v>608</v>
      </c>
      <c r="I1280">
        <v>0</v>
      </c>
    </row>
    <row r="1281" spans="1:9" x14ac:dyDescent="0.3">
      <c r="A1281">
        <v>18</v>
      </c>
      <c r="B1281" s="168" t="s">
        <v>24</v>
      </c>
      <c r="C1281" s="168" t="s">
        <v>10</v>
      </c>
      <c r="D1281">
        <v>9.8000000000000007</v>
      </c>
      <c r="E1281">
        <v>2021</v>
      </c>
      <c r="F1281" s="168" t="s">
        <v>590</v>
      </c>
      <c r="G1281" s="168" t="s">
        <v>612</v>
      </c>
      <c r="H1281" s="168" t="s">
        <v>609</v>
      </c>
      <c r="I1281">
        <v>18.768182055494989</v>
      </c>
    </row>
    <row r="1282" spans="1:9" x14ac:dyDescent="0.3">
      <c r="A1282">
        <v>18</v>
      </c>
      <c r="B1282" s="168" t="s">
        <v>24</v>
      </c>
      <c r="C1282" s="168" t="s">
        <v>10</v>
      </c>
      <c r="D1282">
        <v>9.8000000000000007</v>
      </c>
      <c r="E1282">
        <v>2021</v>
      </c>
      <c r="F1282" s="168" t="s">
        <v>590</v>
      </c>
      <c r="G1282" s="168" t="s">
        <v>615</v>
      </c>
      <c r="H1282" s="168" t="s">
        <v>608</v>
      </c>
      <c r="I1282">
        <v>0</v>
      </c>
    </row>
    <row r="1283" spans="1:9" x14ac:dyDescent="0.3">
      <c r="A1283">
        <v>18</v>
      </c>
      <c r="B1283" s="168" t="s">
        <v>24</v>
      </c>
      <c r="C1283" s="168" t="s">
        <v>10</v>
      </c>
      <c r="D1283">
        <v>9.8000000000000007</v>
      </c>
      <c r="E1283">
        <v>2021</v>
      </c>
      <c r="F1283" s="168" t="s">
        <v>590</v>
      </c>
      <c r="G1283" s="168" t="s">
        <v>615</v>
      </c>
      <c r="H1283" s="168" t="s">
        <v>609</v>
      </c>
      <c r="I1283">
        <v>15073.170731707318</v>
      </c>
    </row>
    <row r="1284" spans="1:9" x14ac:dyDescent="0.3">
      <c r="A1284">
        <v>18</v>
      </c>
      <c r="B1284" s="168" t="s">
        <v>24</v>
      </c>
      <c r="C1284" s="168" t="s">
        <v>10</v>
      </c>
      <c r="D1284">
        <v>9.8000000000000007</v>
      </c>
      <c r="E1284">
        <v>2021</v>
      </c>
      <c r="F1284" s="168" t="s">
        <v>590</v>
      </c>
      <c r="G1284" s="168" t="s">
        <v>611</v>
      </c>
      <c r="H1284" s="168" t="s">
        <v>608</v>
      </c>
      <c r="I1284">
        <v>0</v>
      </c>
    </row>
    <row r="1285" spans="1:9" x14ac:dyDescent="0.3">
      <c r="A1285">
        <v>18</v>
      </c>
      <c r="B1285" s="168" t="s">
        <v>24</v>
      </c>
      <c r="C1285" s="168" t="s">
        <v>10</v>
      </c>
      <c r="D1285">
        <v>9.8000000000000007</v>
      </c>
      <c r="E1285">
        <v>2021</v>
      </c>
      <c r="F1285" s="168" t="s">
        <v>590</v>
      </c>
      <c r="G1285" s="168" t="s">
        <v>611</v>
      </c>
      <c r="H1285" s="168" t="s">
        <v>609</v>
      </c>
      <c r="I1285">
        <v>4.0989263322556226</v>
      </c>
    </row>
    <row r="1286" spans="1:9" x14ac:dyDescent="0.3">
      <c r="A1286">
        <v>18</v>
      </c>
      <c r="B1286" s="168" t="s">
        <v>24</v>
      </c>
      <c r="C1286" s="168" t="s">
        <v>10</v>
      </c>
      <c r="D1286">
        <v>9.8000000000000007</v>
      </c>
      <c r="E1286">
        <v>2021</v>
      </c>
      <c r="F1286" s="168" t="s">
        <v>590</v>
      </c>
      <c r="G1286" s="168" t="s">
        <v>613</v>
      </c>
      <c r="H1286" s="168" t="s">
        <v>608</v>
      </c>
      <c r="I1286">
        <v>324.53883007977265</v>
      </c>
    </row>
    <row r="1287" spans="1:9" x14ac:dyDescent="0.3">
      <c r="A1287">
        <v>18</v>
      </c>
      <c r="B1287" s="168" t="s">
        <v>24</v>
      </c>
      <c r="C1287" s="168" t="s">
        <v>10</v>
      </c>
      <c r="D1287">
        <v>9.8000000000000007</v>
      </c>
      <c r="E1287">
        <v>2021</v>
      </c>
      <c r="F1287" s="168" t="s">
        <v>590</v>
      </c>
      <c r="G1287" s="168" t="s">
        <v>613</v>
      </c>
      <c r="H1287" s="168" t="s">
        <v>609</v>
      </c>
      <c r="I1287">
        <v>208.08348007329099</v>
      </c>
    </row>
    <row r="1288" spans="1:9" x14ac:dyDescent="0.3">
      <c r="A1288">
        <v>19</v>
      </c>
      <c r="B1288" s="168" t="s">
        <v>25</v>
      </c>
      <c r="C1288" s="168" t="s">
        <v>26</v>
      </c>
      <c r="D1288">
        <v>441.8</v>
      </c>
      <c r="E1288">
        <v>2021</v>
      </c>
      <c r="F1288" s="168" t="s">
        <v>590</v>
      </c>
      <c r="G1288" s="168" t="s">
        <v>612</v>
      </c>
      <c r="H1288" s="168" t="s">
        <v>608</v>
      </c>
      <c r="I1288">
        <v>0</v>
      </c>
    </row>
    <row r="1289" spans="1:9" x14ac:dyDescent="0.3">
      <c r="A1289">
        <v>19</v>
      </c>
      <c r="B1289" s="168" t="s">
        <v>25</v>
      </c>
      <c r="C1289" s="168" t="s">
        <v>26</v>
      </c>
      <c r="D1289">
        <v>441.8</v>
      </c>
      <c r="E1289">
        <v>2021</v>
      </c>
      <c r="F1289" s="168" t="s">
        <v>590</v>
      </c>
      <c r="G1289" s="168" t="s">
        <v>612</v>
      </c>
      <c r="H1289" s="168" t="s">
        <v>609</v>
      </c>
      <c r="I1289">
        <v>846.10028899160056</v>
      </c>
    </row>
    <row r="1290" spans="1:9" x14ac:dyDescent="0.3">
      <c r="A1290">
        <v>19</v>
      </c>
      <c r="B1290" s="168" t="s">
        <v>25</v>
      </c>
      <c r="C1290" s="168" t="s">
        <v>26</v>
      </c>
      <c r="D1290">
        <v>441.8</v>
      </c>
      <c r="E1290">
        <v>2021</v>
      </c>
      <c r="F1290" s="168" t="s">
        <v>590</v>
      </c>
      <c r="G1290" s="168" t="s">
        <v>611</v>
      </c>
      <c r="H1290" s="168" t="s">
        <v>608</v>
      </c>
      <c r="I1290">
        <v>0</v>
      </c>
    </row>
    <row r="1291" spans="1:9" x14ac:dyDescent="0.3">
      <c r="A1291">
        <v>19</v>
      </c>
      <c r="B1291" s="168" t="s">
        <v>25</v>
      </c>
      <c r="C1291" s="168" t="s">
        <v>26</v>
      </c>
      <c r="D1291">
        <v>441.8</v>
      </c>
      <c r="E1291">
        <v>2021</v>
      </c>
      <c r="F1291" s="168" t="s">
        <v>590</v>
      </c>
      <c r="G1291" s="168" t="s">
        <v>611</v>
      </c>
      <c r="H1291" s="168" t="s">
        <v>609</v>
      </c>
      <c r="I1291">
        <v>184.78629118270754</v>
      </c>
    </row>
    <row r="1292" spans="1:9" x14ac:dyDescent="0.3">
      <c r="A1292">
        <v>19</v>
      </c>
      <c r="B1292" s="168" t="s">
        <v>25</v>
      </c>
      <c r="C1292" s="168" t="s">
        <v>26</v>
      </c>
      <c r="D1292">
        <v>441.8</v>
      </c>
      <c r="E1292">
        <v>2021</v>
      </c>
      <c r="F1292" s="168" t="s">
        <v>590</v>
      </c>
      <c r="G1292" s="168" t="s">
        <v>613</v>
      </c>
      <c r="H1292" s="168" t="s">
        <v>608</v>
      </c>
      <c r="I1292">
        <v>14630.740319310567</v>
      </c>
    </row>
    <row r="1293" spans="1:9" x14ac:dyDescent="0.3">
      <c r="A1293">
        <v>19</v>
      </c>
      <c r="B1293" s="168" t="s">
        <v>25</v>
      </c>
      <c r="C1293" s="168" t="s">
        <v>26</v>
      </c>
      <c r="D1293">
        <v>441.8</v>
      </c>
      <c r="E1293">
        <v>2021</v>
      </c>
      <c r="F1293" s="168" t="s">
        <v>590</v>
      </c>
      <c r="G1293" s="168" t="s">
        <v>613</v>
      </c>
      <c r="H1293" s="168" t="s">
        <v>609</v>
      </c>
      <c r="I1293">
        <v>9380.7430098346886</v>
      </c>
    </row>
    <row r="1294" spans="1:9" x14ac:dyDescent="0.3">
      <c r="A1294">
        <v>20</v>
      </c>
      <c r="B1294" s="168" t="s">
        <v>27</v>
      </c>
      <c r="C1294" s="168" t="s">
        <v>28</v>
      </c>
      <c r="D1294">
        <v>4528.3999999999996</v>
      </c>
      <c r="E1294">
        <v>2021</v>
      </c>
      <c r="F1294" s="168" t="s">
        <v>592</v>
      </c>
      <c r="G1294" s="168" t="s">
        <v>607</v>
      </c>
      <c r="H1294" s="168" t="s">
        <v>608</v>
      </c>
      <c r="I1294">
        <v>73451.22121333034</v>
      </c>
    </row>
    <row r="1295" spans="1:9" x14ac:dyDescent="0.3">
      <c r="A1295">
        <v>20</v>
      </c>
      <c r="B1295" s="168" t="s">
        <v>27</v>
      </c>
      <c r="C1295" s="168" t="s">
        <v>28</v>
      </c>
      <c r="D1295">
        <v>4528.3999999999996</v>
      </c>
      <c r="E1295">
        <v>2021</v>
      </c>
      <c r="F1295" s="168" t="s">
        <v>592</v>
      </c>
      <c r="G1295" s="168" t="s">
        <v>607</v>
      </c>
      <c r="H1295" s="168" t="s">
        <v>609</v>
      </c>
      <c r="I1295">
        <v>543724.50077737519</v>
      </c>
    </row>
    <row r="1296" spans="1:9" x14ac:dyDescent="0.3">
      <c r="A1296">
        <v>20</v>
      </c>
      <c r="B1296" s="168" t="s">
        <v>27</v>
      </c>
      <c r="C1296" s="168" t="s">
        <v>28</v>
      </c>
      <c r="D1296">
        <v>4528.3999999999996</v>
      </c>
      <c r="E1296">
        <v>2021</v>
      </c>
      <c r="F1296" s="168" t="s">
        <v>592</v>
      </c>
      <c r="G1296" s="168" t="s">
        <v>612</v>
      </c>
      <c r="H1296" s="168" t="s">
        <v>608</v>
      </c>
      <c r="I1296">
        <v>25207.001450053856</v>
      </c>
    </row>
    <row r="1297" spans="1:9" x14ac:dyDescent="0.3">
      <c r="A1297">
        <v>20</v>
      </c>
      <c r="B1297" s="168" t="s">
        <v>27</v>
      </c>
      <c r="C1297" s="168" t="s">
        <v>28</v>
      </c>
      <c r="D1297">
        <v>4528.3999999999996</v>
      </c>
      <c r="E1297">
        <v>2021</v>
      </c>
      <c r="F1297" s="168" t="s">
        <v>592</v>
      </c>
      <c r="G1297" s="168" t="s">
        <v>612</v>
      </c>
      <c r="H1297" s="168" t="s">
        <v>609</v>
      </c>
      <c r="I1297">
        <v>27072.319557357841</v>
      </c>
    </row>
    <row r="1298" spans="1:9" x14ac:dyDescent="0.3">
      <c r="A1298">
        <v>20</v>
      </c>
      <c r="B1298" s="168" t="s">
        <v>27</v>
      </c>
      <c r="C1298" s="168" t="s">
        <v>28</v>
      </c>
      <c r="D1298">
        <v>4528.3999999999996</v>
      </c>
      <c r="E1298">
        <v>2021</v>
      </c>
      <c r="F1298" s="168" t="s">
        <v>592</v>
      </c>
      <c r="G1298" s="168" t="s">
        <v>629</v>
      </c>
      <c r="H1298" s="168" t="s">
        <v>608</v>
      </c>
      <c r="I1298">
        <v>0</v>
      </c>
    </row>
    <row r="1299" spans="1:9" x14ac:dyDescent="0.3">
      <c r="A1299">
        <v>20</v>
      </c>
      <c r="B1299" s="168" t="s">
        <v>27</v>
      </c>
      <c r="C1299" s="168" t="s">
        <v>28</v>
      </c>
      <c r="D1299">
        <v>4528.3999999999996</v>
      </c>
      <c r="E1299">
        <v>2021</v>
      </c>
      <c r="F1299" s="168" t="s">
        <v>592</v>
      </c>
      <c r="G1299" s="168" t="s">
        <v>629</v>
      </c>
      <c r="H1299" s="168" t="s">
        <v>609</v>
      </c>
      <c r="I1299">
        <v>2980.1011310491226</v>
      </c>
    </row>
    <row r="1300" spans="1:9" x14ac:dyDescent="0.3">
      <c r="A1300">
        <v>20</v>
      </c>
      <c r="B1300" s="168" t="s">
        <v>27</v>
      </c>
      <c r="C1300" s="168" t="s">
        <v>28</v>
      </c>
      <c r="D1300">
        <v>4528.3999999999996</v>
      </c>
      <c r="E1300">
        <v>2021</v>
      </c>
      <c r="F1300" s="168" t="s">
        <v>592</v>
      </c>
      <c r="G1300" s="168" t="s">
        <v>617</v>
      </c>
      <c r="H1300" s="168" t="s">
        <v>608</v>
      </c>
      <c r="I1300">
        <v>0</v>
      </c>
    </row>
    <row r="1301" spans="1:9" x14ac:dyDescent="0.3">
      <c r="A1301">
        <v>20</v>
      </c>
      <c r="B1301" s="168" t="s">
        <v>27</v>
      </c>
      <c r="C1301" s="168" t="s">
        <v>28</v>
      </c>
      <c r="D1301">
        <v>4528.3999999999996</v>
      </c>
      <c r="E1301">
        <v>2021</v>
      </c>
      <c r="F1301" s="168" t="s">
        <v>592</v>
      </c>
      <c r="G1301" s="168" t="s">
        <v>617</v>
      </c>
      <c r="H1301" s="168" t="s">
        <v>609</v>
      </c>
      <c r="I1301">
        <v>11426.144365413569</v>
      </c>
    </row>
    <row r="1302" spans="1:9" x14ac:dyDescent="0.3">
      <c r="A1302">
        <v>20</v>
      </c>
      <c r="B1302" s="168" t="s">
        <v>27</v>
      </c>
      <c r="C1302" s="168" t="s">
        <v>28</v>
      </c>
      <c r="D1302">
        <v>4528.3999999999996</v>
      </c>
      <c r="E1302">
        <v>2021</v>
      </c>
      <c r="F1302" s="168" t="s">
        <v>592</v>
      </c>
      <c r="G1302" s="168" t="s">
        <v>618</v>
      </c>
      <c r="H1302" s="168" t="s">
        <v>608</v>
      </c>
      <c r="I1302">
        <v>0</v>
      </c>
    </row>
    <row r="1303" spans="1:9" x14ac:dyDescent="0.3">
      <c r="A1303">
        <v>20</v>
      </c>
      <c r="B1303" s="168" t="s">
        <v>27</v>
      </c>
      <c r="C1303" s="168" t="s">
        <v>28</v>
      </c>
      <c r="D1303">
        <v>4528.3999999999996</v>
      </c>
      <c r="E1303">
        <v>2021</v>
      </c>
      <c r="F1303" s="168" t="s">
        <v>592</v>
      </c>
      <c r="G1303" s="168" t="s">
        <v>618</v>
      </c>
      <c r="H1303" s="168" t="s">
        <v>609</v>
      </c>
      <c r="I1303">
        <v>41000</v>
      </c>
    </row>
    <row r="1304" spans="1:9" x14ac:dyDescent="0.3">
      <c r="A1304">
        <v>20</v>
      </c>
      <c r="B1304" s="168" t="s">
        <v>27</v>
      </c>
      <c r="C1304" s="168" t="s">
        <v>28</v>
      </c>
      <c r="D1304">
        <v>4528.3999999999996</v>
      </c>
      <c r="E1304">
        <v>2021</v>
      </c>
      <c r="F1304" s="168" t="s">
        <v>592</v>
      </c>
      <c r="G1304" s="168" t="s">
        <v>619</v>
      </c>
      <c r="H1304" s="168" t="s">
        <v>608</v>
      </c>
      <c r="I1304">
        <v>0</v>
      </c>
    </row>
    <row r="1305" spans="1:9" x14ac:dyDescent="0.3">
      <c r="A1305">
        <v>20</v>
      </c>
      <c r="B1305" s="168" t="s">
        <v>27</v>
      </c>
      <c r="C1305" s="168" t="s">
        <v>28</v>
      </c>
      <c r="D1305">
        <v>4528.3999999999996</v>
      </c>
      <c r="E1305">
        <v>2021</v>
      </c>
      <c r="F1305" s="168" t="s">
        <v>592</v>
      </c>
      <c r="G1305" s="168" t="s">
        <v>619</v>
      </c>
      <c r="H1305" s="168" t="s">
        <v>609</v>
      </c>
      <c r="I1305">
        <v>16000</v>
      </c>
    </row>
    <row r="1306" spans="1:9" x14ac:dyDescent="0.3">
      <c r="A1306">
        <v>20</v>
      </c>
      <c r="B1306" s="168" t="s">
        <v>27</v>
      </c>
      <c r="C1306" s="168" t="s">
        <v>28</v>
      </c>
      <c r="D1306">
        <v>4528.3999999999996</v>
      </c>
      <c r="E1306">
        <v>2021</v>
      </c>
      <c r="F1306" s="168" t="s">
        <v>592</v>
      </c>
      <c r="G1306" s="168" t="s">
        <v>610</v>
      </c>
      <c r="H1306" s="168" t="s">
        <v>608</v>
      </c>
      <c r="I1306">
        <v>0</v>
      </c>
    </row>
    <row r="1307" spans="1:9" x14ac:dyDescent="0.3">
      <c r="A1307">
        <v>20</v>
      </c>
      <c r="B1307" s="168" t="s">
        <v>27</v>
      </c>
      <c r="C1307" s="168" t="s">
        <v>28</v>
      </c>
      <c r="D1307">
        <v>4528.3999999999996</v>
      </c>
      <c r="E1307">
        <v>2021</v>
      </c>
      <c r="F1307" s="168" t="s">
        <v>592</v>
      </c>
      <c r="G1307" s="168" t="s">
        <v>610</v>
      </c>
      <c r="H1307" s="168" t="s">
        <v>609</v>
      </c>
      <c r="I1307">
        <v>6545.454545454545</v>
      </c>
    </row>
    <row r="1308" spans="1:9" x14ac:dyDescent="0.3">
      <c r="A1308">
        <v>20</v>
      </c>
      <c r="B1308" s="168" t="s">
        <v>27</v>
      </c>
      <c r="C1308" s="168" t="s">
        <v>28</v>
      </c>
      <c r="D1308">
        <v>4528.3999999999996</v>
      </c>
      <c r="E1308">
        <v>2021</v>
      </c>
      <c r="F1308" s="168" t="s">
        <v>592</v>
      </c>
      <c r="G1308" s="168" t="s">
        <v>620</v>
      </c>
      <c r="H1308" s="168" t="s">
        <v>608</v>
      </c>
      <c r="I1308">
        <v>20379.761552049386</v>
      </c>
    </row>
    <row r="1309" spans="1:9" x14ac:dyDescent="0.3">
      <c r="A1309">
        <v>20</v>
      </c>
      <c r="B1309" s="168" t="s">
        <v>27</v>
      </c>
      <c r="C1309" s="168" t="s">
        <v>28</v>
      </c>
      <c r="D1309">
        <v>4528.3999999999996</v>
      </c>
      <c r="E1309">
        <v>2021</v>
      </c>
      <c r="F1309" s="168" t="s">
        <v>592</v>
      </c>
      <c r="G1309" s="168" t="s">
        <v>620</v>
      </c>
      <c r="H1309" s="168" t="s">
        <v>609</v>
      </c>
      <c r="I1309">
        <v>2207.8075014720166</v>
      </c>
    </row>
    <row r="1310" spans="1:9" x14ac:dyDescent="0.3">
      <c r="A1310">
        <v>20</v>
      </c>
      <c r="B1310" s="168" t="s">
        <v>27</v>
      </c>
      <c r="C1310" s="168" t="s">
        <v>28</v>
      </c>
      <c r="D1310">
        <v>4528.3999999999996</v>
      </c>
      <c r="E1310">
        <v>2021</v>
      </c>
      <c r="F1310" s="168" t="s">
        <v>592</v>
      </c>
      <c r="G1310" s="168" t="s">
        <v>633</v>
      </c>
      <c r="H1310" s="168" t="s">
        <v>608</v>
      </c>
      <c r="I1310">
        <v>24515.383921320943</v>
      </c>
    </row>
    <row r="1311" spans="1:9" x14ac:dyDescent="0.3">
      <c r="A1311">
        <v>20</v>
      </c>
      <c r="B1311" s="168" t="s">
        <v>27</v>
      </c>
      <c r="C1311" s="168" t="s">
        <v>28</v>
      </c>
      <c r="D1311">
        <v>4528.3999999999996</v>
      </c>
      <c r="E1311">
        <v>2021</v>
      </c>
      <c r="F1311" s="168" t="s">
        <v>592</v>
      </c>
      <c r="G1311" s="168" t="s">
        <v>633</v>
      </c>
      <c r="H1311" s="168" t="s">
        <v>609</v>
      </c>
      <c r="I1311">
        <v>11810.956371103519</v>
      </c>
    </row>
    <row r="1312" spans="1:9" x14ac:dyDescent="0.3">
      <c r="A1312">
        <v>20</v>
      </c>
      <c r="B1312" s="168" t="s">
        <v>27</v>
      </c>
      <c r="C1312" s="168" t="s">
        <v>28</v>
      </c>
      <c r="D1312">
        <v>4528.3999999999996</v>
      </c>
      <c r="E1312">
        <v>2021</v>
      </c>
      <c r="F1312" s="168" t="s">
        <v>592</v>
      </c>
      <c r="G1312" s="168" t="s">
        <v>611</v>
      </c>
      <c r="H1312" s="168" t="s">
        <v>608</v>
      </c>
      <c r="I1312">
        <v>0</v>
      </c>
    </row>
    <row r="1313" spans="1:9" x14ac:dyDescent="0.3">
      <c r="A1313">
        <v>20</v>
      </c>
      <c r="B1313" s="168" t="s">
        <v>27</v>
      </c>
      <c r="C1313" s="168" t="s">
        <v>28</v>
      </c>
      <c r="D1313">
        <v>4528.3999999999996</v>
      </c>
      <c r="E1313">
        <v>2021</v>
      </c>
      <c r="F1313" s="168" t="s">
        <v>592</v>
      </c>
      <c r="G1313" s="168" t="s">
        <v>611</v>
      </c>
      <c r="H1313" s="168" t="s">
        <v>609</v>
      </c>
      <c r="I1313">
        <v>7010</v>
      </c>
    </row>
    <row r="1314" spans="1:9" x14ac:dyDescent="0.3">
      <c r="A1314">
        <v>20</v>
      </c>
      <c r="B1314" s="168" t="s">
        <v>27</v>
      </c>
      <c r="C1314" s="168" t="s">
        <v>28</v>
      </c>
      <c r="D1314">
        <v>4528.3999999999996</v>
      </c>
      <c r="E1314">
        <v>2021</v>
      </c>
      <c r="F1314" s="168" t="s">
        <v>592</v>
      </c>
      <c r="G1314" s="168" t="s">
        <v>621</v>
      </c>
      <c r="H1314" s="168" t="s">
        <v>608</v>
      </c>
      <c r="I1314">
        <v>0</v>
      </c>
    </row>
    <row r="1315" spans="1:9" x14ac:dyDescent="0.3">
      <c r="A1315">
        <v>20</v>
      </c>
      <c r="B1315" s="168" t="s">
        <v>27</v>
      </c>
      <c r="C1315" s="168" t="s">
        <v>28</v>
      </c>
      <c r="D1315">
        <v>4528.3999999999996</v>
      </c>
      <c r="E1315">
        <v>2021</v>
      </c>
      <c r="F1315" s="168" t="s">
        <v>592</v>
      </c>
      <c r="G1315" s="168" t="s">
        <v>621</v>
      </c>
      <c r="H1315" s="168" t="s">
        <v>609</v>
      </c>
      <c r="I1315">
        <v>460983.03281321691</v>
      </c>
    </row>
    <row r="1316" spans="1:9" x14ac:dyDescent="0.3">
      <c r="A1316">
        <v>20</v>
      </c>
      <c r="B1316" s="168" t="s">
        <v>27</v>
      </c>
      <c r="C1316" s="168" t="s">
        <v>28</v>
      </c>
      <c r="D1316">
        <v>4528.3999999999996</v>
      </c>
      <c r="E1316">
        <v>2021</v>
      </c>
      <c r="F1316" s="168" t="s">
        <v>592</v>
      </c>
      <c r="G1316" s="168" t="s">
        <v>613</v>
      </c>
      <c r="H1316" s="168" t="s">
        <v>608</v>
      </c>
      <c r="I1316">
        <v>12823.061348737769</v>
      </c>
    </row>
    <row r="1317" spans="1:9" x14ac:dyDescent="0.3">
      <c r="A1317">
        <v>20</v>
      </c>
      <c r="B1317" s="168" t="s">
        <v>27</v>
      </c>
      <c r="C1317" s="168" t="s">
        <v>28</v>
      </c>
      <c r="D1317">
        <v>4528.3999999999996</v>
      </c>
      <c r="E1317">
        <v>2021</v>
      </c>
      <c r="F1317" s="168" t="s">
        <v>592</v>
      </c>
      <c r="G1317" s="168" t="s">
        <v>613</v>
      </c>
      <c r="H1317" s="168" t="s">
        <v>609</v>
      </c>
      <c r="I1317">
        <v>281466.19660479401</v>
      </c>
    </row>
    <row r="1318" spans="1:9" x14ac:dyDescent="0.3">
      <c r="A1318">
        <v>20</v>
      </c>
      <c r="B1318" s="168" t="s">
        <v>27</v>
      </c>
      <c r="C1318" s="168" t="s">
        <v>28</v>
      </c>
      <c r="D1318">
        <v>4528.3999999999996</v>
      </c>
      <c r="E1318">
        <v>2021</v>
      </c>
      <c r="F1318" s="168" t="s">
        <v>592</v>
      </c>
      <c r="G1318" s="168" t="s">
        <v>622</v>
      </c>
      <c r="H1318" s="168" t="s">
        <v>608</v>
      </c>
      <c r="I1318">
        <v>50483.343475403446</v>
      </c>
    </row>
    <row r="1319" spans="1:9" x14ac:dyDescent="0.3">
      <c r="A1319">
        <v>20</v>
      </c>
      <c r="B1319" s="168" t="s">
        <v>27</v>
      </c>
      <c r="C1319" s="168" t="s">
        <v>28</v>
      </c>
      <c r="D1319">
        <v>4528.3999999999996</v>
      </c>
      <c r="E1319">
        <v>2021</v>
      </c>
      <c r="F1319" s="168" t="s">
        <v>592</v>
      </c>
      <c r="G1319" s="168" t="s">
        <v>622</v>
      </c>
      <c r="H1319" s="168" t="s">
        <v>609</v>
      </c>
      <c r="I1319">
        <v>0</v>
      </c>
    </row>
    <row r="1320" spans="1:9" x14ac:dyDescent="0.3">
      <c r="A1320">
        <v>21</v>
      </c>
      <c r="B1320" s="168" t="s">
        <v>27</v>
      </c>
      <c r="C1320" s="168" t="s">
        <v>29</v>
      </c>
      <c r="D1320">
        <v>4779.7</v>
      </c>
      <c r="E1320">
        <v>2021</v>
      </c>
      <c r="F1320" s="168" t="s">
        <v>592</v>
      </c>
      <c r="G1320" s="168" t="s">
        <v>607</v>
      </c>
      <c r="H1320" s="168" t="s">
        <v>608</v>
      </c>
      <c r="I1320">
        <v>77527.339023353736</v>
      </c>
    </row>
    <row r="1321" spans="1:9" x14ac:dyDescent="0.3">
      <c r="A1321">
        <v>21</v>
      </c>
      <c r="B1321" s="168" t="s">
        <v>27</v>
      </c>
      <c r="C1321" s="168" t="s">
        <v>29</v>
      </c>
      <c r="D1321">
        <v>4779.7</v>
      </c>
      <c r="E1321">
        <v>2021</v>
      </c>
      <c r="F1321" s="168" t="s">
        <v>592</v>
      </c>
      <c r="G1321" s="168" t="s">
        <v>607</v>
      </c>
      <c r="H1321" s="168" t="s">
        <v>609</v>
      </c>
      <c r="I1321">
        <v>573898.06473933824</v>
      </c>
    </row>
    <row r="1322" spans="1:9" x14ac:dyDescent="0.3">
      <c r="A1322">
        <v>21</v>
      </c>
      <c r="B1322" s="168" t="s">
        <v>27</v>
      </c>
      <c r="C1322" s="168" t="s">
        <v>29</v>
      </c>
      <c r="D1322">
        <v>4779.7</v>
      </c>
      <c r="E1322">
        <v>2021</v>
      </c>
      <c r="F1322" s="168" t="s">
        <v>592</v>
      </c>
      <c r="G1322" s="168" t="s">
        <v>612</v>
      </c>
      <c r="H1322" s="168" t="s">
        <v>608</v>
      </c>
      <c r="I1322">
        <v>26605.844190182495</v>
      </c>
    </row>
    <row r="1323" spans="1:9" x14ac:dyDescent="0.3">
      <c r="A1323">
        <v>21</v>
      </c>
      <c r="B1323" s="168" t="s">
        <v>27</v>
      </c>
      <c r="C1323" s="168" t="s">
        <v>29</v>
      </c>
      <c r="D1323">
        <v>4779.7</v>
      </c>
      <c r="E1323">
        <v>2021</v>
      </c>
      <c r="F1323" s="168" t="s">
        <v>592</v>
      </c>
      <c r="G1323" s="168" t="s">
        <v>612</v>
      </c>
      <c r="H1323" s="168" t="s">
        <v>609</v>
      </c>
      <c r="I1323">
        <v>28574.676660256002</v>
      </c>
    </row>
    <row r="1324" spans="1:9" x14ac:dyDescent="0.3">
      <c r="A1324">
        <v>21</v>
      </c>
      <c r="B1324" s="168" t="s">
        <v>27</v>
      </c>
      <c r="C1324" s="168" t="s">
        <v>29</v>
      </c>
      <c r="D1324">
        <v>4779.7</v>
      </c>
      <c r="E1324">
        <v>2021</v>
      </c>
      <c r="F1324" s="168" t="s">
        <v>592</v>
      </c>
      <c r="G1324" s="168" t="s">
        <v>617</v>
      </c>
      <c r="H1324" s="168" t="s">
        <v>608</v>
      </c>
      <c r="I1324">
        <v>0</v>
      </c>
    </row>
    <row r="1325" spans="1:9" x14ac:dyDescent="0.3">
      <c r="A1325">
        <v>21</v>
      </c>
      <c r="B1325" s="168" t="s">
        <v>27</v>
      </c>
      <c r="C1325" s="168" t="s">
        <v>29</v>
      </c>
      <c r="D1325">
        <v>4779.7</v>
      </c>
      <c r="E1325">
        <v>2021</v>
      </c>
      <c r="F1325" s="168" t="s">
        <v>592</v>
      </c>
      <c r="G1325" s="168" t="s">
        <v>617</v>
      </c>
      <c r="H1325" s="168" t="s">
        <v>609</v>
      </c>
      <c r="I1325">
        <v>6704.6727359259885</v>
      </c>
    </row>
    <row r="1326" spans="1:9" x14ac:dyDescent="0.3">
      <c r="A1326">
        <v>21</v>
      </c>
      <c r="B1326" s="168" t="s">
        <v>27</v>
      </c>
      <c r="C1326" s="168" t="s">
        <v>29</v>
      </c>
      <c r="D1326">
        <v>4779.7</v>
      </c>
      <c r="E1326">
        <v>2021</v>
      </c>
      <c r="F1326" s="168" t="s">
        <v>592</v>
      </c>
      <c r="G1326" s="168" t="s">
        <v>610</v>
      </c>
      <c r="H1326" s="168" t="s">
        <v>608</v>
      </c>
      <c r="I1326">
        <v>0</v>
      </c>
    </row>
    <row r="1327" spans="1:9" x14ac:dyDescent="0.3">
      <c r="A1327">
        <v>21</v>
      </c>
      <c r="B1327" s="168" t="s">
        <v>27</v>
      </c>
      <c r="C1327" s="168" t="s">
        <v>29</v>
      </c>
      <c r="D1327">
        <v>4779.7</v>
      </c>
      <c r="E1327">
        <v>2021</v>
      </c>
      <c r="F1327" s="168" t="s">
        <v>592</v>
      </c>
      <c r="G1327" s="168" t="s">
        <v>610</v>
      </c>
      <c r="H1327" s="168" t="s">
        <v>609</v>
      </c>
      <c r="I1327">
        <v>3272.7272727272725</v>
      </c>
    </row>
    <row r="1328" spans="1:9" x14ac:dyDescent="0.3">
      <c r="A1328">
        <v>21</v>
      </c>
      <c r="B1328" s="168" t="s">
        <v>27</v>
      </c>
      <c r="C1328" s="168" t="s">
        <v>29</v>
      </c>
      <c r="D1328">
        <v>4779.7</v>
      </c>
      <c r="E1328">
        <v>2021</v>
      </c>
      <c r="F1328" s="168" t="s">
        <v>592</v>
      </c>
      <c r="G1328" s="168" t="s">
        <v>620</v>
      </c>
      <c r="H1328" s="168" t="s">
        <v>608</v>
      </c>
      <c r="I1328">
        <v>21510.720406839158</v>
      </c>
    </row>
    <row r="1329" spans="1:9" x14ac:dyDescent="0.3">
      <c r="A1329">
        <v>21</v>
      </c>
      <c r="B1329" s="168" t="s">
        <v>27</v>
      </c>
      <c r="C1329" s="168" t="s">
        <v>29</v>
      </c>
      <c r="D1329">
        <v>4779.7</v>
      </c>
      <c r="E1329">
        <v>2021</v>
      </c>
      <c r="F1329" s="168" t="s">
        <v>592</v>
      </c>
      <c r="G1329" s="168" t="s">
        <v>620</v>
      </c>
      <c r="H1329" s="168" t="s">
        <v>609</v>
      </c>
      <c r="I1329">
        <v>2330.3280440742424</v>
      </c>
    </row>
    <row r="1330" spans="1:9" x14ac:dyDescent="0.3">
      <c r="A1330">
        <v>21</v>
      </c>
      <c r="B1330" s="168" t="s">
        <v>27</v>
      </c>
      <c r="C1330" s="168" t="s">
        <v>29</v>
      </c>
      <c r="D1330">
        <v>4779.7</v>
      </c>
      <c r="E1330">
        <v>2021</v>
      </c>
      <c r="F1330" s="168" t="s">
        <v>592</v>
      </c>
      <c r="G1330" s="168" t="s">
        <v>633</v>
      </c>
      <c r="H1330" s="168" t="s">
        <v>608</v>
      </c>
      <c r="I1330">
        <v>0</v>
      </c>
    </row>
    <row r="1331" spans="1:9" x14ac:dyDescent="0.3">
      <c r="A1331">
        <v>21</v>
      </c>
      <c r="B1331" s="168" t="s">
        <v>27</v>
      </c>
      <c r="C1331" s="168" t="s">
        <v>29</v>
      </c>
      <c r="D1331">
        <v>4779.7</v>
      </c>
      <c r="E1331">
        <v>2021</v>
      </c>
      <c r="F1331" s="168" t="s">
        <v>592</v>
      </c>
      <c r="G1331" s="168" t="s">
        <v>633</v>
      </c>
      <c r="H1331" s="168" t="s">
        <v>609</v>
      </c>
      <c r="I1331">
        <v>12466.396114955282</v>
      </c>
    </row>
    <row r="1332" spans="1:9" x14ac:dyDescent="0.3">
      <c r="A1332">
        <v>21</v>
      </c>
      <c r="B1332" s="168" t="s">
        <v>27</v>
      </c>
      <c r="C1332" s="168" t="s">
        <v>29</v>
      </c>
      <c r="D1332">
        <v>4779.7</v>
      </c>
      <c r="E1332">
        <v>2021</v>
      </c>
      <c r="F1332" s="168" t="s">
        <v>592</v>
      </c>
      <c r="G1332" s="168" t="s">
        <v>611</v>
      </c>
      <c r="H1332" s="168" t="s">
        <v>608</v>
      </c>
      <c r="I1332">
        <v>0</v>
      </c>
    </row>
    <row r="1333" spans="1:9" x14ac:dyDescent="0.3">
      <c r="A1333">
        <v>21</v>
      </c>
      <c r="B1333" s="168" t="s">
        <v>27</v>
      </c>
      <c r="C1333" s="168" t="s">
        <v>29</v>
      </c>
      <c r="D1333">
        <v>4779.7</v>
      </c>
      <c r="E1333">
        <v>2021</v>
      </c>
      <c r="F1333" s="168" t="s">
        <v>592</v>
      </c>
      <c r="G1333" s="168" t="s">
        <v>611</v>
      </c>
      <c r="H1333" s="168" t="s">
        <v>609</v>
      </c>
      <c r="I1333">
        <v>7010</v>
      </c>
    </row>
    <row r="1334" spans="1:9" x14ac:dyDescent="0.3">
      <c r="A1334">
        <v>21</v>
      </c>
      <c r="B1334" s="168" t="s">
        <v>27</v>
      </c>
      <c r="C1334" s="168" t="s">
        <v>29</v>
      </c>
      <c r="D1334">
        <v>4779.7</v>
      </c>
      <c r="E1334">
        <v>2021</v>
      </c>
      <c r="F1334" s="168" t="s">
        <v>592</v>
      </c>
      <c r="G1334" s="168" t="s">
        <v>613</v>
      </c>
      <c r="H1334" s="168" t="s">
        <v>608</v>
      </c>
      <c r="I1334">
        <v>13534.667063104391</v>
      </c>
    </row>
    <row r="1335" spans="1:9" x14ac:dyDescent="0.3">
      <c r="A1335">
        <v>21</v>
      </c>
      <c r="B1335" s="168" t="s">
        <v>27</v>
      </c>
      <c r="C1335" s="168" t="s">
        <v>29</v>
      </c>
      <c r="D1335">
        <v>4779.7</v>
      </c>
      <c r="E1335">
        <v>2021</v>
      </c>
      <c r="F1335" s="168" t="s">
        <v>592</v>
      </c>
      <c r="G1335" s="168" t="s">
        <v>613</v>
      </c>
      <c r="H1335" s="168" t="s">
        <v>609</v>
      </c>
      <c r="I1335">
        <v>297085.9420351414</v>
      </c>
    </row>
    <row r="1336" spans="1:9" x14ac:dyDescent="0.3">
      <c r="A1336">
        <v>21</v>
      </c>
      <c r="B1336" s="168" t="s">
        <v>27</v>
      </c>
      <c r="C1336" s="168" t="s">
        <v>29</v>
      </c>
      <c r="D1336">
        <v>4779.7</v>
      </c>
      <c r="E1336">
        <v>2021</v>
      </c>
      <c r="F1336" s="168" t="s">
        <v>592</v>
      </c>
      <c r="G1336" s="168" t="s">
        <v>622</v>
      </c>
      <c r="H1336" s="168" t="s">
        <v>608</v>
      </c>
      <c r="I1336">
        <v>53284.876956405322</v>
      </c>
    </row>
    <row r="1337" spans="1:9" x14ac:dyDescent="0.3">
      <c r="A1337">
        <v>21</v>
      </c>
      <c r="B1337" s="168" t="s">
        <v>27</v>
      </c>
      <c r="C1337" s="168" t="s">
        <v>29</v>
      </c>
      <c r="D1337">
        <v>4779.7</v>
      </c>
      <c r="E1337">
        <v>2021</v>
      </c>
      <c r="F1337" s="168" t="s">
        <v>592</v>
      </c>
      <c r="G1337" s="168" t="s">
        <v>622</v>
      </c>
      <c r="H1337" s="168" t="s">
        <v>609</v>
      </c>
      <c r="I1337">
        <v>0</v>
      </c>
    </row>
    <row r="1338" spans="1:9" x14ac:dyDescent="0.3">
      <c r="A1338">
        <v>22</v>
      </c>
      <c r="B1338" s="168" t="s">
        <v>30</v>
      </c>
      <c r="C1338" s="168" t="s">
        <v>31</v>
      </c>
      <c r="D1338">
        <v>3918.8</v>
      </c>
      <c r="E1338">
        <v>2021</v>
      </c>
      <c r="F1338" s="168" t="s">
        <v>591</v>
      </c>
      <c r="G1338" s="168" t="s">
        <v>607</v>
      </c>
      <c r="H1338" s="168" t="s">
        <v>608</v>
      </c>
      <c r="I1338">
        <v>906162.68400000001</v>
      </c>
    </row>
    <row r="1339" spans="1:9" x14ac:dyDescent="0.3">
      <c r="A1339">
        <v>22</v>
      </c>
      <c r="B1339" s="168" t="s">
        <v>30</v>
      </c>
      <c r="C1339" s="168" t="s">
        <v>31</v>
      </c>
      <c r="D1339">
        <v>3918.8</v>
      </c>
      <c r="E1339">
        <v>2021</v>
      </c>
      <c r="F1339" s="168" t="s">
        <v>591</v>
      </c>
      <c r="G1339" s="168" t="s">
        <v>607</v>
      </c>
      <c r="H1339" s="168" t="s">
        <v>609</v>
      </c>
      <c r="I1339">
        <v>388355.43600000005</v>
      </c>
    </row>
    <row r="1340" spans="1:9" x14ac:dyDescent="0.3">
      <c r="A1340">
        <v>22</v>
      </c>
      <c r="B1340" s="168" t="s">
        <v>30</v>
      </c>
      <c r="C1340" s="168" t="s">
        <v>31</v>
      </c>
      <c r="D1340">
        <v>3918.8</v>
      </c>
      <c r="E1340">
        <v>2021</v>
      </c>
      <c r="F1340" s="168" t="s">
        <v>591</v>
      </c>
      <c r="G1340" s="168" t="s">
        <v>612</v>
      </c>
      <c r="H1340" s="168" t="s">
        <v>608</v>
      </c>
      <c r="I1340">
        <v>21813.708436196241</v>
      </c>
    </row>
    <row r="1341" spans="1:9" x14ac:dyDescent="0.3">
      <c r="A1341">
        <v>22</v>
      </c>
      <c r="B1341" s="168" t="s">
        <v>30</v>
      </c>
      <c r="C1341" s="168" t="s">
        <v>31</v>
      </c>
      <c r="D1341">
        <v>3918.8</v>
      </c>
      <c r="E1341">
        <v>2021</v>
      </c>
      <c r="F1341" s="168" t="s">
        <v>591</v>
      </c>
      <c r="G1341" s="168" t="s">
        <v>612</v>
      </c>
      <c r="H1341" s="168" t="s">
        <v>609</v>
      </c>
      <c r="I1341">
        <v>23427.922860474762</v>
      </c>
    </row>
    <row r="1342" spans="1:9" x14ac:dyDescent="0.3">
      <c r="A1342">
        <v>22</v>
      </c>
      <c r="B1342" s="168" t="s">
        <v>30</v>
      </c>
      <c r="C1342" s="168" t="s">
        <v>31</v>
      </c>
      <c r="D1342">
        <v>3918.8</v>
      </c>
      <c r="E1342">
        <v>2021</v>
      </c>
      <c r="F1342" s="168" t="s">
        <v>591</v>
      </c>
      <c r="G1342" s="168" t="s">
        <v>629</v>
      </c>
      <c r="H1342" s="168" t="s">
        <v>608</v>
      </c>
      <c r="I1342">
        <v>0</v>
      </c>
    </row>
    <row r="1343" spans="1:9" x14ac:dyDescent="0.3">
      <c r="A1343">
        <v>22</v>
      </c>
      <c r="B1343" s="168" t="s">
        <v>30</v>
      </c>
      <c r="C1343" s="168" t="s">
        <v>31</v>
      </c>
      <c r="D1343">
        <v>3918.8</v>
      </c>
      <c r="E1343">
        <v>2021</v>
      </c>
      <c r="F1343" s="168" t="s">
        <v>591</v>
      </c>
      <c r="G1343" s="168" t="s">
        <v>629</v>
      </c>
      <c r="H1343" s="168" t="s">
        <v>609</v>
      </c>
      <c r="I1343">
        <v>29031.243490663041</v>
      </c>
    </row>
    <row r="1344" spans="1:9" x14ac:dyDescent="0.3">
      <c r="A1344">
        <v>22</v>
      </c>
      <c r="B1344" s="168" t="s">
        <v>30</v>
      </c>
      <c r="C1344" s="168" t="s">
        <v>31</v>
      </c>
      <c r="D1344">
        <v>3918.8</v>
      </c>
      <c r="E1344">
        <v>2021</v>
      </c>
      <c r="F1344" s="168" t="s">
        <v>591</v>
      </c>
      <c r="G1344" s="168" t="s">
        <v>610</v>
      </c>
      <c r="H1344" s="168" t="s">
        <v>608</v>
      </c>
      <c r="I1344">
        <v>0</v>
      </c>
    </row>
    <row r="1345" spans="1:9" x14ac:dyDescent="0.3">
      <c r="A1345">
        <v>22</v>
      </c>
      <c r="B1345" s="168" t="s">
        <v>30</v>
      </c>
      <c r="C1345" s="168" t="s">
        <v>31</v>
      </c>
      <c r="D1345">
        <v>3918.8</v>
      </c>
      <c r="E1345">
        <v>2021</v>
      </c>
      <c r="F1345" s="168" t="s">
        <v>591</v>
      </c>
      <c r="G1345" s="168" t="s">
        <v>610</v>
      </c>
      <c r="H1345" s="168" t="s">
        <v>609</v>
      </c>
      <c r="I1345">
        <v>6545.454545454545</v>
      </c>
    </row>
    <row r="1346" spans="1:9" x14ac:dyDescent="0.3">
      <c r="A1346">
        <v>22</v>
      </c>
      <c r="B1346" s="168" t="s">
        <v>30</v>
      </c>
      <c r="C1346" s="168" t="s">
        <v>31</v>
      </c>
      <c r="D1346">
        <v>3918.8</v>
      </c>
      <c r="E1346">
        <v>2021</v>
      </c>
      <c r="F1346" s="168" t="s">
        <v>591</v>
      </c>
      <c r="G1346" s="168" t="s">
        <v>633</v>
      </c>
      <c r="H1346" s="168" t="s">
        <v>608</v>
      </c>
      <c r="I1346">
        <v>0</v>
      </c>
    </row>
    <row r="1347" spans="1:9" x14ac:dyDescent="0.3">
      <c r="A1347">
        <v>22</v>
      </c>
      <c r="B1347" s="168" t="s">
        <v>30</v>
      </c>
      <c r="C1347" s="168" t="s">
        <v>31</v>
      </c>
      <c r="D1347">
        <v>3918.8</v>
      </c>
      <c r="E1347">
        <v>2021</v>
      </c>
      <c r="F1347" s="168" t="s">
        <v>591</v>
      </c>
      <c r="G1347" s="168" t="s">
        <v>633</v>
      </c>
      <c r="H1347" s="168" t="s">
        <v>609</v>
      </c>
      <c r="I1347">
        <v>10220.999873483011</v>
      </c>
    </row>
    <row r="1348" spans="1:9" x14ac:dyDescent="0.3">
      <c r="A1348">
        <v>22</v>
      </c>
      <c r="B1348" s="168" t="s">
        <v>30</v>
      </c>
      <c r="C1348" s="168" t="s">
        <v>31</v>
      </c>
      <c r="D1348">
        <v>3918.8</v>
      </c>
      <c r="E1348">
        <v>2021</v>
      </c>
      <c r="F1348" s="168" t="s">
        <v>591</v>
      </c>
      <c r="G1348" s="168" t="s">
        <v>623</v>
      </c>
      <c r="H1348" s="168" t="s">
        <v>608</v>
      </c>
      <c r="I1348">
        <v>81466.7</v>
      </c>
    </row>
    <row r="1349" spans="1:9" x14ac:dyDescent="0.3">
      <c r="A1349">
        <v>22</v>
      </c>
      <c r="B1349" s="168" t="s">
        <v>30</v>
      </c>
      <c r="C1349" s="168" t="s">
        <v>31</v>
      </c>
      <c r="D1349">
        <v>3918.8</v>
      </c>
      <c r="E1349">
        <v>2021</v>
      </c>
      <c r="F1349" s="168" t="s">
        <v>591</v>
      </c>
      <c r="G1349" s="168" t="s">
        <v>623</v>
      </c>
      <c r="H1349" s="168" t="s">
        <v>609</v>
      </c>
      <c r="I1349">
        <v>16293.34</v>
      </c>
    </row>
    <row r="1350" spans="1:9" x14ac:dyDescent="0.3">
      <c r="A1350">
        <v>22</v>
      </c>
      <c r="B1350" s="168" t="s">
        <v>30</v>
      </c>
      <c r="C1350" s="168" t="s">
        <v>31</v>
      </c>
      <c r="D1350">
        <v>3918.8</v>
      </c>
      <c r="E1350">
        <v>2021</v>
      </c>
      <c r="F1350" s="168" t="s">
        <v>591</v>
      </c>
      <c r="G1350" s="168" t="s">
        <v>613</v>
      </c>
      <c r="H1350" s="168" t="s">
        <v>608</v>
      </c>
      <c r="I1350">
        <v>11096.858231038243</v>
      </c>
    </row>
    <row r="1351" spans="1:9" x14ac:dyDescent="0.3">
      <c r="A1351">
        <v>22</v>
      </c>
      <c r="B1351" s="168" t="s">
        <v>30</v>
      </c>
      <c r="C1351" s="168" t="s">
        <v>31</v>
      </c>
      <c r="D1351">
        <v>3918.8</v>
      </c>
      <c r="E1351">
        <v>2021</v>
      </c>
      <c r="F1351" s="168" t="s">
        <v>591</v>
      </c>
      <c r="G1351" s="168" t="s">
        <v>613</v>
      </c>
      <c r="H1351" s="168" t="s">
        <v>609</v>
      </c>
      <c r="I1351">
        <v>243576.03817128943</v>
      </c>
    </row>
    <row r="1352" spans="1:9" x14ac:dyDescent="0.3">
      <c r="A1352">
        <v>23</v>
      </c>
      <c r="B1352" s="168" t="s">
        <v>32</v>
      </c>
      <c r="C1352" s="168" t="s">
        <v>33</v>
      </c>
      <c r="D1352">
        <v>4394.6000000000004</v>
      </c>
      <c r="E1352">
        <v>2021</v>
      </c>
      <c r="F1352" s="168" t="s">
        <v>592</v>
      </c>
      <c r="G1352" s="168" t="s">
        <v>607</v>
      </c>
      <c r="H1352" s="168" t="s">
        <v>608</v>
      </c>
      <c r="I1352">
        <v>71280.968276676431</v>
      </c>
    </row>
    <row r="1353" spans="1:9" x14ac:dyDescent="0.3">
      <c r="A1353">
        <v>23</v>
      </c>
      <c r="B1353" s="168" t="s">
        <v>32</v>
      </c>
      <c r="C1353" s="168" t="s">
        <v>33</v>
      </c>
      <c r="D1353">
        <v>4394.6000000000004</v>
      </c>
      <c r="E1353">
        <v>2021</v>
      </c>
      <c r="F1353" s="168" t="s">
        <v>592</v>
      </c>
      <c r="G1353" s="168" t="s">
        <v>607</v>
      </c>
      <c r="H1353" s="168" t="s">
        <v>609</v>
      </c>
      <c r="I1353">
        <v>527659.14917327359</v>
      </c>
    </row>
    <row r="1354" spans="1:9" x14ac:dyDescent="0.3">
      <c r="A1354">
        <v>23</v>
      </c>
      <c r="B1354" s="168" t="s">
        <v>32</v>
      </c>
      <c r="C1354" s="168" t="s">
        <v>33</v>
      </c>
      <c r="D1354">
        <v>4394.6000000000004</v>
      </c>
      <c r="E1354">
        <v>2021</v>
      </c>
      <c r="F1354" s="168" t="s">
        <v>592</v>
      </c>
      <c r="G1354" s="168" t="s">
        <v>612</v>
      </c>
      <c r="H1354" s="168" t="s">
        <v>608</v>
      </c>
      <c r="I1354">
        <v>24462.213711776054</v>
      </c>
    </row>
    <row r="1355" spans="1:9" x14ac:dyDescent="0.3">
      <c r="A1355">
        <v>23</v>
      </c>
      <c r="B1355" s="168" t="s">
        <v>32</v>
      </c>
      <c r="C1355" s="168" t="s">
        <v>33</v>
      </c>
      <c r="D1355">
        <v>4394.6000000000004</v>
      </c>
      <c r="E1355">
        <v>2021</v>
      </c>
      <c r="F1355" s="168" t="s">
        <v>592</v>
      </c>
      <c r="G1355" s="168" t="s">
        <v>612</v>
      </c>
      <c r="H1355" s="168" t="s">
        <v>609</v>
      </c>
      <c r="I1355">
        <v>26272.417526447483</v>
      </c>
    </row>
    <row r="1356" spans="1:9" x14ac:dyDescent="0.3">
      <c r="A1356">
        <v>23</v>
      </c>
      <c r="B1356" s="168" t="s">
        <v>32</v>
      </c>
      <c r="C1356" s="168" t="s">
        <v>33</v>
      </c>
      <c r="D1356">
        <v>4394.6000000000004</v>
      </c>
      <c r="E1356">
        <v>2021</v>
      </c>
      <c r="F1356" s="168" t="s">
        <v>592</v>
      </c>
      <c r="G1356" s="168" t="s">
        <v>629</v>
      </c>
      <c r="H1356" s="168" t="s">
        <v>608</v>
      </c>
      <c r="I1356">
        <v>0</v>
      </c>
    </row>
    <row r="1357" spans="1:9" x14ac:dyDescent="0.3">
      <c r="A1357">
        <v>23</v>
      </c>
      <c r="B1357" s="168" t="s">
        <v>32</v>
      </c>
      <c r="C1357" s="168" t="s">
        <v>33</v>
      </c>
      <c r="D1357">
        <v>4394.6000000000004</v>
      </c>
      <c r="E1357">
        <v>2021</v>
      </c>
      <c r="F1357" s="168" t="s">
        <v>592</v>
      </c>
      <c r="G1357" s="168" t="s">
        <v>629</v>
      </c>
      <c r="H1357" s="168" t="s">
        <v>609</v>
      </c>
      <c r="I1357">
        <v>29471.110816279146</v>
      </c>
    </row>
    <row r="1358" spans="1:9" x14ac:dyDescent="0.3">
      <c r="A1358">
        <v>23</v>
      </c>
      <c r="B1358" s="168" t="s">
        <v>32</v>
      </c>
      <c r="C1358" s="168" t="s">
        <v>33</v>
      </c>
      <c r="D1358">
        <v>4394.6000000000004</v>
      </c>
      <c r="E1358">
        <v>2021</v>
      </c>
      <c r="F1358" s="168" t="s">
        <v>592</v>
      </c>
      <c r="G1358" s="168" t="s">
        <v>617</v>
      </c>
      <c r="H1358" s="168" t="s">
        <v>608</v>
      </c>
      <c r="I1358">
        <v>0</v>
      </c>
    </row>
    <row r="1359" spans="1:9" x14ac:dyDescent="0.3">
      <c r="A1359">
        <v>23</v>
      </c>
      <c r="B1359" s="168" t="s">
        <v>32</v>
      </c>
      <c r="C1359" s="168" t="s">
        <v>33</v>
      </c>
      <c r="D1359">
        <v>4394.6000000000004</v>
      </c>
      <c r="E1359">
        <v>2021</v>
      </c>
      <c r="F1359" s="168" t="s">
        <v>592</v>
      </c>
      <c r="G1359" s="168" t="s">
        <v>617</v>
      </c>
      <c r="H1359" s="168" t="s">
        <v>609</v>
      </c>
      <c r="I1359">
        <v>10075.947855367569</v>
      </c>
    </row>
    <row r="1360" spans="1:9" x14ac:dyDescent="0.3">
      <c r="A1360">
        <v>23</v>
      </c>
      <c r="B1360" s="168" t="s">
        <v>32</v>
      </c>
      <c r="C1360" s="168" t="s">
        <v>33</v>
      </c>
      <c r="D1360">
        <v>4394.6000000000004</v>
      </c>
      <c r="E1360">
        <v>2021</v>
      </c>
      <c r="F1360" s="168" t="s">
        <v>592</v>
      </c>
      <c r="G1360" s="168" t="s">
        <v>610</v>
      </c>
      <c r="H1360" s="168" t="s">
        <v>608</v>
      </c>
      <c r="I1360">
        <v>0</v>
      </c>
    </row>
    <row r="1361" spans="1:9" x14ac:dyDescent="0.3">
      <c r="A1361">
        <v>23</v>
      </c>
      <c r="B1361" s="168" t="s">
        <v>32</v>
      </c>
      <c r="C1361" s="168" t="s">
        <v>33</v>
      </c>
      <c r="D1361">
        <v>4394.6000000000004</v>
      </c>
      <c r="E1361">
        <v>2021</v>
      </c>
      <c r="F1361" s="168" t="s">
        <v>592</v>
      </c>
      <c r="G1361" s="168" t="s">
        <v>610</v>
      </c>
      <c r="H1361" s="168" t="s">
        <v>609</v>
      </c>
      <c r="I1361">
        <v>3272.7272727272725</v>
      </c>
    </row>
    <row r="1362" spans="1:9" x14ac:dyDescent="0.3">
      <c r="A1362">
        <v>23</v>
      </c>
      <c r="B1362" s="168" t="s">
        <v>32</v>
      </c>
      <c r="C1362" s="168" t="s">
        <v>33</v>
      </c>
      <c r="D1362">
        <v>4394.6000000000004</v>
      </c>
      <c r="E1362">
        <v>2021</v>
      </c>
      <c r="F1362" s="168" t="s">
        <v>592</v>
      </c>
      <c r="G1362" s="168" t="s">
        <v>633</v>
      </c>
      <c r="H1362" s="168" t="s">
        <v>608</v>
      </c>
      <c r="I1362">
        <v>0</v>
      </c>
    </row>
    <row r="1363" spans="1:9" x14ac:dyDescent="0.3">
      <c r="A1363">
        <v>23</v>
      </c>
      <c r="B1363" s="168" t="s">
        <v>32</v>
      </c>
      <c r="C1363" s="168" t="s">
        <v>33</v>
      </c>
      <c r="D1363">
        <v>4394.6000000000004</v>
      </c>
      <c r="E1363">
        <v>2021</v>
      </c>
      <c r="F1363" s="168" t="s">
        <v>592</v>
      </c>
      <c r="G1363" s="168" t="s">
        <v>633</v>
      </c>
      <c r="H1363" s="168" t="s">
        <v>609</v>
      </c>
      <c r="I1363">
        <v>11461.97969888957</v>
      </c>
    </row>
    <row r="1364" spans="1:9" x14ac:dyDescent="0.3">
      <c r="A1364">
        <v>23</v>
      </c>
      <c r="B1364" s="168" t="s">
        <v>32</v>
      </c>
      <c r="C1364" s="168" t="s">
        <v>33</v>
      </c>
      <c r="D1364">
        <v>4394.6000000000004</v>
      </c>
      <c r="E1364">
        <v>2021</v>
      </c>
      <c r="F1364" s="168" t="s">
        <v>592</v>
      </c>
      <c r="G1364" s="168" t="s">
        <v>613</v>
      </c>
      <c r="H1364" s="168" t="s">
        <v>608</v>
      </c>
      <c r="I1364">
        <v>12444.180152628524</v>
      </c>
    </row>
    <row r="1365" spans="1:9" x14ac:dyDescent="0.3">
      <c r="A1365">
        <v>23</v>
      </c>
      <c r="B1365" s="168" t="s">
        <v>32</v>
      </c>
      <c r="C1365" s="168" t="s">
        <v>33</v>
      </c>
      <c r="D1365">
        <v>4394.6000000000004</v>
      </c>
      <c r="E1365">
        <v>2021</v>
      </c>
      <c r="F1365" s="168" t="s">
        <v>592</v>
      </c>
      <c r="G1365" s="168" t="s">
        <v>613</v>
      </c>
      <c r="H1365" s="168" t="s">
        <v>609</v>
      </c>
      <c r="I1365">
        <v>273149.7543501961</v>
      </c>
    </row>
    <row r="1366" spans="1:9" x14ac:dyDescent="0.3">
      <c r="A1366">
        <v>24</v>
      </c>
      <c r="B1366" s="168" t="s">
        <v>34</v>
      </c>
      <c r="C1366" s="168" t="s">
        <v>35</v>
      </c>
      <c r="D1366">
        <v>17.5</v>
      </c>
      <c r="E1366">
        <v>2021</v>
      </c>
      <c r="F1366" s="168" t="s">
        <v>593</v>
      </c>
      <c r="G1366" s="168" t="s">
        <v>607</v>
      </c>
      <c r="H1366" s="168" t="s">
        <v>608</v>
      </c>
      <c r="I1366">
        <v>0</v>
      </c>
    </row>
    <row r="1367" spans="1:9" x14ac:dyDescent="0.3">
      <c r="A1367">
        <v>24</v>
      </c>
      <c r="B1367" s="168" t="s">
        <v>34</v>
      </c>
      <c r="C1367" s="168" t="s">
        <v>35</v>
      </c>
      <c r="D1367">
        <v>17.5</v>
      </c>
      <c r="E1367">
        <v>2021</v>
      </c>
      <c r="F1367" s="168" t="s">
        <v>593</v>
      </c>
      <c r="G1367" s="168" t="s">
        <v>607</v>
      </c>
      <c r="H1367" s="168" t="s">
        <v>609</v>
      </c>
      <c r="I1367">
        <v>1298.8675241043077</v>
      </c>
    </row>
    <row r="1368" spans="1:9" x14ac:dyDescent="0.3">
      <c r="A1368">
        <v>24</v>
      </c>
      <c r="B1368" s="168" t="s">
        <v>34</v>
      </c>
      <c r="C1368" s="168" t="s">
        <v>35</v>
      </c>
      <c r="D1368">
        <v>17.5</v>
      </c>
      <c r="E1368">
        <v>2021</v>
      </c>
      <c r="F1368" s="168" t="s">
        <v>593</v>
      </c>
      <c r="G1368" s="168" t="s">
        <v>612</v>
      </c>
      <c r="H1368" s="168" t="s">
        <v>608</v>
      </c>
      <c r="I1368">
        <v>97.412447084167141</v>
      </c>
    </row>
    <row r="1369" spans="1:9" x14ac:dyDescent="0.3">
      <c r="A1369">
        <v>24</v>
      </c>
      <c r="B1369" s="168" t="s">
        <v>34</v>
      </c>
      <c r="C1369" s="168" t="s">
        <v>35</v>
      </c>
      <c r="D1369">
        <v>17.5</v>
      </c>
      <c r="E1369">
        <v>2021</v>
      </c>
      <c r="F1369" s="168" t="s">
        <v>593</v>
      </c>
      <c r="G1369" s="168" t="s">
        <v>612</v>
      </c>
      <c r="H1369" s="168" t="s">
        <v>609</v>
      </c>
      <c r="I1369">
        <v>104.62096816839551</v>
      </c>
    </row>
    <row r="1370" spans="1:9" x14ac:dyDescent="0.3">
      <c r="A1370">
        <v>24</v>
      </c>
      <c r="B1370" s="168" t="s">
        <v>34</v>
      </c>
      <c r="C1370" s="168" t="s">
        <v>35</v>
      </c>
      <c r="D1370">
        <v>17.5</v>
      </c>
      <c r="E1370">
        <v>2021</v>
      </c>
      <c r="F1370" s="168" t="s">
        <v>593</v>
      </c>
      <c r="G1370" s="168" t="s">
        <v>617</v>
      </c>
      <c r="H1370" s="168" t="s">
        <v>608</v>
      </c>
      <c r="I1370">
        <v>0</v>
      </c>
    </row>
    <row r="1371" spans="1:9" x14ac:dyDescent="0.3">
      <c r="A1371">
        <v>24</v>
      </c>
      <c r="B1371" s="168" t="s">
        <v>34</v>
      </c>
      <c r="C1371" s="168" t="s">
        <v>35</v>
      </c>
      <c r="D1371">
        <v>17.5</v>
      </c>
      <c r="E1371">
        <v>2021</v>
      </c>
      <c r="F1371" s="168" t="s">
        <v>593</v>
      </c>
      <c r="G1371" s="168" t="s">
        <v>617</v>
      </c>
      <c r="H1371" s="168" t="s">
        <v>609</v>
      </c>
      <c r="I1371">
        <v>24.547936665210123</v>
      </c>
    </row>
    <row r="1372" spans="1:9" x14ac:dyDescent="0.3">
      <c r="A1372">
        <v>25</v>
      </c>
      <c r="B1372" s="168" t="s">
        <v>21</v>
      </c>
      <c r="C1372" s="168" t="s">
        <v>36</v>
      </c>
      <c r="D1372">
        <v>95</v>
      </c>
      <c r="E1372">
        <v>2021</v>
      </c>
      <c r="F1372" s="168" t="s">
        <v>593</v>
      </c>
      <c r="G1372" s="168" t="s">
        <v>607</v>
      </c>
      <c r="H1372" s="168" t="s">
        <v>608</v>
      </c>
      <c r="I1372">
        <v>0</v>
      </c>
    </row>
    <row r="1373" spans="1:9" x14ac:dyDescent="0.3">
      <c r="A1373">
        <v>25</v>
      </c>
      <c r="B1373" s="168" t="s">
        <v>21</v>
      </c>
      <c r="C1373" s="168" t="s">
        <v>36</v>
      </c>
      <c r="D1373">
        <v>95</v>
      </c>
      <c r="E1373">
        <v>2021</v>
      </c>
      <c r="F1373" s="168" t="s">
        <v>593</v>
      </c>
      <c r="G1373" s="168" t="s">
        <v>607</v>
      </c>
      <c r="H1373" s="168" t="s">
        <v>609</v>
      </c>
      <c r="I1373">
        <v>7050.9951308519667</v>
      </c>
    </row>
    <row r="1374" spans="1:9" x14ac:dyDescent="0.3">
      <c r="A1374">
        <v>25</v>
      </c>
      <c r="B1374" s="168" t="s">
        <v>21</v>
      </c>
      <c r="C1374" s="168" t="s">
        <v>36</v>
      </c>
      <c r="D1374">
        <v>95</v>
      </c>
      <c r="E1374">
        <v>2021</v>
      </c>
      <c r="F1374" s="168" t="s">
        <v>593</v>
      </c>
      <c r="G1374" s="168" t="s">
        <v>612</v>
      </c>
      <c r="H1374" s="168" t="s">
        <v>608</v>
      </c>
      <c r="I1374">
        <v>528.81042702833588</v>
      </c>
    </row>
    <row r="1375" spans="1:9" x14ac:dyDescent="0.3">
      <c r="A1375">
        <v>25</v>
      </c>
      <c r="B1375" s="168" t="s">
        <v>21</v>
      </c>
      <c r="C1375" s="168" t="s">
        <v>36</v>
      </c>
      <c r="D1375">
        <v>95</v>
      </c>
      <c r="E1375">
        <v>2021</v>
      </c>
      <c r="F1375" s="168" t="s">
        <v>593</v>
      </c>
      <c r="G1375" s="168" t="s">
        <v>612</v>
      </c>
      <c r="H1375" s="168" t="s">
        <v>609</v>
      </c>
      <c r="I1375">
        <v>567.94239862843267</v>
      </c>
    </row>
    <row r="1376" spans="1:9" x14ac:dyDescent="0.3">
      <c r="A1376">
        <v>25</v>
      </c>
      <c r="B1376" s="168" t="s">
        <v>21</v>
      </c>
      <c r="C1376" s="168" t="s">
        <v>36</v>
      </c>
      <c r="D1376">
        <v>95</v>
      </c>
      <c r="E1376">
        <v>2021</v>
      </c>
      <c r="F1376" s="168" t="s">
        <v>593</v>
      </c>
      <c r="G1376" s="168" t="s">
        <v>617</v>
      </c>
      <c r="H1376" s="168" t="s">
        <v>608</v>
      </c>
      <c r="I1376">
        <v>0</v>
      </c>
    </row>
    <row r="1377" spans="1:9" x14ac:dyDescent="0.3">
      <c r="A1377">
        <v>25</v>
      </c>
      <c r="B1377" s="168" t="s">
        <v>21</v>
      </c>
      <c r="C1377" s="168" t="s">
        <v>36</v>
      </c>
      <c r="D1377">
        <v>95</v>
      </c>
      <c r="E1377">
        <v>2021</v>
      </c>
      <c r="F1377" s="168" t="s">
        <v>593</v>
      </c>
      <c r="G1377" s="168" t="s">
        <v>617</v>
      </c>
      <c r="H1377" s="168" t="s">
        <v>609</v>
      </c>
      <c r="I1377">
        <v>133.26022761114066</v>
      </c>
    </row>
    <row r="1378" spans="1:9" x14ac:dyDescent="0.3">
      <c r="A1378">
        <v>25</v>
      </c>
      <c r="B1378" s="168" t="s">
        <v>21</v>
      </c>
      <c r="C1378" s="168" t="s">
        <v>36</v>
      </c>
      <c r="D1378">
        <v>95</v>
      </c>
      <c r="E1378">
        <v>2021</v>
      </c>
      <c r="F1378" s="168" t="s">
        <v>593</v>
      </c>
      <c r="G1378" s="168" t="s">
        <v>610</v>
      </c>
      <c r="H1378" s="168" t="s">
        <v>608</v>
      </c>
      <c r="I1378">
        <v>0</v>
      </c>
    </row>
    <row r="1379" spans="1:9" x14ac:dyDescent="0.3">
      <c r="A1379">
        <v>25</v>
      </c>
      <c r="B1379" s="168" t="s">
        <v>21</v>
      </c>
      <c r="C1379" s="168" t="s">
        <v>36</v>
      </c>
      <c r="D1379">
        <v>95</v>
      </c>
      <c r="E1379">
        <v>2021</v>
      </c>
      <c r="F1379" s="168" t="s">
        <v>593</v>
      </c>
      <c r="G1379" s="168" t="s">
        <v>610</v>
      </c>
      <c r="H1379" s="168" t="s">
        <v>609</v>
      </c>
      <c r="I1379">
        <v>3272.7272727272725</v>
      </c>
    </row>
    <row r="1380" spans="1:9" x14ac:dyDescent="0.3">
      <c r="A1380">
        <v>26</v>
      </c>
      <c r="B1380" s="168" t="s">
        <v>37</v>
      </c>
      <c r="C1380" s="168" t="s">
        <v>38</v>
      </c>
      <c r="D1380">
        <v>4151.6000000000004</v>
      </c>
      <c r="E1380">
        <v>2021</v>
      </c>
      <c r="F1380" s="168" t="s">
        <v>592</v>
      </c>
      <c r="G1380" s="168" t="s">
        <v>612</v>
      </c>
      <c r="H1380" s="168" t="s">
        <v>608</v>
      </c>
      <c r="I1380">
        <v>23109.572303693047</v>
      </c>
    </row>
    <row r="1381" spans="1:9" x14ac:dyDescent="0.3">
      <c r="A1381">
        <v>26</v>
      </c>
      <c r="B1381" s="168" t="s">
        <v>37</v>
      </c>
      <c r="C1381" s="168" t="s">
        <v>38</v>
      </c>
      <c r="D1381">
        <v>4151.6000000000004</v>
      </c>
      <c r="E1381">
        <v>2021</v>
      </c>
      <c r="F1381" s="168" t="s">
        <v>592</v>
      </c>
      <c r="G1381" s="168" t="s">
        <v>612</v>
      </c>
      <c r="H1381" s="168" t="s">
        <v>609</v>
      </c>
      <c r="I1381">
        <v>24819.680654166332</v>
      </c>
    </row>
    <row r="1382" spans="1:9" x14ac:dyDescent="0.3">
      <c r="A1382">
        <v>26</v>
      </c>
      <c r="B1382" s="168" t="s">
        <v>37</v>
      </c>
      <c r="C1382" s="168" t="s">
        <v>38</v>
      </c>
      <c r="D1382">
        <v>4151.6000000000004</v>
      </c>
      <c r="E1382">
        <v>2021</v>
      </c>
      <c r="F1382" s="168" t="s">
        <v>592</v>
      </c>
      <c r="G1382" s="168" t="s">
        <v>629</v>
      </c>
      <c r="H1382" s="168" t="s">
        <v>608</v>
      </c>
      <c r="I1382">
        <v>0</v>
      </c>
    </row>
    <row r="1383" spans="1:9" x14ac:dyDescent="0.3">
      <c r="A1383">
        <v>26</v>
      </c>
      <c r="B1383" s="168" t="s">
        <v>37</v>
      </c>
      <c r="C1383" s="168" t="s">
        <v>38</v>
      </c>
      <c r="D1383">
        <v>4151.6000000000004</v>
      </c>
      <c r="E1383">
        <v>2021</v>
      </c>
      <c r="F1383" s="168" t="s">
        <v>592</v>
      </c>
      <c r="G1383" s="168" t="s">
        <v>629</v>
      </c>
      <c r="H1383" s="168" t="s">
        <v>609</v>
      </c>
      <c r="I1383">
        <v>249914.07811507981</v>
      </c>
    </row>
    <row r="1384" spans="1:9" x14ac:dyDescent="0.3">
      <c r="A1384">
        <v>26</v>
      </c>
      <c r="B1384" s="168" t="s">
        <v>37</v>
      </c>
      <c r="C1384" s="168" t="s">
        <v>38</v>
      </c>
      <c r="D1384">
        <v>4151.6000000000004</v>
      </c>
      <c r="E1384">
        <v>2021</v>
      </c>
      <c r="F1384" s="168" t="s">
        <v>592</v>
      </c>
      <c r="G1384" s="168" t="s">
        <v>617</v>
      </c>
      <c r="H1384" s="168" t="s">
        <v>608</v>
      </c>
      <c r="I1384">
        <v>0</v>
      </c>
    </row>
    <row r="1385" spans="1:9" x14ac:dyDescent="0.3">
      <c r="A1385">
        <v>26</v>
      </c>
      <c r="B1385" s="168" t="s">
        <v>37</v>
      </c>
      <c r="C1385" s="168" t="s">
        <v>38</v>
      </c>
      <c r="D1385">
        <v>4151.6000000000004</v>
      </c>
      <c r="E1385">
        <v>2021</v>
      </c>
      <c r="F1385" s="168" t="s">
        <v>592</v>
      </c>
      <c r="G1385" s="168" t="s">
        <v>617</v>
      </c>
      <c r="H1385" s="168" t="s">
        <v>609</v>
      </c>
      <c r="I1385">
        <v>5823.6122205306483</v>
      </c>
    </row>
    <row r="1386" spans="1:9" x14ac:dyDescent="0.3">
      <c r="A1386">
        <v>26</v>
      </c>
      <c r="B1386" s="168" t="s">
        <v>37</v>
      </c>
      <c r="C1386" s="168" t="s">
        <v>38</v>
      </c>
      <c r="D1386">
        <v>4151.6000000000004</v>
      </c>
      <c r="E1386">
        <v>2021</v>
      </c>
      <c r="F1386" s="168" t="s">
        <v>592</v>
      </c>
      <c r="G1386" s="168" t="s">
        <v>610</v>
      </c>
      <c r="H1386" s="168" t="s">
        <v>608</v>
      </c>
      <c r="I1386">
        <v>0</v>
      </c>
    </row>
    <row r="1387" spans="1:9" x14ac:dyDescent="0.3">
      <c r="A1387">
        <v>26</v>
      </c>
      <c r="B1387" s="168" t="s">
        <v>37</v>
      </c>
      <c r="C1387" s="168" t="s">
        <v>38</v>
      </c>
      <c r="D1387">
        <v>4151.6000000000004</v>
      </c>
      <c r="E1387">
        <v>2021</v>
      </c>
      <c r="F1387" s="168" t="s">
        <v>592</v>
      </c>
      <c r="G1387" s="168" t="s">
        <v>610</v>
      </c>
      <c r="H1387" s="168" t="s">
        <v>609</v>
      </c>
      <c r="I1387">
        <v>3272.7272727272725</v>
      </c>
    </row>
    <row r="1388" spans="1:9" x14ac:dyDescent="0.3">
      <c r="A1388">
        <v>26</v>
      </c>
      <c r="B1388" s="168" t="s">
        <v>37</v>
      </c>
      <c r="C1388" s="168" t="s">
        <v>38</v>
      </c>
      <c r="D1388">
        <v>4151.6000000000004</v>
      </c>
      <c r="E1388">
        <v>2021</v>
      </c>
      <c r="F1388" s="168" t="s">
        <v>592</v>
      </c>
      <c r="G1388" s="168" t="s">
        <v>620</v>
      </c>
      <c r="H1388" s="168" t="s">
        <v>608</v>
      </c>
      <c r="I1388">
        <v>18683.998334839733</v>
      </c>
    </row>
    <row r="1389" spans="1:9" x14ac:dyDescent="0.3">
      <c r="A1389">
        <v>26</v>
      </c>
      <c r="B1389" s="168" t="s">
        <v>37</v>
      </c>
      <c r="C1389" s="168" t="s">
        <v>38</v>
      </c>
      <c r="D1389">
        <v>4151.6000000000004</v>
      </c>
      <c r="E1389">
        <v>2021</v>
      </c>
      <c r="F1389" s="168" t="s">
        <v>592</v>
      </c>
      <c r="G1389" s="168" t="s">
        <v>620</v>
      </c>
      <c r="H1389" s="168" t="s">
        <v>609</v>
      </c>
      <c r="I1389">
        <v>2024.0998196076375</v>
      </c>
    </row>
    <row r="1390" spans="1:9" x14ac:dyDescent="0.3">
      <c r="A1390">
        <v>26</v>
      </c>
      <c r="B1390" s="168" t="s">
        <v>37</v>
      </c>
      <c r="C1390" s="168" t="s">
        <v>38</v>
      </c>
      <c r="D1390">
        <v>4151.6000000000004</v>
      </c>
      <c r="E1390">
        <v>2021</v>
      </c>
      <c r="F1390" s="168" t="s">
        <v>592</v>
      </c>
      <c r="G1390" s="168" t="s">
        <v>613</v>
      </c>
      <c r="H1390" s="168" t="s">
        <v>608</v>
      </c>
      <c r="I1390">
        <v>11756.077531891999</v>
      </c>
    </row>
    <row r="1391" spans="1:9" x14ac:dyDescent="0.3">
      <c r="A1391">
        <v>26</v>
      </c>
      <c r="B1391" s="168" t="s">
        <v>37</v>
      </c>
      <c r="C1391" s="168" t="s">
        <v>38</v>
      </c>
      <c r="D1391">
        <v>4151.6000000000004</v>
      </c>
      <c r="E1391">
        <v>2021</v>
      </c>
      <c r="F1391" s="168" t="s">
        <v>592</v>
      </c>
      <c r="G1391" s="168" t="s">
        <v>613</v>
      </c>
      <c r="H1391" s="168" t="s">
        <v>609</v>
      </c>
      <c r="I1391">
        <v>258045.90182502937</v>
      </c>
    </row>
    <row r="1392" spans="1:9" x14ac:dyDescent="0.3">
      <c r="A1392">
        <v>27</v>
      </c>
      <c r="B1392" s="168" t="s">
        <v>39</v>
      </c>
      <c r="C1392" s="168" t="s">
        <v>40</v>
      </c>
      <c r="D1392">
        <v>101.1</v>
      </c>
      <c r="E1392">
        <v>2021</v>
      </c>
      <c r="F1392" s="168" t="s">
        <v>593</v>
      </c>
      <c r="G1392" s="168" t="s">
        <v>612</v>
      </c>
      <c r="H1392" s="168" t="s">
        <v>608</v>
      </c>
      <c r="I1392">
        <v>562.76562286910269</v>
      </c>
    </row>
    <row r="1393" spans="1:9" x14ac:dyDescent="0.3">
      <c r="A1393">
        <v>27</v>
      </c>
      <c r="B1393" s="168" t="s">
        <v>39</v>
      </c>
      <c r="C1393" s="168" t="s">
        <v>40</v>
      </c>
      <c r="D1393">
        <v>101.1</v>
      </c>
      <c r="E1393">
        <v>2021</v>
      </c>
      <c r="F1393" s="168" t="s">
        <v>593</v>
      </c>
      <c r="G1393" s="168" t="s">
        <v>612</v>
      </c>
      <c r="H1393" s="168" t="s">
        <v>609</v>
      </c>
      <c r="I1393">
        <v>604.41027896141622</v>
      </c>
    </row>
    <row r="1394" spans="1:9" x14ac:dyDescent="0.3">
      <c r="A1394">
        <v>27</v>
      </c>
      <c r="B1394" s="168" t="s">
        <v>39</v>
      </c>
      <c r="C1394" s="168" t="s">
        <v>40</v>
      </c>
      <c r="D1394">
        <v>101.1</v>
      </c>
      <c r="E1394">
        <v>2021</v>
      </c>
      <c r="F1394" s="168" t="s">
        <v>593</v>
      </c>
      <c r="G1394" s="168" t="s">
        <v>629</v>
      </c>
      <c r="H1394" s="168" t="s">
        <v>608</v>
      </c>
      <c r="I1394">
        <v>0</v>
      </c>
    </row>
    <row r="1395" spans="1:9" x14ac:dyDescent="0.3">
      <c r="A1395">
        <v>27</v>
      </c>
      <c r="B1395" s="168" t="s">
        <v>39</v>
      </c>
      <c r="C1395" s="168" t="s">
        <v>40</v>
      </c>
      <c r="D1395">
        <v>101.1</v>
      </c>
      <c r="E1395">
        <v>2021</v>
      </c>
      <c r="F1395" s="168" t="s">
        <v>593</v>
      </c>
      <c r="G1395" s="168" t="s">
        <v>629</v>
      </c>
      <c r="H1395" s="168" t="s">
        <v>609</v>
      </c>
      <c r="I1395">
        <v>6085.921884920167</v>
      </c>
    </row>
    <row r="1396" spans="1:9" x14ac:dyDescent="0.3">
      <c r="A1396">
        <v>27</v>
      </c>
      <c r="B1396" s="168" t="s">
        <v>39</v>
      </c>
      <c r="C1396" s="168" t="s">
        <v>40</v>
      </c>
      <c r="D1396">
        <v>101.1</v>
      </c>
      <c r="E1396">
        <v>2021</v>
      </c>
      <c r="F1396" s="168" t="s">
        <v>593</v>
      </c>
      <c r="G1396" s="168" t="s">
        <v>617</v>
      </c>
      <c r="H1396" s="168" t="s">
        <v>608</v>
      </c>
      <c r="I1396">
        <v>0</v>
      </c>
    </row>
    <row r="1397" spans="1:9" x14ac:dyDescent="0.3">
      <c r="A1397">
        <v>27</v>
      </c>
      <c r="B1397" s="168" t="s">
        <v>39</v>
      </c>
      <c r="C1397" s="168" t="s">
        <v>40</v>
      </c>
      <c r="D1397">
        <v>101.1</v>
      </c>
      <c r="E1397">
        <v>2021</v>
      </c>
      <c r="F1397" s="168" t="s">
        <v>593</v>
      </c>
      <c r="G1397" s="168" t="s">
        <v>617</v>
      </c>
      <c r="H1397" s="168" t="s">
        <v>609</v>
      </c>
      <c r="I1397">
        <v>141.81693696301389</v>
      </c>
    </row>
    <row r="1398" spans="1:9" x14ac:dyDescent="0.3">
      <c r="A1398">
        <v>27</v>
      </c>
      <c r="B1398" s="168" t="s">
        <v>39</v>
      </c>
      <c r="C1398" s="168" t="s">
        <v>40</v>
      </c>
      <c r="D1398">
        <v>101.1</v>
      </c>
      <c r="E1398">
        <v>2021</v>
      </c>
      <c r="F1398" s="168" t="s">
        <v>593</v>
      </c>
      <c r="G1398" s="168" t="s">
        <v>610</v>
      </c>
      <c r="H1398" s="168" t="s">
        <v>608</v>
      </c>
      <c r="I1398">
        <v>0</v>
      </c>
    </row>
    <row r="1399" spans="1:9" x14ac:dyDescent="0.3">
      <c r="A1399">
        <v>27</v>
      </c>
      <c r="B1399" s="168" t="s">
        <v>39</v>
      </c>
      <c r="C1399" s="168" t="s">
        <v>40</v>
      </c>
      <c r="D1399">
        <v>101.1</v>
      </c>
      <c r="E1399">
        <v>2021</v>
      </c>
      <c r="F1399" s="168" t="s">
        <v>593</v>
      </c>
      <c r="G1399" s="168" t="s">
        <v>610</v>
      </c>
      <c r="H1399" s="168" t="s">
        <v>609</v>
      </c>
      <c r="I1399">
        <v>3272.7272727272725</v>
      </c>
    </row>
    <row r="1400" spans="1:9" x14ac:dyDescent="0.3">
      <c r="A1400">
        <v>27</v>
      </c>
      <c r="B1400" s="168" t="s">
        <v>39</v>
      </c>
      <c r="C1400" s="168" t="s">
        <v>40</v>
      </c>
      <c r="D1400">
        <v>101.1</v>
      </c>
      <c r="E1400">
        <v>2021</v>
      </c>
      <c r="F1400" s="168" t="s">
        <v>593</v>
      </c>
      <c r="G1400" s="168" t="s">
        <v>613</v>
      </c>
      <c r="H1400" s="168" t="s">
        <v>608</v>
      </c>
      <c r="I1400">
        <v>286.28467060272692</v>
      </c>
    </row>
    <row r="1401" spans="1:9" x14ac:dyDescent="0.3">
      <c r="A1401">
        <v>27</v>
      </c>
      <c r="B1401" s="168" t="s">
        <v>39</v>
      </c>
      <c r="C1401" s="168" t="s">
        <v>40</v>
      </c>
      <c r="D1401">
        <v>101.1</v>
      </c>
      <c r="E1401">
        <v>2021</v>
      </c>
      <c r="F1401" s="168" t="s">
        <v>593</v>
      </c>
      <c r="G1401" s="168" t="s">
        <v>613</v>
      </c>
      <c r="H1401" s="168" t="s">
        <v>609</v>
      </c>
      <c r="I1401">
        <v>6283.9485197298563</v>
      </c>
    </row>
    <row r="1402" spans="1:9" x14ac:dyDescent="0.3">
      <c r="A1402">
        <v>28</v>
      </c>
      <c r="B1402" s="168" t="s">
        <v>30</v>
      </c>
      <c r="C1402" s="168" t="s">
        <v>41</v>
      </c>
      <c r="D1402">
        <v>1239.3</v>
      </c>
      <c r="E1402">
        <v>2021</v>
      </c>
      <c r="F1402" s="168" t="s">
        <v>591</v>
      </c>
      <c r="G1402" s="168" t="s">
        <v>607</v>
      </c>
      <c r="H1402" s="168" t="s">
        <v>608</v>
      </c>
      <c r="I1402">
        <v>1812328.7279999999</v>
      </c>
    </row>
    <row r="1403" spans="1:9" x14ac:dyDescent="0.3">
      <c r="A1403">
        <v>28</v>
      </c>
      <c r="B1403" s="168" t="s">
        <v>30</v>
      </c>
      <c r="C1403" s="168" t="s">
        <v>41</v>
      </c>
      <c r="D1403">
        <v>1239.3</v>
      </c>
      <c r="E1403">
        <v>2021</v>
      </c>
      <c r="F1403" s="168" t="s">
        <v>591</v>
      </c>
      <c r="G1403" s="168" t="s">
        <v>607</v>
      </c>
      <c r="H1403" s="168" t="s">
        <v>609</v>
      </c>
      <c r="I1403">
        <v>776712.31200000003</v>
      </c>
    </row>
    <row r="1404" spans="1:9" x14ac:dyDescent="0.3">
      <c r="A1404">
        <v>28</v>
      </c>
      <c r="B1404" s="168" t="s">
        <v>30</v>
      </c>
      <c r="C1404" s="168" t="s">
        <v>41</v>
      </c>
      <c r="D1404">
        <v>1239.3</v>
      </c>
      <c r="E1404">
        <v>2021</v>
      </c>
      <c r="F1404" s="168" t="s">
        <v>591</v>
      </c>
      <c r="G1404" s="168" t="s">
        <v>612</v>
      </c>
      <c r="H1404" s="168" t="s">
        <v>608</v>
      </c>
      <c r="I1404">
        <v>297588.09999999998</v>
      </c>
    </row>
    <row r="1405" spans="1:9" x14ac:dyDescent="0.3">
      <c r="A1405">
        <v>28</v>
      </c>
      <c r="B1405" s="168" t="s">
        <v>30</v>
      </c>
      <c r="C1405" s="168" t="s">
        <v>41</v>
      </c>
      <c r="D1405">
        <v>1239.3</v>
      </c>
      <c r="E1405">
        <v>2021</v>
      </c>
      <c r="F1405" s="168" t="s">
        <v>591</v>
      </c>
      <c r="G1405" s="168" t="s">
        <v>612</v>
      </c>
      <c r="H1405" s="168" t="s">
        <v>609</v>
      </c>
      <c r="I1405">
        <v>127537.76</v>
      </c>
    </row>
    <row r="1406" spans="1:9" x14ac:dyDescent="0.3">
      <c r="A1406">
        <v>28</v>
      </c>
      <c r="B1406" s="168" t="s">
        <v>30</v>
      </c>
      <c r="C1406" s="168" t="s">
        <v>41</v>
      </c>
      <c r="D1406">
        <v>1239.3</v>
      </c>
      <c r="E1406">
        <v>2021</v>
      </c>
      <c r="F1406" s="168" t="s">
        <v>591</v>
      </c>
      <c r="G1406" s="168" t="s">
        <v>629</v>
      </c>
      <c r="H1406" s="168" t="s">
        <v>608</v>
      </c>
      <c r="I1406">
        <v>112776.29999999999</v>
      </c>
    </row>
    <row r="1407" spans="1:9" x14ac:dyDescent="0.3">
      <c r="A1407">
        <v>28</v>
      </c>
      <c r="B1407" s="168" t="s">
        <v>30</v>
      </c>
      <c r="C1407" s="168" t="s">
        <v>41</v>
      </c>
      <c r="D1407">
        <v>1239.3</v>
      </c>
      <c r="E1407">
        <v>2021</v>
      </c>
      <c r="F1407" s="168" t="s">
        <v>591</v>
      </c>
      <c r="G1407" s="168" t="s">
        <v>629</v>
      </c>
      <c r="H1407" s="168" t="s">
        <v>609</v>
      </c>
      <c r="I1407">
        <v>48332.7</v>
      </c>
    </row>
    <row r="1408" spans="1:9" x14ac:dyDescent="0.3">
      <c r="A1408">
        <v>28</v>
      </c>
      <c r="B1408" s="168" t="s">
        <v>30</v>
      </c>
      <c r="C1408" s="168" t="s">
        <v>41</v>
      </c>
      <c r="D1408">
        <v>1239.3</v>
      </c>
      <c r="E1408">
        <v>2021</v>
      </c>
      <c r="F1408" s="168" t="s">
        <v>591</v>
      </c>
      <c r="G1408" s="168" t="s">
        <v>618</v>
      </c>
      <c r="H1408" s="168" t="s">
        <v>608</v>
      </c>
      <c r="I1408">
        <v>0</v>
      </c>
    </row>
    <row r="1409" spans="1:9" x14ac:dyDescent="0.3">
      <c r="A1409">
        <v>28</v>
      </c>
      <c r="B1409" s="168" t="s">
        <v>30</v>
      </c>
      <c r="C1409" s="168" t="s">
        <v>41</v>
      </c>
      <c r="D1409">
        <v>1239.3</v>
      </c>
      <c r="E1409">
        <v>2021</v>
      </c>
      <c r="F1409" s="168" t="s">
        <v>591</v>
      </c>
      <c r="G1409" s="168" t="s">
        <v>618</v>
      </c>
      <c r="H1409" s="168" t="s">
        <v>609</v>
      </c>
      <c r="I1409">
        <v>60000</v>
      </c>
    </row>
    <row r="1410" spans="1:9" x14ac:dyDescent="0.3">
      <c r="A1410">
        <v>28</v>
      </c>
      <c r="B1410" s="168" t="s">
        <v>30</v>
      </c>
      <c r="C1410" s="168" t="s">
        <v>41</v>
      </c>
      <c r="D1410">
        <v>1239.3</v>
      </c>
      <c r="E1410">
        <v>2021</v>
      </c>
      <c r="F1410" s="168" t="s">
        <v>591</v>
      </c>
      <c r="G1410" s="168" t="s">
        <v>610</v>
      </c>
      <c r="H1410" s="168" t="s">
        <v>608</v>
      </c>
      <c r="I1410">
        <v>0</v>
      </c>
    </row>
    <row r="1411" spans="1:9" x14ac:dyDescent="0.3">
      <c r="A1411">
        <v>28</v>
      </c>
      <c r="B1411" s="168" t="s">
        <v>30</v>
      </c>
      <c r="C1411" s="168" t="s">
        <v>41</v>
      </c>
      <c r="D1411">
        <v>1239.3</v>
      </c>
      <c r="E1411">
        <v>2021</v>
      </c>
      <c r="F1411" s="168" t="s">
        <v>591</v>
      </c>
      <c r="G1411" s="168" t="s">
        <v>610</v>
      </c>
      <c r="H1411" s="168" t="s">
        <v>609</v>
      </c>
      <c r="I1411">
        <v>3272.7272727272725</v>
      </c>
    </row>
    <row r="1412" spans="1:9" x14ac:dyDescent="0.3">
      <c r="A1412">
        <v>28</v>
      </c>
      <c r="B1412" s="168" t="s">
        <v>30</v>
      </c>
      <c r="C1412" s="168" t="s">
        <v>41</v>
      </c>
      <c r="D1412">
        <v>1239.3</v>
      </c>
      <c r="E1412">
        <v>2021</v>
      </c>
      <c r="F1412" s="168" t="s">
        <v>591</v>
      </c>
      <c r="G1412" s="168" t="s">
        <v>633</v>
      </c>
      <c r="H1412" s="168" t="s">
        <v>608</v>
      </c>
      <c r="I1412">
        <v>7081.0134501094772</v>
      </c>
    </row>
    <row r="1413" spans="1:9" x14ac:dyDescent="0.3">
      <c r="A1413">
        <v>28</v>
      </c>
      <c r="B1413" s="168" t="s">
        <v>30</v>
      </c>
      <c r="C1413" s="168" t="s">
        <v>41</v>
      </c>
      <c r="D1413">
        <v>1239.3</v>
      </c>
      <c r="E1413">
        <v>2021</v>
      </c>
      <c r="F1413" s="168" t="s">
        <v>591</v>
      </c>
      <c r="G1413" s="168" t="s">
        <v>633</v>
      </c>
      <c r="H1413" s="168" t="s">
        <v>609</v>
      </c>
      <c r="I1413">
        <v>3034.7200500469189</v>
      </c>
    </row>
    <row r="1414" spans="1:9" x14ac:dyDescent="0.3">
      <c r="A1414">
        <v>28</v>
      </c>
      <c r="B1414" s="168" t="s">
        <v>30</v>
      </c>
      <c r="C1414" s="168" t="s">
        <v>41</v>
      </c>
      <c r="D1414">
        <v>1239.3</v>
      </c>
      <c r="E1414">
        <v>2021</v>
      </c>
      <c r="F1414" s="168" t="s">
        <v>591</v>
      </c>
      <c r="G1414" s="168" t="s">
        <v>630</v>
      </c>
      <c r="H1414" s="168" t="s">
        <v>608</v>
      </c>
      <c r="I1414">
        <v>151357.14299999998</v>
      </c>
    </row>
    <row r="1415" spans="1:9" x14ac:dyDescent="0.3">
      <c r="A1415">
        <v>28</v>
      </c>
      <c r="B1415" s="168" t="s">
        <v>30</v>
      </c>
      <c r="C1415" s="168" t="s">
        <v>41</v>
      </c>
      <c r="D1415">
        <v>1239.3</v>
      </c>
      <c r="E1415">
        <v>2021</v>
      </c>
      <c r="F1415" s="168" t="s">
        <v>591</v>
      </c>
      <c r="G1415" s="168" t="s">
        <v>630</v>
      </c>
      <c r="H1415" s="168" t="s">
        <v>609</v>
      </c>
      <c r="I1415">
        <v>64867.346999999994</v>
      </c>
    </row>
    <row r="1416" spans="1:9" x14ac:dyDescent="0.3">
      <c r="A1416">
        <v>28</v>
      </c>
      <c r="B1416" s="168" t="s">
        <v>30</v>
      </c>
      <c r="C1416" s="168" t="s">
        <v>41</v>
      </c>
      <c r="D1416">
        <v>1239.3</v>
      </c>
      <c r="E1416">
        <v>2021</v>
      </c>
      <c r="F1416" s="168" t="s">
        <v>591</v>
      </c>
      <c r="G1416" s="168" t="s">
        <v>611</v>
      </c>
      <c r="H1416" s="168" t="s">
        <v>608</v>
      </c>
      <c r="I1416">
        <v>0</v>
      </c>
    </row>
    <row r="1417" spans="1:9" x14ac:dyDescent="0.3">
      <c r="A1417">
        <v>28</v>
      </c>
      <c r="B1417" s="168" t="s">
        <v>30</v>
      </c>
      <c r="C1417" s="168" t="s">
        <v>41</v>
      </c>
      <c r="D1417">
        <v>1239.3</v>
      </c>
      <c r="E1417">
        <v>2021</v>
      </c>
      <c r="F1417" s="168" t="s">
        <v>591</v>
      </c>
      <c r="G1417" s="168" t="s">
        <v>611</v>
      </c>
      <c r="H1417" s="168" t="s">
        <v>609</v>
      </c>
      <c r="I1417">
        <v>5179.7553323442844</v>
      </c>
    </row>
    <row r="1418" spans="1:9" x14ac:dyDescent="0.3">
      <c r="A1418">
        <v>28</v>
      </c>
      <c r="B1418" s="168" t="s">
        <v>30</v>
      </c>
      <c r="C1418" s="168" t="s">
        <v>41</v>
      </c>
      <c r="D1418">
        <v>1239.3</v>
      </c>
      <c r="E1418">
        <v>2021</v>
      </c>
      <c r="F1418" s="168" t="s">
        <v>591</v>
      </c>
      <c r="G1418" s="168" t="s">
        <v>613</v>
      </c>
      <c r="H1418" s="168" t="s">
        <v>608</v>
      </c>
      <c r="I1418">
        <v>87822.130182542503</v>
      </c>
    </row>
    <row r="1419" spans="1:9" x14ac:dyDescent="0.3">
      <c r="A1419">
        <v>28</v>
      </c>
      <c r="B1419" s="168" t="s">
        <v>30</v>
      </c>
      <c r="C1419" s="168" t="s">
        <v>41</v>
      </c>
      <c r="D1419">
        <v>1239.3</v>
      </c>
      <c r="E1419">
        <v>2021</v>
      </c>
      <c r="F1419" s="168" t="s">
        <v>591</v>
      </c>
      <c r="G1419" s="168" t="s">
        <v>613</v>
      </c>
      <c r="H1419" s="168" t="s">
        <v>609</v>
      </c>
      <c r="I1419">
        <v>35809.250100632562</v>
      </c>
    </row>
    <row r="1420" spans="1:9" x14ac:dyDescent="0.3">
      <c r="A1420">
        <v>29</v>
      </c>
      <c r="B1420" s="168" t="s">
        <v>27</v>
      </c>
      <c r="C1420" s="168" t="s">
        <v>42</v>
      </c>
      <c r="D1420">
        <v>11233.4</v>
      </c>
      <c r="E1420">
        <v>2021</v>
      </c>
      <c r="F1420" s="168" t="s">
        <v>592</v>
      </c>
      <c r="G1420" s="168" t="s">
        <v>607</v>
      </c>
      <c r="H1420" s="168" t="s">
        <v>608</v>
      </c>
      <c r="I1420">
        <v>182207.16994475399</v>
      </c>
    </row>
    <row r="1421" spans="1:9" x14ac:dyDescent="0.3">
      <c r="A1421">
        <v>29</v>
      </c>
      <c r="B1421" s="168" t="s">
        <v>27</v>
      </c>
      <c r="C1421" s="168" t="s">
        <v>42</v>
      </c>
      <c r="D1421">
        <v>11233.4</v>
      </c>
      <c r="E1421">
        <v>2021</v>
      </c>
      <c r="F1421" s="168" t="s">
        <v>592</v>
      </c>
      <c r="G1421" s="168" t="s">
        <v>607</v>
      </c>
      <c r="H1421" s="168" t="s">
        <v>609</v>
      </c>
      <c r="I1421">
        <v>1581367.1971666953</v>
      </c>
    </row>
    <row r="1422" spans="1:9" x14ac:dyDescent="0.3">
      <c r="A1422">
        <v>29</v>
      </c>
      <c r="B1422" s="168" t="s">
        <v>27</v>
      </c>
      <c r="C1422" s="168" t="s">
        <v>42</v>
      </c>
      <c r="D1422">
        <v>11233.4</v>
      </c>
      <c r="E1422">
        <v>2021</v>
      </c>
      <c r="F1422" s="168" t="s">
        <v>592</v>
      </c>
      <c r="G1422" s="168" t="s">
        <v>612</v>
      </c>
      <c r="H1422" s="168" t="s">
        <v>608</v>
      </c>
      <c r="I1422">
        <v>62529.884747159034</v>
      </c>
    </row>
    <row r="1423" spans="1:9" x14ac:dyDescent="0.3">
      <c r="A1423">
        <v>29</v>
      </c>
      <c r="B1423" s="168" t="s">
        <v>27</v>
      </c>
      <c r="C1423" s="168" t="s">
        <v>42</v>
      </c>
      <c r="D1423">
        <v>11233.4</v>
      </c>
      <c r="E1423">
        <v>2021</v>
      </c>
      <c r="F1423" s="168" t="s">
        <v>592</v>
      </c>
      <c r="G1423" s="168" t="s">
        <v>612</v>
      </c>
      <c r="H1423" s="168" t="s">
        <v>609</v>
      </c>
      <c r="I1423">
        <v>67157.096218448802</v>
      </c>
    </row>
    <row r="1424" spans="1:9" x14ac:dyDescent="0.3">
      <c r="A1424">
        <v>29</v>
      </c>
      <c r="B1424" s="168" t="s">
        <v>27</v>
      </c>
      <c r="C1424" s="168" t="s">
        <v>42</v>
      </c>
      <c r="D1424">
        <v>11233.4</v>
      </c>
      <c r="E1424">
        <v>2021</v>
      </c>
      <c r="F1424" s="168" t="s">
        <v>592</v>
      </c>
      <c r="G1424" s="168" t="s">
        <v>629</v>
      </c>
      <c r="H1424" s="168" t="s">
        <v>608</v>
      </c>
      <c r="I1424">
        <v>0</v>
      </c>
    </row>
    <row r="1425" spans="1:9" x14ac:dyDescent="0.3">
      <c r="A1425">
        <v>29</v>
      </c>
      <c r="B1425" s="168" t="s">
        <v>27</v>
      </c>
      <c r="C1425" s="168" t="s">
        <v>42</v>
      </c>
      <c r="D1425">
        <v>11233.4</v>
      </c>
      <c r="E1425">
        <v>2021</v>
      </c>
      <c r="F1425" s="168" t="s">
        <v>592</v>
      </c>
      <c r="G1425" s="168" t="s">
        <v>629</v>
      </c>
      <c r="H1425" s="168" t="s">
        <v>609</v>
      </c>
      <c r="I1425">
        <v>85643.74088692831</v>
      </c>
    </row>
    <row r="1426" spans="1:9" x14ac:dyDescent="0.3">
      <c r="A1426">
        <v>29</v>
      </c>
      <c r="B1426" s="168" t="s">
        <v>27</v>
      </c>
      <c r="C1426" s="168" t="s">
        <v>42</v>
      </c>
      <c r="D1426">
        <v>11233.4</v>
      </c>
      <c r="E1426">
        <v>2021</v>
      </c>
      <c r="F1426" s="168" t="s">
        <v>592</v>
      </c>
      <c r="G1426" s="168" t="s">
        <v>617</v>
      </c>
      <c r="H1426" s="168" t="s">
        <v>608</v>
      </c>
      <c r="I1426">
        <v>0</v>
      </c>
    </row>
    <row r="1427" spans="1:9" x14ac:dyDescent="0.3">
      <c r="A1427">
        <v>29</v>
      </c>
      <c r="B1427" s="168" t="s">
        <v>27</v>
      </c>
      <c r="C1427" s="168" t="s">
        <v>42</v>
      </c>
      <c r="D1427">
        <v>11233.4</v>
      </c>
      <c r="E1427">
        <v>2021</v>
      </c>
      <c r="F1427" s="168" t="s">
        <v>592</v>
      </c>
      <c r="G1427" s="168" t="s">
        <v>617</v>
      </c>
      <c r="H1427" s="168" t="s">
        <v>609</v>
      </c>
      <c r="I1427">
        <v>27379.340956284097</v>
      </c>
    </row>
    <row r="1428" spans="1:9" x14ac:dyDescent="0.3">
      <c r="A1428">
        <v>29</v>
      </c>
      <c r="B1428" s="168" t="s">
        <v>27</v>
      </c>
      <c r="C1428" s="168" t="s">
        <v>42</v>
      </c>
      <c r="D1428">
        <v>11233.4</v>
      </c>
      <c r="E1428">
        <v>2021</v>
      </c>
      <c r="F1428" s="168" t="s">
        <v>592</v>
      </c>
      <c r="G1428" s="168" t="s">
        <v>618</v>
      </c>
      <c r="H1428" s="168" t="s">
        <v>608</v>
      </c>
      <c r="I1428">
        <v>0</v>
      </c>
    </row>
    <row r="1429" spans="1:9" x14ac:dyDescent="0.3">
      <c r="A1429">
        <v>29</v>
      </c>
      <c r="B1429" s="168" t="s">
        <v>27</v>
      </c>
      <c r="C1429" s="168" t="s">
        <v>42</v>
      </c>
      <c r="D1429">
        <v>11233.4</v>
      </c>
      <c r="E1429">
        <v>2021</v>
      </c>
      <c r="F1429" s="168" t="s">
        <v>592</v>
      </c>
      <c r="G1429" s="168" t="s">
        <v>618</v>
      </c>
      <c r="H1429" s="168" t="s">
        <v>609</v>
      </c>
      <c r="I1429">
        <v>41000</v>
      </c>
    </row>
    <row r="1430" spans="1:9" x14ac:dyDescent="0.3">
      <c r="A1430">
        <v>29</v>
      </c>
      <c r="B1430" s="168" t="s">
        <v>27</v>
      </c>
      <c r="C1430" s="168" t="s">
        <v>42</v>
      </c>
      <c r="D1430">
        <v>11233.4</v>
      </c>
      <c r="E1430">
        <v>2021</v>
      </c>
      <c r="F1430" s="168" t="s">
        <v>592</v>
      </c>
      <c r="G1430" s="168" t="s">
        <v>610</v>
      </c>
      <c r="H1430" s="168" t="s">
        <v>608</v>
      </c>
      <c r="I1430">
        <v>0</v>
      </c>
    </row>
    <row r="1431" spans="1:9" x14ac:dyDescent="0.3">
      <c r="A1431">
        <v>29</v>
      </c>
      <c r="B1431" s="168" t="s">
        <v>27</v>
      </c>
      <c r="C1431" s="168" t="s">
        <v>42</v>
      </c>
      <c r="D1431">
        <v>11233.4</v>
      </c>
      <c r="E1431">
        <v>2021</v>
      </c>
      <c r="F1431" s="168" t="s">
        <v>592</v>
      </c>
      <c r="G1431" s="168" t="s">
        <v>610</v>
      </c>
      <c r="H1431" s="168" t="s">
        <v>609</v>
      </c>
      <c r="I1431">
        <v>6545.454545454545</v>
      </c>
    </row>
    <row r="1432" spans="1:9" x14ac:dyDescent="0.3">
      <c r="A1432">
        <v>29</v>
      </c>
      <c r="B1432" s="168" t="s">
        <v>27</v>
      </c>
      <c r="C1432" s="168" t="s">
        <v>42</v>
      </c>
      <c r="D1432">
        <v>11233.4</v>
      </c>
      <c r="E1432">
        <v>2021</v>
      </c>
      <c r="F1432" s="168" t="s">
        <v>592</v>
      </c>
      <c r="G1432" s="168" t="s">
        <v>620</v>
      </c>
      <c r="H1432" s="168" t="s">
        <v>608</v>
      </c>
      <c r="I1432">
        <v>50555.165934721219</v>
      </c>
    </row>
    <row r="1433" spans="1:9" x14ac:dyDescent="0.3">
      <c r="A1433">
        <v>29</v>
      </c>
      <c r="B1433" s="168" t="s">
        <v>27</v>
      </c>
      <c r="C1433" s="168" t="s">
        <v>42</v>
      </c>
      <c r="D1433">
        <v>11233.4</v>
      </c>
      <c r="E1433">
        <v>2021</v>
      </c>
      <c r="F1433" s="168" t="s">
        <v>592</v>
      </c>
      <c r="G1433" s="168" t="s">
        <v>620</v>
      </c>
      <c r="H1433" s="168" t="s">
        <v>609</v>
      </c>
      <c r="I1433">
        <v>5476.8096429281322</v>
      </c>
    </row>
    <row r="1434" spans="1:9" x14ac:dyDescent="0.3">
      <c r="A1434">
        <v>29</v>
      </c>
      <c r="B1434" s="168" t="s">
        <v>27</v>
      </c>
      <c r="C1434" s="168" t="s">
        <v>42</v>
      </c>
      <c r="D1434">
        <v>11233.4</v>
      </c>
      <c r="E1434">
        <v>2021</v>
      </c>
      <c r="F1434" s="168" t="s">
        <v>592</v>
      </c>
      <c r="G1434" s="168" t="s">
        <v>633</v>
      </c>
      <c r="H1434" s="168" t="s">
        <v>608</v>
      </c>
      <c r="I1434">
        <v>60814.219976540648</v>
      </c>
    </row>
    <row r="1435" spans="1:9" x14ac:dyDescent="0.3">
      <c r="A1435">
        <v>29</v>
      </c>
      <c r="B1435" s="168" t="s">
        <v>27</v>
      </c>
      <c r="C1435" s="168" t="s">
        <v>42</v>
      </c>
      <c r="D1435">
        <v>11233.4</v>
      </c>
      <c r="E1435">
        <v>2021</v>
      </c>
      <c r="F1435" s="168" t="s">
        <v>592</v>
      </c>
      <c r="G1435" s="168" t="s">
        <v>633</v>
      </c>
      <c r="H1435" s="168" t="s">
        <v>609</v>
      </c>
      <c r="I1435">
        <v>29298.912927116478</v>
      </c>
    </row>
    <row r="1436" spans="1:9" x14ac:dyDescent="0.3">
      <c r="A1436">
        <v>29</v>
      </c>
      <c r="B1436" s="168" t="s">
        <v>27</v>
      </c>
      <c r="C1436" s="168" t="s">
        <v>42</v>
      </c>
      <c r="D1436">
        <v>11233.4</v>
      </c>
      <c r="E1436">
        <v>2021</v>
      </c>
      <c r="F1436" s="168" t="s">
        <v>592</v>
      </c>
      <c r="G1436" s="168" t="s">
        <v>611</v>
      </c>
      <c r="H1436" s="168" t="s">
        <v>608</v>
      </c>
      <c r="I1436">
        <v>0</v>
      </c>
    </row>
    <row r="1437" spans="1:9" x14ac:dyDescent="0.3">
      <c r="A1437">
        <v>29</v>
      </c>
      <c r="B1437" s="168" t="s">
        <v>27</v>
      </c>
      <c r="C1437" s="168" t="s">
        <v>42</v>
      </c>
      <c r="D1437">
        <v>11233.4</v>
      </c>
      <c r="E1437">
        <v>2021</v>
      </c>
      <c r="F1437" s="168" t="s">
        <v>592</v>
      </c>
      <c r="G1437" s="168" t="s">
        <v>611</v>
      </c>
      <c r="H1437" s="168" t="s">
        <v>609</v>
      </c>
      <c r="I1437">
        <v>7010</v>
      </c>
    </row>
    <row r="1438" spans="1:9" x14ac:dyDescent="0.3">
      <c r="A1438">
        <v>29</v>
      </c>
      <c r="B1438" s="168" t="s">
        <v>27</v>
      </c>
      <c r="C1438" s="168" t="s">
        <v>42</v>
      </c>
      <c r="D1438">
        <v>11233.4</v>
      </c>
      <c r="E1438">
        <v>2021</v>
      </c>
      <c r="F1438" s="168" t="s">
        <v>592</v>
      </c>
      <c r="G1438" s="168" t="s">
        <v>621</v>
      </c>
      <c r="H1438" s="168" t="s">
        <v>608</v>
      </c>
      <c r="I1438">
        <v>0</v>
      </c>
    </row>
    <row r="1439" spans="1:9" x14ac:dyDescent="0.3">
      <c r="A1439">
        <v>29</v>
      </c>
      <c r="B1439" s="168" t="s">
        <v>27</v>
      </c>
      <c r="C1439" s="168" t="s">
        <v>42</v>
      </c>
      <c r="D1439">
        <v>11233.4</v>
      </c>
      <c r="E1439">
        <v>2021</v>
      </c>
      <c r="F1439" s="168" t="s">
        <v>592</v>
      </c>
      <c r="G1439" s="168" t="s">
        <v>621</v>
      </c>
      <c r="H1439" s="168" t="s">
        <v>609</v>
      </c>
      <c r="I1439">
        <v>1143540.0584762811</v>
      </c>
    </row>
    <row r="1440" spans="1:9" x14ac:dyDescent="0.3">
      <c r="A1440">
        <v>29</v>
      </c>
      <c r="B1440" s="168" t="s">
        <v>27</v>
      </c>
      <c r="C1440" s="168" t="s">
        <v>42</v>
      </c>
      <c r="D1440">
        <v>11233.4</v>
      </c>
      <c r="E1440">
        <v>2021</v>
      </c>
      <c r="F1440" s="168" t="s">
        <v>592</v>
      </c>
      <c r="G1440" s="168" t="s">
        <v>613</v>
      </c>
      <c r="H1440" s="168" t="s">
        <v>608</v>
      </c>
      <c r="I1440">
        <v>31809.596624615948</v>
      </c>
    </row>
    <row r="1441" spans="1:9" x14ac:dyDescent="0.3">
      <c r="A1441">
        <v>29</v>
      </c>
      <c r="B1441" s="168" t="s">
        <v>27</v>
      </c>
      <c r="C1441" s="168" t="s">
        <v>42</v>
      </c>
      <c r="D1441">
        <v>11233.4</v>
      </c>
      <c r="E1441">
        <v>2021</v>
      </c>
      <c r="F1441" s="168" t="s">
        <v>592</v>
      </c>
      <c r="G1441" s="168" t="s">
        <v>613</v>
      </c>
      <c r="H1441" s="168" t="s">
        <v>609</v>
      </c>
      <c r="I1441">
        <v>698220.64591032011</v>
      </c>
    </row>
    <row r="1442" spans="1:9" x14ac:dyDescent="0.3">
      <c r="A1442">
        <v>29</v>
      </c>
      <c r="B1442" s="168" t="s">
        <v>27</v>
      </c>
      <c r="C1442" s="168" t="s">
        <v>42</v>
      </c>
      <c r="D1442">
        <v>11233.4</v>
      </c>
      <c r="E1442">
        <v>2021</v>
      </c>
      <c r="F1442" s="168" t="s">
        <v>592</v>
      </c>
      <c r="G1442" s="168" t="s">
        <v>622</v>
      </c>
      <c r="H1442" s="168" t="s">
        <v>608</v>
      </c>
      <c r="I1442">
        <v>125231.77956819121</v>
      </c>
    </row>
    <row r="1443" spans="1:9" x14ac:dyDescent="0.3">
      <c r="A1443">
        <v>29</v>
      </c>
      <c r="B1443" s="168" t="s">
        <v>27</v>
      </c>
      <c r="C1443" s="168" t="s">
        <v>42</v>
      </c>
      <c r="D1443">
        <v>11233.4</v>
      </c>
      <c r="E1443">
        <v>2021</v>
      </c>
      <c r="F1443" s="168" t="s">
        <v>592</v>
      </c>
      <c r="G1443" s="168" t="s">
        <v>622</v>
      </c>
      <c r="H1443" s="168" t="s">
        <v>609</v>
      </c>
      <c r="I1443">
        <v>0</v>
      </c>
    </row>
    <row r="1444" spans="1:9" x14ac:dyDescent="0.3">
      <c r="A1444">
        <v>30</v>
      </c>
      <c r="B1444" s="168" t="s">
        <v>43</v>
      </c>
      <c r="C1444" s="168" t="s">
        <v>44</v>
      </c>
      <c r="D1444">
        <v>235.9</v>
      </c>
      <c r="E1444">
        <v>2021</v>
      </c>
      <c r="F1444" s="168" t="s">
        <v>592</v>
      </c>
      <c r="G1444" s="168" t="s">
        <v>607</v>
      </c>
      <c r="H1444" s="168" t="s">
        <v>608</v>
      </c>
      <c r="I1444">
        <v>0</v>
      </c>
    </row>
    <row r="1445" spans="1:9" x14ac:dyDescent="0.3">
      <c r="A1445">
        <v>30</v>
      </c>
      <c r="B1445" s="168" t="s">
        <v>43</v>
      </c>
      <c r="C1445" s="168" t="s">
        <v>44</v>
      </c>
      <c r="D1445">
        <v>235.9</v>
      </c>
      <c r="E1445">
        <v>2021</v>
      </c>
      <c r="F1445" s="168" t="s">
        <v>592</v>
      </c>
      <c r="G1445" s="168" t="s">
        <v>607</v>
      </c>
      <c r="H1445" s="168" t="s">
        <v>609</v>
      </c>
      <c r="I1445">
        <v>20539.661940985508</v>
      </c>
    </row>
    <row r="1446" spans="1:9" x14ac:dyDescent="0.3">
      <c r="A1446">
        <v>30</v>
      </c>
      <c r="B1446" s="168" t="s">
        <v>43</v>
      </c>
      <c r="C1446" s="168" t="s">
        <v>44</v>
      </c>
      <c r="D1446">
        <v>235.9</v>
      </c>
      <c r="E1446">
        <v>2021</v>
      </c>
      <c r="F1446" s="168" t="s">
        <v>592</v>
      </c>
      <c r="G1446" s="168" t="s">
        <v>612</v>
      </c>
      <c r="H1446" s="168" t="s">
        <v>608</v>
      </c>
      <c r="I1446">
        <v>1313.1197866945731</v>
      </c>
    </row>
    <row r="1447" spans="1:9" x14ac:dyDescent="0.3">
      <c r="A1447">
        <v>30</v>
      </c>
      <c r="B1447" s="168" t="s">
        <v>43</v>
      </c>
      <c r="C1447" s="168" t="s">
        <v>44</v>
      </c>
      <c r="D1447">
        <v>235.9</v>
      </c>
      <c r="E1447">
        <v>2021</v>
      </c>
      <c r="F1447" s="168" t="s">
        <v>592</v>
      </c>
      <c r="G1447" s="168" t="s">
        <v>612</v>
      </c>
      <c r="H1447" s="168" t="s">
        <v>609</v>
      </c>
      <c r="I1447">
        <v>1410.2906509099714</v>
      </c>
    </row>
    <row r="1448" spans="1:9" x14ac:dyDescent="0.3">
      <c r="A1448">
        <v>30</v>
      </c>
      <c r="B1448" s="168" t="s">
        <v>43</v>
      </c>
      <c r="C1448" s="168" t="s">
        <v>44</v>
      </c>
      <c r="D1448">
        <v>235.9</v>
      </c>
      <c r="E1448">
        <v>2021</v>
      </c>
      <c r="F1448" s="168" t="s">
        <v>592</v>
      </c>
      <c r="G1448" s="168" t="s">
        <v>617</v>
      </c>
      <c r="H1448" s="168" t="s">
        <v>608</v>
      </c>
      <c r="I1448">
        <v>0</v>
      </c>
    </row>
    <row r="1449" spans="1:9" x14ac:dyDescent="0.3">
      <c r="A1449">
        <v>30</v>
      </c>
      <c r="B1449" s="168" t="s">
        <v>43</v>
      </c>
      <c r="C1449" s="168" t="s">
        <v>44</v>
      </c>
      <c r="D1449">
        <v>235.9</v>
      </c>
      <c r="E1449">
        <v>2021</v>
      </c>
      <c r="F1449" s="168" t="s">
        <v>592</v>
      </c>
      <c r="G1449" s="168" t="s">
        <v>617</v>
      </c>
      <c r="H1449" s="168" t="s">
        <v>609</v>
      </c>
      <c r="I1449">
        <v>330.90618624703245</v>
      </c>
    </row>
    <row r="1450" spans="1:9" x14ac:dyDescent="0.3">
      <c r="A1450">
        <v>30</v>
      </c>
      <c r="B1450" s="168" t="s">
        <v>43</v>
      </c>
      <c r="C1450" s="168" t="s">
        <v>44</v>
      </c>
      <c r="D1450">
        <v>235.9</v>
      </c>
      <c r="E1450">
        <v>2021</v>
      </c>
      <c r="F1450" s="168" t="s">
        <v>592</v>
      </c>
      <c r="G1450" s="168" t="s">
        <v>610</v>
      </c>
      <c r="H1450" s="168" t="s">
        <v>608</v>
      </c>
      <c r="I1450">
        <v>0</v>
      </c>
    </row>
    <row r="1451" spans="1:9" x14ac:dyDescent="0.3">
      <c r="A1451">
        <v>30</v>
      </c>
      <c r="B1451" s="168" t="s">
        <v>43</v>
      </c>
      <c r="C1451" s="168" t="s">
        <v>44</v>
      </c>
      <c r="D1451">
        <v>235.9</v>
      </c>
      <c r="E1451">
        <v>2021</v>
      </c>
      <c r="F1451" s="168" t="s">
        <v>592</v>
      </c>
      <c r="G1451" s="168" t="s">
        <v>610</v>
      </c>
      <c r="H1451" s="168" t="s">
        <v>609</v>
      </c>
      <c r="I1451">
        <v>3272.7272727272725</v>
      </c>
    </row>
    <row r="1452" spans="1:9" x14ac:dyDescent="0.3">
      <c r="A1452">
        <v>30</v>
      </c>
      <c r="B1452" s="168" t="s">
        <v>43</v>
      </c>
      <c r="C1452" s="168" t="s">
        <v>44</v>
      </c>
      <c r="D1452">
        <v>235.9</v>
      </c>
      <c r="E1452">
        <v>2021</v>
      </c>
      <c r="F1452" s="168" t="s">
        <v>592</v>
      </c>
      <c r="G1452" s="168" t="s">
        <v>611</v>
      </c>
      <c r="H1452" s="168" t="s">
        <v>608</v>
      </c>
      <c r="I1452">
        <v>0</v>
      </c>
    </row>
    <row r="1453" spans="1:9" x14ac:dyDescent="0.3">
      <c r="A1453">
        <v>30</v>
      </c>
      <c r="B1453" s="168" t="s">
        <v>43</v>
      </c>
      <c r="C1453" s="168" t="s">
        <v>44</v>
      </c>
      <c r="D1453">
        <v>235.9</v>
      </c>
      <c r="E1453">
        <v>2021</v>
      </c>
      <c r="F1453" s="168" t="s">
        <v>592</v>
      </c>
      <c r="G1453" s="168" t="s">
        <v>611</v>
      </c>
      <c r="H1453" s="168" t="s">
        <v>609</v>
      </c>
      <c r="I1453">
        <v>7010</v>
      </c>
    </row>
    <row r="1454" spans="1:9" x14ac:dyDescent="0.3">
      <c r="A1454">
        <v>30</v>
      </c>
      <c r="B1454" s="168" t="s">
        <v>43</v>
      </c>
      <c r="C1454" s="168" t="s">
        <v>44</v>
      </c>
      <c r="D1454">
        <v>235.9</v>
      </c>
      <c r="E1454">
        <v>2021</v>
      </c>
      <c r="F1454" s="168" t="s">
        <v>592</v>
      </c>
      <c r="G1454" s="168" t="s">
        <v>621</v>
      </c>
      <c r="H1454" s="168" t="s">
        <v>608</v>
      </c>
      <c r="I1454">
        <v>0</v>
      </c>
    </row>
    <row r="1455" spans="1:9" x14ac:dyDescent="0.3">
      <c r="A1455">
        <v>30</v>
      </c>
      <c r="B1455" s="168" t="s">
        <v>43</v>
      </c>
      <c r="C1455" s="168" t="s">
        <v>44</v>
      </c>
      <c r="D1455">
        <v>235.9</v>
      </c>
      <c r="E1455">
        <v>2021</v>
      </c>
      <c r="F1455" s="168" t="s">
        <v>592</v>
      </c>
      <c r="G1455" s="168" t="s">
        <v>621</v>
      </c>
      <c r="H1455" s="168" t="s">
        <v>609</v>
      </c>
      <c r="I1455">
        <v>24014.198710502136</v>
      </c>
    </row>
    <row r="1456" spans="1:9" x14ac:dyDescent="0.3">
      <c r="A1456">
        <v>30</v>
      </c>
      <c r="B1456" s="168" t="s">
        <v>43</v>
      </c>
      <c r="C1456" s="168" t="s">
        <v>44</v>
      </c>
      <c r="D1456">
        <v>235.9</v>
      </c>
      <c r="E1456">
        <v>2021</v>
      </c>
      <c r="F1456" s="168" t="s">
        <v>592</v>
      </c>
      <c r="G1456" s="168" t="s">
        <v>613</v>
      </c>
      <c r="H1456" s="168" t="s">
        <v>608</v>
      </c>
      <c r="I1456">
        <v>667.99756473969614</v>
      </c>
    </row>
    <row r="1457" spans="1:9" x14ac:dyDescent="0.3">
      <c r="A1457">
        <v>30</v>
      </c>
      <c r="B1457" s="168" t="s">
        <v>43</v>
      </c>
      <c r="C1457" s="168" t="s">
        <v>44</v>
      </c>
      <c r="D1457">
        <v>235.9</v>
      </c>
      <c r="E1457">
        <v>2021</v>
      </c>
      <c r="F1457" s="168" t="s">
        <v>592</v>
      </c>
      <c r="G1457" s="168" t="s">
        <v>613</v>
      </c>
      <c r="H1457" s="168" t="s">
        <v>609</v>
      </c>
      <c r="I1457">
        <v>14662.546546036332</v>
      </c>
    </row>
    <row r="1458" spans="1:9" x14ac:dyDescent="0.3">
      <c r="A1458">
        <v>31</v>
      </c>
      <c r="B1458" s="168" t="s">
        <v>45</v>
      </c>
      <c r="C1458" s="168" t="s">
        <v>46</v>
      </c>
      <c r="D1458">
        <v>173.4</v>
      </c>
      <c r="E1458">
        <v>2021</v>
      </c>
      <c r="F1458" s="168" t="s">
        <v>593</v>
      </c>
      <c r="G1458" s="168" t="s">
        <v>607</v>
      </c>
      <c r="H1458" s="168" t="s">
        <v>608</v>
      </c>
      <c r="I1458">
        <v>0</v>
      </c>
    </row>
    <row r="1459" spans="1:9" x14ac:dyDescent="0.3">
      <c r="A1459">
        <v>31</v>
      </c>
      <c r="B1459" s="168" t="s">
        <v>45</v>
      </c>
      <c r="C1459" s="168" t="s">
        <v>46</v>
      </c>
      <c r="D1459">
        <v>173.4</v>
      </c>
      <c r="E1459">
        <v>2021</v>
      </c>
      <c r="F1459" s="168" t="s">
        <v>593</v>
      </c>
      <c r="G1459" s="168" t="s">
        <v>607</v>
      </c>
      <c r="H1459" s="168" t="s">
        <v>609</v>
      </c>
      <c r="I1459">
        <v>15097.826962979596</v>
      </c>
    </row>
    <row r="1460" spans="1:9" x14ac:dyDescent="0.3">
      <c r="A1460">
        <v>31</v>
      </c>
      <c r="B1460" s="168" t="s">
        <v>45</v>
      </c>
      <c r="C1460" s="168" t="s">
        <v>46</v>
      </c>
      <c r="D1460">
        <v>173.4</v>
      </c>
      <c r="E1460">
        <v>2021</v>
      </c>
      <c r="F1460" s="168" t="s">
        <v>593</v>
      </c>
      <c r="G1460" s="168" t="s">
        <v>612</v>
      </c>
      <c r="H1460" s="168" t="s">
        <v>608</v>
      </c>
      <c r="I1460">
        <v>965.2181899654048</v>
      </c>
    </row>
    <row r="1461" spans="1:9" x14ac:dyDescent="0.3">
      <c r="A1461">
        <v>31</v>
      </c>
      <c r="B1461" s="168" t="s">
        <v>45</v>
      </c>
      <c r="C1461" s="168" t="s">
        <v>46</v>
      </c>
      <c r="D1461">
        <v>173.4</v>
      </c>
      <c r="E1461">
        <v>2021</v>
      </c>
      <c r="F1461" s="168" t="s">
        <v>593</v>
      </c>
      <c r="G1461" s="168" t="s">
        <v>612</v>
      </c>
      <c r="H1461" s="168" t="s">
        <v>609</v>
      </c>
      <c r="I1461">
        <v>1036.6443360228448</v>
      </c>
    </row>
    <row r="1462" spans="1:9" x14ac:dyDescent="0.3">
      <c r="A1462">
        <v>31</v>
      </c>
      <c r="B1462" s="168" t="s">
        <v>45</v>
      </c>
      <c r="C1462" s="168" t="s">
        <v>46</v>
      </c>
      <c r="D1462">
        <v>173.4</v>
      </c>
      <c r="E1462">
        <v>2021</v>
      </c>
      <c r="F1462" s="168" t="s">
        <v>593</v>
      </c>
      <c r="G1462" s="168" t="s">
        <v>617</v>
      </c>
      <c r="H1462" s="168" t="s">
        <v>608</v>
      </c>
      <c r="I1462">
        <v>0</v>
      </c>
    </row>
    <row r="1463" spans="1:9" x14ac:dyDescent="0.3">
      <c r="A1463">
        <v>31</v>
      </c>
      <c r="B1463" s="168" t="s">
        <v>45</v>
      </c>
      <c r="C1463" s="168" t="s">
        <v>46</v>
      </c>
      <c r="D1463">
        <v>173.4</v>
      </c>
      <c r="E1463">
        <v>2021</v>
      </c>
      <c r="F1463" s="168" t="s">
        <v>593</v>
      </c>
      <c r="G1463" s="168" t="s">
        <v>617</v>
      </c>
      <c r="H1463" s="168" t="s">
        <v>609</v>
      </c>
      <c r="I1463">
        <v>243.23498387128203</v>
      </c>
    </row>
    <row r="1464" spans="1:9" x14ac:dyDescent="0.3">
      <c r="A1464">
        <v>32</v>
      </c>
      <c r="B1464" s="168" t="s">
        <v>30</v>
      </c>
      <c r="C1464" s="168" t="s">
        <v>47</v>
      </c>
      <c r="D1464">
        <v>1971</v>
      </c>
      <c r="E1464">
        <v>2021</v>
      </c>
      <c r="F1464" s="168" t="s">
        <v>591</v>
      </c>
      <c r="G1464" s="168" t="s">
        <v>607</v>
      </c>
      <c r="H1464" s="168" t="s">
        <v>608</v>
      </c>
      <c r="I1464">
        <v>1812328.73</v>
      </c>
    </row>
    <row r="1465" spans="1:9" x14ac:dyDescent="0.3">
      <c r="A1465">
        <v>32</v>
      </c>
      <c r="B1465" s="168" t="s">
        <v>30</v>
      </c>
      <c r="C1465" s="168" t="s">
        <v>47</v>
      </c>
      <c r="D1465">
        <v>1971</v>
      </c>
      <c r="E1465">
        <v>2021</v>
      </c>
      <c r="F1465" s="168" t="s">
        <v>591</v>
      </c>
      <c r="G1465" s="168" t="s">
        <v>607</v>
      </c>
      <c r="H1465" s="168" t="s">
        <v>609</v>
      </c>
      <c r="I1465">
        <v>776712.31</v>
      </c>
    </row>
    <row r="1466" spans="1:9" x14ac:dyDescent="0.3">
      <c r="A1466">
        <v>32</v>
      </c>
      <c r="B1466" s="168" t="s">
        <v>30</v>
      </c>
      <c r="C1466" s="168" t="s">
        <v>47</v>
      </c>
      <c r="D1466">
        <v>1971</v>
      </c>
      <c r="E1466">
        <v>2021</v>
      </c>
      <c r="F1466" s="168" t="s">
        <v>591</v>
      </c>
      <c r="G1466" s="168" t="s">
        <v>612</v>
      </c>
      <c r="H1466" s="168" t="s">
        <v>608</v>
      </c>
      <c r="I1466">
        <v>10971.424754451054</v>
      </c>
    </row>
    <row r="1467" spans="1:9" x14ac:dyDescent="0.3">
      <c r="A1467">
        <v>32</v>
      </c>
      <c r="B1467" s="168" t="s">
        <v>30</v>
      </c>
      <c r="C1467" s="168" t="s">
        <v>47</v>
      </c>
      <c r="D1467">
        <v>1971</v>
      </c>
      <c r="E1467">
        <v>2021</v>
      </c>
      <c r="F1467" s="168" t="s">
        <v>591</v>
      </c>
      <c r="G1467" s="168" t="s">
        <v>612</v>
      </c>
      <c r="H1467" s="168" t="s">
        <v>609</v>
      </c>
      <c r="I1467">
        <v>11783.310186280432</v>
      </c>
    </row>
    <row r="1468" spans="1:9" x14ac:dyDescent="0.3">
      <c r="A1468">
        <v>32</v>
      </c>
      <c r="B1468" s="168" t="s">
        <v>30</v>
      </c>
      <c r="C1468" s="168" t="s">
        <v>47</v>
      </c>
      <c r="D1468">
        <v>1971</v>
      </c>
      <c r="E1468">
        <v>2021</v>
      </c>
      <c r="F1468" s="168" t="s">
        <v>591</v>
      </c>
      <c r="G1468" s="168" t="s">
        <v>629</v>
      </c>
      <c r="H1468" s="168" t="s">
        <v>608</v>
      </c>
      <c r="I1468">
        <v>0</v>
      </c>
    </row>
    <row r="1469" spans="1:9" x14ac:dyDescent="0.3">
      <c r="A1469">
        <v>32</v>
      </c>
      <c r="B1469" s="168" t="s">
        <v>30</v>
      </c>
      <c r="C1469" s="168" t="s">
        <v>47</v>
      </c>
      <c r="D1469">
        <v>1971</v>
      </c>
      <c r="E1469">
        <v>2021</v>
      </c>
      <c r="F1469" s="168" t="s">
        <v>591</v>
      </c>
      <c r="G1469" s="168" t="s">
        <v>629</v>
      </c>
      <c r="H1469" s="168" t="s">
        <v>609</v>
      </c>
      <c r="I1469">
        <v>8386.8036750804349</v>
      </c>
    </row>
    <row r="1470" spans="1:9" x14ac:dyDescent="0.3">
      <c r="A1470">
        <v>32</v>
      </c>
      <c r="B1470" s="168" t="s">
        <v>30</v>
      </c>
      <c r="C1470" s="168" t="s">
        <v>47</v>
      </c>
      <c r="D1470">
        <v>1971</v>
      </c>
      <c r="E1470">
        <v>2021</v>
      </c>
      <c r="F1470" s="168" t="s">
        <v>591</v>
      </c>
      <c r="G1470" s="168" t="s">
        <v>610</v>
      </c>
      <c r="H1470" s="168" t="s">
        <v>608</v>
      </c>
      <c r="I1470">
        <v>0</v>
      </c>
    </row>
    <row r="1471" spans="1:9" x14ac:dyDescent="0.3">
      <c r="A1471">
        <v>32</v>
      </c>
      <c r="B1471" s="168" t="s">
        <v>30</v>
      </c>
      <c r="C1471" s="168" t="s">
        <v>47</v>
      </c>
      <c r="D1471">
        <v>1971</v>
      </c>
      <c r="E1471">
        <v>2021</v>
      </c>
      <c r="F1471" s="168" t="s">
        <v>591</v>
      </c>
      <c r="G1471" s="168" t="s">
        <v>610</v>
      </c>
      <c r="H1471" s="168" t="s">
        <v>609</v>
      </c>
      <c r="I1471">
        <v>6545.454545454545</v>
      </c>
    </row>
    <row r="1472" spans="1:9" x14ac:dyDescent="0.3">
      <c r="A1472">
        <v>32</v>
      </c>
      <c r="B1472" s="168" t="s">
        <v>30</v>
      </c>
      <c r="C1472" s="168" t="s">
        <v>47</v>
      </c>
      <c r="D1472">
        <v>1971</v>
      </c>
      <c r="E1472">
        <v>2021</v>
      </c>
      <c r="F1472" s="168" t="s">
        <v>591</v>
      </c>
      <c r="G1472" s="168" t="s">
        <v>620</v>
      </c>
      <c r="H1472" s="168" t="s">
        <v>608</v>
      </c>
      <c r="I1472">
        <v>8870.3537715505117</v>
      </c>
    </row>
    <row r="1473" spans="1:9" x14ac:dyDescent="0.3">
      <c r="A1473">
        <v>32</v>
      </c>
      <c r="B1473" s="168" t="s">
        <v>30</v>
      </c>
      <c r="C1473" s="168" t="s">
        <v>47</v>
      </c>
      <c r="D1473">
        <v>1971</v>
      </c>
      <c r="E1473">
        <v>2021</v>
      </c>
      <c r="F1473" s="168" t="s">
        <v>591</v>
      </c>
      <c r="G1473" s="168" t="s">
        <v>620</v>
      </c>
      <c r="H1473" s="168" t="s">
        <v>609</v>
      </c>
      <c r="I1473">
        <v>960.95499191797205</v>
      </c>
    </row>
    <row r="1474" spans="1:9" x14ac:dyDescent="0.3">
      <c r="A1474">
        <v>32</v>
      </c>
      <c r="B1474" s="168" t="s">
        <v>30</v>
      </c>
      <c r="C1474" s="168" t="s">
        <v>47</v>
      </c>
      <c r="D1474">
        <v>1971</v>
      </c>
      <c r="E1474">
        <v>2021</v>
      </c>
      <c r="F1474" s="168" t="s">
        <v>591</v>
      </c>
      <c r="G1474" s="168" t="s">
        <v>633</v>
      </c>
      <c r="H1474" s="168" t="s">
        <v>608</v>
      </c>
      <c r="I1474">
        <v>10670.396102138411</v>
      </c>
    </row>
    <row r="1475" spans="1:9" x14ac:dyDescent="0.3">
      <c r="A1475">
        <v>32</v>
      </c>
      <c r="B1475" s="168" t="s">
        <v>30</v>
      </c>
      <c r="C1475" s="168" t="s">
        <v>47</v>
      </c>
      <c r="D1475">
        <v>1971</v>
      </c>
      <c r="E1475">
        <v>2021</v>
      </c>
      <c r="F1475" s="168" t="s">
        <v>591</v>
      </c>
      <c r="G1475" s="168" t="s">
        <v>633</v>
      </c>
      <c r="H1475" s="168" t="s">
        <v>609</v>
      </c>
      <c r="I1475">
        <v>5140.7550144521329</v>
      </c>
    </row>
    <row r="1476" spans="1:9" x14ac:dyDescent="0.3">
      <c r="A1476">
        <v>32</v>
      </c>
      <c r="B1476" s="168" t="s">
        <v>30</v>
      </c>
      <c r="C1476" s="168" t="s">
        <v>47</v>
      </c>
      <c r="D1476">
        <v>1971</v>
      </c>
      <c r="E1476">
        <v>2021</v>
      </c>
      <c r="F1476" s="168" t="s">
        <v>591</v>
      </c>
      <c r="G1476" s="168" t="s">
        <v>613</v>
      </c>
      <c r="H1476" s="168" t="s">
        <v>608</v>
      </c>
      <c r="I1476">
        <v>5581.2768126407</v>
      </c>
    </row>
    <row r="1477" spans="1:9" x14ac:dyDescent="0.3">
      <c r="A1477">
        <v>32</v>
      </c>
      <c r="B1477" s="168" t="s">
        <v>30</v>
      </c>
      <c r="C1477" s="168" t="s">
        <v>47</v>
      </c>
      <c r="D1477">
        <v>1971</v>
      </c>
      <c r="E1477">
        <v>2021</v>
      </c>
      <c r="F1477" s="168" t="s">
        <v>591</v>
      </c>
      <c r="G1477" s="168" t="s">
        <v>613</v>
      </c>
      <c r="H1477" s="168" t="s">
        <v>609</v>
      </c>
      <c r="I1477">
        <v>122509.02603746337</v>
      </c>
    </row>
    <row r="1478" spans="1:9" x14ac:dyDescent="0.3">
      <c r="A1478">
        <v>33</v>
      </c>
      <c r="B1478" s="168" t="s">
        <v>48</v>
      </c>
      <c r="C1478" s="168" t="s">
        <v>49</v>
      </c>
      <c r="D1478">
        <v>126.6</v>
      </c>
      <c r="E1478">
        <v>2021</v>
      </c>
      <c r="F1478" s="168" t="s">
        <v>593</v>
      </c>
      <c r="G1478" s="168" t="s">
        <v>607</v>
      </c>
      <c r="H1478" s="168" t="s">
        <v>608</v>
      </c>
      <c r="I1478">
        <v>0</v>
      </c>
    </row>
    <row r="1479" spans="1:9" x14ac:dyDescent="0.3">
      <c r="A1479">
        <v>33</v>
      </c>
      <c r="B1479" s="168" t="s">
        <v>48</v>
      </c>
      <c r="C1479" s="168" t="s">
        <v>49</v>
      </c>
      <c r="D1479">
        <v>126.6</v>
      </c>
      <c r="E1479">
        <v>2021</v>
      </c>
      <c r="F1479" s="168" t="s">
        <v>593</v>
      </c>
      <c r="G1479" s="168" t="s">
        <v>607</v>
      </c>
      <c r="H1479" s="168" t="s">
        <v>609</v>
      </c>
      <c r="I1479">
        <v>11022.980931448788</v>
      </c>
    </row>
    <row r="1480" spans="1:9" x14ac:dyDescent="0.3">
      <c r="A1480">
        <v>33</v>
      </c>
      <c r="B1480" s="168" t="s">
        <v>48</v>
      </c>
      <c r="C1480" s="168" t="s">
        <v>49</v>
      </c>
      <c r="D1480">
        <v>126.6</v>
      </c>
      <c r="E1480">
        <v>2021</v>
      </c>
      <c r="F1480" s="168" t="s">
        <v>593</v>
      </c>
      <c r="G1480" s="168" t="s">
        <v>612</v>
      </c>
      <c r="H1480" s="168" t="s">
        <v>608</v>
      </c>
      <c r="I1480">
        <v>704.70947433460333</v>
      </c>
    </row>
    <row r="1481" spans="1:9" x14ac:dyDescent="0.3">
      <c r="A1481">
        <v>33</v>
      </c>
      <c r="B1481" s="168" t="s">
        <v>48</v>
      </c>
      <c r="C1481" s="168" t="s">
        <v>49</v>
      </c>
      <c r="D1481">
        <v>126.6</v>
      </c>
      <c r="E1481">
        <v>2021</v>
      </c>
      <c r="F1481" s="168" t="s">
        <v>593</v>
      </c>
      <c r="G1481" s="168" t="s">
        <v>612</v>
      </c>
      <c r="H1481" s="168" t="s">
        <v>609</v>
      </c>
      <c r="I1481">
        <v>756.85797543536398</v>
      </c>
    </row>
    <row r="1482" spans="1:9" x14ac:dyDescent="0.3">
      <c r="A1482">
        <v>33</v>
      </c>
      <c r="B1482" s="168" t="s">
        <v>48</v>
      </c>
      <c r="C1482" s="168" t="s">
        <v>49</v>
      </c>
      <c r="D1482">
        <v>126.6</v>
      </c>
      <c r="E1482">
        <v>2021</v>
      </c>
      <c r="F1482" s="168" t="s">
        <v>593</v>
      </c>
      <c r="G1482" s="168" t="s">
        <v>617</v>
      </c>
      <c r="H1482" s="168" t="s">
        <v>608</v>
      </c>
      <c r="I1482">
        <v>0</v>
      </c>
    </row>
    <row r="1483" spans="1:9" x14ac:dyDescent="0.3">
      <c r="A1483">
        <v>33</v>
      </c>
      <c r="B1483" s="168" t="s">
        <v>48</v>
      </c>
      <c r="C1483" s="168" t="s">
        <v>49</v>
      </c>
      <c r="D1483">
        <v>126.6</v>
      </c>
      <c r="E1483">
        <v>2021</v>
      </c>
      <c r="F1483" s="168" t="s">
        <v>593</v>
      </c>
      <c r="G1483" s="168" t="s">
        <v>617</v>
      </c>
      <c r="H1483" s="168" t="s">
        <v>609</v>
      </c>
      <c r="I1483">
        <v>177.58678753232007</v>
      </c>
    </row>
    <row r="1484" spans="1:9" x14ac:dyDescent="0.3">
      <c r="A1484">
        <v>34</v>
      </c>
      <c r="B1484" s="168" t="s">
        <v>48</v>
      </c>
      <c r="C1484" s="168" t="s">
        <v>50</v>
      </c>
      <c r="D1484">
        <v>71</v>
      </c>
      <c r="E1484">
        <v>2021</v>
      </c>
      <c r="F1484" s="168" t="s">
        <v>593</v>
      </c>
      <c r="G1484" s="168" t="s">
        <v>607</v>
      </c>
      <c r="H1484" s="168" t="s">
        <v>608</v>
      </c>
      <c r="I1484">
        <v>0</v>
      </c>
    </row>
    <row r="1485" spans="1:9" x14ac:dyDescent="0.3">
      <c r="A1485">
        <v>34</v>
      </c>
      <c r="B1485" s="168" t="s">
        <v>48</v>
      </c>
      <c r="C1485" s="168" t="s">
        <v>50</v>
      </c>
      <c r="D1485">
        <v>71</v>
      </c>
      <c r="E1485">
        <v>2021</v>
      </c>
      <c r="F1485" s="168" t="s">
        <v>593</v>
      </c>
      <c r="G1485" s="168" t="s">
        <v>607</v>
      </c>
      <c r="H1485" s="168" t="s">
        <v>609</v>
      </c>
      <c r="I1485">
        <v>6181.9245350147103</v>
      </c>
    </row>
    <row r="1486" spans="1:9" x14ac:dyDescent="0.3">
      <c r="A1486">
        <v>34</v>
      </c>
      <c r="B1486" s="168" t="s">
        <v>48</v>
      </c>
      <c r="C1486" s="168" t="s">
        <v>50</v>
      </c>
      <c r="D1486">
        <v>71</v>
      </c>
      <c r="E1486">
        <v>2021</v>
      </c>
      <c r="F1486" s="168" t="s">
        <v>593</v>
      </c>
      <c r="G1486" s="168" t="s">
        <v>612</v>
      </c>
      <c r="H1486" s="168" t="s">
        <v>608</v>
      </c>
      <c r="I1486">
        <v>395.21621388433527</v>
      </c>
    </row>
    <row r="1487" spans="1:9" x14ac:dyDescent="0.3">
      <c r="A1487">
        <v>34</v>
      </c>
      <c r="B1487" s="168" t="s">
        <v>48</v>
      </c>
      <c r="C1487" s="168" t="s">
        <v>50</v>
      </c>
      <c r="D1487">
        <v>71</v>
      </c>
      <c r="E1487">
        <v>2021</v>
      </c>
      <c r="F1487" s="168" t="s">
        <v>593</v>
      </c>
      <c r="G1487" s="168" t="s">
        <v>612</v>
      </c>
      <c r="H1487" s="168" t="s">
        <v>609</v>
      </c>
      <c r="I1487">
        <v>424.46221371177609</v>
      </c>
    </row>
    <row r="1488" spans="1:9" x14ac:dyDescent="0.3">
      <c r="A1488">
        <v>34</v>
      </c>
      <c r="B1488" s="168" t="s">
        <v>48</v>
      </c>
      <c r="C1488" s="168" t="s">
        <v>50</v>
      </c>
      <c r="D1488">
        <v>71</v>
      </c>
      <c r="E1488">
        <v>2021</v>
      </c>
      <c r="F1488" s="168" t="s">
        <v>593</v>
      </c>
      <c r="G1488" s="168" t="s">
        <v>617</v>
      </c>
      <c r="H1488" s="168" t="s">
        <v>608</v>
      </c>
      <c r="I1488">
        <v>0</v>
      </c>
    </row>
    <row r="1489" spans="1:9" x14ac:dyDescent="0.3">
      <c r="A1489">
        <v>34</v>
      </c>
      <c r="B1489" s="168" t="s">
        <v>48</v>
      </c>
      <c r="C1489" s="168" t="s">
        <v>50</v>
      </c>
      <c r="D1489">
        <v>71</v>
      </c>
      <c r="E1489">
        <v>2021</v>
      </c>
      <c r="F1489" s="168" t="s">
        <v>593</v>
      </c>
      <c r="G1489" s="168" t="s">
        <v>617</v>
      </c>
      <c r="H1489" s="168" t="s">
        <v>609</v>
      </c>
      <c r="I1489">
        <v>99.594485898852497</v>
      </c>
    </row>
    <row r="1490" spans="1:9" x14ac:dyDescent="0.3">
      <c r="A1490">
        <v>35</v>
      </c>
      <c r="B1490" s="168" t="s">
        <v>48</v>
      </c>
      <c r="C1490" s="168" t="s">
        <v>51</v>
      </c>
      <c r="D1490">
        <v>34.700000000000003</v>
      </c>
      <c r="E1490">
        <v>2021</v>
      </c>
      <c r="F1490" s="168" t="s">
        <v>593</v>
      </c>
      <c r="G1490" s="168" t="s">
        <v>607</v>
      </c>
      <c r="H1490" s="168" t="s">
        <v>608</v>
      </c>
      <c r="I1490">
        <v>0</v>
      </c>
    </row>
    <row r="1491" spans="1:9" x14ac:dyDescent="0.3">
      <c r="A1491">
        <v>35</v>
      </c>
      <c r="B1491" s="168" t="s">
        <v>48</v>
      </c>
      <c r="C1491" s="168" t="s">
        <v>51</v>
      </c>
      <c r="D1491">
        <v>34.700000000000003</v>
      </c>
      <c r="E1491">
        <v>2021</v>
      </c>
      <c r="F1491" s="168" t="s">
        <v>593</v>
      </c>
      <c r="G1491" s="168" t="s">
        <v>607</v>
      </c>
      <c r="H1491" s="168" t="s">
        <v>609</v>
      </c>
      <c r="I1491">
        <v>3021.3067797888698</v>
      </c>
    </row>
    <row r="1492" spans="1:9" x14ac:dyDescent="0.3">
      <c r="A1492">
        <v>35</v>
      </c>
      <c r="B1492" s="168" t="s">
        <v>48</v>
      </c>
      <c r="C1492" s="168" t="s">
        <v>51</v>
      </c>
      <c r="D1492">
        <v>34.700000000000003</v>
      </c>
      <c r="E1492">
        <v>2021</v>
      </c>
      <c r="F1492" s="168" t="s">
        <v>593</v>
      </c>
      <c r="G1492" s="168" t="s">
        <v>612</v>
      </c>
      <c r="H1492" s="168" t="s">
        <v>608</v>
      </c>
      <c r="I1492">
        <v>193.15496650403429</v>
      </c>
    </row>
    <row r="1493" spans="1:9" x14ac:dyDescent="0.3">
      <c r="A1493">
        <v>35</v>
      </c>
      <c r="B1493" s="168" t="s">
        <v>48</v>
      </c>
      <c r="C1493" s="168" t="s">
        <v>51</v>
      </c>
      <c r="D1493">
        <v>34.700000000000003</v>
      </c>
      <c r="E1493">
        <v>2021</v>
      </c>
      <c r="F1493" s="168" t="s">
        <v>593</v>
      </c>
      <c r="G1493" s="168" t="s">
        <v>612</v>
      </c>
      <c r="H1493" s="168" t="s">
        <v>609</v>
      </c>
      <c r="I1493">
        <v>207.44843402533283</v>
      </c>
    </row>
    <row r="1494" spans="1:9" x14ac:dyDescent="0.3">
      <c r="A1494">
        <v>35</v>
      </c>
      <c r="B1494" s="168" t="s">
        <v>48</v>
      </c>
      <c r="C1494" s="168" t="s">
        <v>51</v>
      </c>
      <c r="D1494">
        <v>34.700000000000003</v>
      </c>
      <c r="E1494">
        <v>2021</v>
      </c>
      <c r="F1494" s="168" t="s">
        <v>593</v>
      </c>
      <c r="G1494" s="168" t="s">
        <v>617</v>
      </c>
      <c r="H1494" s="168" t="s">
        <v>608</v>
      </c>
      <c r="I1494">
        <v>0</v>
      </c>
    </row>
    <row r="1495" spans="1:9" x14ac:dyDescent="0.3">
      <c r="A1495">
        <v>35</v>
      </c>
      <c r="B1495" s="168" t="s">
        <v>48</v>
      </c>
      <c r="C1495" s="168" t="s">
        <v>51</v>
      </c>
      <c r="D1495">
        <v>34.700000000000003</v>
      </c>
      <c r="E1495">
        <v>2021</v>
      </c>
      <c r="F1495" s="168" t="s">
        <v>593</v>
      </c>
      <c r="G1495" s="168" t="s">
        <v>617</v>
      </c>
      <c r="H1495" s="168" t="s">
        <v>609</v>
      </c>
      <c r="I1495">
        <v>48.675051559016644</v>
      </c>
    </row>
    <row r="1496" spans="1:9" x14ac:dyDescent="0.3">
      <c r="A1496">
        <v>36</v>
      </c>
      <c r="B1496" s="168" t="s">
        <v>48</v>
      </c>
      <c r="C1496" s="168" t="s">
        <v>52</v>
      </c>
      <c r="D1496">
        <v>97</v>
      </c>
      <c r="E1496">
        <v>2021</v>
      </c>
      <c r="F1496" s="168" t="s">
        <v>593</v>
      </c>
      <c r="G1496" s="168" t="s">
        <v>607</v>
      </c>
      <c r="H1496" s="168" t="s">
        <v>608</v>
      </c>
      <c r="I1496">
        <v>0</v>
      </c>
    </row>
    <row r="1497" spans="1:9" x14ac:dyDescent="0.3">
      <c r="A1497">
        <v>36</v>
      </c>
      <c r="B1497" s="168" t="s">
        <v>48</v>
      </c>
      <c r="C1497" s="168" t="s">
        <v>52</v>
      </c>
      <c r="D1497">
        <v>97</v>
      </c>
      <c r="E1497">
        <v>2021</v>
      </c>
      <c r="F1497" s="168" t="s">
        <v>593</v>
      </c>
      <c r="G1497" s="168" t="s">
        <v>607</v>
      </c>
      <c r="H1497" s="168" t="s">
        <v>609</v>
      </c>
      <c r="I1497">
        <v>8445.7278858651644</v>
      </c>
    </row>
    <row r="1498" spans="1:9" x14ac:dyDescent="0.3">
      <c r="A1498">
        <v>36</v>
      </c>
      <c r="B1498" s="168" t="s">
        <v>48</v>
      </c>
      <c r="C1498" s="168" t="s">
        <v>52</v>
      </c>
      <c r="D1498">
        <v>97</v>
      </c>
      <c r="E1498">
        <v>2021</v>
      </c>
      <c r="F1498" s="168" t="s">
        <v>593</v>
      </c>
      <c r="G1498" s="168" t="s">
        <v>612</v>
      </c>
      <c r="H1498" s="168" t="s">
        <v>608</v>
      </c>
      <c r="I1498">
        <v>539.9432781236693</v>
      </c>
    </row>
    <row r="1499" spans="1:9" x14ac:dyDescent="0.3">
      <c r="A1499">
        <v>36</v>
      </c>
      <c r="B1499" s="168" t="s">
        <v>48</v>
      </c>
      <c r="C1499" s="168" t="s">
        <v>52</v>
      </c>
      <c r="D1499">
        <v>97</v>
      </c>
      <c r="E1499">
        <v>2021</v>
      </c>
      <c r="F1499" s="168" t="s">
        <v>593</v>
      </c>
      <c r="G1499" s="168" t="s">
        <v>612</v>
      </c>
      <c r="H1499" s="168" t="s">
        <v>609</v>
      </c>
      <c r="I1499">
        <v>579.89908070482079</v>
      </c>
    </row>
    <row r="1500" spans="1:9" x14ac:dyDescent="0.3">
      <c r="A1500">
        <v>36</v>
      </c>
      <c r="B1500" s="168" t="s">
        <v>48</v>
      </c>
      <c r="C1500" s="168" t="s">
        <v>52</v>
      </c>
      <c r="D1500">
        <v>97</v>
      </c>
      <c r="E1500">
        <v>2021</v>
      </c>
      <c r="F1500" s="168" t="s">
        <v>593</v>
      </c>
      <c r="G1500" s="168" t="s">
        <v>617</v>
      </c>
      <c r="H1500" s="168" t="s">
        <v>608</v>
      </c>
      <c r="I1500">
        <v>0</v>
      </c>
    </row>
    <row r="1501" spans="1:9" x14ac:dyDescent="0.3">
      <c r="A1501">
        <v>36</v>
      </c>
      <c r="B1501" s="168" t="s">
        <v>48</v>
      </c>
      <c r="C1501" s="168" t="s">
        <v>52</v>
      </c>
      <c r="D1501">
        <v>97</v>
      </c>
      <c r="E1501">
        <v>2021</v>
      </c>
      <c r="F1501" s="168" t="s">
        <v>593</v>
      </c>
      <c r="G1501" s="168" t="s">
        <v>617</v>
      </c>
      <c r="H1501" s="168" t="s">
        <v>609</v>
      </c>
      <c r="I1501">
        <v>136.06570608716467</v>
      </c>
    </row>
    <row r="1502" spans="1:9" x14ac:dyDescent="0.3">
      <c r="A1502">
        <v>37</v>
      </c>
      <c r="B1502" s="168" t="s">
        <v>294</v>
      </c>
      <c r="C1502" s="168" t="s">
        <v>54</v>
      </c>
      <c r="D1502">
        <v>971.9</v>
      </c>
      <c r="E1502">
        <v>2021</v>
      </c>
      <c r="F1502" s="168" t="s">
        <v>591</v>
      </c>
      <c r="G1502" s="168" t="s">
        <v>607</v>
      </c>
      <c r="H1502" s="168" t="s">
        <v>608</v>
      </c>
      <c r="I1502">
        <v>1812328.7279999999</v>
      </c>
    </row>
    <row r="1503" spans="1:9" x14ac:dyDescent="0.3">
      <c r="A1503">
        <v>37</v>
      </c>
      <c r="B1503" s="168" t="s">
        <v>294</v>
      </c>
      <c r="C1503" s="168" t="s">
        <v>54</v>
      </c>
      <c r="D1503">
        <v>971.9</v>
      </c>
      <c r="E1503">
        <v>2021</v>
      </c>
      <c r="F1503" s="168" t="s">
        <v>591</v>
      </c>
      <c r="G1503" s="168" t="s">
        <v>607</v>
      </c>
      <c r="H1503" s="168" t="s">
        <v>609</v>
      </c>
      <c r="I1503">
        <v>776712.31200000003</v>
      </c>
    </row>
    <row r="1504" spans="1:9" x14ac:dyDescent="0.3">
      <c r="A1504">
        <v>37</v>
      </c>
      <c r="B1504" s="168" t="s">
        <v>294</v>
      </c>
      <c r="C1504" s="168" t="s">
        <v>54</v>
      </c>
      <c r="D1504">
        <v>971.9</v>
      </c>
      <c r="E1504">
        <v>2021</v>
      </c>
      <c r="F1504" s="168" t="s">
        <v>591</v>
      </c>
      <c r="G1504" s="168" t="s">
        <v>629</v>
      </c>
      <c r="H1504" s="168" t="s">
        <v>608</v>
      </c>
      <c r="I1504">
        <v>88442.9</v>
      </c>
    </row>
    <row r="1505" spans="1:9" x14ac:dyDescent="0.3">
      <c r="A1505">
        <v>37</v>
      </c>
      <c r="B1505" s="168" t="s">
        <v>294</v>
      </c>
      <c r="C1505" s="168" t="s">
        <v>54</v>
      </c>
      <c r="D1505">
        <v>971.9</v>
      </c>
      <c r="E1505">
        <v>2021</v>
      </c>
      <c r="F1505" s="168" t="s">
        <v>591</v>
      </c>
      <c r="G1505" s="168" t="s">
        <v>629</v>
      </c>
      <c r="H1505" s="168" t="s">
        <v>609</v>
      </c>
      <c r="I1505">
        <v>37904.1</v>
      </c>
    </row>
    <row r="1506" spans="1:9" x14ac:dyDescent="0.3">
      <c r="A1506">
        <v>37</v>
      </c>
      <c r="B1506" s="168" t="s">
        <v>294</v>
      </c>
      <c r="C1506" s="168" t="s">
        <v>54</v>
      </c>
      <c r="D1506">
        <v>971.9</v>
      </c>
      <c r="E1506">
        <v>2021</v>
      </c>
      <c r="F1506" s="168" t="s">
        <v>591</v>
      </c>
      <c r="G1506" s="168" t="s">
        <v>610</v>
      </c>
      <c r="H1506" s="168" t="s">
        <v>608</v>
      </c>
      <c r="I1506">
        <v>0</v>
      </c>
    </row>
    <row r="1507" spans="1:9" x14ac:dyDescent="0.3">
      <c r="A1507">
        <v>37</v>
      </c>
      <c r="B1507" s="168" t="s">
        <v>294</v>
      </c>
      <c r="C1507" s="168" t="s">
        <v>54</v>
      </c>
      <c r="D1507">
        <v>971.9</v>
      </c>
      <c r="E1507">
        <v>2021</v>
      </c>
      <c r="F1507" s="168" t="s">
        <v>591</v>
      </c>
      <c r="G1507" s="168" t="s">
        <v>610</v>
      </c>
      <c r="H1507" s="168" t="s">
        <v>609</v>
      </c>
      <c r="I1507">
        <v>3272.7272727272725</v>
      </c>
    </row>
    <row r="1508" spans="1:9" x14ac:dyDescent="0.3">
      <c r="A1508">
        <v>37</v>
      </c>
      <c r="B1508" s="168" t="s">
        <v>294</v>
      </c>
      <c r="C1508" s="168" t="s">
        <v>54</v>
      </c>
      <c r="D1508">
        <v>971.9</v>
      </c>
      <c r="E1508">
        <v>2021</v>
      </c>
      <c r="F1508" s="168" t="s">
        <v>591</v>
      </c>
      <c r="G1508" s="168" t="s">
        <v>633</v>
      </c>
      <c r="H1508" s="168" t="s">
        <v>608</v>
      </c>
      <c r="I1508">
        <v>5110.4160150140751</v>
      </c>
    </row>
    <row r="1509" spans="1:9" x14ac:dyDescent="0.3">
      <c r="A1509">
        <v>37</v>
      </c>
      <c r="B1509" s="168" t="s">
        <v>294</v>
      </c>
      <c r="C1509" s="168" t="s">
        <v>54</v>
      </c>
      <c r="D1509">
        <v>971.9</v>
      </c>
      <c r="E1509">
        <v>2021</v>
      </c>
      <c r="F1509" s="168" t="s">
        <v>591</v>
      </c>
      <c r="G1509" s="168" t="s">
        <v>633</v>
      </c>
      <c r="H1509" s="168" t="s">
        <v>609</v>
      </c>
      <c r="I1509">
        <v>2190.1782921488893</v>
      </c>
    </row>
    <row r="1510" spans="1:9" x14ac:dyDescent="0.3">
      <c r="A1510">
        <v>37</v>
      </c>
      <c r="B1510" s="168" t="s">
        <v>294</v>
      </c>
      <c r="C1510" s="168" t="s">
        <v>54</v>
      </c>
      <c r="D1510">
        <v>971.9</v>
      </c>
      <c r="E1510">
        <v>2021</v>
      </c>
      <c r="F1510" s="168" t="s">
        <v>591</v>
      </c>
      <c r="G1510" s="168" t="s">
        <v>630</v>
      </c>
      <c r="H1510" s="168" t="s">
        <v>608</v>
      </c>
      <c r="I1510">
        <v>101880.821</v>
      </c>
    </row>
    <row r="1511" spans="1:9" x14ac:dyDescent="0.3">
      <c r="A1511">
        <v>37</v>
      </c>
      <c r="B1511" s="168" t="s">
        <v>294</v>
      </c>
      <c r="C1511" s="168" t="s">
        <v>54</v>
      </c>
      <c r="D1511">
        <v>971.9</v>
      </c>
      <c r="E1511">
        <v>2021</v>
      </c>
      <c r="F1511" s="168" t="s">
        <v>591</v>
      </c>
      <c r="G1511" s="168" t="s">
        <v>630</v>
      </c>
      <c r="H1511" s="168" t="s">
        <v>609</v>
      </c>
      <c r="I1511">
        <v>43663.209000000003</v>
      </c>
    </row>
    <row r="1512" spans="1:9" x14ac:dyDescent="0.3">
      <c r="A1512">
        <v>37</v>
      </c>
      <c r="B1512" s="168" t="s">
        <v>294</v>
      </c>
      <c r="C1512" s="168" t="s">
        <v>54</v>
      </c>
      <c r="D1512">
        <v>971.9</v>
      </c>
      <c r="E1512">
        <v>2021</v>
      </c>
      <c r="F1512" s="168" t="s">
        <v>591</v>
      </c>
      <c r="G1512" s="168" t="s">
        <v>611</v>
      </c>
      <c r="H1512" s="168" t="s">
        <v>608</v>
      </c>
      <c r="I1512">
        <v>0</v>
      </c>
    </row>
    <row r="1513" spans="1:9" x14ac:dyDescent="0.3">
      <c r="A1513">
        <v>37</v>
      </c>
      <c r="B1513" s="168" t="s">
        <v>294</v>
      </c>
      <c r="C1513" s="168" t="s">
        <v>54</v>
      </c>
      <c r="D1513">
        <v>971.9</v>
      </c>
      <c r="E1513">
        <v>2021</v>
      </c>
      <c r="F1513" s="168" t="s">
        <v>591</v>
      </c>
      <c r="G1513" s="168" t="s">
        <v>611</v>
      </c>
      <c r="H1513" s="168" t="s">
        <v>609</v>
      </c>
      <c r="I1513">
        <v>4062.1352436903176</v>
      </c>
    </row>
    <row r="1514" spans="1:9" x14ac:dyDescent="0.3">
      <c r="A1514">
        <v>37</v>
      </c>
      <c r="B1514" s="168" t="s">
        <v>294</v>
      </c>
      <c r="C1514" s="168" t="s">
        <v>54</v>
      </c>
      <c r="D1514">
        <v>971.9</v>
      </c>
      <c r="E1514">
        <v>2021</v>
      </c>
      <c r="F1514" s="168" t="s">
        <v>591</v>
      </c>
      <c r="G1514" s="168" t="s">
        <v>613</v>
      </c>
      <c r="H1514" s="168" t="s">
        <v>608</v>
      </c>
      <c r="I1514">
        <v>68873.0156736973</v>
      </c>
    </row>
    <row r="1515" spans="1:9" x14ac:dyDescent="0.3">
      <c r="A1515">
        <v>37</v>
      </c>
      <c r="B1515" s="168" t="s">
        <v>294</v>
      </c>
      <c r="C1515" s="168" t="s">
        <v>54</v>
      </c>
      <c r="D1515">
        <v>971.9</v>
      </c>
      <c r="E1515">
        <v>2021</v>
      </c>
      <c r="F1515" s="168" t="s">
        <v>591</v>
      </c>
      <c r="G1515" s="168" t="s">
        <v>613</v>
      </c>
      <c r="H1515" s="168" t="s">
        <v>609</v>
      </c>
      <c r="I1515">
        <v>28082.79687953266</v>
      </c>
    </row>
    <row r="1516" spans="1:9" x14ac:dyDescent="0.3">
      <c r="A1516">
        <v>39</v>
      </c>
      <c r="B1516" s="168" t="s">
        <v>57</v>
      </c>
      <c r="C1516" s="168" t="s">
        <v>58</v>
      </c>
      <c r="D1516">
        <v>676.6</v>
      </c>
      <c r="E1516">
        <v>2021</v>
      </c>
      <c r="F1516" s="168" t="s">
        <v>590</v>
      </c>
      <c r="G1516" s="168" t="s">
        <v>607</v>
      </c>
      <c r="H1516" s="168" t="s">
        <v>608</v>
      </c>
      <c r="I1516">
        <v>906164.36399999994</v>
      </c>
    </row>
    <row r="1517" spans="1:9" x14ac:dyDescent="0.3">
      <c r="A1517">
        <v>39</v>
      </c>
      <c r="B1517" s="168" t="s">
        <v>57</v>
      </c>
      <c r="C1517" s="168" t="s">
        <v>58</v>
      </c>
      <c r="D1517">
        <v>676.6</v>
      </c>
      <c r="E1517">
        <v>2021</v>
      </c>
      <c r="F1517" s="168" t="s">
        <v>590</v>
      </c>
      <c r="G1517" s="168" t="s">
        <v>607</v>
      </c>
      <c r="H1517" s="168" t="s">
        <v>609</v>
      </c>
      <c r="I1517">
        <v>388356.15600000002</v>
      </c>
    </row>
    <row r="1518" spans="1:9" x14ac:dyDescent="0.3">
      <c r="A1518">
        <v>39</v>
      </c>
      <c r="B1518" s="168" t="s">
        <v>57</v>
      </c>
      <c r="C1518" s="168" t="s">
        <v>58</v>
      </c>
      <c r="D1518">
        <v>676.6</v>
      </c>
      <c r="E1518">
        <v>2021</v>
      </c>
      <c r="F1518" s="168" t="s">
        <v>590</v>
      </c>
      <c r="G1518" s="168" t="s">
        <v>612</v>
      </c>
      <c r="H1518" s="168" t="s">
        <v>608</v>
      </c>
      <c r="I1518">
        <v>0</v>
      </c>
    </row>
    <row r="1519" spans="1:9" x14ac:dyDescent="0.3">
      <c r="A1519">
        <v>39</v>
      </c>
      <c r="B1519" s="168" t="s">
        <v>57</v>
      </c>
      <c r="C1519" s="168" t="s">
        <v>58</v>
      </c>
      <c r="D1519">
        <v>676.6</v>
      </c>
      <c r="E1519">
        <v>2021</v>
      </c>
      <c r="F1519" s="168" t="s">
        <v>590</v>
      </c>
      <c r="G1519" s="168" t="s">
        <v>612</v>
      </c>
      <c r="H1519" s="168" t="s">
        <v>609</v>
      </c>
      <c r="I1519">
        <v>45871.75</v>
      </c>
    </row>
    <row r="1520" spans="1:9" x14ac:dyDescent="0.3">
      <c r="A1520">
        <v>39</v>
      </c>
      <c r="B1520" s="168" t="s">
        <v>57</v>
      </c>
      <c r="C1520" s="168" t="s">
        <v>58</v>
      </c>
      <c r="D1520">
        <v>676.6</v>
      </c>
      <c r="E1520">
        <v>2021</v>
      </c>
      <c r="F1520" s="168" t="s">
        <v>590</v>
      </c>
      <c r="G1520" s="168" t="s">
        <v>629</v>
      </c>
      <c r="H1520" s="168" t="s">
        <v>608</v>
      </c>
      <c r="I1520">
        <v>61570.6</v>
      </c>
    </row>
    <row r="1521" spans="1:9" x14ac:dyDescent="0.3">
      <c r="A1521">
        <v>39</v>
      </c>
      <c r="B1521" s="168" t="s">
        <v>57</v>
      </c>
      <c r="C1521" s="168" t="s">
        <v>58</v>
      </c>
      <c r="D1521">
        <v>676.6</v>
      </c>
      <c r="E1521">
        <v>2021</v>
      </c>
      <c r="F1521" s="168" t="s">
        <v>590</v>
      </c>
      <c r="G1521" s="168" t="s">
        <v>629</v>
      </c>
      <c r="H1521" s="168" t="s">
        <v>609</v>
      </c>
      <c r="I1521">
        <v>26387.399999999998</v>
      </c>
    </row>
    <row r="1522" spans="1:9" x14ac:dyDescent="0.3">
      <c r="A1522">
        <v>39</v>
      </c>
      <c r="B1522" s="168" t="s">
        <v>57</v>
      </c>
      <c r="C1522" s="168" t="s">
        <v>58</v>
      </c>
      <c r="D1522">
        <v>676.6</v>
      </c>
      <c r="E1522">
        <v>2021</v>
      </c>
      <c r="F1522" s="168" t="s">
        <v>590</v>
      </c>
      <c r="G1522" s="168" t="s">
        <v>610</v>
      </c>
      <c r="H1522" s="168" t="s">
        <v>608</v>
      </c>
      <c r="I1522">
        <v>0</v>
      </c>
    </row>
    <row r="1523" spans="1:9" x14ac:dyDescent="0.3">
      <c r="A1523">
        <v>39</v>
      </c>
      <c r="B1523" s="168" t="s">
        <v>57</v>
      </c>
      <c r="C1523" s="168" t="s">
        <v>58</v>
      </c>
      <c r="D1523">
        <v>676.6</v>
      </c>
      <c r="E1523">
        <v>2021</v>
      </c>
      <c r="F1523" s="168" t="s">
        <v>590</v>
      </c>
      <c r="G1523" s="168" t="s">
        <v>610</v>
      </c>
      <c r="H1523" s="168" t="s">
        <v>609</v>
      </c>
      <c r="I1523">
        <v>3272.7272727272725</v>
      </c>
    </row>
    <row r="1524" spans="1:9" x14ac:dyDescent="0.3">
      <c r="A1524">
        <v>39</v>
      </c>
      <c r="B1524" s="168" t="s">
        <v>57</v>
      </c>
      <c r="C1524" s="168" t="s">
        <v>58</v>
      </c>
      <c r="D1524">
        <v>676.6</v>
      </c>
      <c r="E1524">
        <v>2021</v>
      </c>
      <c r="F1524" s="168" t="s">
        <v>590</v>
      </c>
      <c r="G1524" s="168" t="s">
        <v>633</v>
      </c>
      <c r="H1524" s="168" t="s">
        <v>608</v>
      </c>
      <c r="I1524">
        <v>1655.3018454801379</v>
      </c>
    </row>
    <row r="1525" spans="1:9" x14ac:dyDescent="0.3">
      <c r="A1525">
        <v>39</v>
      </c>
      <c r="B1525" s="168" t="s">
        <v>57</v>
      </c>
      <c r="C1525" s="168" t="s">
        <v>58</v>
      </c>
      <c r="D1525">
        <v>676.6</v>
      </c>
      <c r="E1525">
        <v>2021</v>
      </c>
      <c r="F1525" s="168" t="s">
        <v>590</v>
      </c>
      <c r="G1525" s="168" t="s">
        <v>633</v>
      </c>
      <c r="H1525" s="168" t="s">
        <v>609</v>
      </c>
      <c r="I1525">
        <v>709.41507663434481</v>
      </c>
    </row>
    <row r="1526" spans="1:9" x14ac:dyDescent="0.3">
      <c r="A1526">
        <v>39</v>
      </c>
      <c r="B1526" s="168" t="s">
        <v>57</v>
      </c>
      <c r="C1526" s="168" t="s">
        <v>58</v>
      </c>
      <c r="D1526">
        <v>676.6</v>
      </c>
      <c r="E1526">
        <v>2021</v>
      </c>
      <c r="F1526" s="168" t="s">
        <v>590</v>
      </c>
      <c r="G1526" s="168" t="s">
        <v>630</v>
      </c>
      <c r="H1526" s="168" t="s">
        <v>608</v>
      </c>
      <c r="I1526">
        <v>120639.36499999999</v>
      </c>
    </row>
    <row r="1527" spans="1:9" x14ac:dyDescent="0.3">
      <c r="A1527">
        <v>39</v>
      </c>
      <c r="B1527" s="168" t="s">
        <v>57</v>
      </c>
      <c r="C1527" s="168" t="s">
        <v>58</v>
      </c>
      <c r="D1527">
        <v>676.6</v>
      </c>
      <c r="E1527">
        <v>2021</v>
      </c>
      <c r="F1527" s="168" t="s">
        <v>590</v>
      </c>
      <c r="G1527" s="168" t="s">
        <v>630</v>
      </c>
      <c r="H1527" s="168" t="s">
        <v>609</v>
      </c>
      <c r="I1527">
        <v>51702.584999999992</v>
      </c>
    </row>
    <row r="1528" spans="1:9" x14ac:dyDescent="0.3">
      <c r="A1528">
        <v>39</v>
      </c>
      <c r="B1528" s="168" t="s">
        <v>57</v>
      </c>
      <c r="C1528" s="168" t="s">
        <v>58</v>
      </c>
      <c r="D1528">
        <v>676.6</v>
      </c>
      <c r="E1528">
        <v>2021</v>
      </c>
      <c r="F1528" s="168" t="s">
        <v>590</v>
      </c>
      <c r="G1528" s="168" t="s">
        <v>611</v>
      </c>
      <c r="H1528" s="168" t="s">
        <v>608</v>
      </c>
      <c r="I1528">
        <v>0</v>
      </c>
    </row>
    <row r="1529" spans="1:9" x14ac:dyDescent="0.3">
      <c r="A1529">
        <v>39</v>
      </c>
      <c r="B1529" s="168" t="s">
        <v>57</v>
      </c>
      <c r="C1529" s="168" t="s">
        <v>58</v>
      </c>
      <c r="D1529">
        <v>676.6</v>
      </c>
      <c r="E1529">
        <v>2021</v>
      </c>
      <c r="F1529" s="168" t="s">
        <v>590</v>
      </c>
      <c r="G1529" s="168" t="s">
        <v>611</v>
      </c>
      <c r="H1529" s="168" t="s">
        <v>609</v>
      </c>
      <c r="I1529">
        <v>2827.9048316502403</v>
      </c>
    </row>
    <row r="1530" spans="1:9" x14ac:dyDescent="0.3">
      <c r="A1530">
        <v>39</v>
      </c>
      <c r="B1530" s="168" t="s">
        <v>57</v>
      </c>
      <c r="C1530" s="168" t="s">
        <v>58</v>
      </c>
      <c r="D1530">
        <v>676.6</v>
      </c>
      <c r="E1530">
        <v>2021</v>
      </c>
      <c r="F1530" s="168" t="s">
        <v>590</v>
      </c>
      <c r="G1530" s="168" t="s">
        <v>613</v>
      </c>
      <c r="H1530" s="168" t="s">
        <v>608</v>
      </c>
      <c r="I1530">
        <v>22406.425758364716</v>
      </c>
    </row>
    <row r="1531" spans="1:9" x14ac:dyDescent="0.3">
      <c r="A1531">
        <v>39</v>
      </c>
      <c r="B1531" s="168" t="s">
        <v>57</v>
      </c>
      <c r="C1531" s="168" t="s">
        <v>58</v>
      </c>
      <c r="D1531">
        <v>676.6</v>
      </c>
      <c r="E1531">
        <v>2021</v>
      </c>
      <c r="F1531" s="168" t="s">
        <v>590</v>
      </c>
      <c r="G1531" s="168" t="s">
        <v>613</v>
      </c>
      <c r="H1531" s="168" t="s">
        <v>609</v>
      </c>
      <c r="I1531">
        <v>14366.253328325376</v>
      </c>
    </row>
    <row r="1532" spans="1:9" x14ac:dyDescent="0.3">
      <c r="A1532">
        <v>40</v>
      </c>
      <c r="B1532" s="168" t="s">
        <v>27</v>
      </c>
      <c r="C1532" s="168" t="s">
        <v>59</v>
      </c>
      <c r="D1532">
        <v>16237.4</v>
      </c>
      <c r="E1532">
        <v>2021</v>
      </c>
      <c r="F1532" s="168" t="s">
        <v>592</v>
      </c>
      <c r="G1532" s="168" t="s">
        <v>607</v>
      </c>
      <c r="H1532" s="168" t="s">
        <v>608</v>
      </c>
      <c r="I1532">
        <v>0</v>
      </c>
    </row>
    <row r="1533" spans="1:9" x14ac:dyDescent="0.3">
      <c r="A1533">
        <v>40</v>
      </c>
      <c r="B1533" s="168" t="s">
        <v>27</v>
      </c>
      <c r="C1533" s="168" t="s">
        <v>59</v>
      </c>
      <c r="D1533">
        <v>16237.4</v>
      </c>
      <c r="E1533">
        <v>2021</v>
      </c>
      <c r="F1533" s="168" t="s">
        <v>592</v>
      </c>
      <c r="G1533" s="168" t="s">
        <v>607</v>
      </c>
      <c r="H1533" s="168" t="s">
        <v>609</v>
      </c>
      <c r="I1533">
        <v>2827661.4400000004</v>
      </c>
    </row>
    <row r="1534" spans="1:9" x14ac:dyDescent="0.3">
      <c r="A1534">
        <v>40</v>
      </c>
      <c r="B1534" s="168" t="s">
        <v>27</v>
      </c>
      <c r="C1534" s="168" t="s">
        <v>59</v>
      </c>
      <c r="D1534">
        <v>16237.4</v>
      </c>
      <c r="E1534">
        <v>2021</v>
      </c>
      <c r="F1534" s="168" t="s">
        <v>592</v>
      </c>
      <c r="G1534" s="168" t="s">
        <v>629</v>
      </c>
      <c r="H1534" s="168" t="s">
        <v>608</v>
      </c>
      <c r="I1534">
        <v>0</v>
      </c>
    </row>
    <row r="1535" spans="1:9" x14ac:dyDescent="0.3">
      <c r="A1535">
        <v>40</v>
      </c>
      <c r="B1535" s="168" t="s">
        <v>27</v>
      </c>
      <c r="C1535" s="168" t="s">
        <v>59</v>
      </c>
      <c r="D1535">
        <v>16237.4</v>
      </c>
      <c r="E1535">
        <v>2021</v>
      </c>
      <c r="F1535" s="168" t="s">
        <v>592</v>
      </c>
      <c r="G1535" s="168" t="s">
        <v>629</v>
      </c>
      <c r="H1535" s="168" t="s">
        <v>609</v>
      </c>
      <c r="I1535">
        <v>6331462.9580164403</v>
      </c>
    </row>
    <row r="1536" spans="1:9" x14ac:dyDescent="0.3">
      <c r="A1536">
        <v>40</v>
      </c>
      <c r="B1536" s="168" t="s">
        <v>27</v>
      </c>
      <c r="C1536" s="168" t="s">
        <v>59</v>
      </c>
      <c r="D1536">
        <v>16237.4</v>
      </c>
      <c r="E1536">
        <v>2021</v>
      </c>
      <c r="F1536" s="168" t="s">
        <v>592</v>
      </c>
      <c r="G1536" s="168" t="s">
        <v>617</v>
      </c>
      <c r="H1536" s="168" t="s">
        <v>608</v>
      </c>
      <c r="I1536">
        <v>0</v>
      </c>
    </row>
    <row r="1537" spans="1:9" x14ac:dyDescent="0.3">
      <c r="A1537">
        <v>40</v>
      </c>
      <c r="B1537" s="168" t="s">
        <v>27</v>
      </c>
      <c r="C1537" s="168" t="s">
        <v>59</v>
      </c>
      <c r="D1537">
        <v>16237.4</v>
      </c>
      <c r="E1537">
        <v>2021</v>
      </c>
      <c r="F1537" s="168" t="s">
        <v>592</v>
      </c>
      <c r="G1537" s="168" t="s">
        <v>617</v>
      </c>
      <c r="H1537" s="168" t="s">
        <v>609</v>
      </c>
      <c r="I1537">
        <v>25701.473755173123</v>
      </c>
    </row>
    <row r="1538" spans="1:9" x14ac:dyDescent="0.3">
      <c r="A1538">
        <v>40</v>
      </c>
      <c r="B1538" s="168" t="s">
        <v>27</v>
      </c>
      <c r="C1538" s="168" t="s">
        <v>59</v>
      </c>
      <c r="D1538">
        <v>16237.4</v>
      </c>
      <c r="E1538">
        <v>2021</v>
      </c>
      <c r="F1538" s="168" t="s">
        <v>592</v>
      </c>
      <c r="G1538" s="168" t="s">
        <v>619</v>
      </c>
      <c r="H1538" s="168" t="s">
        <v>608</v>
      </c>
      <c r="I1538">
        <v>0</v>
      </c>
    </row>
    <row r="1539" spans="1:9" x14ac:dyDescent="0.3">
      <c r="A1539">
        <v>40</v>
      </c>
      <c r="B1539" s="168" t="s">
        <v>27</v>
      </c>
      <c r="C1539" s="168" t="s">
        <v>59</v>
      </c>
      <c r="D1539">
        <v>16237.4</v>
      </c>
      <c r="E1539">
        <v>2021</v>
      </c>
      <c r="F1539" s="168" t="s">
        <v>592</v>
      </c>
      <c r="G1539" s="168" t="s">
        <v>619</v>
      </c>
      <c r="H1539" s="168" t="s">
        <v>609</v>
      </c>
      <c r="I1539">
        <v>286599.05660377361</v>
      </c>
    </row>
    <row r="1540" spans="1:9" x14ac:dyDescent="0.3">
      <c r="A1540">
        <v>40</v>
      </c>
      <c r="B1540" s="168" t="s">
        <v>27</v>
      </c>
      <c r="C1540" s="168" t="s">
        <v>59</v>
      </c>
      <c r="D1540">
        <v>16237.4</v>
      </c>
      <c r="E1540">
        <v>2021</v>
      </c>
      <c r="F1540" s="168" t="s">
        <v>592</v>
      </c>
      <c r="G1540" s="168" t="s">
        <v>610</v>
      </c>
      <c r="H1540" s="168" t="s">
        <v>608</v>
      </c>
      <c r="I1540">
        <v>0</v>
      </c>
    </row>
    <row r="1541" spans="1:9" x14ac:dyDescent="0.3">
      <c r="A1541">
        <v>40</v>
      </c>
      <c r="B1541" s="168" t="s">
        <v>27</v>
      </c>
      <c r="C1541" s="168" t="s">
        <v>59</v>
      </c>
      <c r="D1541">
        <v>16237.4</v>
      </c>
      <c r="E1541">
        <v>2021</v>
      </c>
      <c r="F1541" s="168" t="s">
        <v>592</v>
      </c>
      <c r="G1541" s="168" t="s">
        <v>610</v>
      </c>
      <c r="H1541" s="168" t="s">
        <v>609</v>
      </c>
      <c r="I1541">
        <v>46545.454545454551</v>
      </c>
    </row>
    <row r="1542" spans="1:9" x14ac:dyDescent="0.3">
      <c r="A1542">
        <v>40</v>
      </c>
      <c r="B1542" s="168" t="s">
        <v>27</v>
      </c>
      <c r="C1542" s="168" t="s">
        <v>59</v>
      </c>
      <c r="D1542">
        <v>16237.4</v>
      </c>
      <c r="E1542">
        <v>2021</v>
      </c>
      <c r="F1542" s="168" t="s">
        <v>592</v>
      </c>
      <c r="G1542" s="168" t="s">
        <v>613</v>
      </c>
      <c r="H1542" s="168" t="s">
        <v>608</v>
      </c>
      <c r="I1542">
        <v>0</v>
      </c>
    </row>
    <row r="1543" spans="1:9" x14ac:dyDescent="0.3">
      <c r="A1543">
        <v>40</v>
      </c>
      <c r="B1543" s="168" t="s">
        <v>27</v>
      </c>
      <c r="C1543" s="168" t="s">
        <v>59</v>
      </c>
      <c r="D1543">
        <v>16237.4</v>
      </c>
      <c r="E1543">
        <v>2021</v>
      </c>
      <c r="F1543" s="168" t="s">
        <v>592</v>
      </c>
      <c r="G1543" s="168" t="s">
        <v>613</v>
      </c>
      <c r="H1543" s="168" t="s">
        <v>609</v>
      </c>
      <c r="I1543">
        <v>2749915.0385841941</v>
      </c>
    </row>
    <row r="1544" spans="1:9" x14ac:dyDescent="0.3">
      <c r="A1544">
        <v>41</v>
      </c>
      <c r="B1544" s="168" t="s">
        <v>60</v>
      </c>
      <c r="C1544" s="168" t="s">
        <v>61</v>
      </c>
      <c r="D1544">
        <v>3051</v>
      </c>
      <c r="E1544">
        <v>2021</v>
      </c>
      <c r="F1544" s="168" t="s">
        <v>592</v>
      </c>
      <c r="G1544" s="168" t="s">
        <v>607</v>
      </c>
      <c r="H1544" s="168" t="s">
        <v>608</v>
      </c>
      <c r="I1544">
        <v>0</v>
      </c>
    </row>
    <row r="1545" spans="1:9" x14ac:dyDescent="0.3">
      <c r="A1545">
        <v>41</v>
      </c>
      <c r="B1545" s="168" t="s">
        <v>60</v>
      </c>
      <c r="C1545" s="168" t="s">
        <v>61</v>
      </c>
      <c r="D1545">
        <v>3051</v>
      </c>
      <c r="E1545">
        <v>2021</v>
      </c>
      <c r="F1545" s="168" t="s">
        <v>592</v>
      </c>
      <c r="G1545" s="168" t="s">
        <v>607</v>
      </c>
      <c r="H1545" s="168" t="s">
        <v>609</v>
      </c>
      <c r="I1545">
        <v>2572595</v>
      </c>
    </row>
    <row r="1546" spans="1:9" x14ac:dyDescent="0.3">
      <c r="A1546">
        <v>41</v>
      </c>
      <c r="B1546" s="168" t="s">
        <v>60</v>
      </c>
      <c r="C1546" s="168" t="s">
        <v>61</v>
      </c>
      <c r="D1546">
        <v>3051</v>
      </c>
      <c r="E1546">
        <v>2021</v>
      </c>
      <c r="F1546" s="168" t="s">
        <v>592</v>
      </c>
      <c r="G1546" s="168" t="s">
        <v>612</v>
      </c>
      <c r="H1546" s="168" t="s">
        <v>608</v>
      </c>
      <c r="I1546">
        <v>0</v>
      </c>
    </row>
    <row r="1547" spans="1:9" x14ac:dyDescent="0.3">
      <c r="A1547">
        <v>41</v>
      </c>
      <c r="B1547" s="168" t="s">
        <v>60</v>
      </c>
      <c r="C1547" s="168" t="s">
        <v>61</v>
      </c>
      <c r="D1547">
        <v>3051</v>
      </c>
      <c r="E1547">
        <v>2021</v>
      </c>
      <c r="F1547" s="168" t="s">
        <v>592</v>
      </c>
      <c r="G1547" s="168" t="s">
        <v>612</v>
      </c>
      <c r="H1547" s="168" t="s">
        <v>609</v>
      </c>
      <c r="I1547">
        <v>184260</v>
      </c>
    </row>
    <row r="1548" spans="1:9" x14ac:dyDescent="0.3">
      <c r="A1548">
        <v>41</v>
      </c>
      <c r="B1548" s="168" t="s">
        <v>60</v>
      </c>
      <c r="C1548" s="168" t="s">
        <v>61</v>
      </c>
      <c r="D1548">
        <v>3051</v>
      </c>
      <c r="E1548">
        <v>2021</v>
      </c>
      <c r="F1548" s="168" t="s">
        <v>592</v>
      </c>
      <c r="G1548" s="168" t="s">
        <v>629</v>
      </c>
      <c r="H1548" s="168" t="s">
        <v>608</v>
      </c>
      <c r="I1548">
        <v>0</v>
      </c>
    </row>
    <row r="1549" spans="1:9" x14ac:dyDescent="0.3">
      <c r="A1549">
        <v>41</v>
      </c>
      <c r="B1549" s="168" t="s">
        <v>60</v>
      </c>
      <c r="C1549" s="168" t="s">
        <v>61</v>
      </c>
      <c r="D1549">
        <v>3051</v>
      </c>
      <c r="E1549">
        <v>2021</v>
      </c>
      <c r="F1549" s="168" t="s">
        <v>592</v>
      </c>
      <c r="G1549" s="168" t="s">
        <v>629</v>
      </c>
      <c r="H1549" s="168" t="s">
        <v>609</v>
      </c>
      <c r="I1549">
        <v>833946.578553712</v>
      </c>
    </row>
    <row r="1550" spans="1:9" x14ac:dyDescent="0.3">
      <c r="A1550">
        <v>41</v>
      </c>
      <c r="B1550" s="168" t="s">
        <v>60</v>
      </c>
      <c r="C1550" s="168" t="s">
        <v>61</v>
      </c>
      <c r="D1550">
        <v>3051</v>
      </c>
      <c r="E1550">
        <v>2021</v>
      </c>
      <c r="F1550" s="168" t="s">
        <v>592</v>
      </c>
      <c r="G1550" s="168" t="s">
        <v>617</v>
      </c>
      <c r="H1550" s="168" t="s">
        <v>608</v>
      </c>
      <c r="I1550">
        <v>0</v>
      </c>
    </row>
    <row r="1551" spans="1:9" x14ac:dyDescent="0.3">
      <c r="A1551">
        <v>41</v>
      </c>
      <c r="B1551" s="168" t="s">
        <v>60</v>
      </c>
      <c r="C1551" s="168" t="s">
        <v>61</v>
      </c>
      <c r="D1551">
        <v>3051</v>
      </c>
      <c r="E1551">
        <v>2021</v>
      </c>
      <c r="F1551" s="168" t="s">
        <v>592</v>
      </c>
      <c r="G1551" s="168" t="s">
        <v>617</v>
      </c>
      <c r="H1551" s="168" t="s">
        <v>609</v>
      </c>
      <c r="I1551">
        <v>4799.23596936387</v>
      </c>
    </row>
    <row r="1552" spans="1:9" x14ac:dyDescent="0.3">
      <c r="A1552">
        <v>41</v>
      </c>
      <c r="B1552" s="168" t="s">
        <v>60</v>
      </c>
      <c r="C1552" s="168" t="s">
        <v>61</v>
      </c>
      <c r="D1552">
        <v>3051</v>
      </c>
      <c r="E1552">
        <v>2021</v>
      </c>
      <c r="F1552" s="168" t="s">
        <v>592</v>
      </c>
      <c r="G1552" s="168" t="s">
        <v>619</v>
      </c>
      <c r="H1552" s="168" t="s">
        <v>608</v>
      </c>
      <c r="I1552">
        <v>0</v>
      </c>
    </row>
    <row r="1553" spans="1:9" x14ac:dyDescent="0.3">
      <c r="A1553">
        <v>41</v>
      </c>
      <c r="B1553" s="168" t="s">
        <v>60</v>
      </c>
      <c r="C1553" s="168" t="s">
        <v>61</v>
      </c>
      <c r="D1553">
        <v>3051</v>
      </c>
      <c r="E1553">
        <v>2021</v>
      </c>
      <c r="F1553" s="168" t="s">
        <v>592</v>
      </c>
      <c r="G1553" s="168" t="s">
        <v>619</v>
      </c>
      <c r="H1553" s="168" t="s">
        <v>609</v>
      </c>
      <c r="I1553">
        <v>36509.433962264156</v>
      </c>
    </row>
    <row r="1554" spans="1:9" x14ac:dyDescent="0.3">
      <c r="A1554">
        <v>41</v>
      </c>
      <c r="B1554" s="168" t="s">
        <v>60</v>
      </c>
      <c r="C1554" s="168" t="s">
        <v>61</v>
      </c>
      <c r="D1554">
        <v>3051</v>
      </c>
      <c r="E1554">
        <v>2021</v>
      </c>
      <c r="F1554" s="168" t="s">
        <v>592</v>
      </c>
      <c r="G1554" s="168" t="s">
        <v>633</v>
      </c>
      <c r="H1554" s="168" t="s">
        <v>608</v>
      </c>
      <c r="I1554">
        <v>0</v>
      </c>
    </row>
    <row r="1555" spans="1:9" x14ac:dyDescent="0.3">
      <c r="A1555">
        <v>41</v>
      </c>
      <c r="B1555" s="168" t="s">
        <v>60</v>
      </c>
      <c r="C1555" s="168" t="s">
        <v>61</v>
      </c>
      <c r="D1555">
        <v>3051</v>
      </c>
      <c r="E1555">
        <v>2021</v>
      </c>
      <c r="F1555" s="168" t="s">
        <v>592</v>
      </c>
      <c r="G1555" s="168" t="s">
        <v>633</v>
      </c>
      <c r="H1555" s="168" t="s">
        <v>609</v>
      </c>
      <c r="I1555">
        <v>36000</v>
      </c>
    </row>
    <row r="1556" spans="1:9" x14ac:dyDescent="0.3">
      <c r="A1556">
        <v>41</v>
      </c>
      <c r="B1556" s="168" t="s">
        <v>60</v>
      </c>
      <c r="C1556" s="168" t="s">
        <v>61</v>
      </c>
      <c r="D1556">
        <v>3051</v>
      </c>
      <c r="E1556">
        <v>2021</v>
      </c>
      <c r="F1556" s="168" t="s">
        <v>592</v>
      </c>
      <c r="G1556" s="168" t="s">
        <v>613</v>
      </c>
      <c r="H1556" s="168" t="s">
        <v>608</v>
      </c>
      <c r="I1556">
        <v>0</v>
      </c>
    </row>
    <row r="1557" spans="1:9" x14ac:dyDescent="0.3">
      <c r="A1557">
        <v>41</v>
      </c>
      <c r="B1557" s="168" t="s">
        <v>60</v>
      </c>
      <c r="C1557" s="168" t="s">
        <v>61</v>
      </c>
      <c r="D1557">
        <v>3051</v>
      </c>
      <c r="E1557">
        <v>2021</v>
      </c>
      <c r="F1557" s="168" t="s">
        <v>592</v>
      </c>
      <c r="G1557" s="168" t="s">
        <v>613</v>
      </c>
      <c r="H1557" s="168" t="s">
        <v>609</v>
      </c>
      <c r="I1557">
        <v>770367.18234781304</v>
      </c>
    </row>
    <row r="1558" spans="1:9" x14ac:dyDescent="0.3">
      <c r="A1558">
        <v>42</v>
      </c>
      <c r="B1558" s="168" t="s">
        <v>62</v>
      </c>
      <c r="C1558" s="168" t="s">
        <v>63</v>
      </c>
      <c r="D1558">
        <v>1467.1</v>
      </c>
      <c r="E1558">
        <v>2021</v>
      </c>
      <c r="F1558" s="168" t="s">
        <v>593</v>
      </c>
      <c r="G1558" s="168" t="s">
        <v>607</v>
      </c>
      <c r="H1558" s="168" t="s">
        <v>608</v>
      </c>
      <c r="I1558">
        <v>0</v>
      </c>
    </row>
    <row r="1559" spans="1:9" x14ac:dyDescent="0.3">
      <c r="A1559">
        <v>42</v>
      </c>
      <c r="B1559" s="168" t="s">
        <v>62</v>
      </c>
      <c r="C1559" s="168" t="s">
        <v>63</v>
      </c>
      <c r="D1559">
        <v>1467.1</v>
      </c>
      <c r="E1559">
        <v>2021</v>
      </c>
      <c r="F1559" s="168" t="s">
        <v>593</v>
      </c>
      <c r="G1559" s="168" t="s">
        <v>607</v>
      </c>
      <c r="H1559" s="168" t="s">
        <v>609</v>
      </c>
      <c r="I1559">
        <v>2560865</v>
      </c>
    </row>
    <row r="1560" spans="1:9" x14ac:dyDescent="0.3">
      <c r="A1560">
        <v>42</v>
      </c>
      <c r="B1560" s="168" t="s">
        <v>62</v>
      </c>
      <c r="C1560" s="168" t="s">
        <v>63</v>
      </c>
      <c r="D1560">
        <v>1467.1</v>
      </c>
      <c r="E1560">
        <v>2021</v>
      </c>
      <c r="F1560" s="168" t="s">
        <v>593</v>
      </c>
      <c r="G1560" s="168" t="s">
        <v>619</v>
      </c>
      <c r="H1560" s="168" t="s">
        <v>608</v>
      </c>
      <c r="I1560">
        <v>0</v>
      </c>
    </row>
    <row r="1561" spans="1:9" x14ac:dyDescent="0.3">
      <c r="A1561">
        <v>42</v>
      </c>
      <c r="B1561" s="168" t="s">
        <v>62</v>
      </c>
      <c r="C1561" s="168" t="s">
        <v>63</v>
      </c>
      <c r="D1561">
        <v>1467.1</v>
      </c>
      <c r="E1561">
        <v>2021</v>
      </c>
      <c r="F1561" s="168" t="s">
        <v>593</v>
      </c>
      <c r="G1561" s="168" t="s">
        <v>619</v>
      </c>
      <c r="H1561" s="168" t="s">
        <v>609</v>
      </c>
      <c r="I1561">
        <v>25556.603773584906</v>
      </c>
    </row>
    <row r="1562" spans="1:9" x14ac:dyDescent="0.3">
      <c r="A1562">
        <v>42</v>
      </c>
      <c r="B1562" s="168" t="s">
        <v>62</v>
      </c>
      <c r="C1562" s="168" t="s">
        <v>63</v>
      </c>
      <c r="D1562">
        <v>1467.1</v>
      </c>
      <c r="E1562">
        <v>2021</v>
      </c>
      <c r="F1562" s="168" t="s">
        <v>593</v>
      </c>
      <c r="G1562" s="168" t="s">
        <v>610</v>
      </c>
      <c r="H1562" s="168" t="s">
        <v>608</v>
      </c>
      <c r="I1562">
        <v>0</v>
      </c>
    </row>
    <row r="1563" spans="1:9" x14ac:dyDescent="0.3">
      <c r="A1563">
        <v>42</v>
      </c>
      <c r="B1563" s="168" t="s">
        <v>62</v>
      </c>
      <c r="C1563" s="168" t="s">
        <v>63</v>
      </c>
      <c r="D1563">
        <v>1467.1</v>
      </c>
      <c r="E1563">
        <v>2021</v>
      </c>
      <c r="F1563" s="168" t="s">
        <v>593</v>
      </c>
      <c r="G1563" s="168" t="s">
        <v>610</v>
      </c>
      <c r="H1563" s="168" t="s">
        <v>609</v>
      </c>
      <c r="I1563">
        <v>6545.454545454545</v>
      </c>
    </row>
    <row r="1564" spans="1:9" x14ac:dyDescent="0.3">
      <c r="A1564">
        <v>42</v>
      </c>
      <c r="B1564" s="168" t="s">
        <v>62</v>
      </c>
      <c r="C1564" s="168" t="s">
        <v>63</v>
      </c>
      <c r="D1564">
        <v>1467.1</v>
      </c>
      <c r="E1564">
        <v>2021</v>
      </c>
      <c r="F1564" s="168" t="s">
        <v>593</v>
      </c>
      <c r="G1564" s="168" t="s">
        <v>613</v>
      </c>
      <c r="H1564" s="168" t="s">
        <v>608</v>
      </c>
      <c r="I1564">
        <v>0</v>
      </c>
    </row>
    <row r="1565" spans="1:9" x14ac:dyDescent="0.3">
      <c r="A1565">
        <v>42</v>
      </c>
      <c r="B1565" s="168" t="s">
        <v>62</v>
      </c>
      <c r="C1565" s="168" t="s">
        <v>63</v>
      </c>
      <c r="D1565">
        <v>1467.1</v>
      </c>
      <c r="E1565">
        <v>2021</v>
      </c>
      <c r="F1565" s="168" t="s">
        <v>593</v>
      </c>
      <c r="G1565" s="168" t="s">
        <v>613</v>
      </c>
      <c r="H1565" s="168" t="s">
        <v>609</v>
      </c>
      <c r="I1565">
        <v>497184.57569369901</v>
      </c>
    </row>
    <row r="1566" spans="1:9" x14ac:dyDescent="0.3">
      <c r="A1566">
        <v>43</v>
      </c>
      <c r="B1566" s="168" t="s">
        <v>64</v>
      </c>
      <c r="C1566" s="168" t="s">
        <v>65</v>
      </c>
      <c r="D1566">
        <v>1779.1</v>
      </c>
      <c r="E1566">
        <v>2021</v>
      </c>
      <c r="F1566" s="168" t="s">
        <v>592</v>
      </c>
      <c r="G1566" s="168" t="s">
        <v>607</v>
      </c>
      <c r="H1566" s="168" t="s">
        <v>608</v>
      </c>
      <c r="I1566">
        <v>0</v>
      </c>
    </row>
    <row r="1567" spans="1:9" x14ac:dyDescent="0.3">
      <c r="A1567">
        <v>43</v>
      </c>
      <c r="B1567" s="168" t="s">
        <v>64</v>
      </c>
      <c r="C1567" s="168" t="s">
        <v>65</v>
      </c>
      <c r="D1567">
        <v>1779.1</v>
      </c>
      <c r="E1567">
        <v>2021</v>
      </c>
      <c r="F1567" s="168" t="s">
        <v>592</v>
      </c>
      <c r="G1567" s="168" t="s">
        <v>607</v>
      </c>
      <c r="H1567" s="168" t="s">
        <v>609</v>
      </c>
      <c r="I1567">
        <v>650675</v>
      </c>
    </row>
    <row r="1568" spans="1:9" x14ac:dyDescent="0.3">
      <c r="A1568">
        <v>43</v>
      </c>
      <c r="B1568" s="168" t="s">
        <v>64</v>
      </c>
      <c r="C1568" s="168" t="s">
        <v>65</v>
      </c>
      <c r="D1568">
        <v>1779.1</v>
      </c>
      <c r="E1568">
        <v>2021</v>
      </c>
      <c r="F1568" s="168" t="s">
        <v>592</v>
      </c>
      <c r="G1568" s="168" t="s">
        <v>612</v>
      </c>
      <c r="H1568" s="168" t="s">
        <v>608</v>
      </c>
      <c r="I1568">
        <v>0</v>
      </c>
    </row>
    <row r="1569" spans="1:9" x14ac:dyDescent="0.3">
      <c r="A1569">
        <v>43</v>
      </c>
      <c r="B1569" s="168" t="s">
        <v>64</v>
      </c>
      <c r="C1569" s="168" t="s">
        <v>65</v>
      </c>
      <c r="D1569">
        <v>1779.1</v>
      </c>
      <c r="E1569">
        <v>2021</v>
      </c>
      <c r="F1569" s="168" t="s">
        <v>592</v>
      </c>
      <c r="G1569" s="168" t="s">
        <v>612</v>
      </c>
      <c r="H1569" s="168" t="s">
        <v>609</v>
      </c>
      <c r="I1569">
        <v>24900</v>
      </c>
    </row>
    <row r="1570" spans="1:9" x14ac:dyDescent="0.3">
      <c r="A1570">
        <v>43</v>
      </c>
      <c r="B1570" s="168" t="s">
        <v>64</v>
      </c>
      <c r="C1570" s="168" t="s">
        <v>65</v>
      </c>
      <c r="D1570">
        <v>1779.1</v>
      </c>
      <c r="E1570">
        <v>2021</v>
      </c>
      <c r="F1570" s="168" t="s">
        <v>592</v>
      </c>
      <c r="G1570" s="168" t="s">
        <v>629</v>
      </c>
      <c r="H1570" s="168" t="s">
        <v>608</v>
      </c>
      <c r="I1570">
        <v>0</v>
      </c>
    </row>
    <row r="1571" spans="1:9" x14ac:dyDescent="0.3">
      <c r="A1571">
        <v>43</v>
      </c>
      <c r="B1571" s="168" t="s">
        <v>64</v>
      </c>
      <c r="C1571" s="168" t="s">
        <v>65</v>
      </c>
      <c r="D1571">
        <v>1779.1</v>
      </c>
      <c r="E1571">
        <v>2021</v>
      </c>
      <c r="F1571" s="168" t="s">
        <v>592</v>
      </c>
      <c r="G1571" s="168" t="s">
        <v>629</v>
      </c>
      <c r="H1571" s="168" t="s">
        <v>609</v>
      </c>
      <c r="I1571">
        <v>629394.95228111197</v>
      </c>
    </row>
    <row r="1572" spans="1:9" x14ac:dyDescent="0.3">
      <c r="A1572">
        <v>43</v>
      </c>
      <c r="B1572" s="168" t="s">
        <v>64</v>
      </c>
      <c r="C1572" s="168" t="s">
        <v>65</v>
      </c>
      <c r="D1572">
        <v>1779.1</v>
      </c>
      <c r="E1572">
        <v>2021</v>
      </c>
      <c r="F1572" s="168" t="s">
        <v>592</v>
      </c>
      <c r="G1572" s="168" t="s">
        <v>617</v>
      </c>
      <c r="H1572" s="168" t="s">
        <v>608</v>
      </c>
      <c r="I1572">
        <v>0</v>
      </c>
    </row>
    <row r="1573" spans="1:9" x14ac:dyDescent="0.3">
      <c r="A1573">
        <v>43</v>
      </c>
      <c r="B1573" s="168" t="s">
        <v>64</v>
      </c>
      <c r="C1573" s="168" t="s">
        <v>65</v>
      </c>
      <c r="D1573">
        <v>1779.1</v>
      </c>
      <c r="E1573">
        <v>2021</v>
      </c>
      <c r="F1573" s="168" t="s">
        <v>592</v>
      </c>
      <c r="G1573" s="168" t="s">
        <v>617</v>
      </c>
      <c r="H1573" s="168" t="s">
        <v>609</v>
      </c>
      <c r="I1573">
        <v>2810.6439954307971</v>
      </c>
    </row>
    <row r="1574" spans="1:9" x14ac:dyDescent="0.3">
      <c r="A1574">
        <v>43</v>
      </c>
      <c r="B1574" s="168" t="s">
        <v>64</v>
      </c>
      <c r="C1574" s="168" t="s">
        <v>65</v>
      </c>
      <c r="D1574">
        <v>1779.1</v>
      </c>
      <c r="E1574">
        <v>2021</v>
      </c>
      <c r="F1574" s="168" t="s">
        <v>592</v>
      </c>
      <c r="G1574" s="168" t="s">
        <v>619</v>
      </c>
      <c r="H1574" s="168" t="s">
        <v>608</v>
      </c>
      <c r="I1574">
        <v>0</v>
      </c>
    </row>
    <row r="1575" spans="1:9" x14ac:dyDescent="0.3">
      <c r="A1575">
        <v>43</v>
      </c>
      <c r="B1575" s="168" t="s">
        <v>64</v>
      </c>
      <c r="C1575" s="168" t="s">
        <v>65</v>
      </c>
      <c r="D1575">
        <v>1779.1</v>
      </c>
      <c r="E1575">
        <v>2021</v>
      </c>
      <c r="F1575" s="168" t="s">
        <v>592</v>
      </c>
      <c r="G1575" s="168" t="s">
        <v>619</v>
      </c>
      <c r="H1575" s="168" t="s">
        <v>609</v>
      </c>
      <c r="I1575">
        <v>31033.018867924526</v>
      </c>
    </row>
    <row r="1576" spans="1:9" x14ac:dyDescent="0.3">
      <c r="A1576">
        <v>43</v>
      </c>
      <c r="B1576" s="168" t="s">
        <v>64</v>
      </c>
      <c r="C1576" s="168" t="s">
        <v>65</v>
      </c>
      <c r="D1576">
        <v>1779.1</v>
      </c>
      <c r="E1576">
        <v>2021</v>
      </c>
      <c r="F1576" s="168" t="s">
        <v>592</v>
      </c>
      <c r="G1576" s="168" t="s">
        <v>610</v>
      </c>
      <c r="H1576" s="168" t="s">
        <v>608</v>
      </c>
      <c r="I1576">
        <v>0</v>
      </c>
    </row>
    <row r="1577" spans="1:9" x14ac:dyDescent="0.3">
      <c r="A1577">
        <v>43</v>
      </c>
      <c r="B1577" s="168" t="s">
        <v>64</v>
      </c>
      <c r="C1577" s="168" t="s">
        <v>65</v>
      </c>
      <c r="D1577">
        <v>1779.1</v>
      </c>
      <c r="E1577">
        <v>2021</v>
      </c>
      <c r="F1577" s="168" t="s">
        <v>592</v>
      </c>
      <c r="G1577" s="168" t="s">
        <v>610</v>
      </c>
      <c r="H1577" s="168" t="s">
        <v>609</v>
      </c>
      <c r="I1577">
        <v>46770.727272727272</v>
      </c>
    </row>
    <row r="1578" spans="1:9" x14ac:dyDescent="0.3">
      <c r="A1578">
        <v>43</v>
      </c>
      <c r="B1578" s="168" t="s">
        <v>64</v>
      </c>
      <c r="C1578" s="168" t="s">
        <v>65</v>
      </c>
      <c r="D1578">
        <v>1779.1</v>
      </c>
      <c r="E1578">
        <v>2021</v>
      </c>
      <c r="F1578" s="168" t="s">
        <v>592</v>
      </c>
      <c r="G1578" s="168" t="s">
        <v>613</v>
      </c>
      <c r="H1578" s="168" t="s">
        <v>608</v>
      </c>
      <c r="I1578">
        <v>0</v>
      </c>
    </row>
    <row r="1579" spans="1:9" x14ac:dyDescent="0.3">
      <c r="A1579">
        <v>43</v>
      </c>
      <c r="B1579" s="168" t="s">
        <v>64</v>
      </c>
      <c r="C1579" s="168" t="s">
        <v>65</v>
      </c>
      <c r="D1579">
        <v>1779.1</v>
      </c>
      <c r="E1579">
        <v>2021</v>
      </c>
      <c r="F1579" s="168" t="s">
        <v>592</v>
      </c>
      <c r="G1579" s="168" t="s">
        <v>613</v>
      </c>
      <c r="H1579" s="168" t="s">
        <v>609</v>
      </c>
      <c r="I1579">
        <v>525409.595507783</v>
      </c>
    </row>
    <row r="1580" spans="1:9" x14ac:dyDescent="0.3">
      <c r="A1580">
        <v>44</v>
      </c>
      <c r="B1580" s="168" t="s">
        <v>66</v>
      </c>
      <c r="C1580" s="168" t="s">
        <v>67</v>
      </c>
      <c r="D1580">
        <v>561.79999999999995</v>
      </c>
      <c r="E1580">
        <v>2021</v>
      </c>
      <c r="F1580" s="168" t="s">
        <v>593</v>
      </c>
      <c r="G1580" s="168" t="s">
        <v>607</v>
      </c>
      <c r="H1580" s="168" t="s">
        <v>608</v>
      </c>
      <c r="I1580">
        <v>0</v>
      </c>
    </row>
    <row r="1581" spans="1:9" x14ac:dyDescent="0.3">
      <c r="A1581">
        <v>44</v>
      </c>
      <c r="B1581" s="168" t="s">
        <v>66</v>
      </c>
      <c r="C1581" s="168" t="s">
        <v>67</v>
      </c>
      <c r="D1581">
        <v>561.79999999999995</v>
      </c>
      <c r="E1581">
        <v>2021</v>
      </c>
      <c r="F1581" s="168" t="s">
        <v>593</v>
      </c>
      <c r="G1581" s="168" t="s">
        <v>607</v>
      </c>
      <c r="H1581" s="168" t="s">
        <v>609</v>
      </c>
      <c r="I1581">
        <v>641660</v>
      </c>
    </row>
    <row r="1582" spans="1:9" x14ac:dyDescent="0.3">
      <c r="A1582">
        <v>44</v>
      </c>
      <c r="B1582" s="168" t="s">
        <v>66</v>
      </c>
      <c r="C1582" s="168" t="s">
        <v>67</v>
      </c>
      <c r="D1582">
        <v>561.79999999999995</v>
      </c>
      <c r="E1582">
        <v>2021</v>
      </c>
      <c r="F1582" s="168" t="s">
        <v>593</v>
      </c>
      <c r="G1582" s="168" t="s">
        <v>617</v>
      </c>
      <c r="H1582" s="168" t="s">
        <v>608</v>
      </c>
      <c r="I1582">
        <v>0</v>
      </c>
    </row>
    <row r="1583" spans="1:9" x14ac:dyDescent="0.3">
      <c r="A1583">
        <v>44</v>
      </c>
      <c r="B1583" s="168" t="s">
        <v>66</v>
      </c>
      <c r="C1583" s="168" t="s">
        <v>67</v>
      </c>
      <c r="D1583">
        <v>561.79999999999995</v>
      </c>
      <c r="E1583">
        <v>2021</v>
      </c>
      <c r="F1583" s="168" t="s">
        <v>593</v>
      </c>
      <c r="G1583" s="168" t="s">
        <v>617</v>
      </c>
      <c r="H1583" s="168" t="s">
        <v>609</v>
      </c>
      <c r="I1583">
        <v>1179.281286867287</v>
      </c>
    </row>
    <row r="1584" spans="1:9" x14ac:dyDescent="0.3">
      <c r="A1584">
        <v>44</v>
      </c>
      <c r="B1584" s="168" t="s">
        <v>66</v>
      </c>
      <c r="C1584" s="168" t="s">
        <v>67</v>
      </c>
      <c r="D1584">
        <v>561.79999999999995</v>
      </c>
      <c r="E1584">
        <v>2021</v>
      </c>
      <c r="F1584" s="168" t="s">
        <v>593</v>
      </c>
      <c r="G1584" s="168" t="s">
        <v>613</v>
      </c>
      <c r="H1584" s="168" t="s">
        <v>608</v>
      </c>
      <c r="I1584">
        <v>0</v>
      </c>
    </row>
    <row r="1585" spans="1:9" x14ac:dyDescent="0.3">
      <c r="A1585">
        <v>44</v>
      </c>
      <c r="B1585" s="168" t="s">
        <v>66</v>
      </c>
      <c r="C1585" s="168" t="s">
        <v>67</v>
      </c>
      <c r="D1585">
        <v>561.79999999999995</v>
      </c>
      <c r="E1585">
        <v>2021</v>
      </c>
      <c r="F1585" s="168" t="s">
        <v>593</v>
      </c>
      <c r="G1585" s="168" t="s">
        <v>613</v>
      </c>
      <c r="H1585" s="168" t="s">
        <v>609</v>
      </c>
      <c r="I1585">
        <v>165912.60230244102</v>
      </c>
    </row>
    <row r="1586" spans="1:9" x14ac:dyDescent="0.3">
      <c r="A1586">
        <v>45</v>
      </c>
      <c r="B1586" s="168" t="s">
        <v>30</v>
      </c>
      <c r="C1586" s="168" t="s">
        <v>68</v>
      </c>
      <c r="D1586">
        <v>4466.7</v>
      </c>
      <c r="E1586">
        <v>2021</v>
      </c>
      <c r="F1586" s="168" t="s">
        <v>591</v>
      </c>
      <c r="G1586" s="168" t="s">
        <v>607</v>
      </c>
      <c r="H1586" s="168" t="s">
        <v>608</v>
      </c>
      <c r="I1586">
        <v>906162.68400000001</v>
      </c>
    </row>
    <row r="1587" spans="1:9" x14ac:dyDescent="0.3">
      <c r="A1587">
        <v>45</v>
      </c>
      <c r="B1587" s="168" t="s">
        <v>30</v>
      </c>
      <c r="C1587" s="168" t="s">
        <v>68</v>
      </c>
      <c r="D1587">
        <v>4466.7</v>
      </c>
      <c r="E1587">
        <v>2021</v>
      </c>
      <c r="F1587" s="168" t="s">
        <v>591</v>
      </c>
      <c r="G1587" s="168" t="s">
        <v>607</v>
      </c>
      <c r="H1587" s="168" t="s">
        <v>609</v>
      </c>
      <c r="I1587">
        <v>388355.43600000005</v>
      </c>
    </row>
    <row r="1588" spans="1:9" x14ac:dyDescent="0.3">
      <c r="A1588">
        <v>45</v>
      </c>
      <c r="B1588" s="168" t="s">
        <v>30</v>
      </c>
      <c r="C1588" s="168" t="s">
        <v>68</v>
      </c>
      <c r="D1588">
        <v>4466.7</v>
      </c>
      <c r="E1588">
        <v>2021</v>
      </c>
      <c r="F1588" s="168" t="s">
        <v>591</v>
      </c>
      <c r="G1588" s="168" t="s">
        <v>629</v>
      </c>
      <c r="H1588" s="168" t="s">
        <v>608</v>
      </c>
      <c r="I1588">
        <v>0</v>
      </c>
    </row>
    <row r="1589" spans="1:9" x14ac:dyDescent="0.3">
      <c r="A1589">
        <v>45</v>
      </c>
      <c r="B1589" s="168" t="s">
        <v>30</v>
      </c>
      <c r="C1589" s="168" t="s">
        <v>68</v>
      </c>
      <c r="D1589">
        <v>4466.7</v>
      </c>
      <c r="E1589">
        <v>2021</v>
      </c>
      <c r="F1589" s="168" t="s">
        <v>591</v>
      </c>
      <c r="G1589" s="168" t="s">
        <v>629</v>
      </c>
      <c r="H1589" s="168" t="s">
        <v>609</v>
      </c>
      <c r="I1589">
        <v>2604951.7611487401</v>
      </c>
    </row>
    <row r="1590" spans="1:9" x14ac:dyDescent="0.3">
      <c r="A1590">
        <v>45</v>
      </c>
      <c r="B1590" s="168" t="s">
        <v>30</v>
      </c>
      <c r="C1590" s="168" t="s">
        <v>68</v>
      </c>
      <c r="D1590">
        <v>4466.7</v>
      </c>
      <c r="E1590">
        <v>2021</v>
      </c>
      <c r="F1590" s="168" t="s">
        <v>591</v>
      </c>
      <c r="G1590" s="168" t="s">
        <v>619</v>
      </c>
      <c r="H1590" s="168" t="s">
        <v>608</v>
      </c>
      <c r="I1590">
        <v>0</v>
      </c>
    </row>
    <row r="1591" spans="1:9" x14ac:dyDescent="0.3">
      <c r="A1591">
        <v>45</v>
      </c>
      <c r="B1591" s="168" t="s">
        <v>30</v>
      </c>
      <c r="C1591" s="168" t="s">
        <v>68</v>
      </c>
      <c r="D1591">
        <v>4466.7</v>
      </c>
      <c r="E1591">
        <v>2021</v>
      </c>
      <c r="F1591" s="168" t="s">
        <v>591</v>
      </c>
      <c r="G1591" s="168" t="s">
        <v>619</v>
      </c>
      <c r="H1591" s="168" t="s">
        <v>609</v>
      </c>
      <c r="I1591">
        <v>7301.8867924528295</v>
      </c>
    </row>
    <row r="1592" spans="1:9" x14ac:dyDescent="0.3">
      <c r="A1592">
        <v>45</v>
      </c>
      <c r="B1592" s="168" t="s">
        <v>30</v>
      </c>
      <c r="C1592" s="168" t="s">
        <v>68</v>
      </c>
      <c r="D1592">
        <v>4466.7</v>
      </c>
      <c r="E1592">
        <v>2021</v>
      </c>
      <c r="F1592" s="168" t="s">
        <v>591</v>
      </c>
      <c r="G1592" s="168" t="s">
        <v>610</v>
      </c>
      <c r="H1592" s="168" t="s">
        <v>608</v>
      </c>
      <c r="I1592">
        <v>0</v>
      </c>
    </row>
    <row r="1593" spans="1:9" x14ac:dyDescent="0.3">
      <c r="A1593">
        <v>45</v>
      </c>
      <c r="B1593" s="168" t="s">
        <v>30</v>
      </c>
      <c r="C1593" s="168" t="s">
        <v>68</v>
      </c>
      <c r="D1593">
        <v>4466.7</v>
      </c>
      <c r="E1593">
        <v>2021</v>
      </c>
      <c r="F1593" s="168" t="s">
        <v>591</v>
      </c>
      <c r="G1593" s="168" t="s">
        <v>610</v>
      </c>
      <c r="H1593" s="168" t="s">
        <v>609</v>
      </c>
      <c r="I1593">
        <v>65149.854545454553</v>
      </c>
    </row>
    <row r="1594" spans="1:9" x14ac:dyDescent="0.3">
      <c r="A1594">
        <v>45</v>
      </c>
      <c r="B1594" s="168" t="s">
        <v>30</v>
      </c>
      <c r="C1594" s="168" t="s">
        <v>68</v>
      </c>
      <c r="D1594">
        <v>4466.7</v>
      </c>
      <c r="E1594">
        <v>2021</v>
      </c>
      <c r="F1594" s="168" t="s">
        <v>591</v>
      </c>
      <c r="G1594" s="168" t="s">
        <v>633</v>
      </c>
      <c r="H1594" s="168" t="s">
        <v>608</v>
      </c>
      <c r="I1594">
        <v>0</v>
      </c>
    </row>
    <row r="1595" spans="1:9" x14ac:dyDescent="0.3">
      <c r="A1595">
        <v>45</v>
      </c>
      <c r="B1595" s="168" t="s">
        <v>30</v>
      </c>
      <c r="C1595" s="168" t="s">
        <v>68</v>
      </c>
      <c r="D1595">
        <v>4466.7</v>
      </c>
      <c r="E1595">
        <v>2021</v>
      </c>
      <c r="F1595" s="168" t="s">
        <v>591</v>
      </c>
      <c r="G1595" s="168" t="s">
        <v>633</v>
      </c>
      <c r="H1595" s="168" t="s">
        <v>609</v>
      </c>
      <c r="I1595">
        <v>36000</v>
      </c>
    </row>
    <row r="1596" spans="1:9" x14ac:dyDescent="0.3">
      <c r="A1596">
        <v>45</v>
      </c>
      <c r="B1596" s="168" t="s">
        <v>30</v>
      </c>
      <c r="C1596" s="168" t="s">
        <v>68</v>
      </c>
      <c r="D1596">
        <v>4466.7</v>
      </c>
      <c r="E1596">
        <v>2021</v>
      </c>
      <c r="F1596" s="168" t="s">
        <v>591</v>
      </c>
      <c r="G1596" s="168" t="s">
        <v>623</v>
      </c>
      <c r="H1596" s="168" t="s">
        <v>608</v>
      </c>
      <c r="I1596">
        <v>0</v>
      </c>
    </row>
    <row r="1597" spans="1:9" x14ac:dyDescent="0.3">
      <c r="A1597">
        <v>45</v>
      </c>
      <c r="B1597" s="168" t="s">
        <v>30</v>
      </c>
      <c r="C1597" s="168" t="s">
        <v>68</v>
      </c>
      <c r="D1597">
        <v>4466.7</v>
      </c>
      <c r="E1597">
        <v>2021</v>
      </c>
      <c r="F1597" s="168" t="s">
        <v>591</v>
      </c>
      <c r="G1597" s="168" t="s">
        <v>623</v>
      </c>
      <c r="H1597" s="168" t="s">
        <v>609</v>
      </c>
      <c r="I1597">
        <v>364168.48</v>
      </c>
    </row>
    <row r="1598" spans="1:9" x14ac:dyDescent="0.3">
      <c r="A1598">
        <v>45</v>
      </c>
      <c r="B1598" s="168" t="s">
        <v>30</v>
      </c>
      <c r="C1598" s="168" t="s">
        <v>68</v>
      </c>
      <c r="D1598">
        <v>4466.7</v>
      </c>
      <c r="E1598">
        <v>2021</v>
      </c>
      <c r="F1598" s="168" t="s">
        <v>591</v>
      </c>
      <c r="G1598" s="168" t="s">
        <v>613</v>
      </c>
      <c r="H1598" s="168" t="s">
        <v>608</v>
      </c>
      <c r="I1598">
        <v>0</v>
      </c>
    </row>
    <row r="1599" spans="1:9" x14ac:dyDescent="0.3">
      <c r="A1599">
        <v>45</v>
      </c>
      <c r="B1599" s="168" t="s">
        <v>30</v>
      </c>
      <c r="C1599" s="168" t="s">
        <v>68</v>
      </c>
      <c r="D1599">
        <v>4466.7</v>
      </c>
      <c r="E1599">
        <v>2021</v>
      </c>
      <c r="F1599" s="168" t="s">
        <v>591</v>
      </c>
      <c r="G1599" s="168" t="s">
        <v>613</v>
      </c>
      <c r="H1599" s="168" t="s">
        <v>609</v>
      </c>
      <c r="I1599">
        <v>1044284.4155640691</v>
      </c>
    </row>
    <row r="1600" spans="1:9" x14ac:dyDescent="0.3">
      <c r="A1600">
        <v>46</v>
      </c>
      <c r="B1600" s="168" t="s">
        <v>37</v>
      </c>
      <c r="C1600" s="168" t="s">
        <v>69</v>
      </c>
      <c r="D1600">
        <v>912.3</v>
      </c>
      <c r="E1600">
        <v>2021</v>
      </c>
      <c r="F1600" s="168" t="s">
        <v>592</v>
      </c>
      <c r="G1600" s="168" t="s">
        <v>607</v>
      </c>
      <c r="H1600" s="168" t="s">
        <v>608</v>
      </c>
      <c r="I1600">
        <v>173196.60578167695</v>
      </c>
    </row>
    <row r="1601" spans="1:9" x14ac:dyDescent="0.3">
      <c r="A1601">
        <v>46</v>
      </c>
      <c r="B1601" s="168" t="s">
        <v>37</v>
      </c>
      <c r="C1601" s="168" t="s">
        <v>69</v>
      </c>
      <c r="D1601">
        <v>912.3</v>
      </c>
      <c r="E1601">
        <v>2021</v>
      </c>
      <c r="F1601" s="168" t="s">
        <v>592</v>
      </c>
      <c r="G1601" s="168" t="s">
        <v>607</v>
      </c>
      <c r="H1601" s="168" t="s">
        <v>609</v>
      </c>
      <c r="I1601">
        <v>73758.511228452247</v>
      </c>
    </row>
    <row r="1602" spans="1:9" x14ac:dyDescent="0.3">
      <c r="A1602">
        <v>46</v>
      </c>
      <c r="B1602" s="168" t="s">
        <v>37</v>
      </c>
      <c r="C1602" s="168" t="s">
        <v>69</v>
      </c>
      <c r="D1602">
        <v>912.3</v>
      </c>
      <c r="E1602">
        <v>2021</v>
      </c>
      <c r="F1602" s="168" t="s">
        <v>592</v>
      </c>
      <c r="G1602" s="168" t="s">
        <v>620</v>
      </c>
      <c r="H1602" s="168" t="s">
        <v>608</v>
      </c>
      <c r="I1602">
        <v>0</v>
      </c>
    </row>
    <row r="1603" spans="1:9" x14ac:dyDescent="0.3">
      <c r="A1603">
        <v>46</v>
      </c>
      <c r="B1603" s="168" t="s">
        <v>37</v>
      </c>
      <c r="C1603" s="168" t="s">
        <v>69</v>
      </c>
      <c r="D1603">
        <v>912.3</v>
      </c>
      <c r="E1603">
        <v>2021</v>
      </c>
      <c r="F1603" s="168" t="s">
        <v>592</v>
      </c>
      <c r="G1603" s="168" t="s">
        <v>620</v>
      </c>
      <c r="H1603" s="168" t="s">
        <v>609</v>
      </c>
      <c r="I1603">
        <v>448541.66666666669</v>
      </c>
    </row>
    <row r="1604" spans="1:9" x14ac:dyDescent="0.3">
      <c r="A1604">
        <v>46</v>
      </c>
      <c r="B1604" s="168" t="s">
        <v>37</v>
      </c>
      <c r="C1604" s="168" t="s">
        <v>69</v>
      </c>
      <c r="D1604">
        <v>912.3</v>
      </c>
      <c r="E1604">
        <v>2021</v>
      </c>
      <c r="F1604" s="168" t="s">
        <v>592</v>
      </c>
      <c r="G1604" s="168" t="s">
        <v>621</v>
      </c>
      <c r="H1604" s="168" t="s">
        <v>608</v>
      </c>
      <c r="I1604">
        <v>0</v>
      </c>
    </row>
    <row r="1605" spans="1:9" x14ac:dyDescent="0.3">
      <c r="A1605">
        <v>46</v>
      </c>
      <c r="B1605" s="168" t="s">
        <v>37</v>
      </c>
      <c r="C1605" s="168" t="s">
        <v>69</v>
      </c>
      <c r="D1605">
        <v>912.3</v>
      </c>
      <c r="E1605">
        <v>2021</v>
      </c>
      <c r="F1605" s="168" t="s">
        <v>592</v>
      </c>
      <c r="G1605" s="168" t="s">
        <v>621</v>
      </c>
      <c r="H1605" s="168" t="s">
        <v>609</v>
      </c>
      <c r="I1605">
        <v>63764.36056361474</v>
      </c>
    </row>
    <row r="1606" spans="1:9" x14ac:dyDescent="0.3">
      <c r="A1606">
        <v>47</v>
      </c>
      <c r="B1606" s="168" t="s">
        <v>37</v>
      </c>
      <c r="C1606" s="168" t="s">
        <v>70</v>
      </c>
      <c r="D1606">
        <v>1610.7</v>
      </c>
      <c r="E1606">
        <v>2021</v>
      </c>
      <c r="F1606" s="168" t="s">
        <v>592</v>
      </c>
      <c r="G1606" s="168" t="s">
        <v>607</v>
      </c>
      <c r="H1606" s="168" t="s">
        <v>608</v>
      </c>
      <c r="I1606">
        <v>305785.12872141518</v>
      </c>
    </row>
    <row r="1607" spans="1:9" x14ac:dyDescent="0.3">
      <c r="A1607">
        <v>47</v>
      </c>
      <c r="B1607" s="168" t="s">
        <v>37</v>
      </c>
      <c r="C1607" s="168" t="s">
        <v>70</v>
      </c>
      <c r="D1607">
        <v>1610.7</v>
      </c>
      <c r="E1607">
        <v>2021</v>
      </c>
      <c r="F1607" s="168" t="s">
        <v>592</v>
      </c>
      <c r="G1607" s="168" t="s">
        <v>607</v>
      </c>
      <c r="H1607" s="168" t="s">
        <v>609</v>
      </c>
      <c r="I1607">
        <v>130223.42873579748</v>
      </c>
    </row>
    <row r="1608" spans="1:9" x14ac:dyDescent="0.3">
      <c r="A1608">
        <v>47</v>
      </c>
      <c r="B1608" s="168" t="s">
        <v>37</v>
      </c>
      <c r="C1608" s="168" t="s">
        <v>70</v>
      </c>
      <c r="D1608">
        <v>1610.7</v>
      </c>
      <c r="E1608">
        <v>2021</v>
      </c>
      <c r="F1608" s="168" t="s">
        <v>592</v>
      </c>
      <c r="G1608" s="168" t="s">
        <v>612</v>
      </c>
      <c r="H1608" s="168" t="s">
        <v>608</v>
      </c>
      <c r="I1608">
        <v>0</v>
      </c>
    </row>
    <row r="1609" spans="1:9" x14ac:dyDescent="0.3">
      <c r="A1609">
        <v>47</v>
      </c>
      <c r="B1609" s="168" t="s">
        <v>37</v>
      </c>
      <c r="C1609" s="168" t="s">
        <v>70</v>
      </c>
      <c r="D1609">
        <v>1610.7</v>
      </c>
      <c r="E1609">
        <v>2021</v>
      </c>
      <c r="F1609" s="168" t="s">
        <v>592</v>
      </c>
      <c r="G1609" s="168" t="s">
        <v>612</v>
      </c>
      <c r="H1609" s="168" t="s">
        <v>609</v>
      </c>
      <c r="I1609">
        <v>90400</v>
      </c>
    </row>
    <row r="1610" spans="1:9" x14ac:dyDescent="0.3">
      <c r="A1610">
        <v>47</v>
      </c>
      <c r="B1610" s="168" t="s">
        <v>37</v>
      </c>
      <c r="C1610" s="168" t="s">
        <v>70</v>
      </c>
      <c r="D1610">
        <v>1610.7</v>
      </c>
      <c r="E1610">
        <v>2021</v>
      </c>
      <c r="F1610" s="168" t="s">
        <v>592</v>
      </c>
      <c r="G1610" s="168" t="s">
        <v>620</v>
      </c>
      <c r="H1610" s="168" t="s">
        <v>608</v>
      </c>
      <c r="I1610">
        <v>0</v>
      </c>
    </row>
    <row r="1611" spans="1:9" x14ac:dyDescent="0.3">
      <c r="A1611">
        <v>47</v>
      </c>
      <c r="B1611" s="168" t="s">
        <v>37</v>
      </c>
      <c r="C1611" s="168" t="s">
        <v>70</v>
      </c>
      <c r="D1611">
        <v>1610.7</v>
      </c>
      <c r="E1611">
        <v>2021</v>
      </c>
      <c r="F1611" s="168" t="s">
        <v>592</v>
      </c>
      <c r="G1611" s="168" t="s">
        <v>620</v>
      </c>
      <c r="H1611" s="168" t="s">
        <v>609</v>
      </c>
      <c r="I1611">
        <v>358833.33333333331</v>
      </c>
    </row>
    <row r="1612" spans="1:9" x14ac:dyDescent="0.3">
      <c r="A1612">
        <v>47</v>
      </c>
      <c r="B1612" s="168" t="s">
        <v>37</v>
      </c>
      <c r="C1612" s="168" t="s">
        <v>70</v>
      </c>
      <c r="D1612">
        <v>1610.7</v>
      </c>
      <c r="E1612">
        <v>2021</v>
      </c>
      <c r="F1612" s="168" t="s">
        <v>592</v>
      </c>
      <c r="G1612" s="168" t="s">
        <v>621</v>
      </c>
      <c r="H1612" s="168" t="s">
        <v>608</v>
      </c>
      <c r="I1612">
        <v>0</v>
      </c>
    </row>
    <row r="1613" spans="1:9" x14ac:dyDescent="0.3">
      <c r="A1613">
        <v>47</v>
      </c>
      <c r="B1613" s="168" t="s">
        <v>37</v>
      </c>
      <c r="C1613" s="168" t="s">
        <v>70</v>
      </c>
      <c r="D1613">
        <v>1610.7</v>
      </c>
      <c r="E1613">
        <v>2021</v>
      </c>
      <c r="F1613" s="168" t="s">
        <v>592</v>
      </c>
      <c r="G1613" s="168" t="s">
        <v>621</v>
      </c>
      <c r="H1613" s="168" t="s">
        <v>609</v>
      </c>
      <c r="I1613">
        <v>112578.37943638526</v>
      </c>
    </row>
    <row r="1614" spans="1:9" x14ac:dyDescent="0.3">
      <c r="A1614">
        <v>48</v>
      </c>
      <c r="B1614" s="168" t="s">
        <v>71</v>
      </c>
      <c r="C1614" s="168" t="s">
        <v>72</v>
      </c>
      <c r="D1614">
        <v>18956.5</v>
      </c>
      <c r="E1614">
        <v>2021</v>
      </c>
      <c r="F1614" s="168" t="s">
        <v>592</v>
      </c>
      <c r="G1614" s="168" t="s">
        <v>607</v>
      </c>
      <c r="H1614" s="168" t="s">
        <v>608</v>
      </c>
      <c r="I1614">
        <v>172563.66824289903</v>
      </c>
    </row>
    <row r="1615" spans="1:9" x14ac:dyDescent="0.3">
      <c r="A1615">
        <v>48</v>
      </c>
      <c r="B1615" s="168" t="s">
        <v>71</v>
      </c>
      <c r="C1615" s="168" t="s">
        <v>72</v>
      </c>
      <c r="D1615">
        <v>18956.5</v>
      </c>
      <c r="E1615">
        <v>2021</v>
      </c>
      <c r="F1615" s="168" t="s">
        <v>592</v>
      </c>
      <c r="G1615" s="168" t="s">
        <v>607</v>
      </c>
      <c r="H1615" s="168" t="s">
        <v>609</v>
      </c>
      <c r="I1615">
        <v>0</v>
      </c>
    </row>
    <row r="1616" spans="1:9" x14ac:dyDescent="0.3">
      <c r="A1616">
        <v>48</v>
      </c>
      <c r="B1616" s="168" t="s">
        <v>71</v>
      </c>
      <c r="C1616" s="168" t="s">
        <v>72</v>
      </c>
      <c r="D1616">
        <v>18956.5</v>
      </c>
      <c r="E1616">
        <v>2021</v>
      </c>
      <c r="F1616" s="168" t="s">
        <v>592</v>
      </c>
      <c r="G1616" s="168" t="s">
        <v>629</v>
      </c>
      <c r="H1616" s="168" t="s">
        <v>608</v>
      </c>
      <c r="I1616">
        <v>0</v>
      </c>
    </row>
    <row r="1617" spans="1:9" x14ac:dyDescent="0.3">
      <c r="A1617">
        <v>48</v>
      </c>
      <c r="B1617" s="168" t="s">
        <v>71</v>
      </c>
      <c r="C1617" s="168" t="s">
        <v>72</v>
      </c>
      <c r="D1617">
        <v>18956.5</v>
      </c>
      <c r="E1617">
        <v>2021</v>
      </c>
      <c r="F1617" s="168" t="s">
        <v>592</v>
      </c>
      <c r="G1617" s="168" t="s">
        <v>629</v>
      </c>
      <c r="H1617" s="168" t="s">
        <v>609</v>
      </c>
      <c r="I1617">
        <v>1480250</v>
      </c>
    </row>
    <row r="1618" spans="1:9" x14ac:dyDescent="0.3">
      <c r="A1618">
        <v>48</v>
      </c>
      <c r="B1618" s="168" t="s">
        <v>71</v>
      </c>
      <c r="C1618" s="168" t="s">
        <v>72</v>
      </c>
      <c r="D1618">
        <v>18956.5</v>
      </c>
      <c r="E1618">
        <v>2021</v>
      </c>
      <c r="F1618" s="168" t="s">
        <v>592</v>
      </c>
      <c r="G1618" s="168" t="s">
        <v>617</v>
      </c>
      <c r="H1618" s="168" t="s">
        <v>608</v>
      </c>
      <c r="I1618">
        <v>12803.821878744808</v>
      </c>
    </row>
    <row r="1619" spans="1:9" x14ac:dyDescent="0.3">
      <c r="A1619">
        <v>48</v>
      </c>
      <c r="B1619" s="168" t="s">
        <v>71</v>
      </c>
      <c r="C1619" s="168" t="s">
        <v>72</v>
      </c>
      <c r="D1619">
        <v>18956.5</v>
      </c>
      <c r="E1619">
        <v>2021</v>
      </c>
      <c r="F1619" s="168" t="s">
        <v>592</v>
      </c>
      <c r="G1619" s="168" t="s">
        <v>617</v>
      </c>
      <c r="H1619" s="168" t="s">
        <v>609</v>
      </c>
      <c r="I1619">
        <v>14441.69640905861</v>
      </c>
    </row>
    <row r="1620" spans="1:9" x14ac:dyDescent="0.3">
      <c r="A1620">
        <v>48</v>
      </c>
      <c r="B1620" s="168" t="s">
        <v>71</v>
      </c>
      <c r="C1620" s="168" t="s">
        <v>72</v>
      </c>
      <c r="D1620">
        <v>18956.5</v>
      </c>
      <c r="E1620">
        <v>2021</v>
      </c>
      <c r="F1620" s="168" t="s">
        <v>592</v>
      </c>
      <c r="G1620" s="168" t="s">
        <v>618</v>
      </c>
      <c r="H1620" s="168" t="s">
        <v>608</v>
      </c>
      <c r="I1620">
        <v>0</v>
      </c>
    </row>
    <row r="1621" spans="1:9" x14ac:dyDescent="0.3">
      <c r="A1621">
        <v>48</v>
      </c>
      <c r="B1621" s="168" t="s">
        <v>71</v>
      </c>
      <c r="C1621" s="168" t="s">
        <v>72</v>
      </c>
      <c r="D1621">
        <v>18956.5</v>
      </c>
      <c r="E1621">
        <v>2021</v>
      </c>
      <c r="F1621" s="168" t="s">
        <v>592</v>
      </c>
      <c r="G1621" s="168" t="s">
        <v>618</v>
      </c>
      <c r="H1621" s="168" t="s">
        <v>609</v>
      </c>
      <c r="I1621">
        <v>42606.741573033709</v>
      </c>
    </row>
    <row r="1622" spans="1:9" x14ac:dyDescent="0.3">
      <c r="A1622">
        <v>48</v>
      </c>
      <c r="B1622" s="168" t="s">
        <v>71</v>
      </c>
      <c r="C1622" s="168" t="s">
        <v>72</v>
      </c>
      <c r="D1622">
        <v>18956.5</v>
      </c>
      <c r="E1622">
        <v>2021</v>
      </c>
      <c r="F1622" s="168" t="s">
        <v>592</v>
      </c>
      <c r="G1622" s="168" t="s">
        <v>619</v>
      </c>
      <c r="H1622" s="168" t="s">
        <v>608</v>
      </c>
      <c r="I1622">
        <v>0</v>
      </c>
    </row>
    <row r="1623" spans="1:9" x14ac:dyDescent="0.3">
      <c r="A1623">
        <v>48</v>
      </c>
      <c r="B1623" s="168" t="s">
        <v>71</v>
      </c>
      <c r="C1623" s="168" t="s">
        <v>72</v>
      </c>
      <c r="D1623">
        <v>18956.5</v>
      </c>
      <c r="E1623">
        <v>2021</v>
      </c>
      <c r="F1623" s="168" t="s">
        <v>592</v>
      </c>
      <c r="G1623" s="168" t="s">
        <v>619</v>
      </c>
      <c r="H1623" s="168" t="s">
        <v>609</v>
      </c>
      <c r="I1623">
        <v>299000</v>
      </c>
    </row>
    <row r="1624" spans="1:9" x14ac:dyDescent="0.3">
      <c r="A1624">
        <v>48</v>
      </c>
      <c r="B1624" s="168" t="s">
        <v>71</v>
      </c>
      <c r="C1624" s="168" t="s">
        <v>72</v>
      </c>
      <c r="D1624">
        <v>18956.5</v>
      </c>
      <c r="E1624">
        <v>2021</v>
      </c>
      <c r="F1624" s="168" t="s">
        <v>592</v>
      </c>
      <c r="G1624" s="168" t="s">
        <v>610</v>
      </c>
      <c r="H1624" s="168" t="s">
        <v>608</v>
      </c>
      <c r="I1624">
        <v>0</v>
      </c>
    </row>
    <row r="1625" spans="1:9" x14ac:dyDescent="0.3">
      <c r="A1625">
        <v>48</v>
      </c>
      <c r="B1625" s="168" t="s">
        <v>71</v>
      </c>
      <c r="C1625" s="168" t="s">
        <v>72</v>
      </c>
      <c r="D1625">
        <v>18956.5</v>
      </c>
      <c r="E1625">
        <v>2021</v>
      </c>
      <c r="F1625" s="168" t="s">
        <v>592</v>
      </c>
      <c r="G1625" s="168" t="s">
        <v>610</v>
      </c>
      <c r="H1625" s="168" t="s">
        <v>609</v>
      </c>
      <c r="I1625">
        <v>311338.90909090912</v>
      </c>
    </row>
    <row r="1626" spans="1:9" x14ac:dyDescent="0.3">
      <c r="A1626">
        <v>48</v>
      </c>
      <c r="B1626" s="168" t="s">
        <v>71</v>
      </c>
      <c r="C1626" s="168" t="s">
        <v>72</v>
      </c>
      <c r="D1626">
        <v>18956.5</v>
      </c>
      <c r="E1626">
        <v>2021</v>
      </c>
      <c r="F1626" s="168" t="s">
        <v>592</v>
      </c>
      <c r="G1626" s="168" t="s">
        <v>620</v>
      </c>
      <c r="H1626" s="168" t="s">
        <v>608</v>
      </c>
      <c r="I1626">
        <v>452096.1080645161</v>
      </c>
    </row>
    <row r="1627" spans="1:9" x14ac:dyDescent="0.3">
      <c r="A1627">
        <v>48</v>
      </c>
      <c r="B1627" s="168" t="s">
        <v>71</v>
      </c>
      <c r="C1627" s="168" t="s">
        <v>72</v>
      </c>
      <c r="D1627">
        <v>18956.5</v>
      </c>
      <c r="E1627">
        <v>2021</v>
      </c>
      <c r="F1627" s="168" t="s">
        <v>592</v>
      </c>
      <c r="G1627" s="168" t="s">
        <v>620</v>
      </c>
      <c r="H1627" s="168" t="s">
        <v>609</v>
      </c>
      <c r="I1627">
        <v>0</v>
      </c>
    </row>
    <row r="1628" spans="1:9" x14ac:dyDescent="0.3">
      <c r="A1628">
        <v>48</v>
      </c>
      <c r="B1628" s="168" t="s">
        <v>71</v>
      </c>
      <c r="C1628" s="168" t="s">
        <v>72</v>
      </c>
      <c r="D1628">
        <v>18956.5</v>
      </c>
      <c r="E1628">
        <v>2021</v>
      </c>
      <c r="F1628" s="168" t="s">
        <v>592</v>
      </c>
      <c r="G1628" s="168" t="s">
        <v>633</v>
      </c>
      <c r="H1628" s="168" t="s">
        <v>608</v>
      </c>
      <c r="I1628">
        <v>0</v>
      </c>
    </row>
    <row r="1629" spans="1:9" x14ac:dyDescent="0.3">
      <c r="A1629">
        <v>48</v>
      </c>
      <c r="B1629" s="168" t="s">
        <v>71</v>
      </c>
      <c r="C1629" s="168" t="s">
        <v>72</v>
      </c>
      <c r="D1629">
        <v>18956.5</v>
      </c>
      <c r="E1629">
        <v>2021</v>
      </c>
      <c r="F1629" s="168" t="s">
        <v>592</v>
      </c>
      <c r="G1629" s="168" t="s">
        <v>633</v>
      </c>
      <c r="H1629" s="168" t="s">
        <v>609</v>
      </c>
      <c r="I1629">
        <v>342725.30973451299</v>
      </c>
    </row>
    <row r="1630" spans="1:9" x14ac:dyDescent="0.3">
      <c r="A1630">
        <v>48</v>
      </c>
      <c r="B1630" s="168" t="s">
        <v>71</v>
      </c>
      <c r="C1630" s="168" t="s">
        <v>72</v>
      </c>
      <c r="D1630">
        <v>18956.5</v>
      </c>
      <c r="E1630">
        <v>2021</v>
      </c>
      <c r="F1630" s="168" t="s">
        <v>592</v>
      </c>
      <c r="G1630" s="168" t="s">
        <v>623</v>
      </c>
      <c r="H1630" s="168" t="s">
        <v>608</v>
      </c>
      <c r="I1630">
        <v>97634.615384615405</v>
      </c>
    </row>
    <row r="1631" spans="1:9" x14ac:dyDescent="0.3">
      <c r="A1631">
        <v>48</v>
      </c>
      <c r="B1631" s="168" t="s">
        <v>71</v>
      </c>
      <c r="C1631" s="168" t="s">
        <v>72</v>
      </c>
      <c r="D1631">
        <v>18956.5</v>
      </c>
      <c r="E1631">
        <v>2021</v>
      </c>
      <c r="F1631" s="168" t="s">
        <v>592</v>
      </c>
      <c r="G1631" s="168" t="s">
        <v>623</v>
      </c>
      <c r="H1631" s="168" t="s">
        <v>609</v>
      </c>
      <c r="I1631">
        <v>71020.782500000001</v>
      </c>
    </row>
    <row r="1632" spans="1:9" x14ac:dyDescent="0.3">
      <c r="A1632">
        <v>48</v>
      </c>
      <c r="B1632" s="168" t="s">
        <v>71</v>
      </c>
      <c r="C1632" s="168" t="s">
        <v>72</v>
      </c>
      <c r="D1632">
        <v>18956.5</v>
      </c>
      <c r="E1632">
        <v>2021</v>
      </c>
      <c r="F1632" s="168" t="s">
        <v>592</v>
      </c>
      <c r="G1632" s="168" t="s">
        <v>625</v>
      </c>
      <c r="H1632" s="168" t="s">
        <v>608</v>
      </c>
      <c r="I1632">
        <v>0</v>
      </c>
    </row>
    <row r="1633" spans="1:9" x14ac:dyDescent="0.3">
      <c r="A1633">
        <v>48</v>
      </c>
      <c r="B1633" s="168" t="s">
        <v>71</v>
      </c>
      <c r="C1633" s="168" t="s">
        <v>72</v>
      </c>
      <c r="D1633">
        <v>18956.5</v>
      </c>
      <c r="E1633">
        <v>2021</v>
      </c>
      <c r="F1633" s="168" t="s">
        <v>592</v>
      </c>
      <c r="G1633" s="168" t="s">
        <v>625</v>
      </c>
      <c r="H1633" s="168" t="s">
        <v>609</v>
      </c>
      <c r="I1633">
        <v>101498</v>
      </c>
    </row>
    <row r="1634" spans="1:9" x14ac:dyDescent="0.3">
      <c r="A1634">
        <v>48</v>
      </c>
      <c r="B1634" s="168" t="s">
        <v>71</v>
      </c>
      <c r="C1634" s="168" t="s">
        <v>72</v>
      </c>
      <c r="D1634">
        <v>18956.5</v>
      </c>
      <c r="E1634">
        <v>2021</v>
      </c>
      <c r="F1634" s="168" t="s">
        <v>592</v>
      </c>
      <c r="G1634" s="168" t="s">
        <v>615</v>
      </c>
      <c r="H1634" s="168" t="s">
        <v>608</v>
      </c>
      <c r="I1634">
        <v>0</v>
      </c>
    </row>
    <row r="1635" spans="1:9" x14ac:dyDescent="0.3">
      <c r="A1635">
        <v>48</v>
      </c>
      <c r="B1635" s="168" t="s">
        <v>71</v>
      </c>
      <c r="C1635" s="168" t="s">
        <v>72</v>
      </c>
      <c r="D1635">
        <v>18956.5</v>
      </c>
      <c r="E1635">
        <v>2021</v>
      </c>
      <c r="F1635" s="168" t="s">
        <v>592</v>
      </c>
      <c r="G1635" s="168" t="s">
        <v>615</v>
      </c>
      <c r="H1635" s="168" t="s">
        <v>609</v>
      </c>
      <c r="I1635">
        <v>22609.756097560974</v>
      </c>
    </row>
    <row r="1636" spans="1:9" x14ac:dyDescent="0.3">
      <c r="A1636">
        <v>48</v>
      </c>
      <c r="B1636" s="168" t="s">
        <v>71</v>
      </c>
      <c r="C1636" s="168" t="s">
        <v>72</v>
      </c>
      <c r="D1636">
        <v>18956.5</v>
      </c>
      <c r="E1636">
        <v>2021</v>
      </c>
      <c r="F1636" s="168" t="s">
        <v>592</v>
      </c>
      <c r="G1636" s="168" t="s">
        <v>630</v>
      </c>
      <c r="H1636" s="168" t="s">
        <v>608</v>
      </c>
      <c r="I1636">
        <v>354629.68152015435</v>
      </c>
    </row>
    <row r="1637" spans="1:9" x14ac:dyDescent="0.3">
      <c r="A1637">
        <v>48</v>
      </c>
      <c r="B1637" s="168" t="s">
        <v>71</v>
      </c>
      <c r="C1637" s="168" t="s">
        <v>72</v>
      </c>
      <c r="D1637">
        <v>18956.5</v>
      </c>
      <c r="E1637">
        <v>2021</v>
      </c>
      <c r="F1637" s="168" t="s">
        <v>592</v>
      </c>
      <c r="G1637" s="168" t="s">
        <v>630</v>
      </c>
      <c r="H1637" s="168" t="s">
        <v>609</v>
      </c>
      <c r="I1637">
        <v>373064.56945313641</v>
      </c>
    </row>
    <row r="1638" spans="1:9" x14ac:dyDescent="0.3">
      <c r="A1638">
        <v>48</v>
      </c>
      <c r="B1638" s="168" t="s">
        <v>71</v>
      </c>
      <c r="C1638" s="168" t="s">
        <v>72</v>
      </c>
      <c r="D1638">
        <v>18956.5</v>
      </c>
      <c r="E1638">
        <v>2021</v>
      </c>
      <c r="F1638" s="168" t="s">
        <v>592</v>
      </c>
      <c r="G1638" s="168" t="s">
        <v>611</v>
      </c>
      <c r="H1638" s="168" t="s">
        <v>608</v>
      </c>
      <c r="I1638">
        <v>0</v>
      </c>
    </row>
    <row r="1639" spans="1:9" x14ac:dyDescent="0.3">
      <c r="A1639">
        <v>48</v>
      </c>
      <c r="B1639" s="168" t="s">
        <v>71</v>
      </c>
      <c r="C1639" s="168" t="s">
        <v>72</v>
      </c>
      <c r="D1639">
        <v>18956.5</v>
      </c>
      <c r="E1639">
        <v>2021</v>
      </c>
      <c r="F1639" s="168" t="s">
        <v>592</v>
      </c>
      <c r="G1639" s="168" t="s">
        <v>611</v>
      </c>
      <c r="H1639" s="168" t="s">
        <v>609</v>
      </c>
      <c r="I1639">
        <v>87158.94016684829</v>
      </c>
    </row>
    <row r="1640" spans="1:9" x14ac:dyDescent="0.3">
      <c r="A1640">
        <v>48</v>
      </c>
      <c r="B1640" s="168" t="s">
        <v>71</v>
      </c>
      <c r="C1640" s="168" t="s">
        <v>72</v>
      </c>
      <c r="D1640">
        <v>18956.5</v>
      </c>
      <c r="E1640">
        <v>2021</v>
      </c>
      <c r="F1640" s="168" t="s">
        <v>592</v>
      </c>
      <c r="G1640" s="168" t="s">
        <v>621</v>
      </c>
      <c r="H1640" s="168" t="s">
        <v>608</v>
      </c>
      <c r="I1640">
        <v>0</v>
      </c>
    </row>
    <row r="1641" spans="1:9" x14ac:dyDescent="0.3">
      <c r="A1641">
        <v>48</v>
      </c>
      <c r="B1641" s="168" t="s">
        <v>71</v>
      </c>
      <c r="C1641" s="168" t="s">
        <v>72</v>
      </c>
      <c r="D1641">
        <v>18956.5</v>
      </c>
      <c r="E1641">
        <v>2021</v>
      </c>
      <c r="F1641" s="168" t="s">
        <v>592</v>
      </c>
      <c r="G1641" s="168" t="s">
        <v>621</v>
      </c>
      <c r="H1641" s="168" t="s">
        <v>609</v>
      </c>
      <c r="I1641">
        <v>1187546.67</v>
      </c>
    </row>
    <row r="1642" spans="1:9" x14ac:dyDescent="0.3">
      <c r="A1642">
        <v>48</v>
      </c>
      <c r="B1642" s="168" t="s">
        <v>71</v>
      </c>
      <c r="C1642" s="168" t="s">
        <v>72</v>
      </c>
      <c r="D1642">
        <v>18956.5</v>
      </c>
      <c r="E1642">
        <v>2021</v>
      </c>
      <c r="F1642" s="168" t="s">
        <v>592</v>
      </c>
      <c r="G1642" s="168" t="s">
        <v>626</v>
      </c>
      <c r="H1642" s="168" t="s">
        <v>608</v>
      </c>
      <c r="I1642">
        <v>0</v>
      </c>
    </row>
    <row r="1643" spans="1:9" x14ac:dyDescent="0.3">
      <c r="A1643">
        <v>48</v>
      </c>
      <c r="B1643" s="168" t="s">
        <v>71</v>
      </c>
      <c r="C1643" s="168" t="s">
        <v>72</v>
      </c>
      <c r="D1643">
        <v>18956.5</v>
      </c>
      <c r="E1643">
        <v>2021</v>
      </c>
      <c r="F1643" s="168" t="s">
        <v>592</v>
      </c>
      <c r="G1643" s="168" t="s">
        <v>626</v>
      </c>
      <c r="H1643" s="168" t="s">
        <v>609</v>
      </c>
      <c r="I1643">
        <v>59500</v>
      </c>
    </row>
    <row r="1644" spans="1:9" x14ac:dyDescent="0.3">
      <c r="A1644">
        <v>48</v>
      </c>
      <c r="B1644" s="168" t="s">
        <v>71</v>
      </c>
      <c r="C1644" s="168" t="s">
        <v>72</v>
      </c>
      <c r="D1644">
        <v>18956.5</v>
      </c>
      <c r="E1644">
        <v>2021</v>
      </c>
      <c r="F1644" s="168" t="s">
        <v>592</v>
      </c>
      <c r="G1644" s="168" t="s">
        <v>613</v>
      </c>
      <c r="H1644" s="168" t="s">
        <v>608</v>
      </c>
      <c r="I1644">
        <v>1343339.1517835618</v>
      </c>
    </row>
    <row r="1645" spans="1:9" x14ac:dyDescent="0.3">
      <c r="A1645">
        <v>48</v>
      </c>
      <c r="B1645" s="168" t="s">
        <v>71</v>
      </c>
      <c r="C1645" s="168" t="s">
        <v>72</v>
      </c>
      <c r="D1645">
        <v>18956.5</v>
      </c>
      <c r="E1645">
        <v>2021</v>
      </c>
      <c r="F1645" s="168" t="s">
        <v>592</v>
      </c>
      <c r="G1645" s="168" t="s">
        <v>613</v>
      </c>
      <c r="H1645" s="168" t="s">
        <v>609</v>
      </c>
      <c r="I1645">
        <v>547743.12073964393</v>
      </c>
    </row>
    <row r="1646" spans="1:9" x14ac:dyDescent="0.3">
      <c r="A1646">
        <v>48</v>
      </c>
      <c r="B1646" s="168" t="s">
        <v>71</v>
      </c>
      <c r="C1646" s="168" t="s">
        <v>72</v>
      </c>
      <c r="D1646">
        <v>18956.5</v>
      </c>
      <c r="E1646">
        <v>2021</v>
      </c>
      <c r="F1646" s="168" t="s">
        <v>592</v>
      </c>
      <c r="G1646" s="168" t="s">
        <v>622</v>
      </c>
      <c r="H1646" s="168" t="s">
        <v>608</v>
      </c>
      <c r="I1646">
        <v>3052.8092904743239</v>
      </c>
    </row>
    <row r="1647" spans="1:9" x14ac:dyDescent="0.3">
      <c r="A1647">
        <v>48</v>
      </c>
      <c r="B1647" s="168" t="s">
        <v>71</v>
      </c>
      <c r="C1647" s="168" t="s">
        <v>72</v>
      </c>
      <c r="D1647">
        <v>18956.5</v>
      </c>
      <c r="E1647">
        <v>2021</v>
      </c>
      <c r="F1647" s="168" t="s">
        <v>592</v>
      </c>
      <c r="G1647" s="168" t="s">
        <v>622</v>
      </c>
      <c r="H1647" s="168" t="s">
        <v>609</v>
      </c>
      <c r="I1647">
        <v>0</v>
      </c>
    </row>
    <row r="1648" spans="1:9" x14ac:dyDescent="0.3">
      <c r="A1648">
        <v>49</v>
      </c>
      <c r="B1648" s="168" t="s">
        <v>73</v>
      </c>
      <c r="C1648" s="168" t="s">
        <v>74</v>
      </c>
      <c r="D1648">
        <v>2378.5</v>
      </c>
      <c r="E1648">
        <v>2021</v>
      </c>
      <c r="F1648" s="168" t="s">
        <v>592</v>
      </c>
      <c r="G1648" s="168" t="s">
        <v>607</v>
      </c>
      <c r="H1648" s="168" t="s">
        <v>608</v>
      </c>
      <c r="I1648">
        <v>21651.817841676224</v>
      </c>
    </row>
    <row r="1649" spans="1:9" x14ac:dyDescent="0.3">
      <c r="A1649">
        <v>49</v>
      </c>
      <c r="B1649" s="168" t="s">
        <v>73</v>
      </c>
      <c r="C1649" s="168" t="s">
        <v>74</v>
      </c>
      <c r="D1649">
        <v>2378.5</v>
      </c>
      <c r="E1649">
        <v>2021</v>
      </c>
      <c r="F1649" s="168" t="s">
        <v>592</v>
      </c>
      <c r="G1649" s="168" t="s">
        <v>607</v>
      </c>
      <c r="H1649" s="168" t="s">
        <v>609</v>
      </c>
      <c r="I1649">
        <v>61304.34782608696</v>
      </c>
    </row>
    <row r="1650" spans="1:9" x14ac:dyDescent="0.3">
      <c r="A1650">
        <v>49</v>
      </c>
      <c r="B1650" s="168" t="s">
        <v>73</v>
      </c>
      <c r="C1650" s="168" t="s">
        <v>74</v>
      </c>
      <c r="D1650">
        <v>2378.5</v>
      </c>
      <c r="E1650">
        <v>2021</v>
      </c>
      <c r="F1650" s="168" t="s">
        <v>592</v>
      </c>
      <c r="G1650" s="168" t="s">
        <v>612</v>
      </c>
      <c r="H1650" s="168" t="s">
        <v>608</v>
      </c>
      <c r="I1650">
        <v>0</v>
      </c>
    </row>
    <row r="1651" spans="1:9" x14ac:dyDescent="0.3">
      <c r="A1651">
        <v>49</v>
      </c>
      <c r="B1651" s="168" t="s">
        <v>73</v>
      </c>
      <c r="C1651" s="168" t="s">
        <v>74</v>
      </c>
      <c r="D1651">
        <v>2378.5</v>
      </c>
      <c r="E1651">
        <v>2021</v>
      </c>
      <c r="F1651" s="168" t="s">
        <v>592</v>
      </c>
      <c r="G1651" s="168" t="s">
        <v>612</v>
      </c>
      <c r="H1651" s="168" t="s">
        <v>609</v>
      </c>
      <c r="I1651">
        <v>45200</v>
      </c>
    </row>
    <row r="1652" spans="1:9" x14ac:dyDescent="0.3">
      <c r="A1652">
        <v>49</v>
      </c>
      <c r="B1652" s="168" t="s">
        <v>73</v>
      </c>
      <c r="C1652" s="168" t="s">
        <v>74</v>
      </c>
      <c r="D1652">
        <v>2378.5</v>
      </c>
      <c r="E1652">
        <v>2021</v>
      </c>
      <c r="F1652" s="168" t="s">
        <v>592</v>
      </c>
      <c r="G1652" s="168" t="s">
        <v>617</v>
      </c>
      <c r="H1652" s="168" t="s">
        <v>608</v>
      </c>
      <c r="I1652">
        <v>1606.5144060662321</v>
      </c>
    </row>
    <row r="1653" spans="1:9" x14ac:dyDescent="0.3">
      <c r="A1653">
        <v>49</v>
      </c>
      <c r="B1653" s="168" t="s">
        <v>73</v>
      </c>
      <c r="C1653" s="168" t="s">
        <v>74</v>
      </c>
      <c r="D1653">
        <v>2378.5</v>
      </c>
      <c r="E1653">
        <v>2021</v>
      </c>
      <c r="F1653" s="168" t="s">
        <v>592</v>
      </c>
      <c r="G1653" s="168" t="s">
        <v>617</v>
      </c>
      <c r="H1653" s="168" t="s">
        <v>609</v>
      </c>
      <c r="I1653">
        <v>4516.88580454967</v>
      </c>
    </row>
    <row r="1654" spans="1:9" x14ac:dyDescent="0.3">
      <c r="A1654">
        <v>49</v>
      </c>
      <c r="B1654" s="168" t="s">
        <v>73</v>
      </c>
      <c r="C1654" s="168" t="s">
        <v>74</v>
      </c>
      <c r="D1654">
        <v>2378.5</v>
      </c>
      <c r="E1654">
        <v>2021</v>
      </c>
      <c r="F1654" s="168" t="s">
        <v>592</v>
      </c>
      <c r="G1654" s="168" t="s">
        <v>619</v>
      </c>
      <c r="H1654" s="168" t="s">
        <v>608</v>
      </c>
      <c r="I1654">
        <v>0</v>
      </c>
    </row>
    <row r="1655" spans="1:9" x14ac:dyDescent="0.3">
      <c r="A1655">
        <v>49</v>
      </c>
      <c r="B1655" s="168" t="s">
        <v>73</v>
      </c>
      <c r="C1655" s="168" t="s">
        <v>74</v>
      </c>
      <c r="D1655">
        <v>2378.5</v>
      </c>
      <c r="E1655">
        <v>2021</v>
      </c>
      <c r="F1655" s="168" t="s">
        <v>592</v>
      </c>
      <c r="G1655" s="168" t="s">
        <v>619</v>
      </c>
      <c r="H1655" s="168" t="s">
        <v>609</v>
      </c>
      <c r="I1655">
        <v>318000</v>
      </c>
    </row>
    <row r="1656" spans="1:9" x14ac:dyDescent="0.3">
      <c r="A1656">
        <v>49</v>
      </c>
      <c r="B1656" s="168" t="s">
        <v>73</v>
      </c>
      <c r="C1656" s="168" t="s">
        <v>74</v>
      </c>
      <c r="D1656">
        <v>2378.5</v>
      </c>
      <c r="E1656">
        <v>2021</v>
      </c>
      <c r="F1656" s="168" t="s">
        <v>592</v>
      </c>
      <c r="G1656" s="168" t="s">
        <v>610</v>
      </c>
      <c r="H1656" s="168" t="s">
        <v>608</v>
      </c>
      <c r="I1656">
        <v>0</v>
      </c>
    </row>
    <row r="1657" spans="1:9" x14ac:dyDescent="0.3">
      <c r="A1657">
        <v>49</v>
      </c>
      <c r="B1657" s="168" t="s">
        <v>73</v>
      </c>
      <c r="C1657" s="168" t="s">
        <v>74</v>
      </c>
      <c r="D1657">
        <v>2378.5</v>
      </c>
      <c r="E1657">
        <v>2021</v>
      </c>
      <c r="F1657" s="168" t="s">
        <v>592</v>
      </c>
      <c r="G1657" s="168" t="s">
        <v>610</v>
      </c>
      <c r="H1657" s="168" t="s">
        <v>609</v>
      </c>
      <c r="I1657">
        <v>6545.454545454545</v>
      </c>
    </row>
    <row r="1658" spans="1:9" x14ac:dyDescent="0.3">
      <c r="A1658">
        <v>49</v>
      </c>
      <c r="B1658" s="168" t="s">
        <v>73</v>
      </c>
      <c r="C1658" s="168" t="s">
        <v>74</v>
      </c>
      <c r="D1658">
        <v>2378.5</v>
      </c>
      <c r="E1658">
        <v>2021</v>
      </c>
      <c r="F1658" s="168" t="s">
        <v>592</v>
      </c>
      <c r="G1658" s="168" t="s">
        <v>620</v>
      </c>
      <c r="H1658" s="168" t="s">
        <v>608</v>
      </c>
      <c r="I1658">
        <v>388226.92720235052</v>
      </c>
    </row>
    <row r="1659" spans="1:9" x14ac:dyDescent="0.3">
      <c r="A1659">
        <v>49</v>
      </c>
      <c r="B1659" s="168" t="s">
        <v>73</v>
      </c>
      <c r="C1659" s="168" t="s">
        <v>74</v>
      </c>
      <c r="D1659">
        <v>2378.5</v>
      </c>
      <c r="E1659">
        <v>2021</v>
      </c>
      <c r="F1659" s="168" t="s">
        <v>592</v>
      </c>
      <c r="G1659" s="168" t="s">
        <v>620</v>
      </c>
      <c r="H1659" s="168" t="s">
        <v>609</v>
      </c>
      <c r="I1659">
        <v>712071.02179032797</v>
      </c>
    </row>
    <row r="1660" spans="1:9" x14ac:dyDescent="0.3">
      <c r="A1660">
        <v>49</v>
      </c>
      <c r="B1660" s="168" t="s">
        <v>73</v>
      </c>
      <c r="C1660" s="168" t="s">
        <v>74</v>
      </c>
      <c r="D1660">
        <v>2378.5</v>
      </c>
      <c r="E1660">
        <v>2021</v>
      </c>
      <c r="F1660" s="168" t="s">
        <v>592</v>
      </c>
      <c r="G1660" s="168" t="s">
        <v>625</v>
      </c>
      <c r="H1660" s="168" t="s">
        <v>608</v>
      </c>
      <c r="I1660">
        <v>0</v>
      </c>
    </row>
    <row r="1661" spans="1:9" x14ac:dyDescent="0.3">
      <c r="A1661">
        <v>49</v>
      </c>
      <c r="B1661" s="168" t="s">
        <v>73</v>
      </c>
      <c r="C1661" s="168" t="s">
        <v>74</v>
      </c>
      <c r="D1661">
        <v>2378.5</v>
      </c>
      <c r="E1661">
        <v>2021</v>
      </c>
      <c r="F1661" s="168" t="s">
        <v>592</v>
      </c>
      <c r="G1661" s="168" t="s">
        <v>625</v>
      </c>
      <c r="H1661" s="168" t="s">
        <v>609</v>
      </c>
      <c r="I1661">
        <v>101498</v>
      </c>
    </row>
    <row r="1662" spans="1:9" x14ac:dyDescent="0.3">
      <c r="A1662">
        <v>49</v>
      </c>
      <c r="B1662" s="168" t="s">
        <v>73</v>
      </c>
      <c r="C1662" s="168" t="s">
        <v>74</v>
      </c>
      <c r="D1662">
        <v>2378.5</v>
      </c>
      <c r="E1662">
        <v>2021</v>
      </c>
      <c r="F1662" s="168" t="s">
        <v>592</v>
      </c>
      <c r="G1662" s="168" t="s">
        <v>615</v>
      </c>
      <c r="H1662" s="168" t="s">
        <v>608</v>
      </c>
      <c r="I1662">
        <v>0</v>
      </c>
    </row>
    <row r="1663" spans="1:9" x14ac:dyDescent="0.3">
      <c r="A1663">
        <v>49</v>
      </c>
      <c r="B1663" s="168" t="s">
        <v>73</v>
      </c>
      <c r="C1663" s="168" t="s">
        <v>74</v>
      </c>
      <c r="D1663">
        <v>2378.5</v>
      </c>
      <c r="E1663">
        <v>2021</v>
      </c>
      <c r="F1663" s="168" t="s">
        <v>592</v>
      </c>
      <c r="G1663" s="168" t="s">
        <v>615</v>
      </c>
      <c r="H1663" s="168" t="s">
        <v>609</v>
      </c>
      <c r="I1663">
        <v>7536.5853658536589</v>
      </c>
    </row>
    <row r="1664" spans="1:9" x14ac:dyDescent="0.3">
      <c r="A1664">
        <v>49</v>
      </c>
      <c r="B1664" s="168" t="s">
        <v>73</v>
      </c>
      <c r="C1664" s="168" t="s">
        <v>74</v>
      </c>
      <c r="D1664">
        <v>2378.5</v>
      </c>
      <c r="E1664">
        <v>2021</v>
      </c>
      <c r="F1664" s="168" t="s">
        <v>592</v>
      </c>
      <c r="G1664" s="168" t="s">
        <v>630</v>
      </c>
      <c r="H1664" s="168" t="s">
        <v>608</v>
      </c>
      <c r="I1664">
        <v>35561.325316100985</v>
      </c>
    </row>
    <row r="1665" spans="1:9" x14ac:dyDescent="0.3">
      <c r="A1665">
        <v>49</v>
      </c>
      <c r="B1665" s="168" t="s">
        <v>73</v>
      </c>
      <c r="C1665" s="168" t="s">
        <v>74</v>
      </c>
      <c r="D1665">
        <v>2378.5</v>
      </c>
      <c r="E1665">
        <v>2021</v>
      </c>
      <c r="F1665" s="168" t="s">
        <v>592</v>
      </c>
      <c r="G1665" s="168" t="s">
        <v>630</v>
      </c>
      <c r="H1665" s="168" t="s">
        <v>609</v>
      </c>
      <c r="I1665">
        <v>37874.377881110282</v>
      </c>
    </row>
    <row r="1666" spans="1:9" x14ac:dyDescent="0.3">
      <c r="A1666">
        <v>49</v>
      </c>
      <c r="B1666" s="168" t="s">
        <v>73</v>
      </c>
      <c r="C1666" s="168" t="s">
        <v>74</v>
      </c>
      <c r="D1666">
        <v>2378.5</v>
      </c>
      <c r="E1666">
        <v>2021</v>
      </c>
      <c r="F1666" s="168" t="s">
        <v>592</v>
      </c>
      <c r="G1666" s="168" t="s">
        <v>611</v>
      </c>
      <c r="H1666" s="168" t="s">
        <v>608</v>
      </c>
      <c r="I1666">
        <v>0</v>
      </c>
    </row>
    <row r="1667" spans="1:9" x14ac:dyDescent="0.3">
      <c r="A1667">
        <v>49</v>
      </c>
      <c r="B1667" s="168" t="s">
        <v>73</v>
      </c>
      <c r="C1667" s="168" t="s">
        <v>74</v>
      </c>
      <c r="D1667">
        <v>2378.5</v>
      </c>
      <c r="E1667">
        <v>2021</v>
      </c>
      <c r="F1667" s="168" t="s">
        <v>592</v>
      </c>
      <c r="G1667" s="168" t="s">
        <v>611</v>
      </c>
      <c r="H1667" s="168" t="s">
        <v>609</v>
      </c>
      <c r="I1667">
        <v>994.82615114999976</v>
      </c>
    </row>
    <row r="1668" spans="1:9" x14ac:dyDescent="0.3">
      <c r="A1668">
        <v>49</v>
      </c>
      <c r="B1668" s="168" t="s">
        <v>73</v>
      </c>
      <c r="C1668" s="168" t="s">
        <v>74</v>
      </c>
      <c r="D1668">
        <v>2378.5</v>
      </c>
      <c r="E1668">
        <v>2021</v>
      </c>
      <c r="F1668" s="168" t="s">
        <v>592</v>
      </c>
      <c r="G1668" s="168" t="s">
        <v>626</v>
      </c>
      <c r="H1668" s="168" t="s">
        <v>608</v>
      </c>
      <c r="I1668">
        <v>0</v>
      </c>
    </row>
    <row r="1669" spans="1:9" x14ac:dyDescent="0.3">
      <c r="A1669">
        <v>49</v>
      </c>
      <c r="B1669" s="168" t="s">
        <v>73</v>
      </c>
      <c r="C1669" s="168" t="s">
        <v>74</v>
      </c>
      <c r="D1669">
        <v>2378.5</v>
      </c>
      <c r="E1669">
        <v>2021</v>
      </c>
      <c r="F1669" s="168" t="s">
        <v>592</v>
      </c>
      <c r="G1669" s="168" t="s">
        <v>626</v>
      </c>
      <c r="H1669" s="168" t="s">
        <v>609</v>
      </c>
      <c r="I1669">
        <v>10500</v>
      </c>
    </row>
    <row r="1670" spans="1:9" x14ac:dyDescent="0.3">
      <c r="A1670">
        <v>49</v>
      </c>
      <c r="B1670" s="168" t="s">
        <v>73</v>
      </c>
      <c r="C1670" s="168" t="s">
        <v>74</v>
      </c>
      <c r="D1670">
        <v>2378.5</v>
      </c>
      <c r="E1670">
        <v>2021</v>
      </c>
      <c r="F1670" s="168" t="s">
        <v>592</v>
      </c>
      <c r="G1670" s="168" t="s">
        <v>613</v>
      </c>
      <c r="H1670" s="168" t="s">
        <v>608</v>
      </c>
      <c r="I1670">
        <v>168550.743677219</v>
      </c>
    </row>
    <row r="1671" spans="1:9" x14ac:dyDescent="0.3">
      <c r="A1671">
        <v>49</v>
      </c>
      <c r="B1671" s="168" t="s">
        <v>73</v>
      </c>
      <c r="C1671" s="168" t="s">
        <v>74</v>
      </c>
      <c r="D1671">
        <v>2378.5</v>
      </c>
      <c r="E1671">
        <v>2021</v>
      </c>
      <c r="F1671" s="168" t="s">
        <v>592</v>
      </c>
      <c r="G1671" s="168" t="s">
        <v>613</v>
      </c>
      <c r="H1671" s="168" t="s">
        <v>609</v>
      </c>
      <c r="I1671">
        <v>68726.136822685905</v>
      </c>
    </row>
    <row r="1672" spans="1:9" x14ac:dyDescent="0.3">
      <c r="A1672">
        <v>49</v>
      </c>
      <c r="B1672" s="168" t="s">
        <v>73</v>
      </c>
      <c r="C1672" s="168" t="s">
        <v>74</v>
      </c>
      <c r="D1672">
        <v>2378.5</v>
      </c>
      <c r="E1672">
        <v>2021</v>
      </c>
      <c r="F1672" s="168" t="s">
        <v>592</v>
      </c>
      <c r="G1672" s="168" t="s">
        <v>622</v>
      </c>
      <c r="H1672" s="168" t="s">
        <v>608</v>
      </c>
      <c r="I1672">
        <v>32436.098711289691</v>
      </c>
    </row>
    <row r="1673" spans="1:9" x14ac:dyDescent="0.3">
      <c r="A1673">
        <v>49</v>
      </c>
      <c r="B1673" s="168" t="s">
        <v>73</v>
      </c>
      <c r="C1673" s="168" t="s">
        <v>74</v>
      </c>
      <c r="D1673">
        <v>2378.5</v>
      </c>
      <c r="E1673">
        <v>2021</v>
      </c>
      <c r="F1673" s="168" t="s">
        <v>592</v>
      </c>
      <c r="G1673" s="168" t="s">
        <v>622</v>
      </c>
      <c r="H1673" s="168" t="s">
        <v>609</v>
      </c>
      <c r="I1673">
        <v>0</v>
      </c>
    </row>
    <row r="1674" spans="1:9" x14ac:dyDescent="0.3">
      <c r="A1674">
        <v>50</v>
      </c>
      <c r="B1674" s="168" t="s">
        <v>75</v>
      </c>
      <c r="C1674" s="168" t="s">
        <v>76</v>
      </c>
      <c r="D1674">
        <v>6733.6</v>
      </c>
      <c r="E1674">
        <v>2021</v>
      </c>
      <c r="F1674" s="168" t="s">
        <v>592</v>
      </c>
      <c r="G1674" s="168" t="s">
        <v>607</v>
      </c>
      <c r="H1674" s="168" t="s">
        <v>608</v>
      </c>
      <c r="I1674">
        <v>1812328.73</v>
      </c>
    </row>
    <row r="1675" spans="1:9" x14ac:dyDescent="0.3">
      <c r="A1675">
        <v>50</v>
      </c>
      <c r="B1675" s="168" t="s">
        <v>75</v>
      </c>
      <c r="C1675" s="168" t="s">
        <v>76</v>
      </c>
      <c r="D1675">
        <v>6733.6</v>
      </c>
      <c r="E1675">
        <v>2021</v>
      </c>
      <c r="F1675" s="168" t="s">
        <v>592</v>
      </c>
      <c r="G1675" s="168" t="s">
        <v>607</v>
      </c>
      <c r="H1675" s="168" t="s">
        <v>609</v>
      </c>
      <c r="I1675">
        <v>776712.31</v>
      </c>
    </row>
    <row r="1676" spans="1:9" x14ac:dyDescent="0.3">
      <c r="A1676">
        <v>50</v>
      </c>
      <c r="B1676" s="168" t="s">
        <v>75</v>
      </c>
      <c r="C1676" s="168" t="s">
        <v>76</v>
      </c>
      <c r="D1676">
        <v>6733.6</v>
      </c>
      <c r="E1676">
        <v>2021</v>
      </c>
      <c r="F1676" s="168" t="s">
        <v>592</v>
      </c>
      <c r="G1676" s="168" t="s">
        <v>629</v>
      </c>
      <c r="H1676" s="168" t="s">
        <v>608</v>
      </c>
      <c r="I1676">
        <v>0</v>
      </c>
    </row>
    <row r="1677" spans="1:9" x14ac:dyDescent="0.3">
      <c r="A1677">
        <v>50</v>
      </c>
      <c r="B1677" s="168" t="s">
        <v>75</v>
      </c>
      <c r="C1677" s="168" t="s">
        <v>76</v>
      </c>
      <c r="D1677">
        <v>6733.6</v>
      </c>
      <c r="E1677">
        <v>2021</v>
      </c>
      <c r="F1677" s="168" t="s">
        <v>592</v>
      </c>
      <c r="G1677" s="168" t="s">
        <v>629</v>
      </c>
      <c r="H1677" s="168" t="s">
        <v>609</v>
      </c>
      <c r="I1677">
        <v>148998.18322167807</v>
      </c>
    </row>
    <row r="1678" spans="1:9" x14ac:dyDescent="0.3">
      <c r="A1678">
        <v>50</v>
      </c>
      <c r="B1678" s="168" t="s">
        <v>75</v>
      </c>
      <c r="C1678" s="168" t="s">
        <v>76</v>
      </c>
      <c r="D1678">
        <v>6733.6</v>
      </c>
      <c r="E1678">
        <v>2021</v>
      </c>
      <c r="F1678" s="168" t="s">
        <v>592</v>
      </c>
      <c r="G1678" s="168" t="s">
        <v>617</v>
      </c>
      <c r="H1678" s="168" t="s">
        <v>608</v>
      </c>
      <c r="I1678">
        <v>4548.0871997845616</v>
      </c>
    </row>
    <row r="1679" spans="1:9" x14ac:dyDescent="0.3">
      <c r="A1679">
        <v>50</v>
      </c>
      <c r="B1679" s="168" t="s">
        <v>75</v>
      </c>
      <c r="C1679" s="168" t="s">
        <v>76</v>
      </c>
      <c r="D1679">
        <v>6733.6</v>
      </c>
      <c r="E1679">
        <v>2021</v>
      </c>
      <c r="F1679" s="168" t="s">
        <v>592</v>
      </c>
      <c r="G1679" s="168" t="s">
        <v>617</v>
      </c>
      <c r="H1679" s="168" t="s">
        <v>609</v>
      </c>
      <c r="I1679">
        <v>3411.0653998384214</v>
      </c>
    </row>
    <row r="1680" spans="1:9" x14ac:dyDescent="0.3">
      <c r="A1680">
        <v>50</v>
      </c>
      <c r="B1680" s="168" t="s">
        <v>75</v>
      </c>
      <c r="C1680" s="168" t="s">
        <v>76</v>
      </c>
      <c r="D1680">
        <v>6733.6</v>
      </c>
      <c r="E1680">
        <v>2021</v>
      </c>
      <c r="F1680" s="168" t="s">
        <v>592</v>
      </c>
      <c r="G1680" s="168" t="s">
        <v>618</v>
      </c>
      <c r="H1680" s="168" t="s">
        <v>608</v>
      </c>
      <c r="I1680">
        <v>0</v>
      </c>
    </row>
    <row r="1681" spans="1:9" x14ac:dyDescent="0.3">
      <c r="A1681">
        <v>50</v>
      </c>
      <c r="B1681" s="168" t="s">
        <v>75</v>
      </c>
      <c r="C1681" s="168" t="s">
        <v>76</v>
      </c>
      <c r="D1681">
        <v>6733.6</v>
      </c>
      <c r="E1681">
        <v>2021</v>
      </c>
      <c r="F1681" s="168" t="s">
        <v>592</v>
      </c>
      <c r="G1681" s="168" t="s">
        <v>618</v>
      </c>
      <c r="H1681" s="168" t="s">
        <v>609</v>
      </c>
      <c r="I1681">
        <v>15977.528089887641</v>
      </c>
    </row>
    <row r="1682" spans="1:9" x14ac:dyDescent="0.3">
      <c r="A1682">
        <v>50</v>
      </c>
      <c r="B1682" s="168" t="s">
        <v>75</v>
      </c>
      <c r="C1682" s="168" t="s">
        <v>76</v>
      </c>
      <c r="D1682">
        <v>6733.6</v>
      </c>
      <c r="E1682">
        <v>2021</v>
      </c>
      <c r="F1682" s="168" t="s">
        <v>592</v>
      </c>
      <c r="G1682" s="168" t="s">
        <v>610</v>
      </c>
      <c r="H1682" s="168" t="s">
        <v>608</v>
      </c>
      <c r="I1682">
        <v>0</v>
      </c>
    </row>
    <row r="1683" spans="1:9" x14ac:dyDescent="0.3">
      <c r="A1683">
        <v>50</v>
      </c>
      <c r="B1683" s="168" t="s">
        <v>75</v>
      </c>
      <c r="C1683" s="168" t="s">
        <v>76</v>
      </c>
      <c r="D1683">
        <v>6733.6</v>
      </c>
      <c r="E1683">
        <v>2021</v>
      </c>
      <c r="F1683" s="168" t="s">
        <v>592</v>
      </c>
      <c r="G1683" s="168" t="s">
        <v>610</v>
      </c>
      <c r="H1683" s="168" t="s">
        <v>609</v>
      </c>
      <c r="I1683">
        <v>6545.454545454545</v>
      </c>
    </row>
    <row r="1684" spans="1:9" x14ac:dyDescent="0.3">
      <c r="A1684">
        <v>50</v>
      </c>
      <c r="B1684" s="168" t="s">
        <v>75</v>
      </c>
      <c r="C1684" s="168" t="s">
        <v>76</v>
      </c>
      <c r="D1684">
        <v>6733.6</v>
      </c>
      <c r="E1684">
        <v>2021</v>
      </c>
      <c r="F1684" s="168" t="s">
        <v>592</v>
      </c>
      <c r="G1684" s="168" t="s">
        <v>623</v>
      </c>
      <c r="H1684" s="168" t="s">
        <v>608</v>
      </c>
      <c r="I1684">
        <v>95576.923076923093</v>
      </c>
    </row>
    <row r="1685" spans="1:9" x14ac:dyDescent="0.3">
      <c r="A1685">
        <v>50</v>
      </c>
      <c r="B1685" s="168" t="s">
        <v>75</v>
      </c>
      <c r="C1685" s="168" t="s">
        <v>76</v>
      </c>
      <c r="D1685">
        <v>6733.6</v>
      </c>
      <c r="E1685">
        <v>2021</v>
      </c>
      <c r="F1685" s="168" t="s">
        <v>592</v>
      </c>
      <c r="G1685" s="168" t="s">
        <v>623</v>
      </c>
      <c r="H1685" s="168" t="s">
        <v>609</v>
      </c>
      <c r="I1685">
        <v>71020.782500000001</v>
      </c>
    </row>
    <row r="1686" spans="1:9" x14ac:dyDescent="0.3">
      <c r="A1686">
        <v>50</v>
      </c>
      <c r="B1686" s="168" t="s">
        <v>75</v>
      </c>
      <c r="C1686" s="168" t="s">
        <v>76</v>
      </c>
      <c r="D1686">
        <v>6733.6</v>
      </c>
      <c r="E1686">
        <v>2021</v>
      </c>
      <c r="F1686" s="168" t="s">
        <v>592</v>
      </c>
      <c r="G1686" s="168" t="s">
        <v>615</v>
      </c>
      <c r="H1686" s="168" t="s">
        <v>608</v>
      </c>
      <c r="I1686">
        <v>0</v>
      </c>
    </row>
    <row r="1687" spans="1:9" x14ac:dyDescent="0.3">
      <c r="A1687">
        <v>50</v>
      </c>
      <c r="B1687" s="168" t="s">
        <v>75</v>
      </c>
      <c r="C1687" s="168" t="s">
        <v>76</v>
      </c>
      <c r="D1687">
        <v>6733.6</v>
      </c>
      <c r="E1687">
        <v>2021</v>
      </c>
      <c r="F1687" s="168" t="s">
        <v>592</v>
      </c>
      <c r="G1687" s="168" t="s">
        <v>615</v>
      </c>
      <c r="H1687" s="168" t="s">
        <v>609</v>
      </c>
      <c r="I1687">
        <v>22609.756097560974</v>
      </c>
    </row>
    <row r="1688" spans="1:9" x14ac:dyDescent="0.3">
      <c r="A1688">
        <v>50</v>
      </c>
      <c r="B1688" s="168" t="s">
        <v>75</v>
      </c>
      <c r="C1688" s="168" t="s">
        <v>76</v>
      </c>
      <c r="D1688">
        <v>6733.6</v>
      </c>
      <c r="E1688">
        <v>2021</v>
      </c>
      <c r="F1688" s="168" t="s">
        <v>592</v>
      </c>
      <c r="G1688" s="168" t="s">
        <v>630</v>
      </c>
      <c r="H1688" s="168" t="s">
        <v>608</v>
      </c>
      <c r="I1688">
        <v>100675.10622177742</v>
      </c>
    </row>
    <row r="1689" spans="1:9" x14ac:dyDescent="0.3">
      <c r="A1689">
        <v>50</v>
      </c>
      <c r="B1689" s="168" t="s">
        <v>75</v>
      </c>
      <c r="C1689" s="168" t="s">
        <v>76</v>
      </c>
      <c r="D1689">
        <v>6733.6</v>
      </c>
      <c r="E1689">
        <v>2021</v>
      </c>
      <c r="F1689" s="168" t="s">
        <v>592</v>
      </c>
      <c r="G1689" s="168" t="s">
        <v>630</v>
      </c>
      <c r="H1689" s="168" t="s">
        <v>609</v>
      </c>
      <c r="I1689">
        <v>107223.42270348717</v>
      </c>
    </row>
    <row r="1690" spans="1:9" x14ac:dyDescent="0.3">
      <c r="A1690">
        <v>50</v>
      </c>
      <c r="B1690" s="168" t="s">
        <v>75</v>
      </c>
      <c r="C1690" s="168" t="s">
        <v>76</v>
      </c>
      <c r="D1690">
        <v>6733.6</v>
      </c>
      <c r="E1690">
        <v>2021</v>
      </c>
      <c r="F1690" s="168" t="s">
        <v>592</v>
      </c>
      <c r="G1690" s="168" t="s">
        <v>611</v>
      </c>
      <c r="H1690" s="168" t="s">
        <v>608</v>
      </c>
      <c r="I1690">
        <v>0</v>
      </c>
    </row>
    <row r="1691" spans="1:9" x14ac:dyDescent="0.3">
      <c r="A1691">
        <v>50</v>
      </c>
      <c r="B1691" s="168" t="s">
        <v>75</v>
      </c>
      <c r="C1691" s="168" t="s">
        <v>76</v>
      </c>
      <c r="D1691">
        <v>6733.6</v>
      </c>
      <c r="E1691">
        <v>2021</v>
      </c>
      <c r="F1691" s="168" t="s">
        <v>592</v>
      </c>
      <c r="G1691" s="168" t="s">
        <v>611</v>
      </c>
      <c r="H1691" s="168" t="s">
        <v>609</v>
      </c>
      <c r="I1691">
        <v>2816.3806480486182</v>
      </c>
    </row>
    <row r="1692" spans="1:9" x14ac:dyDescent="0.3">
      <c r="A1692">
        <v>50</v>
      </c>
      <c r="B1692" s="168" t="s">
        <v>75</v>
      </c>
      <c r="C1692" s="168" t="s">
        <v>76</v>
      </c>
      <c r="D1692">
        <v>6733.6</v>
      </c>
      <c r="E1692">
        <v>2021</v>
      </c>
      <c r="F1692" s="168" t="s">
        <v>592</v>
      </c>
      <c r="G1692" s="168" t="s">
        <v>613</v>
      </c>
      <c r="H1692" s="168" t="s">
        <v>608</v>
      </c>
      <c r="I1692">
        <v>254180.5753543734</v>
      </c>
    </row>
    <row r="1693" spans="1:9" x14ac:dyDescent="0.3">
      <c r="A1693">
        <v>50</v>
      </c>
      <c r="B1693" s="168" t="s">
        <v>75</v>
      </c>
      <c r="C1693" s="168" t="s">
        <v>76</v>
      </c>
      <c r="D1693">
        <v>6733.6</v>
      </c>
      <c r="E1693">
        <v>2021</v>
      </c>
      <c r="F1693" s="168" t="s">
        <v>592</v>
      </c>
      <c r="G1693" s="168" t="s">
        <v>613</v>
      </c>
      <c r="H1693" s="168" t="s">
        <v>609</v>
      </c>
      <c r="I1693">
        <v>51591.031026648598</v>
      </c>
    </row>
    <row r="1694" spans="1:9" x14ac:dyDescent="0.3">
      <c r="A1694">
        <v>51</v>
      </c>
      <c r="B1694" s="168" t="s">
        <v>77</v>
      </c>
      <c r="C1694" s="168" t="s">
        <v>78</v>
      </c>
      <c r="D1694">
        <v>1557</v>
      </c>
      <c r="E1694">
        <v>2021</v>
      </c>
      <c r="F1694" s="168" t="s">
        <v>592</v>
      </c>
      <c r="G1694" s="168" t="s">
        <v>607</v>
      </c>
      <c r="H1694" s="168" t="s">
        <v>608</v>
      </c>
      <c r="I1694">
        <v>14173.588555598013</v>
      </c>
    </row>
    <row r="1695" spans="1:9" x14ac:dyDescent="0.3">
      <c r="A1695">
        <v>51</v>
      </c>
      <c r="B1695" s="168" t="s">
        <v>77</v>
      </c>
      <c r="C1695" s="168" t="s">
        <v>78</v>
      </c>
      <c r="D1695">
        <v>1557</v>
      </c>
      <c r="E1695">
        <v>2021</v>
      </c>
      <c r="F1695" s="168" t="s">
        <v>592</v>
      </c>
      <c r="G1695" s="168" t="s">
        <v>607</v>
      </c>
      <c r="H1695" s="168" t="s">
        <v>609</v>
      </c>
      <c r="I1695">
        <v>0</v>
      </c>
    </row>
    <row r="1696" spans="1:9" x14ac:dyDescent="0.3">
      <c r="A1696">
        <v>51</v>
      </c>
      <c r="B1696" s="168" t="s">
        <v>77</v>
      </c>
      <c r="C1696" s="168" t="s">
        <v>78</v>
      </c>
      <c r="D1696">
        <v>1557</v>
      </c>
      <c r="E1696">
        <v>2021</v>
      </c>
      <c r="F1696" s="168" t="s">
        <v>592</v>
      </c>
      <c r="G1696" s="168" t="s">
        <v>617</v>
      </c>
      <c r="H1696" s="168" t="s">
        <v>608</v>
      </c>
      <c r="I1696">
        <v>1051.6472273471193</v>
      </c>
    </row>
    <row r="1697" spans="1:9" x14ac:dyDescent="0.3">
      <c r="A1697">
        <v>51</v>
      </c>
      <c r="B1697" s="168" t="s">
        <v>77</v>
      </c>
      <c r="C1697" s="168" t="s">
        <v>78</v>
      </c>
      <c r="D1697">
        <v>1557</v>
      </c>
      <c r="E1697">
        <v>2021</v>
      </c>
      <c r="F1697" s="168" t="s">
        <v>592</v>
      </c>
      <c r="G1697" s="168" t="s">
        <v>617</v>
      </c>
      <c r="H1697" s="168" t="s">
        <v>609</v>
      </c>
      <c r="I1697">
        <v>788.73542051033951</v>
      </c>
    </row>
    <row r="1698" spans="1:9" x14ac:dyDescent="0.3">
      <c r="A1698">
        <v>51</v>
      </c>
      <c r="B1698" s="168" t="s">
        <v>77</v>
      </c>
      <c r="C1698" s="168" t="s">
        <v>78</v>
      </c>
      <c r="D1698">
        <v>1557</v>
      </c>
      <c r="E1698">
        <v>2021</v>
      </c>
      <c r="F1698" s="168" t="s">
        <v>592</v>
      </c>
      <c r="G1698" s="168" t="s">
        <v>618</v>
      </c>
      <c r="H1698" s="168" t="s">
        <v>608</v>
      </c>
      <c r="I1698">
        <v>0</v>
      </c>
    </row>
    <row r="1699" spans="1:9" x14ac:dyDescent="0.3">
      <c r="A1699">
        <v>51</v>
      </c>
      <c r="B1699" s="168" t="s">
        <v>77</v>
      </c>
      <c r="C1699" s="168" t="s">
        <v>78</v>
      </c>
      <c r="D1699">
        <v>1557</v>
      </c>
      <c r="E1699">
        <v>2021</v>
      </c>
      <c r="F1699" s="168" t="s">
        <v>592</v>
      </c>
      <c r="G1699" s="168" t="s">
        <v>618</v>
      </c>
      <c r="H1699" s="168" t="s">
        <v>609</v>
      </c>
      <c r="I1699">
        <v>111842.69662921347</v>
      </c>
    </row>
    <row r="1700" spans="1:9" x14ac:dyDescent="0.3">
      <c r="A1700">
        <v>51</v>
      </c>
      <c r="B1700" s="168" t="s">
        <v>77</v>
      </c>
      <c r="C1700" s="168" t="s">
        <v>78</v>
      </c>
      <c r="D1700">
        <v>1557</v>
      </c>
      <c r="E1700">
        <v>2021</v>
      </c>
      <c r="F1700" s="168" t="s">
        <v>592</v>
      </c>
      <c r="G1700" s="168" t="s">
        <v>610</v>
      </c>
      <c r="H1700" s="168" t="s">
        <v>608</v>
      </c>
      <c r="I1700">
        <v>0</v>
      </c>
    </row>
    <row r="1701" spans="1:9" x14ac:dyDescent="0.3">
      <c r="A1701">
        <v>51</v>
      </c>
      <c r="B1701" s="168" t="s">
        <v>77</v>
      </c>
      <c r="C1701" s="168" t="s">
        <v>78</v>
      </c>
      <c r="D1701">
        <v>1557</v>
      </c>
      <c r="E1701">
        <v>2021</v>
      </c>
      <c r="F1701" s="168" t="s">
        <v>592</v>
      </c>
      <c r="G1701" s="168" t="s">
        <v>610</v>
      </c>
      <c r="H1701" s="168" t="s">
        <v>609</v>
      </c>
      <c r="I1701">
        <v>6545.454545454545</v>
      </c>
    </row>
    <row r="1702" spans="1:9" x14ac:dyDescent="0.3">
      <c r="A1702">
        <v>51</v>
      </c>
      <c r="B1702" s="168" t="s">
        <v>77</v>
      </c>
      <c r="C1702" s="168" t="s">
        <v>78</v>
      </c>
      <c r="D1702">
        <v>1557</v>
      </c>
      <c r="E1702">
        <v>2021</v>
      </c>
      <c r="F1702" s="168" t="s">
        <v>592</v>
      </c>
      <c r="G1702" s="168" t="s">
        <v>620</v>
      </c>
      <c r="H1702" s="168" t="s">
        <v>608</v>
      </c>
      <c r="I1702">
        <v>96190.661290322576</v>
      </c>
    </row>
    <row r="1703" spans="1:9" x14ac:dyDescent="0.3">
      <c r="A1703">
        <v>51</v>
      </c>
      <c r="B1703" s="168" t="s">
        <v>77</v>
      </c>
      <c r="C1703" s="168" t="s">
        <v>78</v>
      </c>
      <c r="D1703">
        <v>1557</v>
      </c>
      <c r="E1703">
        <v>2021</v>
      </c>
      <c r="F1703" s="168" t="s">
        <v>592</v>
      </c>
      <c r="G1703" s="168" t="s">
        <v>620</v>
      </c>
      <c r="H1703" s="168" t="s">
        <v>609</v>
      </c>
      <c r="I1703">
        <v>0</v>
      </c>
    </row>
    <row r="1704" spans="1:9" x14ac:dyDescent="0.3">
      <c r="A1704">
        <v>51</v>
      </c>
      <c r="B1704" s="168" t="s">
        <v>77</v>
      </c>
      <c r="C1704" s="168" t="s">
        <v>78</v>
      </c>
      <c r="D1704">
        <v>1557</v>
      </c>
      <c r="E1704">
        <v>2021</v>
      </c>
      <c r="F1704" s="168" t="s">
        <v>592</v>
      </c>
      <c r="G1704" s="168" t="s">
        <v>630</v>
      </c>
      <c r="H1704" s="168" t="s">
        <v>608</v>
      </c>
      <c r="I1704">
        <v>29127.6561668494</v>
      </c>
    </row>
    <row r="1705" spans="1:9" x14ac:dyDescent="0.3">
      <c r="A1705">
        <v>51</v>
      </c>
      <c r="B1705" s="168" t="s">
        <v>77</v>
      </c>
      <c r="C1705" s="168" t="s">
        <v>78</v>
      </c>
      <c r="D1705">
        <v>1557</v>
      </c>
      <c r="E1705">
        <v>2021</v>
      </c>
      <c r="F1705" s="168" t="s">
        <v>592</v>
      </c>
      <c r="G1705" s="168" t="s">
        <v>630</v>
      </c>
      <c r="H1705" s="168" t="s">
        <v>609</v>
      </c>
      <c r="I1705">
        <v>30641.813343103098</v>
      </c>
    </row>
    <row r="1706" spans="1:9" x14ac:dyDescent="0.3">
      <c r="A1706">
        <v>51</v>
      </c>
      <c r="B1706" s="168" t="s">
        <v>77</v>
      </c>
      <c r="C1706" s="168" t="s">
        <v>78</v>
      </c>
      <c r="D1706">
        <v>1557</v>
      </c>
      <c r="E1706">
        <v>2021</v>
      </c>
      <c r="F1706" s="168" t="s">
        <v>592</v>
      </c>
      <c r="G1706" s="168" t="s">
        <v>613</v>
      </c>
      <c r="H1706" s="168" t="s">
        <v>608</v>
      </c>
      <c r="I1706">
        <v>58773.784576862206</v>
      </c>
    </row>
    <row r="1707" spans="1:9" x14ac:dyDescent="0.3">
      <c r="A1707">
        <v>51</v>
      </c>
      <c r="B1707" s="168" t="s">
        <v>77</v>
      </c>
      <c r="C1707" s="168" t="s">
        <v>78</v>
      </c>
      <c r="D1707">
        <v>1557</v>
      </c>
      <c r="E1707">
        <v>2021</v>
      </c>
      <c r="F1707" s="168" t="s">
        <v>592</v>
      </c>
      <c r="G1707" s="168" t="s">
        <v>613</v>
      </c>
      <c r="H1707" s="168" t="s">
        <v>609</v>
      </c>
      <c r="I1707">
        <v>11929.314973935467</v>
      </c>
    </row>
    <row r="1708" spans="1:9" x14ac:dyDescent="0.3">
      <c r="A1708">
        <v>52</v>
      </c>
      <c r="B1708" s="168" t="s">
        <v>79</v>
      </c>
      <c r="C1708" s="168" t="s">
        <v>80</v>
      </c>
      <c r="D1708">
        <v>5057.3</v>
      </c>
      <c r="E1708">
        <v>2021</v>
      </c>
      <c r="F1708" s="168" t="s">
        <v>592</v>
      </c>
      <c r="G1708" s="168" t="s">
        <v>607</v>
      </c>
      <c r="H1708" s="168" t="s">
        <v>608</v>
      </c>
      <c r="I1708">
        <v>46037.308543497646</v>
      </c>
    </row>
    <row r="1709" spans="1:9" x14ac:dyDescent="0.3">
      <c r="A1709">
        <v>52</v>
      </c>
      <c r="B1709" s="168" t="s">
        <v>79</v>
      </c>
      <c r="C1709" s="168" t="s">
        <v>80</v>
      </c>
      <c r="D1709">
        <v>5057.3</v>
      </c>
      <c r="E1709">
        <v>2021</v>
      </c>
      <c r="F1709" s="168" t="s">
        <v>592</v>
      </c>
      <c r="G1709" s="168" t="s">
        <v>607</v>
      </c>
      <c r="H1709" s="168" t="s">
        <v>609</v>
      </c>
      <c r="I1709">
        <v>0</v>
      </c>
    </row>
    <row r="1710" spans="1:9" x14ac:dyDescent="0.3">
      <c r="A1710">
        <v>52</v>
      </c>
      <c r="B1710" s="168" t="s">
        <v>79</v>
      </c>
      <c r="C1710" s="168" t="s">
        <v>80</v>
      </c>
      <c r="D1710">
        <v>5057.3</v>
      </c>
      <c r="E1710">
        <v>2021</v>
      </c>
      <c r="F1710" s="168" t="s">
        <v>592</v>
      </c>
      <c r="G1710" s="168" t="s">
        <v>617</v>
      </c>
      <c r="H1710" s="168" t="s">
        <v>608</v>
      </c>
      <c r="I1710">
        <v>3415.8609652296641</v>
      </c>
    </row>
    <row r="1711" spans="1:9" x14ac:dyDescent="0.3">
      <c r="A1711">
        <v>52</v>
      </c>
      <c r="B1711" s="168" t="s">
        <v>79</v>
      </c>
      <c r="C1711" s="168" t="s">
        <v>80</v>
      </c>
      <c r="D1711">
        <v>5057.3</v>
      </c>
      <c r="E1711">
        <v>2021</v>
      </c>
      <c r="F1711" s="168" t="s">
        <v>592</v>
      </c>
      <c r="G1711" s="168" t="s">
        <v>617</v>
      </c>
      <c r="H1711" s="168" t="s">
        <v>609</v>
      </c>
      <c r="I1711">
        <v>2561.8957239222477</v>
      </c>
    </row>
    <row r="1712" spans="1:9" x14ac:dyDescent="0.3">
      <c r="A1712">
        <v>52</v>
      </c>
      <c r="B1712" s="168" t="s">
        <v>79</v>
      </c>
      <c r="C1712" s="168" t="s">
        <v>80</v>
      </c>
      <c r="D1712">
        <v>5057.3</v>
      </c>
      <c r="E1712">
        <v>2021</v>
      </c>
      <c r="F1712" s="168" t="s">
        <v>592</v>
      </c>
      <c r="G1712" s="168" t="s">
        <v>610</v>
      </c>
      <c r="H1712" s="168" t="s">
        <v>608</v>
      </c>
      <c r="I1712">
        <v>0</v>
      </c>
    </row>
    <row r="1713" spans="1:9" x14ac:dyDescent="0.3">
      <c r="A1713">
        <v>52</v>
      </c>
      <c r="B1713" s="168" t="s">
        <v>79</v>
      </c>
      <c r="C1713" s="168" t="s">
        <v>80</v>
      </c>
      <c r="D1713">
        <v>5057.3</v>
      </c>
      <c r="E1713">
        <v>2021</v>
      </c>
      <c r="F1713" s="168" t="s">
        <v>592</v>
      </c>
      <c r="G1713" s="168" t="s">
        <v>610</v>
      </c>
      <c r="H1713" s="168" t="s">
        <v>609</v>
      </c>
      <c r="I1713">
        <v>6545.454545454545</v>
      </c>
    </row>
    <row r="1714" spans="1:9" x14ac:dyDescent="0.3">
      <c r="A1714">
        <v>52</v>
      </c>
      <c r="B1714" s="168" t="s">
        <v>79</v>
      </c>
      <c r="C1714" s="168" t="s">
        <v>80</v>
      </c>
      <c r="D1714">
        <v>5057.3</v>
      </c>
      <c r="E1714">
        <v>2021</v>
      </c>
      <c r="F1714" s="168" t="s">
        <v>592</v>
      </c>
      <c r="G1714" s="168" t="s">
        <v>620</v>
      </c>
      <c r="H1714" s="168" t="s">
        <v>608</v>
      </c>
      <c r="I1714">
        <v>38476.264516129027</v>
      </c>
    </row>
    <row r="1715" spans="1:9" x14ac:dyDescent="0.3">
      <c r="A1715">
        <v>52</v>
      </c>
      <c r="B1715" s="168" t="s">
        <v>79</v>
      </c>
      <c r="C1715" s="168" t="s">
        <v>80</v>
      </c>
      <c r="D1715">
        <v>5057.3</v>
      </c>
      <c r="E1715">
        <v>2021</v>
      </c>
      <c r="F1715" s="168" t="s">
        <v>592</v>
      </c>
      <c r="G1715" s="168" t="s">
        <v>620</v>
      </c>
      <c r="H1715" s="168" t="s">
        <v>609</v>
      </c>
      <c r="I1715">
        <v>0</v>
      </c>
    </row>
    <row r="1716" spans="1:9" x14ac:dyDescent="0.3">
      <c r="A1716">
        <v>52</v>
      </c>
      <c r="B1716" s="168" t="s">
        <v>79</v>
      </c>
      <c r="C1716" s="168" t="s">
        <v>80</v>
      </c>
      <c r="D1716">
        <v>5057.3</v>
      </c>
      <c r="E1716">
        <v>2021</v>
      </c>
      <c r="F1716" s="168" t="s">
        <v>592</v>
      </c>
      <c r="G1716" s="168" t="s">
        <v>625</v>
      </c>
      <c r="H1716" s="168" t="s">
        <v>608</v>
      </c>
      <c r="I1716">
        <v>0</v>
      </c>
    </row>
    <row r="1717" spans="1:9" x14ac:dyDescent="0.3">
      <c r="A1717">
        <v>52</v>
      </c>
      <c r="B1717" s="168" t="s">
        <v>79</v>
      </c>
      <c r="C1717" s="168" t="s">
        <v>80</v>
      </c>
      <c r="D1717">
        <v>5057.3</v>
      </c>
      <c r="E1717">
        <v>2021</v>
      </c>
      <c r="F1717" s="168" t="s">
        <v>592</v>
      </c>
      <c r="G1717" s="168" t="s">
        <v>625</v>
      </c>
      <c r="H1717" s="168" t="s">
        <v>609</v>
      </c>
      <c r="I1717">
        <v>101498</v>
      </c>
    </row>
    <row r="1718" spans="1:9" x14ac:dyDescent="0.3">
      <c r="A1718">
        <v>52</v>
      </c>
      <c r="B1718" s="168" t="s">
        <v>79</v>
      </c>
      <c r="C1718" s="168" t="s">
        <v>80</v>
      </c>
      <c r="D1718">
        <v>5057.3</v>
      </c>
      <c r="E1718">
        <v>2021</v>
      </c>
      <c r="F1718" s="168" t="s">
        <v>592</v>
      </c>
      <c r="G1718" s="168" t="s">
        <v>630</v>
      </c>
      <c r="H1718" s="168" t="s">
        <v>608</v>
      </c>
      <c r="I1718">
        <v>94609.69526821289</v>
      </c>
    </row>
    <row r="1719" spans="1:9" x14ac:dyDescent="0.3">
      <c r="A1719">
        <v>52</v>
      </c>
      <c r="B1719" s="168" t="s">
        <v>79</v>
      </c>
      <c r="C1719" s="168" t="s">
        <v>80</v>
      </c>
      <c r="D1719">
        <v>5057.3</v>
      </c>
      <c r="E1719">
        <v>2021</v>
      </c>
      <c r="F1719" s="168" t="s">
        <v>592</v>
      </c>
      <c r="G1719" s="168" t="s">
        <v>630</v>
      </c>
      <c r="H1719" s="168" t="s">
        <v>609</v>
      </c>
      <c r="I1719">
        <v>99527.837264017595</v>
      </c>
    </row>
    <row r="1720" spans="1:9" x14ac:dyDescent="0.3">
      <c r="A1720">
        <v>52</v>
      </c>
      <c r="B1720" s="168" t="s">
        <v>79</v>
      </c>
      <c r="C1720" s="168" t="s">
        <v>80</v>
      </c>
      <c r="D1720">
        <v>5057.3</v>
      </c>
      <c r="E1720">
        <v>2021</v>
      </c>
      <c r="F1720" s="168" t="s">
        <v>592</v>
      </c>
      <c r="G1720" s="168" t="s">
        <v>621</v>
      </c>
      <c r="H1720" s="168" t="s">
        <v>608</v>
      </c>
      <c r="I1720">
        <v>0</v>
      </c>
    </row>
    <row r="1721" spans="1:9" x14ac:dyDescent="0.3">
      <c r="A1721">
        <v>52</v>
      </c>
      <c r="B1721" s="168" t="s">
        <v>79</v>
      </c>
      <c r="C1721" s="168" t="s">
        <v>80</v>
      </c>
      <c r="D1721">
        <v>5057.3</v>
      </c>
      <c r="E1721">
        <v>2021</v>
      </c>
      <c r="F1721" s="168" t="s">
        <v>592</v>
      </c>
      <c r="G1721" s="168" t="s">
        <v>621</v>
      </c>
      <c r="H1721" s="168" t="s">
        <v>609</v>
      </c>
      <c r="I1721">
        <v>2724045.06</v>
      </c>
    </row>
    <row r="1722" spans="1:9" x14ac:dyDescent="0.3">
      <c r="A1722">
        <v>52</v>
      </c>
      <c r="B1722" s="168" t="s">
        <v>79</v>
      </c>
      <c r="C1722" s="168" t="s">
        <v>80</v>
      </c>
      <c r="D1722">
        <v>5057.3</v>
      </c>
      <c r="E1722">
        <v>2021</v>
      </c>
      <c r="F1722" s="168" t="s">
        <v>592</v>
      </c>
      <c r="G1722" s="168" t="s">
        <v>613</v>
      </c>
      <c r="H1722" s="168" t="s">
        <v>608</v>
      </c>
      <c r="I1722">
        <v>358382.03741803602</v>
      </c>
    </row>
    <row r="1723" spans="1:9" x14ac:dyDescent="0.3">
      <c r="A1723">
        <v>52</v>
      </c>
      <c r="B1723" s="168" t="s">
        <v>79</v>
      </c>
      <c r="C1723" s="168" t="s">
        <v>80</v>
      </c>
      <c r="D1723">
        <v>5057.3</v>
      </c>
      <c r="E1723">
        <v>2021</v>
      </c>
      <c r="F1723" s="168" t="s">
        <v>592</v>
      </c>
      <c r="G1723" s="168" t="s">
        <v>613</v>
      </c>
      <c r="H1723" s="168" t="s">
        <v>609</v>
      </c>
      <c r="I1723">
        <v>146129.36378111009</v>
      </c>
    </row>
    <row r="1724" spans="1:9" x14ac:dyDescent="0.3">
      <c r="A1724">
        <v>53</v>
      </c>
      <c r="B1724" s="168" t="s">
        <v>81</v>
      </c>
      <c r="C1724" s="168" t="s">
        <v>82</v>
      </c>
      <c r="D1724">
        <v>286.89999999999998</v>
      </c>
      <c r="E1724">
        <v>2021</v>
      </c>
      <c r="F1724" s="168" t="s">
        <v>592</v>
      </c>
      <c r="G1724" s="168" t="s">
        <v>607</v>
      </c>
      <c r="H1724" s="168" t="s">
        <v>608</v>
      </c>
      <c r="I1724">
        <v>2611.6907877977328</v>
      </c>
    </row>
    <row r="1725" spans="1:9" x14ac:dyDescent="0.3">
      <c r="A1725">
        <v>53</v>
      </c>
      <c r="B1725" s="168" t="s">
        <v>81</v>
      </c>
      <c r="C1725" s="168" t="s">
        <v>82</v>
      </c>
      <c r="D1725">
        <v>286.89999999999998</v>
      </c>
      <c r="E1725">
        <v>2021</v>
      </c>
      <c r="F1725" s="168" t="s">
        <v>592</v>
      </c>
      <c r="G1725" s="168" t="s">
        <v>607</v>
      </c>
      <c r="H1725" s="168" t="s">
        <v>609</v>
      </c>
      <c r="I1725">
        <v>0</v>
      </c>
    </row>
    <row r="1726" spans="1:9" x14ac:dyDescent="0.3">
      <c r="A1726">
        <v>53</v>
      </c>
      <c r="B1726" s="168" t="s">
        <v>81</v>
      </c>
      <c r="C1726" s="168" t="s">
        <v>82</v>
      </c>
      <c r="D1726">
        <v>286.89999999999998</v>
      </c>
      <c r="E1726">
        <v>2021</v>
      </c>
      <c r="F1726" s="168" t="s">
        <v>592</v>
      </c>
      <c r="G1726" s="168" t="s">
        <v>617</v>
      </c>
      <c r="H1726" s="168" t="s">
        <v>608</v>
      </c>
      <c r="I1726">
        <v>193.78136771091104</v>
      </c>
    </row>
    <row r="1727" spans="1:9" x14ac:dyDescent="0.3">
      <c r="A1727">
        <v>53</v>
      </c>
      <c r="B1727" s="168" t="s">
        <v>81</v>
      </c>
      <c r="C1727" s="168" t="s">
        <v>82</v>
      </c>
      <c r="D1727">
        <v>286.89999999999998</v>
      </c>
      <c r="E1727">
        <v>2021</v>
      </c>
      <c r="F1727" s="168" t="s">
        <v>592</v>
      </c>
      <c r="G1727" s="168" t="s">
        <v>617</v>
      </c>
      <c r="H1727" s="168" t="s">
        <v>609</v>
      </c>
      <c r="I1727">
        <v>145.33602578318326</v>
      </c>
    </row>
    <row r="1728" spans="1:9" x14ac:dyDescent="0.3">
      <c r="A1728">
        <v>54</v>
      </c>
      <c r="B1728" s="168" t="s">
        <v>81</v>
      </c>
      <c r="C1728" s="168" t="s">
        <v>83</v>
      </c>
      <c r="D1728">
        <v>155.69999999999999</v>
      </c>
      <c r="E1728">
        <v>2021</v>
      </c>
      <c r="F1728" s="168" t="s">
        <v>592</v>
      </c>
      <c r="G1728" s="168" t="s">
        <v>607</v>
      </c>
      <c r="H1728" s="168" t="s">
        <v>608</v>
      </c>
      <c r="I1728">
        <v>1417.3588555598014</v>
      </c>
    </row>
    <row r="1729" spans="1:9" x14ac:dyDescent="0.3">
      <c r="A1729">
        <v>54</v>
      </c>
      <c r="B1729" s="168" t="s">
        <v>81</v>
      </c>
      <c r="C1729" s="168" t="s">
        <v>83</v>
      </c>
      <c r="D1729">
        <v>155.69999999999999</v>
      </c>
      <c r="E1729">
        <v>2021</v>
      </c>
      <c r="F1729" s="168" t="s">
        <v>592</v>
      </c>
      <c r="G1729" s="168" t="s">
        <v>607</v>
      </c>
      <c r="H1729" s="168" t="s">
        <v>609</v>
      </c>
      <c r="I1729">
        <v>0</v>
      </c>
    </row>
    <row r="1730" spans="1:9" x14ac:dyDescent="0.3">
      <c r="A1730">
        <v>54</v>
      </c>
      <c r="B1730" s="168" t="s">
        <v>81</v>
      </c>
      <c r="C1730" s="168" t="s">
        <v>83</v>
      </c>
      <c r="D1730">
        <v>155.69999999999999</v>
      </c>
      <c r="E1730">
        <v>2021</v>
      </c>
      <c r="F1730" s="168" t="s">
        <v>592</v>
      </c>
      <c r="G1730" s="168" t="s">
        <v>617</v>
      </c>
      <c r="H1730" s="168" t="s">
        <v>608</v>
      </c>
      <c r="I1730">
        <v>105.16472273471193</v>
      </c>
    </row>
    <row r="1731" spans="1:9" x14ac:dyDescent="0.3">
      <c r="A1731">
        <v>54</v>
      </c>
      <c r="B1731" s="168" t="s">
        <v>81</v>
      </c>
      <c r="C1731" s="168" t="s">
        <v>83</v>
      </c>
      <c r="D1731">
        <v>155.69999999999999</v>
      </c>
      <c r="E1731">
        <v>2021</v>
      </c>
      <c r="F1731" s="168" t="s">
        <v>592</v>
      </c>
      <c r="G1731" s="168" t="s">
        <v>617</v>
      </c>
      <c r="H1731" s="168" t="s">
        <v>609</v>
      </c>
      <c r="I1731">
        <v>78.873542051033951</v>
      </c>
    </row>
    <row r="1732" spans="1:9" x14ac:dyDescent="0.3">
      <c r="A1732">
        <v>54</v>
      </c>
      <c r="B1732" s="168" t="s">
        <v>81</v>
      </c>
      <c r="C1732" s="168" t="s">
        <v>83</v>
      </c>
      <c r="D1732">
        <v>155.69999999999999</v>
      </c>
      <c r="E1732">
        <v>2021</v>
      </c>
      <c r="F1732" s="168" t="s">
        <v>592</v>
      </c>
      <c r="G1732" s="168" t="s">
        <v>621</v>
      </c>
      <c r="H1732" s="168" t="s">
        <v>608</v>
      </c>
      <c r="I1732">
        <v>0</v>
      </c>
    </row>
    <row r="1733" spans="1:9" x14ac:dyDescent="0.3">
      <c r="A1733">
        <v>54</v>
      </c>
      <c r="B1733" s="168" t="s">
        <v>81</v>
      </c>
      <c r="C1733" s="168" t="s">
        <v>83</v>
      </c>
      <c r="D1733">
        <v>155.69999999999999</v>
      </c>
      <c r="E1733">
        <v>2021</v>
      </c>
      <c r="F1733" s="168" t="s">
        <v>592</v>
      </c>
      <c r="G1733" s="168" t="s">
        <v>621</v>
      </c>
      <c r="H1733" s="168" t="s">
        <v>609</v>
      </c>
      <c r="I1733">
        <v>4532960</v>
      </c>
    </row>
    <row r="1734" spans="1:9" x14ac:dyDescent="0.3">
      <c r="A1734">
        <v>55</v>
      </c>
      <c r="B1734" s="168" t="s">
        <v>81</v>
      </c>
      <c r="C1734" s="168" t="s">
        <v>84</v>
      </c>
      <c r="D1734">
        <v>1142.7</v>
      </c>
      <c r="E1734">
        <v>2021</v>
      </c>
      <c r="F1734" s="168" t="s">
        <v>592</v>
      </c>
      <c r="G1734" s="168" t="s">
        <v>607</v>
      </c>
      <c r="H1734" s="168" t="s">
        <v>608</v>
      </c>
      <c r="I1734">
        <v>10402.157766526558</v>
      </c>
    </row>
    <row r="1735" spans="1:9" x14ac:dyDescent="0.3">
      <c r="A1735">
        <v>55</v>
      </c>
      <c r="B1735" s="168" t="s">
        <v>81</v>
      </c>
      <c r="C1735" s="168" t="s">
        <v>84</v>
      </c>
      <c r="D1735">
        <v>1142.7</v>
      </c>
      <c r="E1735">
        <v>2021</v>
      </c>
      <c r="F1735" s="168" t="s">
        <v>592</v>
      </c>
      <c r="G1735" s="168" t="s">
        <v>607</v>
      </c>
      <c r="H1735" s="168" t="s">
        <v>609</v>
      </c>
      <c r="I1735">
        <v>7826.086956521739</v>
      </c>
    </row>
    <row r="1736" spans="1:9" x14ac:dyDescent="0.3">
      <c r="A1736">
        <v>55</v>
      </c>
      <c r="B1736" s="168" t="s">
        <v>81</v>
      </c>
      <c r="C1736" s="168" t="s">
        <v>84</v>
      </c>
      <c r="D1736">
        <v>1142.7</v>
      </c>
      <c r="E1736">
        <v>2021</v>
      </c>
      <c r="F1736" s="168" t="s">
        <v>592</v>
      </c>
      <c r="G1736" s="168" t="s">
        <v>617</v>
      </c>
      <c r="H1736" s="168" t="s">
        <v>608</v>
      </c>
      <c r="I1736">
        <v>771.8158552919416</v>
      </c>
    </row>
    <row r="1737" spans="1:9" x14ac:dyDescent="0.3">
      <c r="A1737">
        <v>55</v>
      </c>
      <c r="B1737" s="168" t="s">
        <v>81</v>
      </c>
      <c r="C1737" s="168" t="s">
        <v>84</v>
      </c>
      <c r="D1737">
        <v>1142.7</v>
      </c>
      <c r="E1737">
        <v>2021</v>
      </c>
      <c r="F1737" s="168" t="s">
        <v>592</v>
      </c>
      <c r="G1737" s="168" t="s">
        <v>617</v>
      </c>
      <c r="H1737" s="168" t="s">
        <v>609</v>
      </c>
      <c r="I1737">
        <v>578.86189146895629</v>
      </c>
    </row>
    <row r="1738" spans="1:9" x14ac:dyDescent="0.3">
      <c r="A1738">
        <v>55</v>
      </c>
      <c r="B1738" s="168" t="s">
        <v>81</v>
      </c>
      <c r="C1738" s="168" t="s">
        <v>84</v>
      </c>
      <c r="D1738">
        <v>1142.7</v>
      </c>
      <c r="E1738">
        <v>2021</v>
      </c>
      <c r="F1738" s="168" t="s">
        <v>592</v>
      </c>
      <c r="G1738" s="168" t="s">
        <v>618</v>
      </c>
      <c r="H1738" s="168" t="s">
        <v>608</v>
      </c>
      <c r="I1738">
        <v>0</v>
      </c>
    </row>
    <row r="1739" spans="1:9" x14ac:dyDescent="0.3">
      <c r="A1739">
        <v>55</v>
      </c>
      <c r="B1739" s="168" t="s">
        <v>81</v>
      </c>
      <c r="C1739" s="168" t="s">
        <v>84</v>
      </c>
      <c r="D1739">
        <v>1142.7</v>
      </c>
      <c r="E1739">
        <v>2021</v>
      </c>
      <c r="F1739" s="168" t="s">
        <v>592</v>
      </c>
      <c r="G1739" s="168" t="s">
        <v>618</v>
      </c>
      <c r="H1739" s="168" t="s">
        <v>609</v>
      </c>
      <c r="I1739">
        <v>37280.898876404492</v>
      </c>
    </row>
    <row r="1740" spans="1:9" x14ac:dyDescent="0.3">
      <c r="A1740">
        <v>55</v>
      </c>
      <c r="B1740" s="168" t="s">
        <v>81</v>
      </c>
      <c r="C1740" s="168" t="s">
        <v>84</v>
      </c>
      <c r="D1740">
        <v>1142.7</v>
      </c>
      <c r="E1740">
        <v>2021</v>
      </c>
      <c r="F1740" s="168" t="s">
        <v>592</v>
      </c>
      <c r="G1740" s="168" t="s">
        <v>610</v>
      </c>
      <c r="H1740" s="168" t="s">
        <v>608</v>
      </c>
      <c r="I1740">
        <v>0</v>
      </c>
    </row>
    <row r="1741" spans="1:9" x14ac:dyDescent="0.3">
      <c r="A1741">
        <v>55</v>
      </c>
      <c r="B1741" s="168" t="s">
        <v>81</v>
      </c>
      <c r="C1741" s="168" t="s">
        <v>84</v>
      </c>
      <c r="D1741">
        <v>1142.7</v>
      </c>
      <c r="E1741">
        <v>2021</v>
      </c>
      <c r="F1741" s="168" t="s">
        <v>592</v>
      </c>
      <c r="G1741" s="168" t="s">
        <v>610</v>
      </c>
      <c r="H1741" s="168" t="s">
        <v>609</v>
      </c>
      <c r="I1741">
        <v>6545.454545454545</v>
      </c>
    </row>
    <row r="1742" spans="1:9" x14ac:dyDescent="0.3">
      <c r="A1742">
        <v>55</v>
      </c>
      <c r="B1742" s="168" t="s">
        <v>81</v>
      </c>
      <c r="C1742" s="168" t="s">
        <v>84</v>
      </c>
      <c r="D1742">
        <v>1142.7</v>
      </c>
      <c r="E1742">
        <v>2021</v>
      </c>
      <c r="F1742" s="168" t="s">
        <v>592</v>
      </c>
      <c r="G1742" s="168" t="s">
        <v>620</v>
      </c>
      <c r="H1742" s="168" t="s">
        <v>608</v>
      </c>
      <c r="I1742">
        <v>186515.41295527678</v>
      </c>
    </row>
    <row r="1743" spans="1:9" x14ac:dyDescent="0.3">
      <c r="A1743">
        <v>55</v>
      </c>
      <c r="B1743" s="168" t="s">
        <v>81</v>
      </c>
      <c r="C1743" s="168" t="s">
        <v>84</v>
      </c>
      <c r="D1743">
        <v>1142.7</v>
      </c>
      <c r="E1743">
        <v>2021</v>
      </c>
      <c r="F1743" s="168" t="s">
        <v>592</v>
      </c>
      <c r="G1743" s="168" t="s">
        <v>620</v>
      </c>
      <c r="H1743" s="168" t="s">
        <v>609</v>
      </c>
      <c r="I1743">
        <v>342099.45621181739</v>
      </c>
    </row>
    <row r="1744" spans="1:9" x14ac:dyDescent="0.3">
      <c r="A1744">
        <v>55</v>
      </c>
      <c r="B1744" s="168" t="s">
        <v>81</v>
      </c>
      <c r="C1744" s="168" t="s">
        <v>84</v>
      </c>
      <c r="D1744">
        <v>1142.7</v>
      </c>
      <c r="E1744">
        <v>2021</v>
      </c>
      <c r="F1744" s="168" t="s">
        <v>592</v>
      </c>
      <c r="G1744" s="168" t="s">
        <v>625</v>
      </c>
      <c r="H1744" s="168" t="s">
        <v>608</v>
      </c>
      <c r="I1744">
        <v>0</v>
      </c>
    </row>
    <row r="1745" spans="1:9" x14ac:dyDescent="0.3">
      <c r="A1745">
        <v>55</v>
      </c>
      <c r="B1745" s="168" t="s">
        <v>81</v>
      </c>
      <c r="C1745" s="168" t="s">
        <v>84</v>
      </c>
      <c r="D1745">
        <v>1142.7</v>
      </c>
      <c r="E1745">
        <v>2021</v>
      </c>
      <c r="F1745" s="168" t="s">
        <v>592</v>
      </c>
      <c r="G1745" s="168" t="s">
        <v>625</v>
      </c>
      <c r="H1745" s="168" t="s">
        <v>609</v>
      </c>
      <c r="I1745">
        <v>101498</v>
      </c>
    </row>
    <row r="1746" spans="1:9" x14ac:dyDescent="0.3">
      <c r="A1746">
        <v>55</v>
      </c>
      <c r="B1746" s="168" t="s">
        <v>81</v>
      </c>
      <c r="C1746" s="168" t="s">
        <v>84</v>
      </c>
      <c r="D1746">
        <v>1142.7</v>
      </c>
      <c r="E1746">
        <v>2021</v>
      </c>
      <c r="F1746" s="168" t="s">
        <v>592</v>
      </c>
      <c r="G1746" s="168" t="s">
        <v>630</v>
      </c>
      <c r="H1746" s="168" t="s">
        <v>608</v>
      </c>
      <c r="I1746">
        <v>17084.686331178724</v>
      </c>
    </row>
    <row r="1747" spans="1:9" x14ac:dyDescent="0.3">
      <c r="A1747">
        <v>55</v>
      </c>
      <c r="B1747" s="168" t="s">
        <v>81</v>
      </c>
      <c r="C1747" s="168" t="s">
        <v>84</v>
      </c>
      <c r="D1747">
        <v>1142.7</v>
      </c>
      <c r="E1747">
        <v>2021</v>
      </c>
      <c r="F1747" s="168" t="s">
        <v>592</v>
      </c>
      <c r="G1747" s="168" t="s">
        <v>630</v>
      </c>
      <c r="H1747" s="168" t="s">
        <v>609</v>
      </c>
      <c r="I1747">
        <v>18195.94349579345</v>
      </c>
    </row>
    <row r="1748" spans="1:9" x14ac:dyDescent="0.3">
      <c r="A1748">
        <v>55</v>
      </c>
      <c r="B1748" s="168" t="s">
        <v>81</v>
      </c>
      <c r="C1748" s="168" t="s">
        <v>84</v>
      </c>
      <c r="D1748">
        <v>1142.7</v>
      </c>
      <c r="E1748">
        <v>2021</v>
      </c>
      <c r="F1748" s="168" t="s">
        <v>592</v>
      </c>
      <c r="G1748" s="168" t="s">
        <v>613</v>
      </c>
      <c r="H1748" s="168" t="s">
        <v>608</v>
      </c>
      <c r="I1748">
        <v>43134.748642248196</v>
      </c>
    </row>
    <row r="1749" spans="1:9" x14ac:dyDescent="0.3">
      <c r="A1749">
        <v>55</v>
      </c>
      <c r="B1749" s="168" t="s">
        <v>81</v>
      </c>
      <c r="C1749" s="168" t="s">
        <v>84</v>
      </c>
      <c r="D1749">
        <v>1142.7</v>
      </c>
      <c r="E1749">
        <v>2021</v>
      </c>
      <c r="F1749" s="168" t="s">
        <v>592</v>
      </c>
      <c r="G1749" s="168" t="s">
        <v>613</v>
      </c>
      <c r="H1749" s="168" t="s">
        <v>609</v>
      </c>
      <c r="I1749">
        <v>8755.0598720077433</v>
      </c>
    </row>
    <row r="1750" spans="1:9" x14ac:dyDescent="0.3">
      <c r="A1750">
        <v>55</v>
      </c>
      <c r="B1750" s="168" t="s">
        <v>81</v>
      </c>
      <c r="C1750" s="168" t="s">
        <v>84</v>
      </c>
      <c r="D1750">
        <v>1142.7</v>
      </c>
      <c r="E1750">
        <v>2021</v>
      </c>
      <c r="F1750" s="168" t="s">
        <v>592</v>
      </c>
      <c r="G1750" s="168" t="s">
        <v>622</v>
      </c>
      <c r="H1750" s="168" t="s">
        <v>608</v>
      </c>
      <c r="I1750">
        <v>0</v>
      </c>
    </row>
    <row r="1751" spans="1:9" x14ac:dyDescent="0.3">
      <c r="A1751">
        <v>55</v>
      </c>
      <c r="B1751" s="168" t="s">
        <v>81</v>
      </c>
      <c r="C1751" s="168" t="s">
        <v>84</v>
      </c>
      <c r="D1751">
        <v>1142.7</v>
      </c>
      <c r="E1751">
        <v>2021</v>
      </c>
      <c r="F1751" s="168" t="s">
        <v>592</v>
      </c>
      <c r="G1751" s="168" t="s">
        <v>622</v>
      </c>
      <c r="H1751" s="168" t="s">
        <v>609</v>
      </c>
      <c r="I1751">
        <v>990000</v>
      </c>
    </row>
    <row r="1752" spans="1:9" x14ac:dyDescent="0.3">
      <c r="A1752">
        <v>56</v>
      </c>
      <c r="B1752" s="168" t="s">
        <v>81</v>
      </c>
      <c r="C1752" s="168" t="s">
        <v>85</v>
      </c>
      <c r="D1752">
        <v>1186.4000000000001</v>
      </c>
      <c r="E1752">
        <v>2021</v>
      </c>
      <c r="F1752" s="168" t="s">
        <v>592</v>
      </c>
      <c r="G1752" s="168" t="s">
        <v>607</v>
      </c>
      <c r="H1752" s="168" t="s">
        <v>608</v>
      </c>
      <c r="I1752">
        <v>10799.964972614955</v>
      </c>
    </row>
    <row r="1753" spans="1:9" x14ac:dyDescent="0.3">
      <c r="A1753">
        <v>56</v>
      </c>
      <c r="B1753" s="168" t="s">
        <v>81</v>
      </c>
      <c r="C1753" s="168" t="s">
        <v>85</v>
      </c>
      <c r="D1753">
        <v>1186.4000000000001</v>
      </c>
      <c r="E1753">
        <v>2021</v>
      </c>
      <c r="F1753" s="168" t="s">
        <v>592</v>
      </c>
      <c r="G1753" s="168" t="s">
        <v>607</v>
      </c>
      <c r="H1753" s="168" t="s">
        <v>609</v>
      </c>
      <c r="I1753">
        <v>0</v>
      </c>
    </row>
    <row r="1754" spans="1:9" x14ac:dyDescent="0.3">
      <c r="A1754">
        <v>56</v>
      </c>
      <c r="B1754" s="168" t="s">
        <v>81</v>
      </c>
      <c r="C1754" s="168" t="s">
        <v>85</v>
      </c>
      <c r="D1754">
        <v>1186.4000000000001</v>
      </c>
      <c r="E1754">
        <v>2021</v>
      </c>
      <c r="F1754" s="168" t="s">
        <v>592</v>
      </c>
      <c r="G1754" s="168" t="s">
        <v>617</v>
      </c>
      <c r="H1754" s="168" t="s">
        <v>608</v>
      </c>
      <c r="I1754">
        <v>801.33222255916667</v>
      </c>
    </row>
    <row r="1755" spans="1:9" x14ac:dyDescent="0.3">
      <c r="A1755">
        <v>56</v>
      </c>
      <c r="B1755" s="168" t="s">
        <v>81</v>
      </c>
      <c r="C1755" s="168" t="s">
        <v>85</v>
      </c>
      <c r="D1755">
        <v>1186.4000000000001</v>
      </c>
      <c r="E1755">
        <v>2021</v>
      </c>
      <c r="F1755" s="168" t="s">
        <v>592</v>
      </c>
      <c r="G1755" s="168" t="s">
        <v>617</v>
      </c>
      <c r="H1755" s="168" t="s">
        <v>609</v>
      </c>
      <c r="I1755">
        <v>600.99916691937494</v>
      </c>
    </row>
    <row r="1756" spans="1:9" x14ac:dyDescent="0.3">
      <c r="A1756">
        <v>56</v>
      </c>
      <c r="B1756" s="168" t="s">
        <v>81</v>
      </c>
      <c r="C1756" s="168" t="s">
        <v>85</v>
      </c>
      <c r="D1756">
        <v>1186.4000000000001</v>
      </c>
      <c r="E1756">
        <v>2021</v>
      </c>
      <c r="F1756" s="168" t="s">
        <v>592</v>
      </c>
      <c r="G1756" s="168" t="s">
        <v>618</v>
      </c>
      <c r="H1756" s="168" t="s">
        <v>608</v>
      </c>
      <c r="I1756">
        <v>0</v>
      </c>
    </row>
    <row r="1757" spans="1:9" x14ac:dyDescent="0.3">
      <c r="A1757">
        <v>56</v>
      </c>
      <c r="B1757" s="168" t="s">
        <v>81</v>
      </c>
      <c r="C1757" s="168" t="s">
        <v>85</v>
      </c>
      <c r="D1757">
        <v>1186.4000000000001</v>
      </c>
      <c r="E1757">
        <v>2021</v>
      </c>
      <c r="F1757" s="168" t="s">
        <v>592</v>
      </c>
      <c r="G1757" s="168" t="s">
        <v>618</v>
      </c>
      <c r="H1757" s="168" t="s">
        <v>609</v>
      </c>
      <c r="I1757">
        <v>53258.426966292136</v>
      </c>
    </row>
    <row r="1758" spans="1:9" x14ac:dyDescent="0.3">
      <c r="A1758">
        <v>56</v>
      </c>
      <c r="B1758" s="168" t="s">
        <v>81</v>
      </c>
      <c r="C1758" s="168" t="s">
        <v>85</v>
      </c>
      <c r="D1758">
        <v>1186.4000000000001</v>
      </c>
      <c r="E1758">
        <v>2021</v>
      </c>
      <c r="F1758" s="168" t="s">
        <v>592</v>
      </c>
      <c r="G1758" s="168" t="s">
        <v>610</v>
      </c>
      <c r="H1758" s="168" t="s">
        <v>608</v>
      </c>
      <c r="I1758">
        <v>0</v>
      </c>
    </row>
    <row r="1759" spans="1:9" x14ac:dyDescent="0.3">
      <c r="A1759">
        <v>56</v>
      </c>
      <c r="B1759" s="168" t="s">
        <v>81</v>
      </c>
      <c r="C1759" s="168" t="s">
        <v>85</v>
      </c>
      <c r="D1759">
        <v>1186.4000000000001</v>
      </c>
      <c r="E1759">
        <v>2021</v>
      </c>
      <c r="F1759" s="168" t="s">
        <v>592</v>
      </c>
      <c r="G1759" s="168" t="s">
        <v>610</v>
      </c>
      <c r="H1759" s="168" t="s">
        <v>609</v>
      </c>
      <c r="I1759">
        <v>6545.454545454545</v>
      </c>
    </row>
    <row r="1760" spans="1:9" x14ac:dyDescent="0.3">
      <c r="A1760">
        <v>56</v>
      </c>
      <c r="B1760" s="168" t="s">
        <v>81</v>
      </c>
      <c r="C1760" s="168" t="s">
        <v>85</v>
      </c>
      <c r="D1760">
        <v>1186.4000000000001</v>
      </c>
      <c r="E1760">
        <v>2021</v>
      </c>
      <c r="F1760" s="168" t="s">
        <v>592</v>
      </c>
      <c r="G1760" s="168" t="s">
        <v>623</v>
      </c>
      <c r="H1760" s="168" t="s">
        <v>608</v>
      </c>
      <c r="I1760">
        <v>37500</v>
      </c>
    </row>
    <row r="1761" spans="1:9" x14ac:dyDescent="0.3">
      <c r="A1761">
        <v>56</v>
      </c>
      <c r="B1761" s="168" t="s">
        <v>81</v>
      </c>
      <c r="C1761" s="168" t="s">
        <v>85</v>
      </c>
      <c r="D1761">
        <v>1186.4000000000001</v>
      </c>
      <c r="E1761">
        <v>2021</v>
      </c>
      <c r="F1761" s="168" t="s">
        <v>592</v>
      </c>
      <c r="G1761" s="168" t="s">
        <v>623</v>
      </c>
      <c r="H1761" s="168" t="s">
        <v>609</v>
      </c>
      <c r="I1761">
        <v>35510.391250000001</v>
      </c>
    </row>
    <row r="1762" spans="1:9" x14ac:dyDescent="0.3">
      <c r="A1762">
        <v>56</v>
      </c>
      <c r="B1762" s="168" t="s">
        <v>81</v>
      </c>
      <c r="C1762" s="168" t="s">
        <v>85</v>
      </c>
      <c r="D1762">
        <v>1186.4000000000001</v>
      </c>
      <c r="E1762">
        <v>2021</v>
      </c>
      <c r="F1762" s="168" t="s">
        <v>592</v>
      </c>
      <c r="G1762" s="168" t="s">
        <v>630</v>
      </c>
      <c r="H1762" s="168" t="s">
        <v>608</v>
      </c>
      <c r="I1762">
        <v>17738.051862527729</v>
      </c>
    </row>
    <row r="1763" spans="1:9" x14ac:dyDescent="0.3">
      <c r="A1763">
        <v>56</v>
      </c>
      <c r="B1763" s="168" t="s">
        <v>81</v>
      </c>
      <c r="C1763" s="168" t="s">
        <v>85</v>
      </c>
      <c r="D1763">
        <v>1186.4000000000001</v>
      </c>
      <c r="E1763">
        <v>2021</v>
      </c>
      <c r="F1763" s="168" t="s">
        <v>592</v>
      </c>
      <c r="G1763" s="168" t="s">
        <v>630</v>
      </c>
      <c r="H1763" s="168" t="s">
        <v>609</v>
      </c>
      <c r="I1763">
        <v>18891.806566386058</v>
      </c>
    </row>
    <row r="1764" spans="1:9" x14ac:dyDescent="0.3">
      <c r="A1764">
        <v>56</v>
      </c>
      <c r="B1764" s="168" t="s">
        <v>81</v>
      </c>
      <c r="C1764" s="168" t="s">
        <v>85</v>
      </c>
      <c r="D1764">
        <v>1186.4000000000001</v>
      </c>
      <c r="E1764">
        <v>2021</v>
      </c>
      <c r="F1764" s="168" t="s">
        <v>592</v>
      </c>
      <c r="G1764" s="168" t="s">
        <v>613</v>
      </c>
      <c r="H1764" s="168" t="s">
        <v>608</v>
      </c>
      <c r="I1764">
        <v>44784.340412324549</v>
      </c>
    </row>
    <row r="1765" spans="1:9" x14ac:dyDescent="0.3">
      <c r="A1765">
        <v>56</v>
      </c>
      <c r="B1765" s="168" t="s">
        <v>81</v>
      </c>
      <c r="C1765" s="168" t="s">
        <v>85</v>
      </c>
      <c r="D1765">
        <v>1186.4000000000001</v>
      </c>
      <c r="E1765">
        <v>2021</v>
      </c>
      <c r="F1765" s="168" t="s">
        <v>592</v>
      </c>
      <c r="G1765" s="168" t="s">
        <v>613</v>
      </c>
      <c r="H1765" s="168" t="s">
        <v>609</v>
      </c>
      <c r="I1765">
        <v>9089.8775112890416</v>
      </c>
    </row>
    <row r="1766" spans="1:9" x14ac:dyDescent="0.3">
      <c r="A1766">
        <v>57</v>
      </c>
      <c r="B1766" s="168" t="s">
        <v>81</v>
      </c>
      <c r="C1766" s="168" t="s">
        <v>86</v>
      </c>
      <c r="D1766">
        <v>122.7</v>
      </c>
      <c r="E1766">
        <v>2021</v>
      </c>
      <c r="F1766" s="168" t="s">
        <v>592</v>
      </c>
      <c r="G1766" s="168" t="s">
        <v>607</v>
      </c>
      <c r="H1766" s="168" t="s">
        <v>608</v>
      </c>
      <c r="I1766">
        <v>1116.9552445548338</v>
      </c>
    </row>
    <row r="1767" spans="1:9" x14ac:dyDescent="0.3">
      <c r="A1767">
        <v>57</v>
      </c>
      <c r="B1767" s="168" t="s">
        <v>81</v>
      </c>
      <c r="C1767" s="168" t="s">
        <v>86</v>
      </c>
      <c r="D1767">
        <v>122.7</v>
      </c>
      <c r="E1767">
        <v>2021</v>
      </c>
      <c r="F1767" s="168" t="s">
        <v>592</v>
      </c>
      <c r="G1767" s="168" t="s">
        <v>607</v>
      </c>
      <c r="H1767" s="168" t="s">
        <v>609</v>
      </c>
      <c r="I1767">
        <v>0</v>
      </c>
    </row>
    <row r="1768" spans="1:9" x14ac:dyDescent="0.3">
      <c r="A1768">
        <v>57</v>
      </c>
      <c r="B1768" s="168" t="s">
        <v>81</v>
      </c>
      <c r="C1768" s="168" t="s">
        <v>86</v>
      </c>
      <c r="D1768">
        <v>122.7</v>
      </c>
      <c r="E1768">
        <v>2021</v>
      </c>
      <c r="F1768" s="168" t="s">
        <v>592</v>
      </c>
      <c r="G1768" s="168" t="s">
        <v>617</v>
      </c>
      <c r="H1768" s="168" t="s">
        <v>608</v>
      </c>
      <c r="I1768">
        <v>82.875475141613066</v>
      </c>
    </row>
    <row r="1769" spans="1:9" x14ac:dyDescent="0.3">
      <c r="A1769">
        <v>57</v>
      </c>
      <c r="B1769" s="168" t="s">
        <v>81</v>
      </c>
      <c r="C1769" s="168" t="s">
        <v>86</v>
      </c>
      <c r="D1769">
        <v>122.7</v>
      </c>
      <c r="E1769">
        <v>2021</v>
      </c>
      <c r="F1769" s="168" t="s">
        <v>592</v>
      </c>
      <c r="G1769" s="168" t="s">
        <v>617</v>
      </c>
      <c r="H1769" s="168" t="s">
        <v>609</v>
      </c>
      <c r="I1769">
        <v>62.156606356209799</v>
      </c>
    </row>
    <row r="1770" spans="1:9" x14ac:dyDescent="0.3">
      <c r="A1770">
        <v>58</v>
      </c>
      <c r="B1770" s="168" t="s">
        <v>34</v>
      </c>
      <c r="C1770" s="168" t="s">
        <v>87</v>
      </c>
      <c r="D1770">
        <v>52.6</v>
      </c>
      <c r="E1770">
        <v>2021</v>
      </c>
      <c r="F1770" s="168" t="s">
        <v>593</v>
      </c>
      <c r="G1770" s="168" t="s">
        <v>607</v>
      </c>
      <c r="H1770" s="168" t="s">
        <v>608</v>
      </c>
      <c r="I1770">
        <v>478.82514966246345</v>
      </c>
    </row>
    <row r="1771" spans="1:9" x14ac:dyDescent="0.3">
      <c r="A1771">
        <v>58</v>
      </c>
      <c r="B1771" s="168" t="s">
        <v>34</v>
      </c>
      <c r="C1771" s="168" t="s">
        <v>87</v>
      </c>
      <c r="D1771">
        <v>52.6</v>
      </c>
      <c r="E1771">
        <v>2021</v>
      </c>
      <c r="F1771" s="168" t="s">
        <v>593</v>
      </c>
      <c r="G1771" s="168" t="s">
        <v>607</v>
      </c>
      <c r="H1771" s="168" t="s">
        <v>609</v>
      </c>
      <c r="I1771">
        <v>0</v>
      </c>
    </row>
    <row r="1772" spans="1:9" x14ac:dyDescent="0.3">
      <c r="A1772">
        <v>58</v>
      </c>
      <c r="B1772" s="168" t="s">
        <v>34</v>
      </c>
      <c r="C1772" s="168" t="s">
        <v>87</v>
      </c>
      <c r="D1772">
        <v>52.6</v>
      </c>
      <c r="E1772">
        <v>2021</v>
      </c>
      <c r="F1772" s="168" t="s">
        <v>593</v>
      </c>
      <c r="G1772" s="168" t="s">
        <v>617</v>
      </c>
      <c r="H1772" s="168" t="s">
        <v>608</v>
      </c>
      <c r="I1772">
        <v>35.527709799909104</v>
      </c>
    </row>
    <row r="1773" spans="1:9" x14ac:dyDescent="0.3">
      <c r="A1773">
        <v>58</v>
      </c>
      <c r="B1773" s="168" t="s">
        <v>34</v>
      </c>
      <c r="C1773" s="168" t="s">
        <v>87</v>
      </c>
      <c r="D1773">
        <v>52.6</v>
      </c>
      <c r="E1773">
        <v>2021</v>
      </c>
      <c r="F1773" s="168" t="s">
        <v>593</v>
      </c>
      <c r="G1773" s="168" t="s">
        <v>617</v>
      </c>
      <c r="H1773" s="168" t="s">
        <v>609</v>
      </c>
      <c r="I1773">
        <v>26.645782349931828</v>
      </c>
    </row>
    <row r="1774" spans="1:9" x14ac:dyDescent="0.3">
      <c r="A1774">
        <v>58</v>
      </c>
      <c r="B1774" s="168" t="s">
        <v>34</v>
      </c>
      <c r="C1774" s="168" t="s">
        <v>87</v>
      </c>
      <c r="D1774">
        <v>52.6</v>
      </c>
      <c r="E1774">
        <v>2021</v>
      </c>
      <c r="F1774" s="168" t="s">
        <v>593</v>
      </c>
      <c r="G1774" s="168" t="s">
        <v>630</v>
      </c>
      <c r="H1774" s="168" t="s">
        <v>608</v>
      </c>
      <c r="I1774">
        <v>197.58633496494139</v>
      </c>
    </row>
    <row r="1775" spans="1:9" x14ac:dyDescent="0.3">
      <c r="A1775">
        <v>58</v>
      </c>
      <c r="B1775" s="168" t="s">
        <v>34</v>
      </c>
      <c r="C1775" s="168" t="s">
        <v>87</v>
      </c>
      <c r="D1775">
        <v>52.6</v>
      </c>
      <c r="E1775">
        <v>2021</v>
      </c>
      <c r="F1775" s="168" t="s">
        <v>593</v>
      </c>
      <c r="G1775" s="168" t="s">
        <v>630</v>
      </c>
      <c r="H1775" s="168" t="s">
        <v>609</v>
      </c>
      <c r="I1775">
        <v>197.58633496494139</v>
      </c>
    </row>
    <row r="1776" spans="1:9" x14ac:dyDescent="0.3">
      <c r="A1776">
        <v>59</v>
      </c>
      <c r="B1776" s="168" t="s">
        <v>34</v>
      </c>
      <c r="C1776" s="168" t="s">
        <v>88</v>
      </c>
      <c r="D1776">
        <v>54.9</v>
      </c>
      <c r="E1776">
        <v>2021</v>
      </c>
      <c r="F1776" s="168" t="s">
        <v>593</v>
      </c>
      <c r="G1776" s="168" t="s">
        <v>607</v>
      </c>
      <c r="H1776" s="168" t="s">
        <v>608</v>
      </c>
      <c r="I1776">
        <v>499.76237103553694</v>
      </c>
    </row>
    <row r="1777" spans="1:9" x14ac:dyDescent="0.3">
      <c r="A1777">
        <v>59</v>
      </c>
      <c r="B1777" s="168" t="s">
        <v>34</v>
      </c>
      <c r="C1777" s="168" t="s">
        <v>88</v>
      </c>
      <c r="D1777">
        <v>54.9</v>
      </c>
      <c r="E1777">
        <v>2021</v>
      </c>
      <c r="F1777" s="168" t="s">
        <v>593</v>
      </c>
      <c r="G1777" s="168" t="s">
        <v>607</v>
      </c>
      <c r="H1777" s="168" t="s">
        <v>609</v>
      </c>
      <c r="I1777">
        <v>0</v>
      </c>
    </row>
    <row r="1778" spans="1:9" x14ac:dyDescent="0.3">
      <c r="A1778">
        <v>59</v>
      </c>
      <c r="B1778" s="168" t="s">
        <v>34</v>
      </c>
      <c r="C1778" s="168" t="s">
        <v>88</v>
      </c>
      <c r="D1778">
        <v>54.9</v>
      </c>
      <c r="E1778">
        <v>2021</v>
      </c>
      <c r="F1778" s="168" t="s">
        <v>593</v>
      </c>
      <c r="G1778" s="168" t="s">
        <v>612</v>
      </c>
      <c r="H1778" s="168" t="s">
        <v>608</v>
      </c>
      <c r="I1778">
        <v>0</v>
      </c>
    </row>
    <row r="1779" spans="1:9" x14ac:dyDescent="0.3">
      <c r="A1779">
        <v>59</v>
      </c>
      <c r="B1779" s="168" t="s">
        <v>34</v>
      </c>
      <c r="C1779" s="168" t="s">
        <v>88</v>
      </c>
      <c r="D1779">
        <v>54.9</v>
      </c>
      <c r="E1779">
        <v>2021</v>
      </c>
      <c r="F1779" s="168" t="s">
        <v>593</v>
      </c>
      <c r="G1779" s="168" t="s">
        <v>612</v>
      </c>
      <c r="H1779" s="168" t="s">
        <v>609</v>
      </c>
      <c r="I1779">
        <v>68.793268981875869</v>
      </c>
    </row>
    <row r="1780" spans="1:9" x14ac:dyDescent="0.3">
      <c r="A1780">
        <v>59</v>
      </c>
      <c r="B1780" s="168" t="s">
        <v>34</v>
      </c>
      <c r="C1780" s="168" t="s">
        <v>88</v>
      </c>
      <c r="D1780">
        <v>54.9</v>
      </c>
      <c r="E1780">
        <v>2021</v>
      </c>
      <c r="F1780" s="168" t="s">
        <v>593</v>
      </c>
      <c r="G1780" s="168" t="s">
        <v>617</v>
      </c>
      <c r="H1780" s="168" t="s">
        <v>608</v>
      </c>
      <c r="I1780">
        <v>37.081202813973569</v>
      </c>
    </row>
    <row r="1781" spans="1:9" x14ac:dyDescent="0.3">
      <c r="A1781">
        <v>59</v>
      </c>
      <c r="B1781" s="168" t="s">
        <v>34</v>
      </c>
      <c r="C1781" s="168" t="s">
        <v>88</v>
      </c>
      <c r="D1781">
        <v>54.9</v>
      </c>
      <c r="E1781">
        <v>2021</v>
      </c>
      <c r="F1781" s="168" t="s">
        <v>593</v>
      </c>
      <c r="G1781" s="168" t="s">
        <v>617</v>
      </c>
      <c r="H1781" s="168" t="s">
        <v>609</v>
      </c>
      <c r="I1781">
        <v>27.810902110480175</v>
      </c>
    </row>
    <row r="1782" spans="1:9" x14ac:dyDescent="0.3">
      <c r="A1782">
        <v>59</v>
      </c>
      <c r="B1782" s="168" t="s">
        <v>34</v>
      </c>
      <c r="C1782" s="168" t="s">
        <v>88</v>
      </c>
      <c r="D1782">
        <v>54.9</v>
      </c>
      <c r="E1782">
        <v>2021</v>
      </c>
      <c r="F1782" s="168" t="s">
        <v>593</v>
      </c>
      <c r="G1782" s="168" t="s">
        <v>633</v>
      </c>
      <c r="H1782" s="168" t="s">
        <v>608</v>
      </c>
      <c r="I1782">
        <v>0</v>
      </c>
    </row>
    <row r="1783" spans="1:9" x14ac:dyDescent="0.3">
      <c r="A1783">
        <v>59</v>
      </c>
      <c r="B1783" s="168" t="s">
        <v>34</v>
      </c>
      <c r="C1783" s="168" t="s">
        <v>88</v>
      </c>
      <c r="D1783">
        <v>54.9</v>
      </c>
      <c r="E1783">
        <v>2021</v>
      </c>
      <c r="F1783" s="168" t="s">
        <v>593</v>
      </c>
      <c r="G1783" s="168" t="s">
        <v>633</v>
      </c>
      <c r="H1783" s="168" t="s">
        <v>609</v>
      </c>
      <c r="I1783">
        <v>145433.62831858409</v>
      </c>
    </row>
    <row r="1784" spans="1:9" x14ac:dyDescent="0.3">
      <c r="A1784">
        <v>59</v>
      </c>
      <c r="B1784" s="168" t="s">
        <v>34</v>
      </c>
      <c r="C1784" s="168" t="s">
        <v>88</v>
      </c>
      <c r="D1784">
        <v>54.9</v>
      </c>
      <c r="E1784">
        <v>2021</v>
      </c>
      <c r="F1784" s="168" t="s">
        <v>593</v>
      </c>
      <c r="G1784" s="168" t="s">
        <v>630</v>
      </c>
      <c r="H1784" s="168" t="s">
        <v>608</v>
      </c>
      <c r="I1784">
        <v>206.22604162690649</v>
      </c>
    </row>
    <row r="1785" spans="1:9" x14ac:dyDescent="0.3">
      <c r="A1785">
        <v>59</v>
      </c>
      <c r="B1785" s="168" t="s">
        <v>34</v>
      </c>
      <c r="C1785" s="168" t="s">
        <v>88</v>
      </c>
      <c r="D1785">
        <v>54.9</v>
      </c>
      <c r="E1785">
        <v>2021</v>
      </c>
      <c r="F1785" s="168" t="s">
        <v>593</v>
      </c>
      <c r="G1785" s="168" t="s">
        <v>630</v>
      </c>
      <c r="H1785" s="168" t="s">
        <v>609</v>
      </c>
      <c r="I1785">
        <v>206.22604162690649</v>
      </c>
    </row>
    <row r="1786" spans="1:9" x14ac:dyDescent="0.3">
      <c r="A1786">
        <v>60</v>
      </c>
      <c r="B1786" s="168" t="s">
        <v>60</v>
      </c>
      <c r="C1786" s="168" t="s">
        <v>89</v>
      </c>
      <c r="D1786">
        <v>11053.9</v>
      </c>
      <c r="E1786">
        <v>2021</v>
      </c>
      <c r="F1786" s="168" t="s">
        <v>592</v>
      </c>
      <c r="G1786" s="168" t="s">
        <v>612</v>
      </c>
      <c r="H1786" s="168" t="s">
        <v>608</v>
      </c>
      <c r="I1786">
        <v>0</v>
      </c>
    </row>
    <row r="1787" spans="1:9" x14ac:dyDescent="0.3">
      <c r="A1787">
        <v>60</v>
      </c>
      <c r="B1787" s="168" t="s">
        <v>60</v>
      </c>
      <c r="C1787" s="168" t="s">
        <v>89</v>
      </c>
      <c r="D1787">
        <v>11053.9</v>
      </c>
      <c r="E1787">
        <v>2021</v>
      </c>
      <c r="F1787" s="168" t="s">
        <v>592</v>
      </c>
      <c r="G1787" s="168" t="s">
        <v>612</v>
      </c>
      <c r="H1787" s="168" t="s">
        <v>609</v>
      </c>
      <c r="I1787">
        <v>13851.255300523817</v>
      </c>
    </row>
    <row r="1788" spans="1:9" x14ac:dyDescent="0.3">
      <c r="A1788">
        <v>60</v>
      </c>
      <c r="B1788" s="168" t="s">
        <v>60</v>
      </c>
      <c r="C1788" s="168" t="s">
        <v>89</v>
      </c>
      <c r="D1788">
        <v>11053.9</v>
      </c>
      <c r="E1788">
        <v>2021</v>
      </c>
      <c r="F1788" s="168" t="s">
        <v>592</v>
      </c>
      <c r="G1788" s="168" t="s">
        <v>629</v>
      </c>
      <c r="H1788" s="168" t="s">
        <v>608</v>
      </c>
      <c r="I1788">
        <v>3609883.8517911453</v>
      </c>
    </row>
    <row r="1789" spans="1:9" x14ac:dyDescent="0.3">
      <c r="A1789">
        <v>60</v>
      </c>
      <c r="B1789" s="168" t="s">
        <v>60</v>
      </c>
      <c r="C1789" s="168" t="s">
        <v>89</v>
      </c>
      <c r="D1789">
        <v>11053.9</v>
      </c>
      <c r="E1789">
        <v>2021</v>
      </c>
      <c r="F1789" s="168" t="s">
        <v>592</v>
      </c>
      <c r="G1789" s="168" t="s">
        <v>629</v>
      </c>
      <c r="H1789" s="168" t="s">
        <v>609</v>
      </c>
      <c r="I1789">
        <v>642398.67138219427</v>
      </c>
    </row>
    <row r="1790" spans="1:9" x14ac:dyDescent="0.3">
      <c r="A1790">
        <v>60</v>
      </c>
      <c r="B1790" s="168" t="s">
        <v>60</v>
      </c>
      <c r="C1790" s="168" t="s">
        <v>89</v>
      </c>
      <c r="D1790">
        <v>11053.9</v>
      </c>
      <c r="E1790">
        <v>2021</v>
      </c>
      <c r="F1790" s="168" t="s">
        <v>592</v>
      </c>
      <c r="G1790" s="168" t="s">
        <v>617</v>
      </c>
      <c r="H1790" s="168" t="s">
        <v>608</v>
      </c>
      <c r="I1790">
        <v>7466.15496876835</v>
      </c>
    </row>
    <row r="1791" spans="1:9" x14ac:dyDescent="0.3">
      <c r="A1791">
        <v>60</v>
      </c>
      <c r="B1791" s="168" t="s">
        <v>60</v>
      </c>
      <c r="C1791" s="168" t="s">
        <v>89</v>
      </c>
      <c r="D1791">
        <v>11053.9</v>
      </c>
      <c r="E1791">
        <v>2021</v>
      </c>
      <c r="F1791" s="168" t="s">
        <v>592</v>
      </c>
      <c r="G1791" s="168" t="s">
        <v>617</v>
      </c>
      <c r="H1791" s="168" t="s">
        <v>609</v>
      </c>
      <c r="I1791">
        <v>8792.4162265762607</v>
      </c>
    </row>
    <row r="1792" spans="1:9" x14ac:dyDescent="0.3">
      <c r="A1792">
        <v>60</v>
      </c>
      <c r="B1792" s="168" t="s">
        <v>60</v>
      </c>
      <c r="C1792" s="168" t="s">
        <v>89</v>
      </c>
      <c r="D1792">
        <v>11053.9</v>
      </c>
      <c r="E1792">
        <v>2021</v>
      </c>
      <c r="F1792" s="168" t="s">
        <v>592</v>
      </c>
      <c r="G1792" s="168" t="s">
        <v>618</v>
      </c>
      <c r="H1792" s="168" t="s">
        <v>608</v>
      </c>
      <c r="I1792">
        <v>0</v>
      </c>
    </row>
    <row r="1793" spans="1:9" x14ac:dyDescent="0.3">
      <c r="A1793">
        <v>60</v>
      </c>
      <c r="B1793" s="168" t="s">
        <v>60</v>
      </c>
      <c r="C1793" s="168" t="s">
        <v>89</v>
      </c>
      <c r="D1793">
        <v>11053.9</v>
      </c>
      <c r="E1793">
        <v>2021</v>
      </c>
      <c r="F1793" s="168" t="s">
        <v>592</v>
      </c>
      <c r="G1793" s="168" t="s">
        <v>618</v>
      </c>
      <c r="H1793" s="168" t="s">
        <v>609</v>
      </c>
      <c r="I1793">
        <v>15977.528089887641</v>
      </c>
    </row>
    <row r="1794" spans="1:9" x14ac:dyDescent="0.3">
      <c r="A1794">
        <v>60</v>
      </c>
      <c r="B1794" s="168" t="s">
        <v>60</v>
      </c>
      <c r="C1794" s="168" t="s">
        <v>89</v>
      </c>
      <c r="D1794">
        <v>11053.9</v>
      </c>
      <c r="E1794">
        <v>2021</v>
      </c>
      <c r="F1794" s="168" t="s">
        <v>592</v>
      </c>
      <c r="G1794" s="168" t="s">
        <v>610</v>
      </c>
      <c r="H1794" s="168" t="s">
        <v>608</v>
      </c>
      <c r="I1794">
        <v>0</v>
      </c>
    </row>
    <row r="1795" spans="1:9" x14ac:dyDescent="0.3">
      <c r="A1795">
        <v>60</v>
      </c>
      <c r="B1795" s="168" t="s">
        <v>60</v>
      </c>
      <c r="C1795" s="168" t="s">
        <v>89</v>
      </c>
      <c r="D1795">
        <v>11053.9</v>
      </c>
      <c r="E1795">
        <v>2021</v>
      </c>
      <c r="F1795" s="168" t="s">
        <v>592</v>
      </c>
      <c r="G1795" s="168" t="s">
        <v>610</v>
      </c>
      <c r="H1795" s="168" t="s">
        <v>609</v>
      </c>
      <c r="I1795">
        <v>6545.454545454545</v>
      </c>
    </row>
    <row r="1796" spans="1:9" x14ac:dyDescent="0.3">
      <c r="A1796">
        <v>60</v>
      </c>
      <c r="B1796" s="168" t="s">
        <v>60</v>
      </c>
      <c r="C1796" s="168" t="s">
        <v>89</v>
      </c>
      <c r="D1796">
        <v>11053.9</v>
      </c>
      <c r="E1796">
        <v>2021</v>
      </c>
      <c r="F1796" s="168" t="s">
        <v>592</v>
      </c>
      <c r="G1796" s="168" t="s">
        <v>620</v>
      </c>
      <c r="H1796" s="168" t="s">
        <v>608</v>
      </c>
      <c r="I1796">
        <v>96190.661290322576</v>
      </c>
    </row>
    <row r="1797" spans="1:9" x14ac:dyDescent="0.3">
      <c r="A1797">
        <v>60</v>
      </c>
      <c r="B1797" s="168" t="s">
        <v>60</v>
      </c>
      <c r="C1797" s="168" t="s">
        <v>89</v>
      </c>
      <c r="D1797">
        <v>11053.9</v>
      </c>
      <c r="E1797">
        <v>2021</v>
      </c>
      <c r="F1797" s="168" t="s">
        <v>592</v>
      </c>
      <c r="G1797" s="168" t="s">
        <v>620</v>
      </c>
      <c r="H1797" s="168" t="s">
        <v>609</v>
      </c>
      <c r="I1797">
        <v>0</v>
      </c>
    </row>
    <row r="1798" spans="1:9" x14ac:dyDescent="0.3">
      <c r="A1798">
        <v>60</v>
      </c>
      <c r="B1798" s="168" t="s">
        <v>60</v>
      </c>
      <c r="C1798" s="168" t="s">
        <v>89</v>
      </c>
      <c r="D1798">
        <v>11053.9</v>
      </c>
      <c r="E1798">
        <v>2021</v>
      </c>
      <c r="F1798" s="168" t="s">
        <v>592</v>
      </c>
      <c r="G1798" s="168" t="s">
        <v>623</v>
      </c>
      <c r="H1798" s="168" t="s">
        <v>608</v>
      </c>
      <c r="I1798">
        <v>48817.307692307702</v>
      </c>
    </row>
    <row r="1799" spans="1:9" x14ac:dyDescent="0.3">
      <c r="A1799">
        <v>60</v>
      </c>
      <c r="B1799" s="168" t="s">
        <v>60</v>
      </c>
      <c r="C1799" s="168" t="s">
        <v>89</v>
      </c>
      <c r="D1799">
        <v>11053.9</v>
      </c>
      <c r="E1799">
        <v>2021</v>
      </c>
      <c r="F1799" s="168" t="s">
        <v>592</v>
      </c>
      <c r="G1799" s="168" t="s">
        <v>623</v>
      </c>
      <c r="H1799" s="168" t="s">
        <v>609</v>
      </c>
      <c r="I1799">
        <v>35510.391250000001</v>
      </c>
    </row>
    <row r="1800" spans="1:9" x14ac:dyDescent="0.3">
      <c r="A1800">
        <v>60</v>
      </c>
      <c r="B1800" s="168" t="s">
        <v>60</v>
      </c>
      <c r="C1800" s="168" t="s">
        <v>89</v>
      </c>
      <c r="D1800">
        <v>11053.9</v>
      </c>
      <c r="E1800">
        <v>2021</v>
      </c>
      <c r="F1800" s="168" t="s">
        <v>592</v>
      </c>
      <c r="G1800" s="168" t="s">
        <v>625</v>
      </c>
      <c r="H1800" s="168" t="s">
        <v>608</v>
      </c>
      <c r="I1800">
        <v>0</v>
      </c>
    </row>
    <row r="1801" spans="1:9" x14ac:dyDescent="0.3">
      <c r="A1801">
        <v>60</v>
      </c>
      <c r="B1801" s="168" t="s">
        <v>60</v>
      </c>
      <c r="C1801" s="168" t="s">
        <v>89</v>
      </c>
      <c r="D1801">
        <v>11053.9</v>
      </c>
      <c r="E1801">
        <v>2021</v>
      </c>
      <c r="F1801" s="168" t="s">
        <v>592</v>
      </c>
      <c r="G1801" s="168" t="s">
        <v>625</v>
      </c>
      <c r="H1801" s="168" t="s">
        <v>609</v>
      </c>
      <c r="I1801">
        <v>195848.85</v>
      </c>
    </row>
    <row r="1802" spans="1:9" x14ac:dyDescent="0.3">
      <c r="A1802">
        <v>60</v>
      </c>
      <c r="B1802" s="168" t="s">
        <v>60</v>
      </c>
      <c r="C1802" s="168" t="s">
        <v>89</v>
      </c>
      <c r="D1802">
        <v>11053.9</v>
      </c>
      <c r="E1802">
        <v>2021</v>
      </c>
      <c r="F1802" s="168" t="s">
        <v>592</v>
      </c>
      <c r="G1802" s="168" t="s">
        <v>630</v>
      </c>
      <c r="H1802" s="168" t="s">
        <v>608</v>
      </c>
      <c r="I1802">
        <v>206791.39274421037</v>
      </c>
    </row>
    <row r="1803" spans="1:9" x14ac:dyDescent="0.3">
      <c r="A1803">
        <v>60</v>
      </c>
      <c r="B1803" s="168" t="s">
        <v>60</v>
      </c>
      <c r="C1803" s="168" t="s">
        <v>89</v>
      </c>
      <c r="D1803">
        <v>11053.9</v>
      </c>
      <c r="E1803">
        <v>2021</v>
      </c>
      <c r="F1803" s="168" t="s">
        <v>592</v>
      </c>
      <c r="G1803" s="168" t="s">
        <v>630</v>
      </c>
      <c r="H1803" s="168" t="s">
        <v>609</v>
      </c>
      <c r="I1803">
        <v>217541.13070862339</v>
      </c>
    </row>
    <row r="1804" spans="1:9" x14ac:dyDescent="0.3">
      <c r="A1804">
        <v>60</v>
      </c>
      <c r="B1804" s="168" t="s">
        <v>60</v>
      </c>
      <c r="C1804" s="168" t="s">
        <v>89</v>
      </c>
      <c r="D1804">
        <v>11053.9</v>
      </c>
      <c r="E1804">
        <v>2021</v>
      </c>
      <c r="F1804" s="168" t="s">
        <v>592</v>
      </c>
      <c r="G1804" s="168" t="s">
        <v>621</v>
      </c>
      <c r="H1804" s="168" t="s">
        <v>608</v>
      </c>
      <c r="I1804">
        <v>0</v>
      </c>
    </row>
    <row r="1805" spans="1:9" x14ac:dyDescent="0.3">
      <c r="A1805">
        <v>60</v>
      </c>
      <c r="B1805" s="168" t="s">
        <v>60</v>
      </c>
      <c r="C1805" s="168" t="s">
        <v>89</v>
      </c>
      <c r="D1805">
        <v>11053.9</v>
      </c>
      <c r="E1805">
        <v>2021</v>
      </c>
      <c r="F1805" s="168" t="s">
        <v>592</v>
      </c>
      <c r="G1805" s="168" t="s">
        <v>621</v>
      </c>
      <c r="H1805" s="168" t="s">
        <v>609</v>
      </c>
      <c r="I1805">
        <v>98047.2</v>
      </c>
    </row>
    <row r="1806" spans="1:9" x14ac:dyDescent="0.3">
      <c r="A1806">
        <v>60</v>
      </c>
      <c r="B1806" s="168" t="s">
        <v>60</v>
      </c>
      <c r="C1806" s="168" t="s">
        <v>89</v>
      </c>
      <c r="D1806">
        <v>11053.9</v>
      </c>
      <c r="E1806">
        <v>2021</v>
      </c>
      <c r="F1806" s="168" t="s">
        <v>592</v>
      </c>
      <c r="G1806" s="168" t="s">
        <v>627</v>
      </c>
      <c r="H1806" s="168" t="s">
        <v>608</v>
      </c>
      <c r="I1806">
        <v>0</v>
      </c>
    </row>
    <row r="1807" spans="1:9" x14ac:dyDescent="0.3">
      <c r="A1807">
        <v>60</v>
      </c>
      <c r="B1807" s="168" t="s">
        <v>60</v>
      </c>
      <c r="C1807" s="168" t="s">
        <v>89</v>
      </c>
      <c r="D1807">
        <v>11053.9</v>
      </c>
      <c r="E1807">
        <v>2021</v>
      </c>
      <c r="F1807" s="168" t="s">
        <v>592</v>
      </c>
      <c r="G1807" s="168" t="s">
        <v>627</v>
      </c>
      <c r="H1807" s="168" t="s">
        <v>609</v>
      </c>
      <c r="I1807">
        <v>1351680.56</v>
      </c>
    </row>
    <row r="1808" spans="1:9" x14ac:dyDescent="0.3">
      <c r="A1808">
        <v>60</v>
      </c>
      <c r="B1808" s="168" t="s">
        <v>60</v>
      </c>
      <c r="C1808" s="168" t="s">
        <v>89</v>
      </c>
      <c r="D1808">
        <v>11053.9</v>
      </c>
      <c r="E1808">
        <v>2021</v>
      </c>
      <c r="F1808" s="168" t="s">
        <v>592</v>
      </c>
      <c r="G1808" s="168" t="s">
        <v>613</v>
      </c>
      <c r="H1808" s="168" t="s">
        <v>608</v>
      </c>
      <c r="I1808">
        <v>417263.6720193816</v>
      </c>
    </row>
    <row r="1809" spans="1:9" x14ac:dyDescent="0.3">
      <c r="A1809">
        <v>60</v>
      </c>
      <c r="B1809" s="168" t="s">
        <v>60</v>
      </c>
      <c r="C1809" s="168" t="s">
        <v>89</v>
      </c>
      <c r="D1809">
        <v>11053.9</v>
      </c>
      <c r="E1809">
        <v>2021</v>
      </c>
      <c r="F1809" s="168" t="s">
        <v>592</v>
      </c>
      <c r="G1809" s="168" t="s">
        <v>613</v>
      </c>
      <c r="H1809" s="168" t="s">
        <v>609</v>
      </c>
      <c r="I1809">
        <v>84692.006930241012</v>
      </c>
    </row>
    <row r="1810" spans="1:9" x14ac:dyDescent="0.3">
      <c r="A1810">
        <v>60</v>
      </c>
      <c r="B1810" s="168" t="s">
        <v>60</v>
      </c>
      <c r="C1810" s="168" t="s">
        <v>89</v>
      </c>
      <c r="D1810">
        <v>11053.9</v>
      </c>
      <c r="E1810">
        <v>2021</v>
      </c>
      <c r="F1810" s="168" t="s">
        <v>592</v>
      </c>
      <c r="G1810" s="168" t="s">
        <v>622</v>
      </c>
      <c r="H1810" s="168" t="s">
        <v>608</v>
      </c>
      <c r="I1810">
        <v>136318.1108506468</v>
      </c>
    </row>
    <row r="1811" spans="1:9" x14ac:dyDescent="0.3">
      <c r="A1811">
        <v>60</v>
      </c>
      <c r="B1811" s="168" t="s">
        <v>60</v>
      </c>
      <c r="C1811" s="168" t="s">
        <v>89</v>
      </c>
      <c r="D1811">
        <v>11053.9</v>
      </c>
      <c r="E1811">
        <v>2021</v>
      </c>
      <c r="F1811" s="168" t="s">
        <v>592</v>
      </c>
      <c r="G1811" s="168" t="s">
        <v>622</v>
      </c>
      <c r="H1811" s="168" t="s">
        <v>609</v>
      </c>
      <c r="I1811">
        <v>0</v>
      </c>
    </row>
    <row r="1812" spans="1:9" x14ac:dyDescent="0.3">
      <c r="A1812">
        <v>61</v>
      </c>
      <c r="B1812" s="168" t="s">
        <v>90</v>
      </c>
      <c r="C1812" s="168" t="s">
        <v>91</v>
      </c>
      <c r="D1812">
        <v>17563.900000000001</v>
      </c>
      <c r="E1812">
        <v>2021</v>
      </c>
      <c r="F1812" s="168" t="s">
        <v>592</v>
      </c>
      <c r="G1812" s="168" t="s">
        <v>612</v>
      </c>
      <c r="H1812" s="168" t="s">
        <v>608</v>
      </c>
      <c r="I1812">
        <v>0</v>
      </c>
    </row>
    <row r="1813" spans="1:9" x14ac:dyDescent="0.3">
      <c r="A1813">
        <v>61</v>
      </c>
      <c r="B1813" s="168" t="s">
        <v>90</v>
      </c>
      <c r="C1813" s="168" t="s">
        <v>91</v>
      </c>
      <c r="D1813">
        <v>17563.900000000001</v>
      </c>
      <c r="E1813">
        <v>2021</v>
      </c>
      <c r="F1813" s="168" t="s">
        <v>592</v>
      </c>
      <c r="G1813" s="168" t="s">
        <v>612</v>
      </c>
      <c r="H1813" s="168" t="s">
        <v>609</v>
      </c>
      <c r="I1813">
        <v>89808.708507664298</v>
      </c>
    </row>
    <row r="1814" spans="1:9" x14ac:dyDescent="0.3">
      <c r="A1814">
        <v>61</v>
      </c>
      <c r="B1814" s="168" t="s">
        <v>90</v>
      </c>
      <c r="C1814" s="168" t="s">
        <v>91</v>
      </c>
      <c r="D1814">
        <v>17563.900000000001</v>
      </c>
      <c r="E1814">
        <v>2021</v>
      </c>
      <c r="F1814" s="168" t="s">
        <v>592</v>
      </c>
      <c r="G1814" s="168" t="s">
        <v>629</v>
      </c>
      <c r="H1814" s="168" t="s">
        <v>608</v>
      </c>
      <c r="I1814">
        <v>0</v>
      </c>
    </row>
    <row r="1815" spans="1:9" x14ac:dyDescent="0.3">
      <c r="A1815">
        <v>61</v>
      </c>
      <c r="B1815" s="168" t="s">
        <v>90</v>
      </c>
      <c r="C1815" s="168" t="s">
        <v>91</v>
      </c>
      <c r="D1815">
        <v>17563.900000000001</v>
      </c>
      <c r="E1815">
        <v>2021</v>
      </c>
      <c r="F1815" s="168" t="s">
        <v>592</v>
      </c>
      <c r="G1815" s="168" t="s">
        <v>629</v>
      </c>
      <c r="H1815" s="168" t="s">
        <v>609</v>
      </c>
      <c r="I1815">
        <v>298973</v>
      </c>
    </row>
    <row r="1816" spans="1:9" x14ac:dyDescent="0.3">
      <c r="A1816">
        <v>61</v>
      </c>
      <c r="B1816" s="168" t="s">
        <v>90</v>
      </c>
      <c r="C1816" s="168" t="s">
        <v>91</v>
      </c>
      <c r="D1816">
        <v>17563.900000000001</v>
      </c>
      <c r="E1816">
        <v>2021</v>
      </c>
      <c r="F1816" s="168" t="s">
        <v>592</v>
      </c>
      <c r="G1816" s="168" t="s">
        <v>617</v>
      </c>
      <c r="H1816" s="168" t="s">
        <v>608</v>
      </c>
      <c r="I1816">
        <v>11863.215630316037</v>
      </c>
    </row>
    <row r="1817" spans="1:9" x14ac:dyDescent="0.3">
      <c r="A1817">
        <v>61</v>
      </c>
      <c r="B1817" s="168" t="s">
        <v>90</v>
      </c>
      <c r="C1817" s="168" t="s">
        <v>91</v>
      </c>
      <c r="D1817">
        <v>17563.900000000001</v>
      </c>
      <c r="E1817">
        <v>2021</v>
      </c>
      <c r="F1817" s="168" t="s">
        <v>592</v>
      </c>
      <c r="G1817" s="168" t="s">
        <v>617</v>
      </c>
      <c r="H1817" s="168" t="s">
        <v>609</v>
      </c>
      <c r="I1817">
        <v>69089.711722737033</v>
      </c>
    </row>
    <row r="1818" spans="1:9" x14ac:dyDescent="0.3">
      <c r="A1818">
        <v>61</v>
      </c>
      <c r="B1818" s="168" t="s">
        <v>90</v>
      </c>
      <c r="C1818" s="168" t="s">
        <v>91</v>
      </c>
      <c r="D1818">
        <v>17563.900000000001</v>
      </c>
      <c r="E1818">
        <v>2021</v>
      </c>
      <c r="F1818" s="168" t="s">
        <v>592</v>
      </c>
      <c r="G1818" s="168" t="s">
        <v>610</v>
      </c>
      <c r="H1818" s="168" t="s">
        <v>608</v>
      </c>
      <c r="I1818">
        <v>0</v>
      </c>
    </row>
    <row r="1819" spans="1:9" x14ac:dyDescent="0.3">
      <c r="A1819">
        <v>61</v>
      </c>
      <c r="B1819" s="168" t="s">
        <v>90</v>
      </c>
      <c r="C1819" s="168" t="s">
        <v>91</v>
      </c>
      <c r="D1819">
        <v>17563.900000000001</v>
      </c>
      <c r="E1819">
        <v>2021</v>
      </c>
      <c r="F1819" s="168" t="s">
        <v>592</v>
      </c>
      <c r="G1819" s="168" t="s">
        <v>610</v>
      </c>
      <c r="H1819" s="168" t="s">
        <v>609</v>
      </c>
      <c r="I1819">
        <v>6545.454545454545</v>
      </c>
    </row>
    <row r="1820" spans="1:9" x14ac:dyDescent="0.3">
      <c r="A1820">
        <v>61</v>
      </c>
      <c r="B1820" s="168" t="s">
        <v>90</v>
      </c>
      <c r="C1820" s="168" t="s">
        <v>91</v>
      </c>
      <c r="D1820">
        <v>17563.900000000001</v>
      </c>
      <c r="E1820">
        <v>2021</v>
      </c>
      <c r="F1820" s="168" t="s">
        <v>592</v>
      </c>
      <c r="G1820" s="168" t="s">
        <v>620</v>
      </c>
      <c r="H1820" s="168" t="s">
        <v>608</v>
      </c>
      <c r="I1820">
        <v>163524.12419354837</v>
      </c>
    </row>
    <row r="1821" spans="1:9" x14ac:dyDescent="0.3">
      <c r="A1821">
        <v>61</v>
      </c>
      <c r="B1821" s="168" t="s">
        <v>90</v>
      </c>
      <c r="C1821" s="168" t="s">
        <v>91</v>
      </c>
      <c r="D1821">
        <v>17563.900000000001</v>
      </c>
      <c r="E1821">
        <v>2021</v>
      </c>
      <c r="F1821" s="168" t="s">
        <v>592</v>
      </c>
      <c r="G1821" s="168" t="s">
        <v>620</v>
      </c>
      <c r="H1821" s="168" t="s">
        <v>609</v>
      </c>
      <c r="I1821">
        <v>0</v>
      </c>
    </row>
    <row r="1822" spans="1:9" x14ac:dyDescent="0.3">
      <c r="A1822">
        <v>61</v>
      </c>
      <c r="B1822" s="168" t="s">
        <v>90</v>
      </c>
      <c r="C1822" s="168" t="s">
        <v>91</v>
      </c>
      <c r="D1822">
        <v>17563.900000000001</v>
      </c>
      <c r="E1822">
        <v>2021</v>
      </c>
      <c r="F1822" s="168" t="s">
        <v>592</v>
      </c>
      <c r="G1822" s="168" t="s">
        <v>623</v>
      </c>
      <c r="H1822" s="168" t="s">
        <v>608</v>
      </c>
      <c r="I1822">
        <v>97634.615384615405</v>
      </c>
    </row>
    <row r="1823" spans="1:9" x14ac:dyDescent="0.3">
      <c r="A1823">
        <v>61</v>
      </c>
      <c r="B1823" s="168" t="s">
        <v>90</v>
      </c>
      <c r="C1823" s="168" t="s">
        <v>91</v>
      </c>
      <c r="D1823">
        <v>17563.900000000001</v>
      </c>
      <c r="E1823">
        <v>2021</v>
      </c>
      <c r="F1823" s="168" t="s">
        <v>592</v>
      </c>
      <c r="G1823" s="168" t="s">
        <v>623</v>
      </c>
      <c r="H1823" s="168" t="s">
        <v>609</v>
      </c>
      <c r="I1823">
        <v>71020.782500000001</v>
      </c>
    </row>
    <row r="1824" spans="1:9" x14ac:dyDescent="0.3">
      <c r="A1824">
        <v>61</v>
      </c>
      <c r="B1824" s="168" t="s">
        <v>90</v>
      </c>
      <c r="C1824" s="168" t="s">
        <v>91</v>
      </c>
      <c r="D1824">
        <v>17563.900000000001</v>
      </c>
      <c r="E1824">
        <v>2021</v>
      </c>
      <c r="F1824" s="168" t="s">
        <v>592</v>
      </c>
      <c r="G1824" s="168" t="s">
        <v>615</v>
      </c>
      <c r="H1824" s="168" t="s">
        <v>608</v>
      </c>
      <c r="I1824">
        <v>0</v>
      </c>
    </row>
    <row r="1825" spans="1:9" x14ac:dyDescent="0.3">
      <c r="A1825">
        <v>61</v>
      </c>
      <c r="B1825" s="168" t="s">
        <v>90</v>
      </c>
      <c r="C1825" s="168" t="s">
        <v>91</v>
      </c>
      <c r="D1825">
        <v>17563.900000000001</v>
      </c>
      <c r="E1825">
        <v>2021</v>
      </c>
      <c r="F1825" s="168" t="s">
        <v>592</v>
      </c>
      <c r="G1825" s="168" t="s">
        <v>615</v>
      </c>
      <c r="H1825" s="168" t="s">
        <v>609</v>
      </c>
      <c r="I1825">
        <v>15073.170731707318</v>
      </c>
    </row>
    <row r="1826" spans="1:9" x14ac:dyDescent="0.3">
      <c r="A1826">
        <v>61</v>
      </c>
      <c r="B1826" s="168" t="s">
        <v>90</v>
      </c>
      <c r="C1826" s="168" t="s">
        <v>91</v>
      </c>
      <c r="D1826">
        <v>17563.900000000001</v>
      </c>
      <c r="E1826">
        <v>2021</v>
      </c>
      <c r="F1826" s="168" t="s">
        <v>592</v>
      </c>
      <c r="G1826" s="168" t="s">
        <v>630</v>
      </c>
      <c r="H1826" s="168" t="s">
        <v>608</v>
      </c>
      <c r="I1826">
        <v>328577.54665955459</v>
      </c>
    </row>
    <row r="1827" spans="1:9" x14ac:dyDescent="0.3">
      <c r="A1827">
        <v>61</v>
      </c>
      <c r="B1827" s="168" t="s">
        <v>90</v>
      </c>
      <c r="C1827" s="168" t="s">
        <v>91</v>
      </c>
      <c r="D1827">
        <v>17563.900000000001</v>
      </c>
      <c r="E1827">
        <v>2021</v>
      </c>
      <c r="F1827" s="168" t="s">
        <v>592</v>
      </c>
      <c r="G1827" s="168" t="s">
        <v>630</v>
      </c>
      <c r="H1827" s="168" t="s">
        <v>609</v>
      </c>
      <c r="I1827">
        <v>345658.15374240757</v>
      </c>
    </row>
    <row r="1828" spans="1:9" x14ac:dyDescent="0.3">
      <c r="A1828">
        <v>61</v>
      </c>
      <c r="B1828" s="168" t="s">
        <v>90</v>
      </c>
      <c r="C1828" s="168" t="s">
        <v>91</v>
      </c>
      <c r="D1828">
        <v>17563.900000000001</v>
      </c>
      <c r="E1828">
        <v>2021</v>
      </c>
      <c r="F1828" s="168" t="s">
        <v>592</v>
      </c>
      <c r="G1828" s="168" t="s">
        <v>611</v>
      </c>
      <c r="H1828" s="168" t="s">
        <v>608</v>
      </c>
      <c r="I1828">
        <v>0</v>
      </c>
    </row>
    <row r="1829" spans="1:9" x14ac:dyDescent="0.3">
      <c r="A1829">
        <v>61</v>
      </c>
      <c r="B1829" s="168" t="s">
        <v>90</v>
      </c>
      <c r="C1829" s="168" t="s">
        <v>91</v>
      </c>
      <c r="D1829">
        <v>17563.900000000001</v>
      </c>
      <c r="E1829">
        <v>2021</v>
      </c>
      <c r="F1829" s="168" t="s">
        <v>592</v>
      </c>
      <c r="G1829" s="168" t="s">
        <v>611</v>
      </c>
      <c r="H1829" s="168" t="s">
        <v>609</v>
      </c>
      <c r="I1829">
        <v>7346.2379803167878</v>
      </c>
    </row>
    <row r="1830" spans="1:9" x14ac:dyDescent="0.3">
      <c r="A1830">
        <v>61</v>
      </c>
      <c r="B1830" s="168" t="s">
        <v>90</v>
      </c>
      <c r="C1830" s="168" t="s">
        <v>91</v>
      </c>
      <c r="D1830">
        <v>17563.900000000001</v>
      </c>
      <c r="E1830">
        <v>2021</v>
      </c>
      <c r="F1830" s="168" t="s">
        <v>592</v>
      </c>
      <c r="G1830" s="168" t="s">
        <v>621</v>
      </c>
      <c r="H1830" s="168" t="s">
        <v>608</v>
      </c>
      <c r="I1830">
        <v>0</v>
      </c>
    </row>
    <row r="1831" spans="1:9" x14ac:dyDescent="0.3">
      <c r="A1831">
        <v>61</v>
      </c>
      <c r="B1831" s="168" t="s">
        <v>90</v>
      </c>
      <c r="C1831" s="168" t="s">
        <v>91</v>
      </c>
      <c r="D1831">
        <v>17563.900000000001</v>
      </c>
      <c r="E1831">
        <v>2021</v>
      </c>
      <c r="F1831" s="168" t="s">
        <v>592</v>
      </c>
      <c r="G1831" s="168" t="s">
        <v>621</v>
      </c>
      <c r="H1831" s="168" t="s">
        <v>609</v>
      </c>
      <c r="I1831">
        <v>640942.24</v>
      </c>
    </row>
    <row r="1832" spans="1:9" x14ac:dyDescent="0.3">
      <c r="A1832">
        <v>61</v>
      </c>
      <c r="B1832" s="168" t="s">
        <v>90</v>
      </c>
      <c r="C1832" s="168" t="s">
        <v>91</v>
      </c>
      <c r="D1832">
        <v>17563.900000000001</v>
      </c>
      <c r="E1832">
        <v>2021</v>
      </c>
      <c r="F1832" s="168" t="s">
        <v>592</v>
      </c>
      <c r="G1832" s="168" t="s">
        <v>613</v>
      </c>
      <c r="H1832" s="168" t="s">
        <v>608</v>
      </c>
      <c r="I1832">
        <v>663003.77323670534</v>
      </c>
    </row>
    <row r="1833" spans="1:9" x14ac:dyDescent="0.3">
      <c r="A1833">
        <v>61</v>
      </c>
      <c r="B1833" s="168" t="s">
        <v>90</v>
      </c>
      <c r="C1833" s="168" t="s">
        <v>91</v>
      </c>
      <c r="D1833">
        <v>17563.900000000001</v>
      </c>
      <c r="E1833">
        <v>2021</v>
      </c>
      <c r="F1833" s="168" t="s">
        <v>592</v>
      </c>
      <c r="G1833" s="168" t="s">
        <v>613</v>
      </c>
      <c r="H1833" s="168" t="s">
        <v>609</v>
      </c>
      <c r="I1833">
        <v>134569.8749330155</v>
      </c>
    </row>
    <row r="1834" spans="1:9" x14ac:dyDescent="0.3">
      <c r="A1834">
        <v>61</v>
      </c>
      <c r="B1834" s="168" t="s">
        <v>90</v>
      </c>
      <c r="C1834" s="168" t="s">
        <v>91</v>
      </c>
      <c r="D1834">
        <v>17563.900000000001</v>
      </c>
      <c r="E1834">
        <v>2021</v>
      </c>
      <c r="F1834" s="168" t="s">
        <v>592</v>
      </c>
      <c r="G1834" s="168" t="s">
        <v>622</v>
      </c>
      <c r="H1834" s="168" t="s">
        <v>608</v>
      </c>
      <c r="I1834">
        <v>114480.34839278714</v>
      </c>
    </row>
    <row r="1835" spans="1:9" x14ac:dyDescent="0.3">
      <c r="A1835">
        <v>61</v>
      </c>
      <c r="B1835" s="168" t="s">
        <v>90</v>
      </c>
      <c r="C1835" s="168" t="s">
        <v>91</v>
      </c>
      <c r="D1835">
        <v>17563.900000000001</v>
      </c>
      <c r="E1835">
        <v>2021</v>
      </c>
      <c r="F1835" s="168" t="s">
        <v>592</v>
      </c>
      <c r="G1835" s="168" t="s">
        <v>622</v>
      </c>
      <c r="H1835" s="168" t="s">
        <v>609</v>
      </c>
      <c r="I1835">
        <v>0</v>
      </c>
    </row>
    <row r="1836" spans="1:9" x14ac:dyDescent="0.3">
      <c r="A1836">
        <v>62</v>
      </c>
      <c r="B1836" s="168" t="s">
        <v>92</v>
      </c>
      <c r="C1836" s="168" t="s">
        <v>93</v>
      </c>
      <c r="D1836">
        <v>21448.3</v>
      </c>
      <c r="E1836">
        <v>2021</v>
      </c>
      <c r="F1836" s="168" t="s">
        <v>592</v>
      </c>
      <c r="G1836" s="168" t="s">
        <v>612</v>
      </c>
      <c r="H1836" s="168" t="s">
        <v>608</v>
      </c>
      <c r="I1836">
        <v>0</v>
      </c>
    </row>
    <row r="1837" spans="1:9" x14ac:dyDescent="0.3">
      <c r="A1837">
        <v>62</v>
      </c>
      <c r="B1837" s="168" t="s">
        <v>92</v>
      </c>
      <c r="C1837" s="168" t="s">
        <v>93</v>
      </c>
      <c r="D1837">
        <v>21448.3</v>
      </c>
      <c r="E1837">
        <v>2021</v>
      </c>
      <c r="F1837" s="168" t="s">
        <v>592</v>
      </c>
      <c r="G1837" s="168" t="s">
        <v>612</v>
      </c>
      <c r="H1837" s="168" t="s">
        <v>609</v>
      </c>
      <c r="I1837">
        <v>26876.114227758979</v>
      </c>
    </row>
    <row r="1838" spans="1:9" x14ac:dyDescent="0.3">
      <c r="A1838">
        <v>62</v>
      </c>
      <c r="B1838" s="168" t="s">
        <v>92</v>
      </c>
      <c r="C1838" s="168" t="s">
        <v>93</v>
      </c>
      <c r="D1838">
        <v>21448.3</v>
      </c>
      <c r="E1838">
        <v>2021</v>
      </c>
      <c r="F1838" s="168" t="s">
        <v>592</v>
      </c>
      <c r="G1838" s="168" t="s">
        <v>629</v>
      </c>
      <c r="H1838" s="168" t="s">
        <v>608</v>
      </c>
      <c r="I1838">
        <v>2959761.6282088547</v>
      </c>
    </row>
    <row r="1839" spans="1:9" x14ac:dyDescent="0.3">
      <c r="A1839">
        <v>62</v>
      </c>
      <c r="B1839" s="168" t="s">
        <v>92</v>
      </c>
      <c r="C1839" s="168" t="s">
        <v>93</v>
      </c>
      <c r="D1839">
        <v>21448.3</v>
      </c>
      <c r="E1839">
        <v>2021</v>
      </c>
      <c r="F1839" s="168" t="s">
        <v>592</v>
      </c>
      <c r="G1839" s="168" t="s">
        <v>629</v>
      </c>
      <c r="H1839" s="168" t="s">
        <v>609</v>
      </c>
      <c r="I1839">
        <v>526705.84861780563</v>
      </c>
    </row>
    <row r="1840" spans="1:9" x14ac:dyDescent="0.3">
      <c r="A1840">
        <v>62</v>
      </c>
      <c r="B1840" s="168" t="s">
        <v>92</v>
      </c>
      <c r="C1840" s="168" t="s">
        <v>93</v>
      </c>
      <c r="D1840">
        <v>21448.3</v>
      </c>
      <c r="E1840">
        <v>2021</v>
      </c>
      <c r="F1840" s="168" t="s">
        <v>592</v>
      </c>
      <c r="G1840" s="168" t="s">
        <v>617</v>
      </c>
      <c r="H1840" s="168" t="s">
        <v>608</v>
      </c>
      <c r="I1840">
        <v>14486.862701547345</v>
      </c>
    </row>
    <row r="1841" spans="1:9" x14ac:dyDescent="0.3">
      <c r="A1841">
        <v>62</v>
      </c>
      <c r="B1841" s="168" t="s">
        <v>92</v>
      </c>
      <c r="C1841" s="168" t="s">
        <v>93</v>
      </c>
      <c r="D1841">
        <v>21448.3</v>
      </c>
      <c r="E1841">
        <v>2021</v>
      </c>
      <c r="F1841" s="168" t="s">
        <v>592</v>
      </c>
      <c r="G1841" s="168" t="s">
        <v>617</v>
      </c>
      <c r="H1841" s="168" t="s">
        <v>609</v>
      </c>
      <c r="I1841">
        <v>10865.14702616051</v>
      </c>
    </row>
    <row r="1842" spans="1:9" x14ac:dyDescent="0.3">
      <c r="A1842">
        <v>62</v>
      </c>
      <c r="B1842" s="168" t="s">
        <v>92</v>
      </c>
      <c r="C1842" s="168" t="s">
        <v>93</v>
      </c>
      <c r="D1842">
        <v>21448.3</v>
      </c>
      <c r="E1842">
        <v>2021</v>
      </c>
      <c r="F1842" s="168" t="s">
        <v>592</v>
      </c>
      <c r="G1842" s="168" t="s">
        <v>618</v>
      </c>
      <c r="H1842" s="168" t="s">
        <v>608</v>
      </c>
      <c r="I1842">
        <v>0</v>
      </c>
    </row>
    <row r="1843" spans="1:9" x14ac:dyDescent="0.3">
      <c r="A1843">
        <v>62</v>
      </c>
      <c r="B1843" s="168" t="s">
        <v>92</v>
      </c>
      <c r="C1843" s="168" t="s">
        <v>93</v>
      </c>
      <c r="D1843">
        <v>21448.3</v>
      </c>
      <c r="E1843">
        <v>2021</v>
      </c>
      <c r="F1843" s="168" t="s">
        <v>592</v>
      </c>
      <c r="G1843" s="168" t="s">
        <v>618</v>
      </c>
      <c r="H1843" s="168" t="s">
        <v>609</v>
      </c>
      <c r="I1843">
        <v>10651.685393258427</v>
      </c>
    </row>
    <row r="1844" spans="1:9" x14ac:dyDescent="0.3">
      <c r="A1844">
        <v>62</v>
      </c>
      <c r="B1844" s="168" t="s">
        <v>92</v>
      </c>
      <c r="C1844" s="168" t="s">
        <v>93</v>
      </c>
      <c r="D1844">
        <v>21448.3</v>
      </c>
      <c r="E1844">
        <v>2021</v>
      </c>
      <c r="F1844" s="168" t="s">
        <v>592</v>
      </c>
      <c r="G1844" s="168" t="s">
        <v>610</v>
      </c>
      <c r="H1844" s="168" t="s">
        <v>608</v>
      </c>
      <c r="I1844">
        <v>0</v>
      </c>
    </row>
    <row r="1845" spans="1:9" x14ac:dyDescent="0.3">
      <c r="A1845">
        <v>62</v>
      </c>
      <c r="B1845" s="168" t="s">
        <v>92</v>
      </c>
      <c r="C1845" s="168" t="s">
        <v>93</v>
      </c>
      <c r="D1845">
        <v>21448.3</v>
      </c>
      <c r="E1845">
        <v>2021</v>
      </c>
      <c r="F1845" s="168" t="s">
        <v>592</v>
      </c>
      <c r="G1845" s="168" t="s">
        <v>610</v>
      </c>
      <c r="H1845" s="168" t="s">
        <v>609</v>
      </c>
      <c r="I1845">
        <v>26181.81818181818</v>
      </c>
    </row>
    <row r="1846" spans="1:9" x14ac:dyDescent="0.3">
      <c r="A1846">
        <v>62</v>
      </c>
      <c r="B1846" s="168" t="s">
        <v>92</v>
      </c>
      <c r="C1846" s="168" t="s">
        <v>93</v>
      </c>
      <c r="D1846">
        <v>21448.3</v>
      </c>
      <c r="E1846">
        <v>2021</v>
      </c>
      <c r="F1846" s="168" t="s">
        <v>592</v>
      </c>
      <c r="G1846" s="168" t="s">
        <v>620</v>
      </c>
      <c r="H1846" s="168" t="s">
        <v>608</v>
      </c>
      <c r="I1846">
        <v>76952.529032258055</v>
      </c>
    </row>
    <row r="1847" spans="1:9" x14ac:dyDescent="0.3">
      <c r="A1847">
        <v>62</v>
      </c>
      <c r="B1847" s="168" t="s">
        <v>92</v>
      </c>
      <c r="C1847" s="168" t="s">
        <v>93</v>
      </c>
      <c r="D1847">
        <v>21448.3</v>
      </c>
      <c r="E1847">
        <v>2021</v>
      </c>
      <c r="F1847" s="168" t="s">
        <v>592</v>
      </c>
      <c r="G1847" s="168" t="s">
        <v>620</v>
      </c>
      <c r="H1847" s="168" t="s">
        <v>609</v>
      </c>
      <c r="I1847">
        <v>0</v>
      </c>
    </row>
    <row r="1848" spans="1:9" x14ac:dyDescent="0.3">
      <c r="A1848">
        <v>62</v>
      </c>
      <c r="B1848" s="168" t="s">
        <v>92</v>
      </c>
      <c r="C1848" s="168" t="s">
        <v>93</v>
      </c>
      <c r="D1848">
        <v>21448.3</v>
      </c>
      <c r="E1848">
        <v>2021</v>
      </c>
      <c r="F1848" s="168" t="s">
        <v>592</v>
      </c>
      <c r="G1848" s="168" t="s">
        <v>623</v>
      </c>
      <c r="H1848" s="168" t="s">
        <v>608</v>
      </c>
      <c r="I1848">
        <v>48817.307692307702</v>
      </c>
    </row>
    <row r="1849" spans="1:9" x14ac:dyDescent="0.3">
      <c r="A1849">
        <v>62</v>
      </c>
      <c r="B1849" s="168" t="s">
        <v>92</v>
      </c>
      <c r="C1849" s="168" t="s">
        <v>93</v>
      </c>
      <c r="D1849">
        <v>21448.3</v>
      </c>
      <c r="E1849">
        <v>2021</v>
      </c>
      <c r="F1849" s="168" t="s">
        <v>592</v>
      </c>
      <c r="G1849" s="168" t="s">
        <v>623</v>
      </c>
      <c r="H1849" s="168" t="s">
        <v>609</v>
      </c>
      <c r="I1849">
        <v>35510.391250000001</v>
      </c>
    </row>
    <row r="1850" spans="1:9" x14ac:dyDescent="0.3">
      <c r="A1850">
        <v>62</v>
      </c>
      <c r="B1850" s="168" t="s">
        <v>92</v>
      </c>
      <c r="C1850" s="168" t="s">
        <v>93</v>
      </c>
      <c r="D1850">
        <v>21448.3</v>
      </c>
      <c r="E1850">
        <v>2021</v>
      </c>
      <c r="F1850" s="168" t="s">
        <v>592</v>
      </c>
      <c r="G1850" s="168" t="s">
        <v>625</v>
      </c>
      <c r="H1850" s="168" t="s">
        <v>608</v>
      </c>
      <c r="I1850">
        <v>0</v>
      </c>
    </row>
    <row r="1851" spans="1:9" x14ac:dyDescent="0.3">
      <c r="A1851">
        <v>62</v>
      </c>
      <c r="B1851" s="168" t="s">
        <v>92</v>
      </c>
      <c r="C1851" s="168" t="s">
        <v>93</v>
      </c>
      <c r="D1851">
        <v>21448.3</v>
      </c>
      <c r="E1851">
        <v>2021</v>
      </c>
      <c r="F1851" s="168" t="s">
        <v>592</v>
      </c>
      <c r="G1851" s="168" t="s">
        <v>625</v>
      </c>
      <c r="H1851" s="168" t="s">
        <v>609</v>
      </c>
      <c r="I1851">
        <v>101498</v>
      </c>
    </row>
    <row r="1852" spans="1:9" x14ac:dyDescent="0.3">
      <c r="A1852">
        <v>62</v>
      </c>
      <c r="B1852" s="168" t="s">
        <v>92</v>
      </c>
      <c r="C1852" s="168" t="s">
        <v>93</v>
      </c>
      <c r="D1852">
        <v>21448.3</v>
      </c>
      <c r="E1852">
        <v>2021</v>
      </c>
      <c r="F1852" s="168" t="s">
        <v>592</v>
      </c>
      <c r="G1852" s="168" t="s">
        <v>615</v>
      </c>
      <c r="H1852" s="168" t="s">
        <v>608</v>
      </c>
      <c r="I1852">
        <v>0</v>
      </c>
    </row>
    <row r="1853" spans="1:9" x14ac:dyDescent="0.3">
      <c r="A1853">
        <v>62</v>
      </c>
      <c r="B1853" s="168" t="s">
        <v>92</v>
      </c>
      <c r="C1853" s="168" t="s">
        <v>93</v>
      </c>
      <c r="D1853">
        <v>21448.3</v>
      </c>
      <c r="E1853">
        <v>2021</v>
      </c>
      <c r="F1853" s="168" t="s">
        <v>592</v>
      </c>
      <c r="G1853" s="168" t="s">
        <v>615</v>
      </c>
      <c r="H1853" s="168" t="s">
        <v>609</v>
      </c>
      <c r="I1853">
        <v>7536.5853658536589</v>
      </c>
    </row>
    <row r="1854" spans="1:9" x14ac:dyDescent="0.3">
      <c r="A1854">
        <v>62</v>
      </c>
      <c r="B1854" s="168" t="s">
        <v>92</v>
      </c>
      <c r="C1854" s="168" t="s">
        <v>93</v>
      </c>
      <c r="D1854">
        <v>21448.3</v>
      </c>
      <c r="E1854">
        <v>2021</v>
      </c>
      <c r="F1854" s="168" t="s">
        <v>592</v>
      </c>
      <c r="G1854" s="168" t="s">
        <v>630</v>
      </c>
      <c r="H1854" s="168" t="s">
        <v>608</v>
      </c>
      <c r="I1854">
        <v>401245.15591742838</v>
      </c>
    </row>
    <row r="1855" spans="1:9" x14ac:dyDescent="0.3">
      <c r="A1855">
        <v>62</v>
      </c>
      <c r="B1855" s="168" t="s">
        <v>92</v>
      </c>
      <c r="C1855" s="168" t="s">
        <v>93</v>
      </c>
      <c r="D1855">
        <v>21448.3</v>
      </c>
      <c r="E1855">
        <v>2021</v>
      </c>
      <c r="F1855" s="168" t="s">
        <v>592</v>
      </c>
      <c r="G1855" s="168" t="s">
        <v>630</v>
      </c>
      <c r="H1855" s="168" t="s">
        <v>609</v>
      </c>
      <c r="I1855">
        <v>422103.27882265742</v>
      </c>
    </row>
    <row r="1856" spans="1:9" x14ac:dyDescent="0.3">
      <c r="A1856">
        <v>62</v>
      </c>
      <c r="B1856" s="168" t="s">
        <v>92</v>
      </c>
      <c r="C1856" s="168" t="s">
        <v>93</v>
      </c>
      <c r="D1856">
        <v>21448.3</v>
      </c>
      <c r="E1856">
        <v>2021</v>
      </c>
      <c r="F1856" s="168" t="s">
        <v>592</v>
      </c>
      <c r="G1856" s="168" t="s">
        <v>613</v>
      </c>
      <c r="H1856" s="168" t="s">
        <v>608</v>
      </c>
      <c r="I1856">
        <v>1519918.820942651</v>
      </c>
    </row>
    <row r="1857" spans="1:9" x14ac:dyDescent="0.3">
      <c r="A1857">
        <v>62</v>
      </c>
      <c r="B1857" s="168" t="s">
        <v>92</v>
      </c>
      <c r="C1857" s="168" t="s">
        <v>93</v>
      </c>
      <c r="D1857">
        <v>21448.3</v>
      </c>
      <c r="E1857">
        <v>2021</v>
      </c>
      <c r="F1857" s="168" t="s">
        <v>592</v>
      </c>
      <c r="G1857" s="168" t="s">
        <v>613</v>
      </c>
      <c r="H1857" s="168" t="s">
        <v>609</v>
      </c>
      <c r="I1857">
        <v>619743.03149632702</v>
      </c>
    </row>
    <row r="1858" spans="1:9" x14ac:dyDescent="0.3">
      <c r="A1858">
        <v>62</v>
      </c>
      <c r="B1858" s="168" t="s">
        <v>92</v>
      </c>
      <c r="C1858" s="168" t="s">
        <v>93</v>
      </c>
      <c r="D1858">
        <v>21448.3</v>
      </c>
      <c r="E1858">
        <v>2021</v>
      </c>
      <c r="F1858" s="168" t="s">
        <v>592</v>
      </c>
      <c r="G1858" s="168" t="s">
        <v>622</v>
      </c>
      <c r="H1858" s="168" t="s">
        <v>608</v>
      </c>
      <c r="I1858">
        <v>21624.065807526462</v>
      </c>
    </row>
    <row r="1859" spans="1:9" x14ac:dyDescent="0.3">
      <c r="A1859">
        <v>62</v>
      </c>
      <c r="B1859" s="168" t="s">
        <v>92</v>
      </c>
      <c r="C1859" s="168" t="s">
        <v>93</v>
      </c>
      <c r="D1859">
        <v>21448.3</v>
      </c>
      <c r="E1859">
        <v>2021</v>
      </c>
      <c r="F1859" s="168" t="s">
        <v>592</v>
      </c>
      <c r="G1859" s="168" t="s">
        <v>622</v>
      </c>
      <c r="H1859" s="168" t="s">
        <v>609</v>
      </c>
      <c r="I1859">
        <v>0</v>
      </c>
    </row>
    <row r="1860" spans="1:9" x14ac:dyDescent="0.3">
      <c r="A1860">
        <v>63</v>
      </c>
      <c r="B1860" s="168" t="s">
        <v>94</v>
      </c>
      <c r="C1860" s="168" t="s">
        <v>95</v>
      </c>
      <c r="D1860">
        <v>348.4</v>
      </c>
      <c r="E1860">
        <v>2021</v>
      </c>
      <c r="F1860" s="168" t="s">
        <v>593</v>
      </c>
      <c r="G1860" s="168" t="s">
        <v>612</v>
      </c>
      <c r="H1860" s="168" t="s">
        <v>608</v>
      </c>
      <c r="I1860">
        <v>0</v>
      </c>
    </row>
    <row r="1861" spans="1:9" x14ac:dyDescent="0.3">
      <c r="A1861">
        <v>63</v>
      </c>
      <c r="B1861" s="168" t="s">
        <v>94</v>
      </c>
      <c r="C1861" s="168" t="s">
        <v>95</v>
      </c>
      <c r="D1861">
        <v>348.4</v>
      </c>
      <c r="E1861">
        <v>2021</v>
      </c>
      <c r="F1861" s="168" t="s">
        <v>593</v>
      </c>
      <c r="G1861" s="168" t="s">
        <v>612</v>
      </c>
      <c r="H1861" s="168" t="s">
        <v>609</v>
      </c>
      <c r="I1861">
        <v>436.56784905802459</v>
      </c>
    </row>
    <row r="1862" spans="1:9" x14ac:dyDescent="0.3">
      <c r="A1862">
        <v>63</v>
      </c>
      <c r="B1862" s="168" t="s">
        <v>94</v>
      </c>
      <c r="C1862" s="168" t="s">
        <v>95</v>
      </c>
      <c r="D1862">
        <v>348.4</v>
      </c>
      <c r="E1862">
        <v>2021</v>
      </c>
      <c r="F1862" s="168" t="s">
        <v>593</v>
      </c>
      <c r="G1862" s="168" t="s">
        <v>617</v>
      </c>
      <c r="H1862" s="168" t="s">
        <v>608</v>
      </c>
      <c r="I1862">
        <v>235.32042004350438</v>
      </c>
    </row>
    <row r="1863" spans="1:9" x14ac:dyDescent="0.3">
      <c r="A1863">
        <v>63</v>
      </c>
      <c r="B1863" s="168" t="s">
        <v>94</v>
      </c>
      <c r="C1863" s="168" t="s">
        <v>95</v>
      </c>
      <c r="D1863">
        <v>348.4</v>
      </c>
      <c r="E1863">
        <v>2021</v>
      </c>
      <c r="F1863" s="168" t="s">
        <v>593</v>
      </c>
      <c r="G1863" s="168" t="s">
        <v>617</v>
      </c>
      <c r="H1863" s="168" t="s">
        <v>609</v>
      </c>
      <c r="I1863">
        <v>176.49031503262827</v>
      </c>
    </row>
    <row r="1864" spans="1:9" x14ac:dyDescent="0.3">
      <c r="A1864">
        <v>63</v>
      </c>
      <c r="B1864" s="168" t="s">
        <v>94</v>
      </c>
      <c r="C1864" s="168" t="s">
        <v>95</v>
      </c>
      <c r="D1864">
        <v>348.4</v>
      </c>
      <c r="E1864">
        <v>2021</v>
      </c>
      <c r="F1864" s="168" t="s">
        <v>593</v>
      </c>
      <c r="G1864" s="168" t="s">
        <v>620</v>
      </c>
      <c r="H1864" s="168" t="s">
        <v>608</v>
      </c>
      <c r="I1864">
        <v>56867.04285780908</v>
      </c>
    </row>
    <row r="1865" spans="1:9" x14ac:dyDescent="0.3">
      <c r="A1865">
        <v>63</v>
      </c>
      <c r="B1865" s="168" t="s">
        <v>94</v>
      </c>
      <c r="C1865" s="168" t="s">
        <v>95</v>
      </c>
      <c r="D1865">
        <v>348.4</v>
      </c>
      <c r="E1865">
        <v>2021</v>
      </c>
      <c r="F1865" s="168" t="s">
        <v>593</v>
      </c>
      <c r="G1865" s="168" t="s">
        <v>620</v>
      </c>
      <c r="H1865" s="168" t="s">
        <v>609</v>
      </c>
      <c r="I1865">
        <v>104303.36093830156</v>
      </c>
    </row>
    <row r="1866" spans="1:9" x14ac:dyDescent="0.3">
      <c r="A1866">
        <v>63</v>
      </c>
      <c r="B1866" s="168" t="s">
        <v>94</v>
      </c>
      <c r="C1866" s="168" t="s">
        <v>95</v>
      </c>
      <c r="D1866">
        <v>348.4</v>
      </c>
      <c r="E1866">
        <v>2021</v>
      </c>
      <c r="F1866" s="168" t="s">
        <v>593</v>
      </c>
      <c r="G1866" s="168" t="s">
        <v>630</v>
      </c>
      <c r="H1866" s="168" t="s">
        <v>608</v>
      </c>
      <c r="I1866">
        <v>5208.9828632035233</v>
      </c>
    </row>
    <row r="1867" spans="1:9" x14ac:dyDescent="0.3">
      <c r="A1867">
        <v>63</v>
      </c>
      <c r="B1867" s="168" t="s">
        <v>94</v>
      </c>
      <c r="C1867" s="168" t="s">
        <v>95</v>
      </c>
      <c r="D1867">
        <v>348.4</v>
      </c>
      <c r="E1867">
        <v>2021</v>
      </c>
      <c r="F1867" s="168" t="s">
        <v>593</v>
      </c>
      <c r="G1867" s="168" t="s">
        <v>630</v>
      </c>
      <c r="H1867" s="168" t="s">
        <v>609</v>
      </c>
      <c r="I1867">
        <v>5547.7961966696748</v>
      </c>
    </row>
    <row r="1868" spans="1:9" x14ac:dyDescent="0.3">
      <c r="A1868">
        <v>63</v>
      </c>
      <c r="B1868" s="168" t="s">
        <v>94</v>
      </c>
      <c r="C1868" s="168" t="s">
        <v>95</v>
      </c>
      <c r="D1868">
        <v>348.4</v>
      </c>
      <c r="E1868">
        <v>2021</v>
      </c>
      <c r="F1868" s="168" t="s">
        <v>593</v>
      </c>
      <c r="G1868" s="168" t="s">
        <v>613</v>
      </c>
      <c r="H1868" s="168" t="s">
        <v>608</v>
      </c>
      <c r="I1868">
        <v>24689.1230175081</v>
      </c>
    </row>
    <row r="1869" spans="1:9" x14ac:dyDescent="0.3">
      <c r="A1869">
        <v>63</v>
      </c>
      <c r="B1869" s="168" t="s">
        <v>94</v>
      </c>
      <c r="C1869" s="168" t="s">
        <v>95</v>
      </c>
      <c r="D1869">
        <v>348.4</v>
      </c>
      <c r="E1869">
        <v>2021</v>
      </c>
      <c r="F1869" s="168" t="s">
        <v>593</v>
      </c>
      <c r="G1869" s="168" t="s">
        <v>613</v>
      </c>
      <c r="H1869" s="168" t="s">
        <v>609</v>
      </c>
      <c r="I1869">
        <v>10066.927083886379</v>
      </c>
    </row>
    <row r="1870" spans="1:9" x14ac:dyDescent="0.3">
      <c r="A1870">
        <v>64</v>
      </c>
      <c r="B1870" s="168" t="s">
        <v>81</v>
      </c>
      <c r="C1870" s="168" t="s">
        <v>96</v>
      </c>
      <c r="D1870">
        <v>60.7</v>
      </c>
      <c r="E1870">
        <v>2021</v>
      </c>
      <c r="F1870" s="168" t="s">
        <v>592</v>
      </c>
      <c r="G1870" s="168" t="s">
        <v>612</v>
      </c>
      <c r="H1870" s="168" t="s">
        <v>608</v>
      </c>
      <c r="I1870">
        <v>0</v>
      </c>
    </row>
    <row r="1871" spans="1:9" x14ac:dyDescent="0.3">
      <c r="A1871">
        <v>64</v>
      </c>
      <c r="B1871" s="168" t="s">
        <v>81</v>
      </c>
      <c r="C1871" s="168" t="s">
        <v>96</v>
      </c>
      <c r="D1871">
        <v>60.7</v>
      </c>
      <c r="E1871">
        <v>2021</v>
      </c>
      <c r="F1871" s="168" t="s">
        <v>592</v>
      </c>
      <c r="G1871" s="168" t="s">
        <v>612</v>
      </c>
      <c r="H1871" s="168" t="s">
        <v>609</v>
      </c>
      <c r="I1871">
        <v>76.061046032784432</v>
      </c>
    </row>
    <row r="1872" spans="1:9" x14ac:dyDescent="0.3">
      <c r="A1872">
        <v>64</v>
      </c>
      <c r="B1872" s="168" t="s">
        <v>81</v>
      </c>
      <c r="C1872" s="168" t="s">
        <v>96</v>
      </c>
      <c r="D1872">
        <v>60.7</v>
      </c>
      <c r="E1872">
        <v>2021</v>
      </c>
      <c r="F1872" s="168" t="s">
        <v>592</v>
      </c>
      <c r="G1872" s="168" t="s">
        <v>617</v>
      </c>
      <c r="H1872" s="168" t="s">
        <v>608</v>
      </c>
      <c r="I1872">
        <v>40.998706936397006</v>
      </c>
    </row>
    <row r="1873" spans="1:9" x14ac:dyDescent="0.3">
      <c r="A1873">
        <v>64</v>
      </c>
      <c r="B1873" s="168" t="s">
        <v>81</v>
      </c>
      <c r="C1873" s="168" t="s">
        <v>96</v>
      </c>
      <c r="D1873">
        <v>60.7</v>
      </c>
      <c r="E1873">
        <v>2021</v>
      </c>
      <c r="F1873" s="168" t="s">
        <v>592</v>
      </c>
      <c r="G1873" s="168" t="s">
        <v>617</v>
      </c>
      <c r="H1873" s="168" t="s">
        <v>609</v>
      </c>
      <c r="I1873">
        <v>30.749030202297757</v>
      </c>
    </row>
    <row r="1874" spans="1:9" x14ac:dyDescent="0.3">
      <c r="A1874">
        <v>64</v>
      </c>
      <c r="B1874" s="168" t="s">
        <v>81</v>
      </c>
      <c r="C1874" s="168" t="s">
        <v>96</v>
      </c>
      <c r="D1874">
        <v>60.7</v>
      </c>
      <c r="E1874">
        <v>2021</v>
      </c>
      <c r="F1874" s="168" t="s">
        <v>592</v>
      </c>
      <c r="G1874" s="168" t="s">
        <v>620</v>
      </c>
      <c r="H1874" s="168" t="s">
        <v>608</v>
      </c>
      <c r="I1874">
        <v>9907.6621741360832</v>
      </c>
    </row>
    <row r="1875" spans="1:9" x14ac:dyDescent="0.3">
      <c r="A1875">
        <v>64</v>
      </c>
      <c r="B1875" s="168" t="s">
        <v>81</v>
      </c>
      <c r="C1875" s="168" t="s">
        <v>96</v>
      </c>
      <c r="D1875">
        <v>60.7</v>
      </c>
      <c r="E1875">
        <v>2021</v>
      </c>
      <c r="F1875" s="168" t="s">
        <v>592</v>
      </c>
      <c r="G1875" s="168" t="s">
        <v>620</v>
      </c>
      <c r="H1875" s="168" t="s">
        <v>609</v>
      </c>
      <c r="I1875">
        <v>18172.256053257479</v>
      </c>
    </row>
    <row r="1876" spans="1:9" x14ac:dyDescent="0.3">
      <c r="A1876">
        <v>64</v>
      </c>
      <c r="B1876" s="168" t="s">
        <v>81</v>
      </c>
      <c r="C1876" s="168" t="s">
        <v>96</v>
      </c>
      <c r="D1876">
        <v>60.7</v>
      </c>
      <c r="E1876">
        <v>2021</v>
      </c>
      <c r="F1876" s="168" t="s">
        <v>592</v>
      </c>
      <c r="G1876" s="168" t="s">
        <v>615</v>
      </c>
      <c r="H1876" s="168" t="s">
        <v>608</v>
      </c>
      <c r="I1876">
        <v>0</v>
      </c>
    </row>
    <row r="1877" spans="1:9" x14ac:dyDescent="0.3">
      <c r="A1877">
        <v>64</v>
      </c>
      <c r="B1877" s="168" t="s">
        <v>81</v>
      </c>
      <c r="C1877" s="168" t="s">
        <v>96</v>
      </c>
      <c r="D1877">
        <v>60.7</v>
      </c>
      <c r="E1877">
        <v>2021</v>
      </c>
      <c r="F1877" s="168" t="s">
        <v>592</v>
      </c>
      <c r="G1877" s="168" t="s">
        <v>615</v>
      </c>
      <c r="H1877" s="168" t="s">
        <v>609</v>
      </c>
      <c r="I1877">
        <v>150731.70731707316</v>
      </c>
    </row>
    <row r="1878" spans="1:9" x14ac:dyDescent="0.3">
      <c r="A1878">
        <v>64</v>
      </c>
      <c r="B1878" s="168" t="s">
        <v>81</v>
      </c>
      <c r="C1878" s="168" t="s">
        <v>96</v>
      </c>
      <c r="D1878">
        <v>60.7</v>
      </c>
      <c r="E1878">
        <v>2021</v>
      </c>
      <c r="F1878" s="168" t="s">
        <v>592</v>
      </c>
      <c r="G1878" s="168" t="s">
        <v>613</v>
      </c>
      <c r="H1878" s="168" t="s">
        <v>608</v>
      </c>
      <c r="I1878">
        <v>2010.1537740655308</v>
      </c>
    </row>
    <row r="1879" spans="1:9" x14ac:dyDescent="0.3">
      <c r="A1879">
        <v>64</v>
      </c>
      <c r="B1879" s="168" t="s">
        <v>81</v>
      </c>
      <c r="C1879" s="168" t="s">
        <v>96</v>
      </c>
      <c r="D1879">
        <v>60.7</v>
      </c>
      <c r="E1879">
        <v>2021</v>
      </c>
      <c r="F1879" s="168" t="s">
        <v>592</v>
      </c>
      <c r="G1879" s="168" t="s">
        <v>613</v>
      </c>
      <c r="H1879" s="168" t="s">
        <v>609</v>
      </c>
      <c r="I1879">
        <v>1288.8435959641595</v>
      </c>
    </row>
    <row r="1880" spans="1:9" x14ac:dyDescent="0.3">
      <c r="A1880">
        <v>65</v>
      </c>
      <c r="B1880" s="168" t="s">
        <v>73</v>
      </c>
      <c r="C1880" s="168" t="s">
        <v>97</v>
      </c>
      <c r="D1880">
        <v>358.3</v>
      </c>
      <c r="E1880">
        <v>2021</v>
      </c>
      <c r="F1880" s="168" t="s">
        <v>592</v>
      </c>
      <c r="G1880" s="168" t="s">
        <v>612</v>
      </c>
      <c r="H1880" s="168" t="s">
        <v>608</v>
      </c>
      <c r="I1880">
        <v>0</v>
      </c>
    </row>
    <row r="1881" spans="1:9" x14ac:dyDescent="0.3">
      <c r="A1881">
        <v>65</v>
      </c>
      <c r="B1881" s="168" t="s">
        <v>73</v>
      </c>
      <c r="C1881" s="168" t="s">
        <v>97</v>
      </c>
      <c r="D1881">
        <v>358.3</v>
      </c>
      <c r="E1881">
        <v>2021</v>
      </c>
      <c r="F1881" s="168" t="s">
        <v>592</v>
      </c>
      <c r="G1881" s="168" t="s">
        <v>612</v>
      </c>
      <c r="H1881" s="168" t="s">
        <v>609</v>
      </c>
      <c r="I1881">
        <v>448.97319264492029</v>
      </c>
    </row>
    <row r="1882" spans="1:9" x14ac:dyDescent="0.3">
      <c r="A1882">
        <v>65</v>
      </c>
      <c r="B1882" s="168" t="s">
        <v>73</v>
      </c>
      <c r="C1882" s="168" t="s">
        <v>97</v>
      </c>
      <c r="D1882">
        <v>358.3</v>
      </c>
      <c r="E1882">
        <v>2021</v>
      </c>
      <c r="F1882" s="168" t="s">
        <v>592</v>
      </c>
      <c r="G1882" s="168" t="s">
        <v>617</v>
      </c>
      <c r="H1882" s="168" t="s">
        <v>608</v>
      </c>
      <c r="I1882">
        <v>242.00719432143407</v>
      </c>
    </row>
    <row r="1883" spans="1:9" x14ac:dyDescent="0.3">
      <c r="A1883">
        <v>65</v>
      </c>
      <c r="B1883" s="168" t="s">
        <v>73</v>
      </c>
      <c r="C1883" s="168" t="s">
        <v>97</v>
      </c>
      <c r="D1883">
        <v>358.3</v>
      </c>
      <c r="E1883">
        <v>2021</v>
      </c>
      <c r="F1883" s="168" t="s">
        <v>592</v>
      </c>
      <c r="G1883" s="168" t="s">
        <v>617</v>
      </c>
      <c r="H1883" s="168" t="s">
        <v>609</v>
      </c>
      <c r="I1883">
        <v>181.50539574107555</v>
      </c>
    </row>
    <row r="1884" spans="1:9" x14ac:dyDescent="0.3">
      <c r="A1884">
        <v>65</v>
      </c>
      <c r="B1884" s="168" t="s">
        <v>73</v>
      </c>
      <c r="C1884" s="168" t="s">
        <v>97</v>
      </c>
      <c r="D1884">
        <v>358.3</v>
      </c>
      <c r="E1884">
        <v>2021</v>
      </c>
      <c r="F1884" s="168" t="s">
        <v>592</v>
      </c>
      <c r="G1884" s="168" t="s">
        <v>610</v>
      </c>
      <c r="H1884" s="168" t="s">
        <v>608</v>
      </c>
      <c r="I1884">
        <v>0</v>
      </c>
    </row>
    <row r="1885" spans="1:9" x14ac:dyDescent="0.3">
      <c r="A1885">
        <v>65</v>
      </c>
      <c r="B1885" s="168" t="s">
        <v>73</v>
      </c>
      <c r="C1885" s="168" t="s">
        <v>97</v>
      </c>
      <c r="D1885">
        <v>358.3</v>
      </c>
      <c r="E1885">
        <v>2021</v>
      </c>
      <c r="F1885" s="168" t="s">
        <v>592</v>
      </c>
      <c r="G1885" s="168" t="s">
        <v>610</v>
      </c>
      <c r="H1885" s="168" t="s">
        <v>609</v>
      </c>
      <c r="I1885">
        <v>6545.454545454545</v>
      </c>
    </row>
    <row r="1886" spans="1:9" x14ac:dyDescent="0.3">
      <c r="A1886">
        <v>65</v>
      </c>
      <c r="B1886" s="168" t="s">
        <v>73</v>
      </c>
      <c r="C1886" s="168" t="s">
        <v>97</v>
      </c>
      <c r="D1886">
        <v>358.3</v>
      </c>
      <c r="E1886">
        <v>2021</v>
      </c>
      <c r="F1886" s="168" t="s">
        <v>592</v>
      </c>
      <c r="G1886" s="168" t="s">
        <v>620</v>
      </c>
      <c r="H1886" s="168" t="s">
        <v>608</v>
      </c>
      <c r="I1886">
        <v>58482.954810427655</v>
      </c>
    </row>
    <row r="1887" spans="1:9" x14ac:dyDescent="0.3">
      <c r="A1887">
        <v>65</v>
      </c>
      <c r="B1887" s="168" t="s">
        <v>73</v>
      </c>
      <c r="C1887" s="168" t="s">
        <v>97</v>
      </c>
      <c r="D1887">
        <v>358.3</v>
      </c>
      <c r="E1887">
        <v>2021</v>
      </c>
      <c r="F1887" s="168" t="s">
        <v>592</v>
      </c>
      <c r="G1887" s="168" t="s">
        <v>620</v>
      </c>
      <c r="H1887" s="168" t="s">
        <v>609</v>
      </c>
      <c r="I1887">
        <v>107267.20500629579</v>
      </c>
    </row>
    <row r="1888" spans="1:9" x14ac:dyDescent="0.3">
      <c r="A1888">
        <v>65</v>
      </c>
      <c r="B1888" s="168" t="s">
        <v>73</v>
      </c>
      <c r="C1888" s="168" t="s">
        <v>97</v>
      </c>
      <c r="D1888">
        <v>358.3</v>
      </c>
      <c r="E1888">
        <v>2021</v>
      </c>
      <c r="F1888" s="168" t="s">
        <v>592</v>
      </c>
      <c r="G1888" s="168" t="s">
        <v>630</v>
      </c>
      <c r="H1888" s="168" t="s">
        <v>608</v>
      </c>
      <c r="I1888">
        <v>5356.9993108089056</v>
      </c>
    </row>
    <row r="1889" spans="1:9" x14ac:dyDescent="0.3">
      <c r="A1889">
        <v>65</v>
      </c>
      <c r="B1889" s="168" t="s">
        <v>73</v>
      </c>
      <c r="C1889" s="168" t="s">
        <v>97</v>
      </c>
      <c r="D1889">
        <v>358.3</v>
      </c>
      <c r="E1889">
        <v>2021</v>
      </c>
      <c r="F1889" s="168" t="s">
        <v>592</v>
      </c>
      <c r="G1889" s="168" t="s">
        <v>630</v>
      </c>
      <c r="H1889" s="168" t="s">
        <v>609</v>
      </c>
      <c r="I1889">
        <v>5705.4402332570171</v>
      </c>
    </row>
    <row r="1890" spans="1:9" x14ac:dyDescent="0.3">
      <c r="A1890">
        <v>65</v>
      </c>
      <c r="B1890" s="168" t="s">
        <v>73</v>
      </c>
      <c r="C1890" s="168" t="s">
        <v>97</v>
      </c>
      <c r="D1890">
        <v>358.3</v>
      </c>
      <c r="E1890">
        <v>2021</v>
      </c>
      <c r="F1890" s="168" t="s">
        <v>592</v>
      </c>
      <c r="G1890" s="168" t="s">
        <v>613</v>
      </c>
      <c r="H1890" s="168" t="s">
        <v>608</v>
      </c>
      <c r="I1890">
        <v>13525.142590809075</v>
      </c>
    </row>
    <row r="1891" spans="1:9" x14ac:dyDescent="0.3">
      <c r="A1891">
        <v>65</v>
      </c>
      <c r="B1891" s="168" t="s">
        <v>73</v>
      </c>
      <c r="C1891" s="168" t="s">
        <v>97</v>
      </c>
      <c r="D1891">
        <v>358.3</v>
      </c>
      <c r="E1891">
        <v>2021</v>
      </c>
      <c r="F1891" s="168" t="s">
        <v>592</v>
      </c>
      <c r="G1891" s="168" t="s">
        <v>613</v>
      </c>
      <c r="H1891" s="168" t="s">
        <v>609</v>
      </c>
      <c r="I1891">
        <v>2745.1981728715978</v>
      </c>
    </row>
    <row r="1892" spans="1:9" x14ac:dyDescent="0.3">
      <c r="A1892">
        <v>66</v>
      </c>
      <c r="B1892" s="168" t="s">
        <v>98</v>
      </c>
      <c r="C1892" s="168" t="s">
        <v>99</v>
      </c>
      <c r="D1892">
        <v>196.6</v>
      </c>
      <c r="E1892">
        <v>2021</v>
      </c>
      <c r="F1892" s="168" t="s">
        <v>592</v>
      </c>
      <c r="G1892" s="168" t="s">
        <v>612</v>
      </c>
      <c r="H1892" s="168" t="s">
        <v>608</v>
      </c>
      <c r="I1892">
        <v>0</v>
      </c>
    </row>
    <row r="1893" spans="1:9" x14ac:dyDescent="0.3">
      <c r="A1893">
        <v>66</v>
      </c>
      <c r="B1893" s="168" t="s">
        <v>98</v>
      </c>
      <c r="C1893" s="168" t="s">
        <v>99</v>
      </c>
      <c r="D1893">
        <v>196.6</v>
      </c>
      <c r="E1893">
        <v>2021</v>
      </c>
      <c r="F1893" s="168" t="s">
        <v>592</v>
      </c>
      <c r="G1893" s="168" t="s">
        <v>612</v>
      </c>
      <c r="H1893" s="168" t="s">
        <v>609</v>
      </c>
      <c r="I1893">
        <v>246.35258072562468</v>
      </c>
    </row>
    <row r="1894" spans="1:9" x14ac:dyDescent="0.3">
      <c r="A1894">
        <v>66</v>
      </c>
      <c r="B1894" s="168" t="s">
        <v>98</v>
      </c>
      <c r="C1894" s="168" t="s">
        <v>99</v>
      </c>
      <c r="D1894">
        <v>196.6</v>
      </c>
      <c r="E1894">
        <v>2021</v>
      </c>
      <c r="F1894" s="168" t="s">
        <v>592</v>
      </c>
      <c r="G1894" s="168" t="s">
        <v>617</v>
      </c>
      <c r="H1894" s="168" t="s">
        <v>608</v>
      </c>
      <c r="I1894">
        <v>132.78988111524961</v>
      </c>
    </row>
    <row r="1895" spans="1:9" x14ac:dyDescent="0.3">
      <c r="A1895">
        <v>66</v>
      </c>
      <c r="B1895" s="168" t="s">
        <v>98</v>
      </c>
      <c r="C1895" s="168" t="s">
        <v>99</v>
      </c>
      <c r="D1895">
        <v>196.6</v>
      </c>
      <c r="E1895">
        <v>2021</v>
      </c>
      <c r="F1895" s="168" t="s">
        <v>592</v>
      </c>
      <c r="G1895" s="168" t="s">
        <v>617</v>
      </c>
      <c r="H1895" s="168" t="s">
        <v>609</v>
      </c>
      <c r="I1895">
        <v>99.59241083643721</v>
      </c>
    </row>
    <row r="1896" spans="1:9" x14ac:dyDescent="0.3">
      <c r="A1896">
        <v>67</v>
      </c>
      <c r="B1896" s="168" t="s">
        <v>81</v>
      </c>
      <c r="C1896" s="168" t="s">
        <v>100</v>
      </c>
      <c r="D1896">
        <v>54.4</v>
      </c>
      <c r="E1896">
        <v>2021</v>
      </c>
      <c r="F1896" s="168" t="s">
        <v>592</v>
      </c>
      <c r="G1896" s="168" t="s">
        <v>612</v>
      </c>
      <c r="H1896" s="168" t="s">
        <v>608</v>
      </c>
      <c r="I1896">
        <v>0</v>
      </c>
    </row>
    <row r="1897" spans="1:9" x14ac:dyDescent="0.3">
      <c r="A1897">
        <v>67</v>
      </c>
      <c r="B1897" s="168" t="s">
        <v>81</v>
      </c>
      <c r="C1897" s="168" t="s">
        <v>100</v>
      </c>
      <c r="D1897">
        <v>54.4</v>
      </c>
      <c r="E1897">
        <v>2021</v>
      </c>
      <c r="F1897" s="168" t="s">
        <v>592</v>
      </c>
      <c r="G1897" s="168" t="s">
        <v>612</v>
      </c>
      <c r="H1897" s="168" t="s">
        <v>609</v>
      </c>
      <c r="I1897">
        <v>68.166736477487191</v>
      </c>
    </row>
    <row r="1898" spans="1:9" x14ac:dyDescent="0.3">
      <c r="A1898">
        <v>67</v>
      </c>
      <c r="B1898" s="168" t="s">
        <v>81</v>
      </c>
      <c r="C1898" s="168" t="s">
        <v>100</v>
      </c>
      <c r="D1898">
        <v>54.4</v>
      </c>
      <c r="E1898">
        <v>2021</v>
      </c>
      <c r="F1898" s="168" t="s">
        <v>592</v>
      </c>
      <c r="G1898" s="168" t="s">
        <v>617</v>
      </c>
      <c r="H1898" s="168" t="s">
        <v>608</v>
      </c>
      <c r="I1898">
        <v>36.743486941350859</v>
      </c>
    </row>
    <row r="1899" spans="1:9" x14ac:dyDescent="0.3">
      <c r="A1899">
        <v>67</v>
      </c>
      <c r="B1899" s="168" t="s">
        <v>81</v>
      </c>
      <c r="C1899" s="168" t="s">
        <v>100</v>
      </c>
      <c r="D1899">
        <v>54.4</v>
      </c>
      <c r="E1899">
        <v>2021</v>
      </c>
      <c r="F1899" s="168" t="s">
        <v>592</v>
      </c>
      <c r="G1899" s="168" t="s">
        <v>617</v>
      </c>
      <c r="H1899" s="168" t="s">
        <v>609</v>
      </c>
      <c r="I1899">
        <v>27.557615206013146</v>
      </c>
    </row>
    <row r="1900" spans="1:9" x14ac:dyDescent="0.3">
      <c r="A1900">
        <v>68</v>
      </c>
      <c r="B1900" s="168" t="s">
        <v>101</v>
      </c>
      <c r="C1900" s="168" t="s">
        <v>102</v>
      </c>
      <c r="D1900">
        <v>217</v>
      </c>
      <c r="E1900">
        <v>2021</v>
      </c>
      <c r="F1900" s="168" t="s">
        <v>593</v>
      </c>
      <c r="G1900" s="168" t="s">
        <v>612</v>
      </c>
      <c r="H1900" s="168" t="s">
        <v>608</v>
      </c>
      <c r="I1900">
        <v>0</v>
      </c>
    </row>
    <row r="1901" spans="1:9" x14ac:dyDescent="0.3">
      <c r="A1901">
        <v>68</v>
      </c>
      <c r="B1901" s="168" t="s">
        <v>101</v>
      </c>
      <c r="C1901" s="168" t="s">
        <v>102</v>
      </c>
      <c r="D1901">
        <v>217</v>
      </c>
      <c r="E1901">
        <v>2021</v>
      </c>
      <c r="F1901" s="168" t="s">
        <v>593</v>
      </c>
      <c r="G1901" s="168" t="s">
        <v>612</v>
      </c>
      <c r="H1901" s="168" t="s">
        <v>609</v>
      </c>
      <c r="I1901">
        <v>271.91510690468237</v>
      </c>
    </row>
    <row r="1902" spans="1:9" x14ac:dyDescent="0.3">
      <c r="A1902">
        <v>68</v>
      </c>
      <c r="B1902" s="168" t="s">
        <v>101</v>
      </c>
      <c r="C1902" s="168" t="s">
        <v>102</v>
      </c>
      <c r="D1902">
        <v>217</v>
      </c>
      <c r="E1902">
        <v>2021</v>
      </c>
      <c r="F1902" s="168" t="s">
        <v>593</v>
      </c>
      <c r="G1902" s="168" t="s">
        <v>617</v>
      </c>
      <c r="H1902" s="168" t="s">
        <v>608</v>
      </c>
      <c r="I1902">
        <v>146.56868871825617</v>
      </c>
    </row>
    <row r="1903" spans="1:9" x14ac:dyDescent="0.3">
      <c r="A1903">
        <v>68</v>
      </c>
      <c r="B1903" s="168" t="s">
        <v>101</v>
      </c>
      <c r="C1903" s="168" t="s">
        <v>102</v>
      </c>
      <c r="D1903">
        <v>217</v>
      </c>
      <c r="E1903">
        <v>2021</v>
      </c>
      <c r="F1903" s="168" t="s">
        <v>593</v>
      </c>
      <c r="G1903" s="168" t="s">
        <v>617</v>
      </c>
      <c r="H1903" s="168" t="s">
        <v>609</v>
      </c>
      <c r="I1903">
        <v>109.92651653869213</v>
      </c>
    </row>
    <row r="1904" spans="1:9" x14ac:dyDescent="0.3">
      <c r="A1904">
        <v>68</v>
      </c>
      <c r="B1904" s="168" t="s">
        <v>101</v>
      </c>
      <c r="C1904" s="168" t="s">
        <v>102</v>
      </c>
      <c r="D1904">
        <v>217</v>
      </c>
      <c r="E1904">
        <v>2021</v>
      </c>
      <c r="F1904" s="168" t="s">
        <v>593</v>
      </c>
      <c r="G1904" s="168" t="s">
        <v>630</v>
      </c>
      <c r="H1904" s="168" t="s">
        <v>608</v>
      </c>
      <c r="I1904">
        <v>815.13754158540451</v>
      </c>
    </row>
    <row r="1905" spans="1:9" x14ac:dyDescent="0.3">
      <c r="A1905">
        <v>68</v>
      </c>
      <c r="B1905" s="168" t="s">
        <v>101</v>
      </c>
      <c r="C1905" s="168" t="s">
        <v>102</v>
      </c>
      <c r="D1905">
        <v>217</v>
      </c>
      <c r="E1905">
        <v>2021</v>
      </c>
      <c r="F1905" s="168" t="s">
        <v>593</v>
      </c>
      <c r="G1905" s="168" t="s">
        <v>630</v>
      </c>
      <c r="H1905" s="168" t="s">
        <v>609</v>
      </c>
      <c r="I1905">
        <v>815.13754158540451</v>
      </c>
    </row>
    <row r="1906" spans="1:9" x14ac:dyDescent="0.3">
      <c r="A1906">
        <v>69</v>
      </c>
      <c r="B1906" s="168" t="s">
        <v>291</v>
      </c>
      <c r="C1906" s="168" t="s">
        <v>103</v>
      </c>
      <c r="D1906">
        <v>482.8</v>
      </c>
      <c r="E1906">
        <v>2021</v>
      </c>
      <c r="F1906" s="168" t="s">
        <v>593</v>
      </c>
      <c r="G1906" s="168" t="s">
        <v>607</v>
      </c>
      <c r="H1906" s="168" t="s">
        <v>609</v>
      </c>
      <c r="I1906">
        <v>2589041.4</v>
      </c>
    </row>
    <row r="1907" spans="1:9" x14ac:dyDescent="0.3">
      <c r="A1907">
        <v>69</v>
      </c>
      <c r="B1907" s="168" t="s">
        <v>291</v>
      </c>
      <c r="C1907" s="168" t="s">
        <v>103</v>
      </c>
      <c r="D1907">
        <v>482.8</v>
      </c>
      <c r="E1907">
        <v>2021</v>
      </c>
      <c r="F1907" s="168" t="s">
        <v>593</v>
      </c>
      <c r="G1907" s="168" t="s">
        <v>612</v>
      </c>
      <c r="H1907" s="168" t="s">
        <v>609</v>
      </c>
      <c r="I1907">
        <v>33853.54</v>
      </c>
    </row>
    <row r="1908" spans="1:9" x14ac:dyDescent="0.3">
      <c r="A1908">
        <v>69</v>
      </c>
      <c r="B1908" s="168" t="s">
        <v>291</v>
      </c>
      <c r="C1908" s="168" t="s">
        <v>103</v>
      </c>
      <c r="D1908">
        <v>482.8</v>
      </c>
      <c r="E1908">
        <v>2021</v>
      </c>
      <c r="F1908" s="168" t="s">
        <v>593</v>
      </c>
      <c r="G1908" s="168" t="s">
        <v>629</v>
      </c>
      <c r="H1908" s="168" t="s">
        <v>609</v>
      </c>
      <c r="I1908">
        <v>894112</v>
      </c>
    </row>
    <row r="1909" spans="1:9" x14ac:dyDescent="0.3">
      <c r="A1909">
        <v>69</v>
      </c>
      <c r="B1909" s="168" t="s">
        <v>291</v>
      </c>
      <c r="C1909" s="168" t="s">
        <v>103</v>
      </c>
      <c r="D1909">
        <v>482.8</v>
      </c>
      <c r="E1909">
        <v>2021</v>
      </c>
      <c r="F1909" s="168" t="s">
        <v>593</v>
      </c>
      <c r="G1909" s="168" t="s">
        <v>617</v>
      </c>
      <c r="H1909" s="168" t="s">
        <v>608</v>
      </c>
      <c r="I1909">
        <v>965.5</v>
      </c>
    </row>
    <row r="1910" spans="1:9" x14ac:dyDescent="0.3">
      <c r="A1910">
        <v>69</v>
      </c>
      <c r="B1910" s="168" t="s">
        <v>291</v>
      </c>
      <c r="C1910" s="168" t="s">
        <v>103</v>
      </c>
      <c r="D1910">
        <v>482.8</v>
      </c>
      <c r="E1910">
        <v>2021</v>
      </c>
      <c r="F1910" s="168" t="s">
        <v>593</v>
      </c>
      <c r="G1910" s="168" t="s">
        <v>617</v>
      </c>
      <c r="H1910" s="168" t="s">
        <v>609</v>
      </c>
      <c r="I1910">
        <v>965.5</v>
      </c>
    </row>
    <row r="1911" spans="1:9" x14ac:dyDescent="0.3">
      <c r="A1911">
        <v>69</v>
      </c>
      <c r="B1911" s="168" t="s">
        <v>291</v>
      </c>
      <c r="C1911" s="168" t="s">
        <v>103</v>
      </c>
      <c r="D1911">
        <v>482.8</v>
      </c>
      <c r="E1911">
        <v>2021</v>
      </c>
      <c r="F1911" s="168" t="s">
        <v>593</v>
      </c>
      <c r="G1911" s="168" t="s">
        <v>610</v>
      </c>
      <c r="H1911" s="168" t="s">
        <v>608</v>
      </c>
      <c r="I1911">
        <v>0</v>
      </c>
    </row>
    <row r="1912" spans="1:9" x14ac:dyDescent="0.3">
      <c r="A1912">
        <v>69</v>
      </c>
      <c r="B1912" s="168" t="s">
        <v>291</v>
      </c>
      <c r="C1912" s="168" t="s">
        <v>103</v>
      </c>
      <c r="D1912">
        <v>482.8</v>
      </c>
      <c r="E1912">
        <v>2021</v>
      </c>
      <c r="F1912" s="168" t="s">
        <v>593</v>
      </c>
      <c r="G1912" s="168" t="s">
        <v>610</v>
      </c>
      <c r="H1912" s="168" t="s">
        <v>609</v>
      </c>
      <c r="I1912">
        <v>3272.7272727272725</v>
      </c>
    </row>
    <row r="1913" spans="1:9" x14ac:dyDescent="0.3">
      <c r="A1913">
        <v>69</v>
      </c>
      <c r="B1913" s="168" t="s">
        <v>291</v>
      </c>
      <c r="C1913" s="168" t="s">
        <v>103</v>
      </c>
      <c r="D1913">
        <v>482.8</v>
      </c>
      <c r="E1913">
        <v>2021</v>
      </c>
      <c r="F1913" s="168" t="s">
        <v>593</v>
      </c>
      <c r="G1913" s="168" t="s">
        <v>630</v>
      </c>
      <c r="H1913" s="168" t="s">
        <v>608</v>
      </c>
      <c r="I1913">
        <v>7218.4182731190049</v>
      </c>
    </row>
    <row r="1914" spans="1:9" x14ac:dyDescent="0.3">
      <c r="A1914">
        <v>69</v>
      </c>
      <c r="B1914" s="168" t="s">
        <v>291</v>
      </c>
      <c r="C1914" s="168" t="s">
        <v>103</v>
      </c>
      <c r="D1914">
        <v>482.8</v>
      </c>
      <c r="E1914">
        <v>2021</v>
      </c>
      <c r="F1914" s="168" t="s">
        <v>593</v>
      </c>
      <c r="G1914" s="168" t="s">
        <v>630</v>
      </c>
      <c r="H1914" s="168" t="s">
        <v>609</v>
      </c>
      <c r="I1914">
        <v>7687.9334206432814</v>
      </c>
    </row>
    <row r="1915" spans="1:9" x14ac:dyDescent="0.3">
      <c r="A1915">
        <v>69</v>
      </c>
      <c r="B1915" s="168" t="s">
        <v>291</v>
      </c>
      <c r="C1915" s="168" t="s">
        <v>103</v>
      </c>
      <c r="D1915">
        <v>482.8</v>
      </c>
      <c r="E1915">
        <v>2021</v>
      </c>
      <c r="F1915" s="168" t="s">
        <v>593</v>
      </c>
      <c r="G1915" s="168" t="s">
        <v>621</v>
      </c>
      <c r="H1915" s="168" t="s">
        <v>609</v>
      </c>
      <c r="I1915">
        <v>0</v>
      </c>
    </row>
    <row r="1916" spans="1:9" x14ac:dyDescent="0.3">
      <c r="A1916">
        <v>69</v>
      </c>
      <c r="B1916" s="168" t="s">
        <v>291</v>
      </c>
      <c r="C1916" s="168" t="s">
        <v>103</v>
      </c>
      <c r="D1916">
        <v>482.8</v>
      </c>
      <c r="E1916">
        <v>2021</v>
      </c>
      <c r="F1916" s="168" t="s">
        <v>593</v>
      </c>
      <c r="G1916" s="168" t="s">
        <v>613</v>
      </c>
      <c r="H1916" s="168" t="s">
        <v>608</v>
      </c>
      <c r="I1916">
        <v>18224.780471232545</v>
      </c>
    </row>
    <row r="1917" spans="1:9" x14ac:dyDescent="0.3">
      <c r="A1917">
        <v>69</v>
      </c>
      <c r="B1917" s="168" t="s">
        <v>291</v>
      </c>
      <c r="C1917" s="168" t="s">
        <v>103</v>
      </c>
      <c r="D1917">
        <v>482.8</v>
      </c>
      <c r="E1917">
        <v>2021</v>
      </c>
      <c r="F1917" s="168" t="s">
        <v>593</v>
      </c>
      <c r="G1917" s="168" t="s">
        <v>613</v>
      </c>
      <c r="H1917" s="168" t="s">
        <v>609</v>
      </c>
      <c r="I1917">
        <v>3699.0836669338746</v>
      </c>
    </row>
    <row r="1918" spans="1:9" x14ac:dyDescent="0.3">
      <c r="A1918">
        <v>70</v>
      </c>
      <c r="B1918" s="168" t="s">
        <v>104</v>
      </c>
      <c r="C1918" s="168" t="s">
        <v>105</v>
      </c>
      <c r="D1918">
        <v>11351</v>
      </c>
      <c r="E1918">
        <v>2021</v>
      </c>
      <c r="F1918" s="168" t="s">
        <v>591</v>
      </c>
      <c r="G1918" s="168" t="s">
        <v>607</v>
      </c>
      <c r="H1918" s="168" t="s">
        <v>608</v>
      </c>
      <c r="I1918">
        <v>1812328.73</v>
      </c>
    </row>
    <row r="1919" spans="1:9" x14ac:dyDescent="0.3">
      <c r="A1919">
        <v>70</v>
      </c>
      <c r="B1919" s="168" t="s">
        <v>104</v>
      </c>
      <c r="C1919" s="168" t="s">
        <v>105</v>
      </c>
      <c r="D1919">
        <v>11351</v>
      </c>
      <c r="E1919">
        <v>2021</v>
      </c>
      <c r="F1919" s="168" t="s">
        <v>591</v>
      </c>
      <c r="G1919" s="168" t="s">
        <v>607</v>
      </c>
      <c r="H1919" s="168" t="s">
        <v>609</v>
      </c>
      <c r="I1919">
        <v>776712.31</v>
      </c>
    </row>
    <row r="1920" spans="1:9" x14ac:dyDescent="0.3">
      <c r="A1920">
        <v>70</v>
      </c>
      <c r="B1920" s="168" t="s">
        <v>104</v>
      </c>
      <c r="C1920" s="168" t="s">
        <v>105</v>
      </c>
      <c r="D1920">
        <v>11351</v>
      </c>
      <c r="E1920">
        <v>2021</v>
      </c>
      <c r="F1920" s="168" t="s">
        <v>591</v>
      </c>
      <c r="G1920" s="168" t="s">
        <v>612</v>
      </c>
      <c r="H1920" s="168" t="s">
        <v>608</v>
      </c>
      <c r="I1920">
        <v>642027.11</v>
      </c>
    </row>
    <row r="1921" spans="1:9" x14ac:dyDescent="0.3">
      <c r="A1921">
        <v>70</v>
      </c>
      <c r="B1921" s="168" t="s">
        <v>104</v>
      </c>
      <c r="C1921" s="168" t="s">
        <v>105</v>
      </c>
      <c r="D1921">
        <v>11351</v>
      </c>
      <c r="E1921">
        <v>2021</v>
      </c>
      <c r="F1921" s="168" t="s">
        <v>591</v>
      </c>
      <c r="G1921" s="168" t="s">
        <v>612</v>
      </c>
      <c r="H1921" s="168" t="s">
        <v>609</v>
      </c>
      <c r="I1921">
        <v>275154.46999999997</v>
      </c>
    </row>
    <row r="1922" spans="1:9" x14ac:dyDescent="0.3">
      <c r="A1922">
        <v>70</v>
      </c>
      <c r="B1922" s="168" t="s">
        <v>104</v>
      </c>
      <c r="C1922" s="168" t="s">
        <v>105</v>
      </c>
      <c r="D1922">
        <v>11351</v>
      </c>
      <c r="E1922">
        <v>2021</v>
      </c>
      <c r="F1922" s="168" t="s">
        <v>591</v>
      </c>
      <c r="G1922" s="168" t="s">
        <v>629</v>
      </c>
      <c r="H1922" s="168" t="s">
        <v>608</v>
      </c>
      <c r="I1922">
        <v>1032940.9999999999</v>
      </c>
    </row>
    <row r="1923" spans="1:9" x14ac:dyDescent="0.3">
      <c r="A1923">
        <v>70</v>
      </c>
      <c r="B1923" s="168" t="s">
        <v>104</v>
      </c>
      <c r="C1923" s="168" t="s">
        <v>105</v>
      </c>
      <c r="D1923">
        <v>11351</v>
      </c>
      <c r="E1923">
        <v>2021</v>
      </c>
      <c r="F1923" s="168" t="s">
        <v>591</v>
      </c>
      <c r="G1923" s="168" t="s">
        <v>629</v>
      </c>
      <c r="H1923" s="168" t="s">
        <v>609</v>
      </c>
      <c r="I1923">
        <v>442689</v>
      </c>
    </row>
    <row r="1924" spans="1:9" x14ac:dyDescent="0.3">
      <c r="A1924">
        <v>70</v>
      </c>
      <c r="B1924" s="168" t="s">
        <v>104</v>
      </c>
      <c r="C1924" s="168" t="s">
        <v>105</v>
      </c>
      <c r="D1924">
        <v>11351</v>
      </c>
      <c r="E1924">
        <v>2021</v>
      </c>
      <c r="F1924" s="168" t="s">
        <v>591</v>
      </c>
      <c r="G1924" s="168" t="s">
        <v>618</v>
      </c>
      <c r="H1924" s="168" t="s">
        <v>608</v>
      </c>
      <c r="I1924">
        <v>0</v>
      </c>
    </row>
    <row r="1925" spans="1:9" x14ac:dyDescent="0.3">
      <c r="A1925">
        <v>70</v>
      </c>
      <c r="B1925" s="168" t="s">
        <v>104</v>
      </c>
      <c r="C1925" s="168" t="s">
        <v>105</v>
      </c>
      <c r="D1925">
        <v>11351</v>
      </c>
      <c r="E1925">
        <v>2021</v>
      </c>
      <c r="F1925" s="168" t="s">
        <v>591</v>
      </c>
      <c r="G1925" s="168" t="s">
        <v>618</v>
      </c>
      <c r="H1925" s="168" t="s">
        <v>609</v>
      </c>
      <c r="I1925">
        <v>226129.2134831461</v>
      </c>
    </row>
    <row r="1926" spans="1:9" x14ac:dyDescent="0.3">
      <c r="A1926">
        <v>70</v>
      </c>
      <c r="B1926" s="168" t="s">
        <v>104</v>
      </c>
      <c r="C1926" s="168" t="s">
        <v>105</v>
      </c>
      <c r="D1926">
        <v>11351</v>
      </c>
      <c r="E1926">
        <v>2021</v>
      </c>
      <c r="F1926" s="168" t="s">
        <v>591</v>
      </c>
      <c r="G1926" s="168" t="s">
        <v>610</v>
      </c>
      <c r="H1926" s="168" t="s">
        <v>608</v>
      </c>
      <c r="I1926">
        <v>0</v>
      </c>
    </row>
    <row r="1927" spans="1:9" x14ac:dyDescent="0.3">
      <c r="A1927">
        <v>70</v>
      </c>
      <c r="B1927" s="168" t="s">
        <v>104</v>
      </c>
      <c r="C1927" s="168" t="s">
        <v>105</v>
      </c>
      <c r="D1927">
        <v>11351</v>
      </c>
      <c r="E1927">
        <v>2021</v>
      </c>
      <c r="F1927" s="168" t="s">
        <v>591</v>
      </c>
      <c r="G1927" s="168" t="s">
        <v>610</v>
      </c>
      <c r="H1927" s="168" t="s">
        <v>609</v>
      </c>
      <c r="I1927">
        <v>6545.454545454545</v>
      </c>
    </row>
    <row r="1928" spans="1:9" x14ac:dyDescent="0.3">
      <c r="A1928">
        <v>70</v>
      </c>
      <c r="B1928" s="168" t="s">
        <v>104</v>
      </c>
      <c r="C1928" s="168" t="s">
        <v>105</v>
      </c>
      <c r="D1928">
        <v>11351</v>
      </c>
      <c r="E1928">
        <v>2021</v>
      </c>
      <c r="F1928" s="168" t="s">
        <v>591</v>
      </c>
      <c r="G1928" s="168" t="s">
        <v>633</v>
      </c>
      <c r="H1928" s="168" t="s">
        <v>608</v>
      </c>
      <c r="I1928">
        <v>43931.185486393493</v>
      </c>
    </row>
    <row r="1929" spans="1:9" x14ac:dyDescent="0.3">
      <c r="A1929">
        <v>70</v>
      </c>
      <c r="B1929" s="168" t="s">
        <v>104</v>
      </c>
      <c r="C1929" s="168" t="s">
        <v>105</v>
      </c>
      <c r="D1929">
        <v>11351</v>
      </c>
      <c r="E1929">
        <v>2021</v>
      </c>
      <c r="F1929" s="168" t="s">
        <v>591</v>
      </c>
      <c r="G1929" s="168" t="s">
        <v>633</v>
      </c>
      <c r="H1929" s="168" t="s">
        <v>609</v>
      </c>
      <c r="I1929">
        <v>18827.650922740071</v>
      </c>
    </row>
    <row r="1930" spans="1:9" x14ac:dyDescent="0.3">
      <c r="A1930">
        <v>70</v>
      </c>
      <c r="B1930" s="168" t="s">
        <v>104</v>
      </c>
      <c r="C1930" s="168" t="s">
        <v>105</v>
      </c>
      <c r="D1930">
        <v>11351</v>
      </c>
      <c r="E1930">
        <v>2021</v>
      </c>
      <c r="F1930" s="168" t="s">
        <v>591</v>
      </c>
      <c r="G1930" s="168" t="s">
        <v>623</v>
      </c>
      <c r="H1930" s="168" t="s">
        <v>608</v>
      </c>
      <c r="I1930">
        <v>276442.30769230769</v>
      </c>
    </row>
    <row r="1931" spans="1:9" x14ac:dyDescent="0.3">
      <c r="A1931">
        <v>70</v>
      </c>
      <c r="B1931" s="168" t="s">
        <v>104</v>
      </c>
      <c r="C1931" s="168" t="s">
        <v>105</v>
      </c>
      <c r="D1931">
        <v>11351</v>
      </c>
      <c r="E1931">
        <v>2021</v>
      </c>
      <c r="F1931" s="168" t="s">
        <v>591</v>
      </c>
      <c r="G1931" s="168" t="s">
        <v>623</v>
      </c>
      <c r="H1931" s="168" t="s">
        <v>609</v>
      </c>
      <c r="I1931">
        <v>213062.3475</v>
      </c>
    </row>
    <row r="1932" spans="1:9" x14ac:dyDescent="0.3">
      <c r="A1932">
        <v>70</v>
      </c>
      <c r="B1932" s="168" t="s">
        <v>104</v>
      </c>
      <c r="C1932" s="168" t="s">
        <v>105</v>
      </c>
      <c r="D1932">
        <v>11351</v>
      </c>
      <c r="E1932">
        <v>2021</v>
      </c>
      <c r="F1932" s="168" t="s">
        <v>591</v>
      </c>
      <c r="G1932" s="168" t="s">
        <v>615</v>
      </c>
      <c r="H1932" s="168" t="s">
        <v>608</v>
      </c>
      <c r="I1932">
        <v>0</v>
      </c>
    </row>
    <row r="1933" spans="1:9" x14ac:dyDescent="0.3">
      <c r="A1933">
        <v>70</v>
      </c>
      <c r="B1933" s="168" t="s">
        <v>104</v>
      </c>
      <c r="C1933" s="168" t="s">
        <v>105</v>
      </c>
      <c r="D1933">
        <v>11351</v>
      </c>
      <c r="E1933">
        <v>2021</v>
      </c>
      <c r="F1933" s="168" t="s">
        <v>591</v>
      </c>
      <c r="G1933" s="168" t="s">
        <v>615</v>
      </c>
      <c r="H1933" s="168" t="s">
        <v>609</v>
      </c>
      <c r="I1933">
        <v>7536.5853658536589</v>
      </c>
    </row>
    <row r="1934" spans="1:9" x14ac:dyDescent="0.3">
      <c r="A1934">
        <v>70</v>
      </c>
      <c r="B1934" s="168" t="s">
        <v>104</v>
      </c>
      <c r="C1934" s="168" t="s">
        <v>105</v>
      </c>
      <c r="D1934">
        <v>11351</v>
      </c>
      <c r="E1934">
        <v>2021</v>
      </c>
      <c r="F1934" s="168" t="s">
        <v>591</v>
      </c>
      <c r="G1934" s="168" t="s">
        <v>630</v>
      </c>
      <c r="H1934" s="168" t="s">
        <v>608</v>
      </c>
      <c r="I1934">
        <v>1368121.048</v>
      </c>
    </row>
    <row r="1935" spans="1:9" x14ac:dyDescent="0.3">
      <c r="A1935">
        <v>70</v>
      </c>
      <c r="B1935" s="168" t="s">
        <v>104</v>
      </c>
      <c r="C1935" s="168" t="s">
        <v>105</v>
      </c>
      <c r="D1935">
        <v>11351</v>
      </c>
      <c r="E1935">
        <v>2021</v>
      </c>
      <c r="F1935" s="168" t="s">
        <v>591</v>
      </c>
      <c r="G1935" s="168" t="s">
        <v>630</v>
      </c>
      <c r="H1935" s="168" t="s">
        <v>609</v>
      </c>
      <c r="I1935">
        <v>586337.59199999995</v>
      </c>
    </row>
    <row r="1936" spans="1:9" x14ac:dyDescent="0.3">
      <c r="A1936">
        <v>70</v>
      </c>
      <c r="B1936" s="168" t="s">
        <v>104</v>
      </c>
      <c r="C1936" s="168" t="s">
        <v>105</v>
      </c>
      <c r="D1936">
        <v>11351</v>
      </c>
      <c r="E1936">
        <v>2021</v>
      </c>
      <c r="F1936" s="168" t="s">
        <v>591</v>
      </c>
      <c r="G1936" s="168" t="s">
        <v>611</v>
      </c>
      <c r="H1936" s="168" t="s">
        <v>608</v>
      </c>
      <c r="I1936">
        <v>0</v>
      </c>
    </row>
    <row r="1937" spans="1:9" x14ac:dyDescent="0.3">
      <c r="A1937">
        <v>70</v>
      </c>
      <c r="B1937" s="168" t="s">
        <v>104</v>
      </c>
      <c r="C1937" s="168" t="s">
        <v>105</v>
      </c>
      <c r="D1937">
        <v>11351</v>
      </c>
      <c r="E1937">
        <v>2021</v>
      </c>
      <c r="F1937" s="168" t="s">
        <v>591</v>
      </c>
      <c r="G1937" s="168" t="s">
        <v>611</v>
      </c>
      <c r="H1937" s="168" t="s">
        <v>609</v>
      </c>
      <c r="I1937">
        <v>47442.429417768071</v>
      </c>
    </row>
    <row r="1938" spans="1:9" x14ac:dyDescent="0.3">
      <c r="A1938">
        <v>70</v>
      </c>
      <c r="B1938" s="168" t="s">
        <v>104</v>
      </c>
      <c r="C1938" s="168" t="s">
        <v>105</v>
      </c>
      <c r="D1938">
        <v>11351</v>
      </c>
      <c r="E1938">
        <v>2021</v>
      </c>
      <c r="F1938" s="168" t="s">
        <v>591</v>
      </c>
      <c r="G1938" s="168" t="s">
        <v>613</v>
      </c>
      <c r="H1938" s="168" t="s">
        <v>608</v>
      </c>
      <c r="I1938">
        <v>428478.63117017527</v>
      </c>
    </row>
    <row r="1939" spans="1:9" x14ac:dyDescent="0.3">
      <c r="A1939">
        <v>70</v>
      </c>
      <c r="B1939" s="168" t="s">
        <v>104</v>
      </c>
      <c r="C1939" s="168" t="s">
        <v>105</v>
      </c>
      <c r="D1939">
        <v>11351</v>
      </c>
      <c r="E1939">
        <v>2021</v>
      </c>
      <c r="F1939" s="168" t="s">
        <v>591</v>
      </c>
      <c r="G1939" s="168" t="s">
        <v>613</v>
      </c>
      <c r="H1939" s="168" t="s">
        <v>609</v>
      </c>
      <c r="I1939">
        <v>86968.307173501264</v>
      </c>
    </row>
    <row r="1940" spans="1:9" x14ac:dyDescent="0.3">
      <c r="A1940">
        <v>71</v>
      </c>
      <c r="B1940" s="168" t="s">
        <v>106</v>
      </c>
      <c r="C1940" s="168" t="s">
        <v>107</v>
      </c>
      <c r="D1940">
        <v>8800.7000000000007</v>
      </c>
      <c r="E1940">
        <v>2021</v>
      </c>
      <c r="F1940" s="168" t="s">
        <v>591</v>
      </c>
      <c r="G1940" s="168" t="s">
        <v>610</v>
      </c>
      <c r="H1940" s="168" t="s">
        <v>608</v>
      </c>
      <c r="I1940">
        <v>0</v>
      </c>
    </row>
    <row r="1941" spans="1:9" x14ac:dyDescent="0.3">
      <c r="A1941">
        <v>71</v>
      </c>
      <c r="B1941" s="168" t="s">
        <v>106</v>
      </c>
      <c r="C1941" s="168" t="s">
        <v>107</v>
      </c>
      <c r="D1941">
        <v>8800.7000000000007</v>
      </c>
      <c r="E1941">
        <v>2021</v>
      </c>
      <c r="F1941" s="168" t="s">
        <v>591</v>
      </c>
      <c r="G1941" s="168" t="s">
        <v>610</v>
      </c>
      <c r="H1941" s="168" t="s">
        <v>609</v>
      </c>
      <c r="I1941">
        <v>6545.454545454545</v>
      </c>
    </row>
    <row r="1942" spans="1:9" x14ac:dyDescent="0.3">
      <c r="A1942">
        <v>72</v>
      </c>
      <c r="B1942" s="168" t="s">
        <v>108</v>
      </c>
      <c r="C1942" s="168" t="s">
        <v>107</v>
      </c>
      <c r="D1942">
        <v>6435.4</v>
      </c>
      <c r="E1942">
        <v>2021</v>
      </c>
      <c r="F1942" s="168" t="s">
        <v>591</v>
      </c>
      <c r="G1942" s="168" t="s">
        <v>607</v>
      </c>
      <c r="H1942" s="168" t="s">
        <v>608</v>
      </c>
      <c r="I1942">
        <v>3624657.46</v>
      </c>
    </row>
    <row r="1943" spans="1:9" x14ac:dyDescent="0.3">
      <c r="A1943">
        <v>72</v>
      </c>
      <c r="B1943" s="168" t="s">
        <v>108</v>
      </c>
      <c r="C1943" s="168" t="s">
        <v>107</v>
      </c>
      <c r="D1943">
        <v>6435.4</v>
      </c>
      <c r="E1943">
        <v>2021</v>
      </c>
      <c r="F1943" s="168" t="s">
        <v>591</v>
      </c>
      <c r="G1943" s="168" t="s">
        <v>607</v>
      </c>
      <c r="H1943" s="168" t="s">
        <v>609</v>
      </c>
      <c r="I1943">
        <v>1553424.62</v>
      </c>
    </row>
    <row r="1944" spans="1:9" x14ac:dyDescent="0.3">
      <c r="A1944">
        <v>72</v>
      </c>
      <c r="B1944" s="168" t="s">
        <v>108</v>
      </c>
      <c r="C1944" s="168" t="s">
        <v>107</v>
      </c>
      <c r="D1944">
        <v>6435.4</v>
      </c>
      <c r="E1944">
        <v>2021</v>
      </c>
      <c r="F1944" s="168" t="s">
        <v>591</v>
      </c>
      <c r="G1944" s="168" t="s">
        <v>612</v>
      </c>
      <c r="H1944" s="168" t="s">
        <v>608</v>
      </c>
      <c r="I1944">
        <v>479353.14279999997</v>
      </c>
    </row>
    <row r="1945" spans="1:9" x14ac:dyDescent="0.3">
      <c r="A1945">
        <v>72</v>
      </c>
      <c r="B1945" s="168" t="s">
        <v>108</v>
      </c>
      <c r="C1945" s="168" t="s">
        <v>107</v>
      </c>
      <c r="D1945">
        <v>6435.4</v>
      </c>
      <c r="E1945">
        <v>2021</v>
      </c>
      <c r="F1945" s="168" t="s">
        <v>591</v>
      </c>
      <c r="G1945" s="168" t="s">
        <v>612</v>
      </c>
      <c r="H1945" s="168" t="s">
        <v>609</v>
      </c>
      <c r="I1945">
        <v>205437.06</v>
      </c>
    </row>
    <row r="1946" spans="1:9" x14ac:dyDescent="0.3">
      <c r="A1946">
        <v>72</v>
      </c>
      <c r="B1946" s="168" t="s">
        <v>108</v>
      </c>
      <c r="C1946" s="168" t="s">
        <v>107</v>
      </c>
      <c r="D1946">
        <v>6435.4</v>
      </c>
      <c r="E1946">
        <v>2021</v>
      </c>
      <c r="F1946" s="168" t="s">
        <v>591</v>
      </c>
      <c r="G1946" s="168" t="s">
        <v>629</v>
      </c>
      <c r="H1946" s="168" t="s">
        <v>608</v>
      </c>
      <c r="I1946">
        <v>585621.39999999991</v>
      </c>
    </row>
    <row r="1947" spans="1:9" x14ac:dyDescent="0.3">
      <c r="A1947">
        <v>72</v>
      </c>
      <c r="B1947" s="168" t="s">
        <v>108</v>
      </c>
      <c r="C1947" s="168" t="s">
        <v>107</v>
      </c>
      <c r="D1947">
        <v>6435.4</v>
      </c>
      <c r="E1947">
        <v>2021</v>
      </c>
      <c r="F1947" s="168" t="s">
        <v>591</v>
      </c>
      <c r="G1947" s="168" t="s">
        <v>629</v>
      </c>
      <c r="H1947" s="168" t="s">
        <v>609</v>
      </c>
      <c r="I1947">
        <v>250980.59999999998</v>
      </c>
    </row>
    <row r="1948" spans="1:9" x14ac:dyDescent="0.3">
      <c r="A1948">
        <v>72</v>
      </c>
      <c r="B1948" s="168" t="s">
        <v>108</v>
      </c>
      <c r="C1948" s="168" t="s">
        <v>107</v>
      </c>
      <c r="D1948">
        <v>6435.4</v>
      </c>
      <c r="E1948">
        <v>2021</v>
      </c>
      <c r="F1948" s="168" t="s">
        <v>591</v>
      </c>
      <c r="G1948" s="168" t="s">
        <v>618</v>
      </c>
      <c r="H1948" s="168" t="s">
        <v>608</v>
      </c>
      <c r="I1948">
        <v>0</v>
      </c>
    </row>
    <row r="1949" spans="1:9" x14ac:dyDescent="0.3">
      <c r="A1949">
        <v>72</v>
      </c>
      <c r="B1949" s="168" t="s">
        <v>108</v>
      </c>
      <c r="C1949" s="168" t="s">
        <v>107</v>
      </c>
      <c r="D1949">
        <v>6435.4</v>
      </c>
      <c r="E1949">
        <v>2021</v>
      </c>
      <c r="F1949" s="168" t="s">
        <v>591</v>
      </c>
      <c r="G1949" s="168" t="s">
        <v>618</v>
      </c>
      <c r="H1949" s="168" t="s">
        <v>609</v>
      </c>
      <c r="I1949">
        <v>10651.685393258427</v>
      </c>
    </row>
    <row r="1950" spans="1:9" x14ac:dyDescent="0.3">
      <c r="A1950">
        <v>72</v>
      </c>
      <c r="B1950" s="168" t="s">
        <v>108</v>
      </c>
      <c r="C1950" s="168" t="s">
        <v>107</v>
      </c>
      <c r="D1950">
        <v>6435.4</v>
      </c>
      <c r="E1950">
        <v>2021</v>
      </c>
      <c r="F1950" s="168" t="s">
        <v>591</v>
      </c>
      <c r="G1950" s="168" t="s">
        <v>619</v>
      </c>
      <c r="H1950" s="168" t="s">
        <v>608</v>
      </c>
      <c r="I1950">
        <v>0</v>
      </c>
    </row>
    <row r="1951" spans="1:9" x14ac:dyDescent="0.3">
      <c r="A1951">
        <v>72</v>
      </c>
      <c r="B1951" s="168" t="s">
        <v>108</v>
      </c>
      <c r="C1951" s="168" t="s">
        <v>107</v>
      </c>
      <c r="D1951">
        <v>6435.4</v>
      </c>
      <c r="E1951">
        <v>2021</v>
      </c>
      <c r="F1951" s="168" t="s">
        <v>591</v>
      </c>
      <c r="G1951" s="168" t="s">
        <v>619</v>
      </c>
      <c r="H1951" s="168" t="s">
        <v>609</v>
      </c>
      <c r="I1951">
        <v>79990</v>
      </c>
    </row>
    <row r="1952" spans="1:9" x14ac:dyDescent="0.3">
      <c r="A1952">
        <v>72</v>
      </c>
      <c r="B1952" s="168" t="s">
        <v>108</v>
      </c>
      <c r="C1952" s="168" t="s">
        <v>107</v>
      </c>
      <c r="D1952">
        <v>6435.4</v>
      </c>
      <c r="E1952">
        <v>2021</v>
      </c>
      <c r="F1952" s="168" t="s">
        <v>591</v>
      </c>
      <c r="G1952" s="168" t="s">
        <v>610</v>
      </c>
      <c r="H1952" s="168" t="s">
        <v>608</v>
      </c>
      <c r="I1952">
        <v>0</v>
      </c>
    </row>
    <row r="1953" spans="1:9" x14ac:dyDescent="0.3">
      <c r="A1953">
        <v>72</v>
      </c>
      <c r="B1953" s="168" t="s">
        <v>108</v>
      </c>
      <c r="C1953" s="168" t="s">
        <v>107</v>
      </c>
      <c r="D1953">
        <v>6435.4</v>
      </c>
      <c r="E1953">
        <v>2021</v>
      </c>
      <c r="F1953" s="168" t="s">
        <v>591</v>
      </c>
      <c r="G1953" s="168" t="s">
        <v>610</v>
      </c>
      <c r="H1953" s="168" t="s">
        <v>609</v>
      </c>
      <c r="I1953">
        <v>6545.454545454545</v>
      </c>
    </row>
    <row r="1954" spans="1:9" x14ac:dyDescent="0.3">
      <c r="A1954">
        <v>72</v>
      </c>
      <c r="B1954" s="168" t="s">
        <v>108</v>
      </c>
      <c r="C1954" s="168" t="s">
        <v>107</v>
      </c>
      <c r="D1954">
        <v>6435.4</v>
      </c>
      <c r="E1954">
        <v>2021</v>
      </c>
      <c r="F1954" s="168" t="s">
        <v>591</v>
      </c>
      <c r="G1954" s="168" t="s">
        <v>633</v>
      </c>
      <c r="H1954" s="168" t="s">
        <v>608</v>
      </c>
      <c r="I1954">
        <v>19272.44291523303</v>
      </c>
    </row>
    <row r="1955" spans="1:9" x14ac:dyDescent="0.3">
      <c r="A1955">
        <v>72</v>
      </c>
      <c r="B1955" s="168" t="s">
        <v>108</v>
      </c>
      <c r="C1955" s="168" t="s">
        <v>107</v>
      </c>
      <c r="D1955">
        <v>6435.4</v>
      </c>
      <c r="E1955">
        <v>2021</v>
      </c>
      <c r="F1955" s="168" t="s">
        <v>591</v>
      </c>
      <c r="G1955" s="168" t="s">
        <v>633</v>
      </c>
      <c r="H1955" s="168" t="s">
        <v>609</v>
      </c>
      <c r="I1955">
        <v>29859.599999999999</v>
      </c>
    </row>
    <row r="1956" spans="1:9" x14ac:dyDescent="0.3">
      <c r="A1956">
        <v>72</v>
      </c>
      <c r="B1956" s="168" t="s">
        <v>108</v>
      </c>
      <c r="C1956" s="168" t="s">
        <v>107</v>
      </c>
      <c r="D1956">
        <v>6435.4</v>
      </c>
      <c r="E1956">
        <v>2021</v>
      </c>
      <c r="F1956" s="168" t="s">
        <v>591</v>
      </c>
      <c r="G1956" s="168" t="s">
        <v>623</v>
      </c>
      <c r="H1956" s="168" t="s">
        <v>608</v>
      </c>
      <c r="I1956">
        <v>48817.307692307702</v>
      </c>
    </row>
    <row r="1957" spans="1:9" x14ac:dyDescent="0.3">
      <c r="A1957">
        <v>72</v>
      </c>
      <c r="B1957" s="168" t="s">
        <v>108</v>
      </c>
      <c r="C1957" s="168" t="s">
        <v>107</v>
      </c>
      <c r="D1957">
        <v>6435.4</v>
      </c>
      <c r="E1957">
        <v>2021</v>
      </c>
      <c r="F1957" s="168" t="s">
        <v>591</v>
      </c>
      <c r="G1957" s="168" t="s">
        <v>623</v>
      </c>
      <c r="H1957" s="168" t="s">
        <v>609</v>
      </c>
      <c r="I1957">
        <v>35510.391250000001</v>
      </c>
    </row>
    <row r="1958" spans="1:9" x14ac:dyDescent="0.3">
      <c r="A1958">
        <v>72</v>
      </c>
      <c r="B1958" s="168" t="s">
        <v>108</v>
      </c>
      <c r="C1958" s="168" t="s">
        <v>107</v>
      </c>
      <c r="D1958">
        <v>6435.4</v>
      </c>
      <c r="E1958">
        <v>2021</v>
      </c>
      <c r="F1958" s="168" t="s">
        <v>591</v>
      </c>
      <c r="G1958" s="168" t="s">
        <v>625</v>
      </c>
      <c r="H1958" s="168" t="s">
        <v>608</v>
      </c>
      <c r="I1958">
        <v>0</v>
      </c>
    </row>
    <row r="1959" spans="1:9" x14ac:dyDescent="0.3">
      <c r="A1959">
        <v>72</v>
      </c>
      <c r="B1959" s="168" t="s">
        <v>108</v>
      </c>
      <c r="C1959" s="168" t="s">
        <v>107</v>
      </c>
      <c r="D1959">
        <v>6435.4</v>
      </c>
      <c r="E1959">
        <v>2021</v>
      </c>
      <c r="F1959" s="168" t="s">
        <v>591</v>
      </c>
      <c r="G1959" s="168" t="s">
        <v>625</v>
      </c>
      <c r="H1959" s="168" t="s">
        <v>609</v>
      </c>
      <c r="I1959">
        <v>51464.1</v>
      </c>
    </row>
    <row r="1960" spans="1:9" x14ac:dyDescent="0.3">
      <c r="A1960">
        <v>72</v>
      </c>
      <c r="B1960" s="168" t="s">
        <v>108</v>
      </c>
      <c r="C1960" s="168" t="s">
        <v>107</v>
      </c>
      <c r="D1960">
        <v>6435.4</v>
      </c>
      <c r="E1960">
        <v>2021</v>
      </c>
      <c r="F1960" s="168" t="s">
        <v>591</v>
      </c>
      <c r="G1960" s="168" t="s">
        <v>630</v>
      </c>
      <c r="H1960" s="168" t="s">
        <v>608</v>
      </c>
      <c r="I1960">
        <v>929545.78499999992</v>
      </c>
    </row>
    <row r="1961" spans="1:9" x14ac:dyDescent="0.3">
      <c r="A1961">
        <v>72</v>
      </c>
      <c r="B1961" s="168" t="s">
        <v>108</v>
      </c>
      <c r="C1961" s="168" t="s">
        <v>107</v>
      </c>
      <c r="D1961">
        <v>6435.4</v>
      </c>
      <c r="E1961">
        <v>2021</v>
      </c>
      <c r="F1961" s="168" t="s">
        <v>591</v>
      </c>
      <c r="G1961" s="168" t="s">
        <v>630</v>
      </c>
      <c r="H1961" s="168" t="s">
        <v>609</v>
      </c>
      <c r="I1961">
        <v>398376.76500000001</v>
      </c>
    </row>
    <row r="1962" spans="1:9" x14ac:dyDescent="0.3">
      <c r="A1962">
        <v>72</v>
      </c>
      <c r="B1962" s="168" t="s">
        <v>108</v>
      </c>
      <c r="C1962" s="168" t="s">
        <v>107</v>
      </c>
      <c r="D1962">
        <v>6435.4</v>
      </c>
      <c r="E1962">
        <v>2021</v>
      </c>
      <c r="F1962" s="168" t="s">
        <v>591</v>
      </c>
      <c r="G1962" s="168" t="s">
        <v>611</v>
      </c>
      <c r="H1962" s="168" t="s">
        <v>608</v>
      </c>
      <c r="I1962">
        <v>0</v>
      </c>
    </row>
    <row r="1963" spans="1:9" x14ac:dyDescent="0.3">
      <c r="A1963">
        <v>72</v>
      </c>
      <c r="B1963" s="168" t="s">
        <v>108</v>
      </c>
      <c r="C1963" s="168" t="s">
        <v>107</v>
      </c>
      <c r="D1963">
        <v>6435.4</v>
      </c>
      <c r="E1963">
        <v>2021</v>
      </c>
      <c r="F1963" s="168" t="s">
        <v>591</v>
      </c>
      <c r="G1963" s="168" t="s">
        <v>611</v>
      </c>
      <c r="H1963" s="168" t="s">
        <v>609</v>
      </c>
      <c r="I1963">
        <v>26897.278678099257</v>
      </c>
    </row>
    <row r="1964" spans="1:9" x14ac:dyDescent="0.3">
      <c r="A1964">
        <v>72</v>
      </c>
      <c r="B1964" s="168" t="s">
        <v>108</v>
      </c>
      <c r="C1964" s="168" t="s">
        <v>107</v>
      </c>
      <c r="D1964">
        <v>6435.4</v>
      </c>
      <c r="E1964">
        <v>2021</v>
      </c>
      <c r="F1964" s="168" t="s">
        <v>591</v>
      </c>
      <c r="G1964" s="168" t="s">
        <v>613</v>
      </c>
      <c r="H1964" s="168" t="s">
        <v>608</v>
      </c>
      <c r="I1964">
        <v>456040.13279813901</v>
      </c>
    </row>
    <row r="1965" spans="1:9" x14ac:dyDescent="0.3">
      <c r="A1965">
        <v>72</v>
      </c>
      <c r="B1965" s="168" t="s">
        <v>108</v>
      </c>
      <c r="C1965" s="168" t="s">
        <v>107</v>
      </c>
      <c r="D1965">
        <v>6435.4</v>
      </c>
      <c r="E1965">
        <v>2021</v>
      </c>
      <c r="F1965" s="168" t="s">
        <v>591</v>
      </c>
      <c r="G1965" s="168" t="s">
        <v>613</v>
      </c>
      <c r="H1965" s="168" t="s">
        <v>609</v>
      </c>
      <c r="I1965">
        <v>185949.20366143071</v>
      </c>
    </row>
    <row r="1966" spans="1:9" x14ac:dyDescent="0.3">
      <c r="A1966">
        <v>73</v>
      </c>
      <c r="B1966" s="168" t="s">
        <v>109</v>
      </c>
      <c r="C1966" s="168" t="s">
        <v>110</v>
      </c>
      <c r="D1966">
        <v>6896.7</v>
      </c>
      <c r="E1966">
        <v>2021</v>
      </c>
      <c r="F1966" s="168" t="s">
        <v>593</v>
      </c>
      <c r="G1966" s="168" t="s">
        <v>607</v>
      </c>
      <c r="H1966" s="168" t="s">
        <v>609</v>
      </c>
      <c r="I1966">
        <v>5178082.08</v>
      </c>
    </row>
    <row r="1967" spans="1:9" x14ac:dyDescent="0.3">
      <c r="A1967">
        <v>73</v>
      </c>
      <c r="B1967" s="168" t="s">
        <v>109</v>
      </c>
      <c r="C1967" s="168" t="s">
        <v>110</v>
      </c>
      <c r="D1967">
        <v>6896.7</v>
      </c>
      <c r="E1967">
        <v>2021</v>
      </c>
      <c r="F1967" s="168" t="s">
        <v>593</v>
      </c>
      <c r="G1967" s="168" t="s">
        <v>612</v>
      </c>
      <c r="H1967" s="168" t="s">
        <v>609</v>
      </c>
      <c r="I1967">
        <v>83532.38</v>
      </c>
    </row>
    <row r="1968" spans="1:9" x14ac:dyDescent="0.3">
      <c r="A1968">
        <v>73</v>
      </c>
      <c r="B1968" s="168" t="s">
        <v>109</v>
      </c>
      <c r="C1968" s="168" t="s">
        <v>110</v>
      </c>
      <c r="D1968">
        <v>6896.7</v>
      </c>
      <c r="E1968">
        <v>2021</v>
      </c>
      <c r="F1968" s="168" t="s">
        <v>593</v>
      </c>
      <c r="G1968" s="168" t="s">
        <v>617</v>
      </c>
      <c r="H1968" s="168" t="s">
        <v>608</v>
      </c>
      <c r="I1968">
        <v>13793.5</v>
      </c>
    </row>
    <row r="1969" spans="1:9" x14ac:dyDescent="0.3">
      <c r="A1969">
        <v>73</v>
      </c>
      <c r="B1969" s="168" t="s">
        <v>109</v>
      </c>
      <c r="C1969" s="168" t="s">
        <v>110</v>
      </c>
      <c r="D1969">
        <v>6896.7</v>
      </c>
      <c r="E1969">
        <v>2021</v>
      </c>
      <c r="F1969" s="168" t="s">
        <v>593</v>
      </c>
      <c r="G1969" s="168" t="s">
        <v>617</v>
      </c>
      <c r="H1969" s="168" t="s">
        <v>609</v>
      </c>
      <c r="I1969">
        <v>13793.5</v>
      </c>
    </row>
    <row r="1970" spans="1:9" x14ac:dyDescent="0.3">
      <c r="A1970">
        <v>73</v>
      </c>
      <c r="B1970" s="168" t="s">
        <v>109</v>
      </c>
      <c r="C1970" s="168" t="s">
        <v>110</v>
      </c>
      <c r="D1970">
        <v>6896.7</v>
      </c>
      <c r="E1970">
        <v>2021</v>
      </c>
      <c r="F1970" s="168" t="s">
        <v>593</v>
      </c>
      <c r="G1970" s="168" t="s">
        <v>618</v>
      </c>
      <c r="H1970" s="168" t="s">
        <v>608</v>
      </c>
      <c r="I1970">
        <v>0</v>
      </c>
    </row>
    <row r="1971" spans="1:9" x14ac:dyDescent="0.3">
      <c r="A1971">
        <v>73</v>
      </c>
      <c r="B1971" s="168" t="s">
        <v>109</v>
      </c>
      <c r="C1971" s="168" t="s">
        <v>110</v>
      </c>
      <c r="D1971">
        <v>6896.7</v>
      </c>
      <c r="E1971">
        <v>2021</v>
      </c>
      <c r="F1971" s="168" t="s">
        <v>593</v>
      </c>
      <c r="G1971" s="168" t="s">
        <v>618</v>
      </c>
      <c r="H1971" s="168" t="s">
        <v>609</v>
      </c>
      <c r="I1971">
        <v>5325.8426966292136</v>
      </c>
    </row>
    <row r="1972" spans="1:9" x14ac:dyDescent="0.3">
      <c r="A1972">
        <v>73</v>
      </c>
      <c r="B1972" s="168" t="s">
        <v>109</v>
      </c>
      <c r="C1972" s="168" t="s">
        <v>110</v>
      </c>
      <c r="D1972">
        <v>6896.7</v>
      </c>
      <c r="E1972">
        <v>2021</v>
      </c>
      <c r="F1972" s="168" t="s">
        <v>593</v>
      </c>
      <c r="G1972" s="168" t="s">
        <v>610</v>
      </c>
      <c r="H1972" s="168" t="s">
        <v>608</v>
      </c>
      <c r="I1972">
        <v>0</v>
      </c>
    </row>
    <row r="1973" spans="1:9" x14ac:dyDescent="0.3">
      <c r="A1973">
        <v>73</v>
      </c>
      <c r="B1973" s="168" t="s">
        <v>109</v>
      </c>
      <c r="C1973" s="168" t="s">
        <v>110</v>
      </c>
      <c r="D1973">
        <v>6896.7</v>
      </c>
      <c r="E1973">
        <v>2021</v>
      </c>
      <c r="F1973" s="168" t="s">
        <v>593</v>
      </c>
      <c r="G1973" s="168" t="s">
        <v>610</v>
      </c>
      <c r="H1973" s="168" t="s">
        <v>609</v>
      </c>
      <c r="I1973">
        <v>6545.454545454545</v>
      </c>
    </row>
    <row r="1974" spans="1:9" x14ac:dyDescent="0.3">
      <c r="A1974">
        <v>73</v>
      </c>
      <c r="B1974" s="168" t="s">
        <v>109</v>
      </c>
      <c r="C1974" s="168" t="s">
        <v>110</v>
      </c>
      <c r="D1974">
        <v>6896.7</v>
      </c>
      <c r="E1974">
        <v>2021</v>
      </c>
      <c r="F1974" s="168" t="s">
        <v>593</v>
      </c>
      <c r="G1974" s="168" t="s">
        <v>620</v>
      </c>
      <c r="H1974" s="168" t="s">
        <v>608</v>
      </c>
      <c r="I1974">
        <v>76952.529032258055</v>
      </c>
    </row>
    <row r="1975" spans="1:9" x14ac:dyDescent="0.3">
      <c r="A1975">
        <v>73</v>
      </c>
      <c r="B1975" s="168" t="s">
        <v>109</v>
      </c>
      <c r="C1975" s="168" t="s">
        <v>110</v>
      </c>
      <c r="D1975">
        <v>6896.7</v>
      </c>
      <c r="E1975">
        <v>2021</v>
      </c>
      <c r="F1975" s="168" t="s">
        <v>593</v>
      </c>
      <c r="G1975" s="168" t="s">
        <v>620</v>
      </c>
      <c r="H1975" s="168" t="s">
        <v>609</v>
      </c>
      <c r="I1975">
        <v>0</v>
      </c>
    </row>
    <row r="1976" spans="1:9" x14ac:dyDescent="0.3">
      <c r="A1976">
        <v>73</v>
      </c>
      <c r="B1976" s="168" t="s">
        <v>109</v>
      </c>
      <c r="C1976" s="168" t="s">
        <v>110</v>
      </c>
      <c r="D1976">
        <v>6896.7</v>
      </c>
      <c r="E1976">
        <v>2021</v>
      </c>
      <c r="F1976" s="168" t="s">
        <v>593</v>
      </c>
      <c r="G1976" s="168" t="s">
        <v>633</v>
      </c>
      <c r="H1976" s="168" t="s">
        <v>608</v>
      </c>
      <c r="I1976">
        <v>0</v>
      </c>
    </row>
    <row r="1977" spans="1:9" x14ac:dyDescent="0.3">
      <c r="A1977">
        <v>73</v>
      </c>
      <c r="B1977" s="168" t="s">
        <v>109</v>
      </c>
      <c r="C1977" s="168" t="s">
        <v>110</v>
      </c>
      <c r="D1977">
        <v>6896.7</v>
      </c>
      <c r="E1977">
        <v>2021</v>
      </c>
      <c r="F1977" s="168" t="s">
        <v>593</v>
      </c>
      <c r="G1977" s="168" t="s">
        <v>633</v>
      </c>
      <c r="H1977" s="168" t="s">
        <v>609</v>
      </c>
      <c r="I1977">
        <v>8814.1592920353978</v>
      </c>
    </row>
    <row r="1978" spans="1:9" x14ac:dyDescent="0.3">
      <c r="A1978">
        <v>73</v>
      </c>
      <c r="B1978" s="168" t="s">
        <v>109</v>
      </c>
      <c r="C1978" s="168" t="s">
        <v>110</v>
      </c>
      <c r="D1978">
        <v>6896.7</v>
      </c>
      <c r="E1978">
        <v>2021</v>
      </c>
      <c r="F1978" s="168" t="s">
        <v>593</v>
      </c>
      <c r="G1978" s="168" t="s">
        <v>615</v>
      </c>
      <c r="H1978" s="168" t="s">
        <v>608</v>
      </c>
      <c r="I1978">
        <v>0</v>
      </c>
    </row>
    <row r="1979" spans="1:9" x14ac:dyDescent="0.3">
      <c r="A1979">
        <v>73</v>
      </c>
      <c r="B1979" s="168" t="s">
        <v>109</v>
      </c>
      <c r="C1979" s="168" t="s">
        <v>110</v>
      </c>
      <c r="D1979">
        <v>6896.7</v>
      </c>
      <c r="E1979">
        <v>2021</v>
      </c>
      <c r="F1979" s="168" t="s">
        <v>593</v>
      </c>
      <c r="G1979" s="168" t="s">
        <v>615</v>
      </c>
      <c r="H1979" s="168" t="s">
        <v>609</v>
      </c>
      <c r="I1979">
        <v>7536.5853658536589</v>
      </c>
    </row>
    <row r="1980" spans="1:9" x14ac:dyDescent="0.3">
      <c r="A1980">
        <v>73</v>
      </c>
      <c r="B1980" s="168" t="s">
        <v>109</v>
      </c>
      <c r="C1980" s="168" t="s">
        <v>110</v>
      </c>
      <c r="D1980">
        <v>6896.7</v>
      </c>
      <c r="E1980">
        <v>2021</v>
      </c>
      <c r="F1980" s="168" t="s">
        <v>593</v>
      </c>
      <c r="G1980" s="168" t="s">
        <v>630</v>
      </c>
      <c r="H1980" s="168" t="s">
        <v>608</v>
      </c>
      <c r="I1980">
        <v>1044065</v>
      </c>
    </row>
    <row r="1981" spans="1:9" x14ac:dyDescent="0.3">
      <c r="A1981">
        <v>73</v>
      </c>
      <c r="B1981" s="168" t="s">
        <v>109</v>
      </c>
      <c r="C1981" s="168" t="s">
        <v>110</v>
      </c>
      <c r="D1981">
        <v>6896.7</v>
      </c>
      <c r="E1981">
        <v>2021</v>
      </c>
      <c r="F1981" s="168" t="s">
        <v>593</v>
      </c>
      <c r="G1981" s="168" t="s">
        <v>630</v>
      </c>
      <c r="H1981" s="168" t="s">
        <v>609</v>
      </c>
      <c r="I1981">
        <v>1044065</v>
      </c>
    </row>
    <row r="1982" spans="1:9" x14ac:dyDescent="0.3">
      <c r="A1982">
        <v>73</v>
      </c>
      <c r="B1982" s="168" t="s">
        <v>109</v>
      </c>
      <c r="C1982" s="168" t="s">
        <v>110</v>
      </c>
      <c r="D1982">
        <v>6896.7</v>
      </c>
      <c r="E1982">
        <v>2021</v>
      </c>
      <c r="F1982" s="168" t="s">
        <v>593</v>
      </c>
      <c r="G1982" s="168" t="s">
        <v>621</v>
      </c>
      <c r="H1982" s="168" t="s">
        <v>609</v>
      </c>
      <c r="I1982">
        <v>4545786</v>
      </c>
    </row>
    <row r="1983" spans="1:9" x14ac:dyDescent="0.3">
      <c r="A1983">
        <v>73</v>
      </c>
      <c r="B1983" s="168" t="s">
        <v>109</v>
      </c>
      <c r="C1983" s="168" t="s">
        <v>110</v>
      </c>
      <c r="D1983">
        <v>6896.7</v>
      </c>
      <c r="E1983">
        <v>2021</v>
      </c>
      <c r="F1983" s="168" t="s">
        <v>593</v>
      </c>
      <c r="G1983" s="168" t="s">
        <v>613</v>
      </c>
      <c r="H1983" s="168" t="s">
        <v>608</v>
      </c>
      <c r="I1983">
        <v>488729.83557648701</v>
      </c>
    </row>
    <row r="1984" spans="1:9" x14ac:dyDescent="0.3">
      <c r="A1984">
        <v>73</v>
      </c>
      <c r="B1984" s="168" t="s">
        <v>109</v>
      </c>
      <c r="C1984" s="168" t="s">
        <v>110</v>
      </c>
      <c r="D1984">
        <v>6896.7</v>
      </c>
      <c r="E1984">
        <v>2021</v>
      </c>
      <c r="F1984" s="168" t="s">
        <v>593</v>
      </c>
      <c r="G1984" s="168" t="s">
        <v>613</v>
      </c>
      <c r="H1984" s="168" t="s">
        <v>609</v>
      </c>
      <c r="I1984">
        <v>669901.57999999996</v>
      </c>
    </row>
    <row r="1985" spans="1:9" x14ac:dyDescent="0.3">
      <c r="A1985">
        <v>75</v>
      </c>
      <c r="B1985" s="168" t="s">
        <v>113</v>
      </c>
      <c r="C1985" s="168" t="s">
        <v>114</v>
      </c>
      <c r="D1985">
        <v>3455.5</v>
      </c>
      <c r="E1985">
        <v>2021</v>
      </c>
      <c r="F1985" s="168" t="s">
        <v>593</v>
      </c>
      <c r="G1985" s="168" t="s">
        <v>607</v>
      </c>
      <c r="H1985" s="168" t="s">
        <v>609</v>
      </c>
      <c r="I1985">
        <v>1294520.52</v>
      </c>
    </row>
    <row r="1986" spans="1:9" x14ac:dyDescent="0.3">
      <c r="A1986">
        <v>75</v>
      </c>
      <c r="B1986" s="168" t="s">
        <v>113</v>
      </c>
      <c r="C1986" s="168" t="s">
        <v>114</v>
      </c>
      <c r="D1986">
        <v>3455.5</v>
      </c>
      <c r="E1986">
        <v>2021</v>
      </c>
      <c r="F1986" s="168" t="s">
        <v>593</v>
      </c>
      <c r="G1986" s="168" t="s">
        <v>612</v>
      </c>
      <c r="H1986" s="168" t="s">
        <v>608</v>
      </c>
      <c r="I1986">
        <v>0</v>
      </c>
    </row>
    <row r="1987" spans="1:9" x14ac:dyDescent="0.3">
      <c r="A1987">
        <v>75</v>
      </c>
      <c r="B1987" s="168" t="s">
        <v>113</v>
      </c>
      <c r="C1987" s="168" t="s">
        <v>114</v>
      </c>
      <c r="D1987">
        <v>3455.5</v>
      </c>
      <c r="E1987">
        <v>2021</v>
      </c>
      <c r="F1987" s="168" t="s">
        <v>593</v>
      </c>
      <c r="G1987" s="168" t="s">
        <v>612</v>
      </c>
      <c r="H1987" s="168" t="s">
        <v>609</v>
      </c>
      <c r="I1987">
        <v>8330</v>
      </c>
    </row>
    <row r="1988" spans="1:9" x14ac:dyDescent="0.3">
      <c r="A1988">
        <v>75</v>
      </c>
      <c r="B1988" s="168" t="s">
        <v>113</v>
      </c>
      <c r="C1988" s="168" t="s">
        <v>114</v>
      </c>
      <c r="D1988">
        <v>3455.5</v>
      </c>
      <c r="E1988">
        <v>2021</v>
      </c>
      <c r="F1988" s="168" t="s">
        <v>593</v>
      </c>
      <c r="G1988" s="168" t="s">
        <v>629</v>
      </c>
      <c r="H1988" s="168" t="s">
        <v>608</v>
      </c>
      <c r="I1988">
        <v>0</v>
      </c>
    </row>
    <row r="1989" spans="1:9" x14ac:dyDescent="0.3">
      <c r="A1989">
        <v>75</v>
      </c>
      <c r="B1989" s="168" t="s">
        <v>113</v>
      </c>
      <c r="C1989" s="168" t="s">
        <v>114</v>
      </c>
      <c r="D1989">
        <v>3455.5</v>
      </c>
      <c r="E1989">
        <v>2021</v>
      </c>
      <c r="F1989" s="168" t="s">
        <v>593</v>
      </c>
      <c r="G1989" s="168" t="s">
        <v>629</v>
      </c>
      <c r="H1989" s="168" t="s">
        <v>609</v>
      </c>
      <c r="I1989">
        <v>757500</v>
      </c>
    </row>
    <row r="1990" spans="1:9" x14ac:dyDescent="0.3">
      <c r="A1990">
        <v>75</v>
      </c>
      <c r="B1990" s="168" t="s">
        <v>113</v>
      </c>
      <c r="C1990" s="168" t="s">
        <v>114</v>
      </c>
      <c r="D1990">
        <v>3455.5</v>
      </c>
      <c r="E1990">
        <v>2021</v>
      </c>
      <c r="F1990" s="168" t="s">
        <v>593</v>
      </c>
      <c r="G1990" s="168" t="s">
        <v>617</v>
      </c>
      <c r="H1990" s="168" t="s">
        <v>608</v>
      </c>
      <c r="I1990">
        <v>6911</v>
      </c>
    </row>
    <row r="1991" spans="1:9" x14ac:dyDescent="0.3">
      <c r="A1991">
        <v>75</v>
      </c>
      <c r="B1991" s="168" t="s">
        <v>113</v>
      </c>
      <c r="C1991" s="168" t="s">
        <v>114</v>
      </c>
      <c r="D1991">
        <v>3455.5</v>
      </c>
      <c r="E1991">
        <v>2021</v>
      </c>
      <c r="F1991" s="168" t="s">
        <v>593</v>
      </c>
      <c r="G1991" s="168" t="s">
        <v>617</v>
      </c>
      <c r="H1991" s="168" t="s">
        <v>609</v>
      </c>
      <c r="I1991">
        <v>6911</v>
      </c>
    </row>
    <row r="1992" spans="1:9" x14ac:dyDescent="0.3">
      <c r="A1992">
        <v>75</v>
      </c>
      <c r="B1992" s="168" t="s">
        <v>113</v>
      </c>
      <c r="C1992" s="168" t="s">
        <v>114</v>
      </c>
      <c r="D1992">
        <v>3455.5</v>
      </c>
      <c r="E1992">
        <v>2021</v>
      </c>
      <c r="F1992" s="168" t="s">
        <v>593</v>
      </c>
      <c r="G1992" s="168" t="s">
        <v>618</v>
      </c>
      <c r="H1992" s="168" t="s">
        <v>608</v>
      </c>
      <c r="I1992">
        <v>0</v>
      </c>
    </row>
    <row r="1993" spans="1:9" x14ac:dyDescent="0.3">
      <c r="A1993">
        <v>75</v>
      </c>
      <c r="B1993" s="168" t="s">
        <v>113</v>
      </c>
      <c r="C1993" s="168" t="s">
        <v>114</v>
      </c>
      <c r="D1993">
        <v>3455.5</v>
      </c>
      <c r="E1993">
        <v>2021</v>
      </c>
      <c r="F1993" s="168" t="s">
        <v>593</v>
      </c>
      <c r="G1993" s="168" t="s">
        <v>618</v>
      </c>
      <c r="H1993" s="168" t="s">
        <v>609</v>
      </c>
      <c r="I1993">
        <v>198000</v>
      </c>
    </row>
    <row r="1994" spans="1:9" x14ac:dyDescent="0.3">
      <c r="A1994">
        <v>75</v>
      </c>
      <c r="B1994" s="168" t="s">
        <v>113</v>
      </c>
      <c r="C1994" s="168" t="s">
        <v>114</v>
      </c>
      <c r="D1994">
        <v>3455.5</v>
      </c>
      <c r="E1994">
        <v>2021</v>
      </c>
      <c r="F1994" s="168" t="s">
        <v>593</v>
      </c>
      <c r="G1994" s="168" t="s">
        <v>610</v>
      </c>
      <c r="H1994" s="168" t="s">
        <v>608</v>
      </c>
      <c r="I1994">
        <v>0</v>
      </c>
    </row>
    <row r="1995" spans="1:9" x14ac:dyDescent="0.3">
      <c r="A1995">
        <v>75</v>
      </c>
      <c r="B1995" s="168" t="s">
        <v>113</v>
      </c>
      <c r="C1995" s="168" t="s">
        <v>114</v>
      </c>
      <c r="D1995">
        <v>3455.5</v>
      </c>
      <c r="E1995">
        <v>2021</v>
      </c>
      <c r="F1995" s="168" t="s">
        <v>593</v>
      </c>
      <c r="G1995" s="168" t="s">
        <v>610</v>
      </c>
      <c r="H1995" s="168" t="s">
        <v>609</v>
      </c>
      <c r="I1995">
        <v>3272.7272727272725</v>
      </c>
    </row>
    <row r="1996" spans="1:9" x14ac:dyDescent="0.3">
      <c r="A1996">
        <v>75</v>
      </c>
      <c r="B1996" s="168" t="s">
        <v>113</v>
      </c>
      <c r="C1996" s="168" t="s">
        <v>114</v>
      </c>
      <c r="D1996">
        <v>3455.5</v>
      </c>
      <c r="E1996">
        <v>2021</v>
      </c>
      <c r="F1996" s="168" t="s">
        <v>593</v>
      </c>
      <c r="G1996" s="168" t="s">
        <v>620</v>
      </c>
      <c r="H1996" s="168" t="s">
        <v>608</v>
      </c>
      <c r="I1996">
        <v>76952.529032258055</v>
      </c>
    </row>
    <row r="1997" spans="1:9" x14ac:dyDescent="0.3">
      <c r="A1997">
        <v>75</v>
      </c>
      <c r="B1997" s="168" t="s">
        <v>113</v>
      </c>
      <c r="C1997" s="168" t="s">
        <v>114</v>
      </c>
      <c r="D1997">
        <v>3455.5</v>
      </c>
      <c r="E1997">
        <v>2021</v>
      </c>
      <c r="F1997" s="168" t="s">
        <v>593</v>
      </c>
      <c r="G1997" s="168" t="s">
        <v>620</v>
      </c>
      <c r="H1997" s="168" t="s">
        <v>609</v>
      </c>
      <c r="I1997">
        <v>0</v>
      </c>
    </row>
    <row r="1998" spans="1:9" x14ac:dyDescent="0.3">
      <c r="A1998">
        <v>75</v>
      </c>
      <c r="B1998" s="168" t="s">
        <v>113</v>
      </c>
      <c r="C1998" s="168" t="s">
        <v>114</v>
      </c>
      <c r="D1998">
        <v>3455.5</v>
      </c>
      <c r="E1998">
        <v>2021</v>
      </c>
      <c r="F1998" s="168" t="s">
        <v>593</v>
      </c>
      <c r="G1998" s="168" t="s">
        <v>625</v>
      </c>
      <c r="H1998" s="168" t="s">
        <v>608</v>
      </c>
      <c r="I1998">
        <v>0</v>
      </c>
    </row>
    <row r="1999" spans="1:9" x14ac:dyDescent="0.3">
      <c r="A1999">
        <v>75</v>
      </c>
      <c r="B1999" s="168" t="s">
        <v>113</v>
      </c>
      <c r="C1999" s="168" t="s">
        <v>114</v>
      </c>
      <c r="D1999">
        <v>3455.5</v>
      </c>
      <c r="E1999">
        <v>2021</v>
      </c>
      <c r="F1999" s="168" t="s">
        <v>593</v>
      </c>
      <c r="G1999" s="168" t="s">
        <v>625</v>
      </c>
      <c r="H1999" s="168" t="s">
        <v>609</v>
      </c>
      <c r="I1999">
        <v>1000000</v>
      </c>
    </row>
    <row r="2000" spans="1:9" x14ac:dyDescent="0.3">
      <c r="A2000">
        <v>75</v>
      </c>
      <c r="B2000" s="168" t="s">
        <v>113</v>
      </c>
      <c r="C2000" s="168" t="s">
        <v>114</v>
      </c>
      <c r="D2000">
        <v>3455.5</v>
      </c>
      <c r="E2000">
        <v>2021</v>
      </c>
      <c r="F2000" s="168" t="s">
        <v>593</v>
      </c>
      <c r="G2000" s="168" t="s">
        <v>630</v>
      </c>
      <c r="H2000" s="168" t="s">
        <v>608</v>
      </c>
      <c r="I2000">
        <v>522032</v>
      </c>
    </row>
    <row r="2001" spans="1:9" x14ac:dyDescent="0.3">
      <c r="A2001">
        <v>75</v>
      </c>
      <c r="B2001" s="168" t="s">
        <v>113</v>
      </c>
      <c r="C2001" s="168" t="s">
        <v>114</v>
      </c>
      <c r="D2001">
        <v>3455.5</v>
      </c>
      <c r="E2001">
        <v>2021</v>
      </c>
      <c r="F2001" s="168" t="s">
        <v>593</v>
      </c>
      <c r="G2001" s="168" t="s">
        <v>630</v>
      </c>
      <c r="H2001" s="168" t="s">
        <v>609</v>
      </c>
      <c r="I2001">
        <v>522032</v>
      </c>
    </row>
    <row r="2002" spans="1:9" x14ac:dyDescent="0.3">
      <c r="A2002">
        <v>75</v>
      </c>
      <c r="B2002" s="168" t="s">
        <v>113</v>
      </c>
      <c r="C2002" s="168" t="s">
        <v>114</v>
      </c>
      <c r="D2002">
        <v>3455.5</v>
      </c>
      <c r="E2002">
        <v>2021</v>
      </c>
      <c r="F2002" s="168" t="s">
        <v>593</v>
      </c>
      <c r="G2002" s="168" t="s">
        <v>621</v>
      </c>
      <c r="H2002" s="168" t="s">
        <v>608</v>
      </c>
      <c r="I2002">
        <v>4277661.5999999996</v>
      </c>
    </row>
    <row r="2003" spans="1:9" x14ac:dyDescent="0.3">
      <c r="A2003">
        <v>75</v>
      </c>
      <c r="B2003" s="168" t="s">
        <v>113</v>
      </c>
      <c r="C2003" s="168" t="s">
        <v>114</v>
      </c>
      <c r="D2003">
        <v>3455.5</v>
      </c>
      <c r="E2003">
        <v>2021</v>
      </c>
      <c r="F2003" s="168" t="s">
        <v>593</v>
      </c>
      <c r="G2003" s="168" t="s">
        <v>621</v>
      </c>
      <c r="H2003" s="168" t="s">
        <v>609</v>
      </c>
      <c r="I2003">
        <v>6522241.5999999996</v>
      </c>
    </row>
    <row r="2004" spans="1:9" x14ac:dyDescent="0.3">
      <c r="A2004">
        <v>75</v>
      </c>
      <c r="B2004" s="168" t="s">
        <v>113</v>
      </c>
      <c r="C2004" s="168" t="s">
        <v>114</v>
      </c>
      <c r="D2004">
        <v>3455.5</v>
      </c>
      <c r="E2004">
        <v>2021</v>
      </c>
      <c r="F2004" s="168" t="s">
        <v>593</v>
      </c>
      <c r="G2004" s="168" t="s">
        <v>626</v>
      </c>
      <c r="H2004" s="168" t="s">
        <v>608</v>
      </c>
      <c r="I2004">
        <v>0</v>
      </c>
    </row>
    <row r="2005" spans="1:9" x14ac:dyDescent="0.3">
      <c r="A2005">
        <v>75</v>
      </c>
      <c r="B2005" s="168" t="s">
        <v>113</v>
      </c>
      <c r="C2005" s="168" t="s">
        <v>114</v>
      </c>
      <c r="D2005">
        <v>3455.5</v>
      </c>
      <c r="E2005">
        <v>2021</v>
      </c>
      <c r="F2005" s="168" t="s">
        <v>593</v>
      </c>
      <c r="G2005" s="168" t="s">
        <v>626</v>
      </c>
      <c r="H2005" s="168" t="s">
        <v>609</v>
      </c>
      <c r="I2005">
        <v>1670000</v>
      </c>
    </row>
    <row r="2006" spans="1:9" x14ac:dyDescent="0.3">
      <c r="A2006">
        <v>75</v>
      </c>
      <c r="B2006" s="168" t="s">
        <v>113</v>
      </c>
      <c r="C2006" s="168" t="s">
        <v>114</v>
      </c>
      <c r="D2006">
        <v>3455.5</v>
      </c>
      <c r="E2006">
        <v>2021</v>
      </c>
      <c r="F2006" s="168" t="s">
        <v>593</v>
      </c>
      <c r="G2006" s="168" t="s">
        <v>613</v>
      </c>
      <c r="H2006" s="168" t="s">
        <v>608</v>
      </c>
      <c r="I2006">
        <v>130438.543741392</v>
      </c>
    </row>
    <row r="2007" spans="1:9" x14ac:dyDescent="0.3">
      <c r="A2007">
        <v>75</v>
      </c>
      <c r="B2007" s="168" t="s">
        <v>113</v>
      </c>
      <c r="C2007" s="168" t="s">
        <v>114</v>
      </c>
      <c r="D2007">
        <v>3455.5</v>
      </c>
      <c r="E2007">
        <v>2021</v>
      </c>
      <c r="F2007" s="168" t="s">
        <v>593</v>
      </c>
      <c r="G2007" s="168" t="s">
        <v>613</v>
      </c>
      <c r="H2007" s="168" t="s">
        <v>609</v>
      </c>
      <c r="I2007">
        <v>415223</v>
      </c>
    </row>
    <row r="2008" spans="1:9" x14ac:dyDescent="0.3">
      <c r="A2008">
        <v>76</v>
      </c>
      <c r="B2008" s="168" t="s">
        <v>115</v>
      </c>
      <c r="C2008" s="168" t="s">
        <v>116</v>
      </c>
      <c r="D2008">
        <v>2482.1</v>
      </c>
      <c r="E2008">
        <v>2021</v>
      </c>
      <c r="F2008" s="168" t="s">
        <v>593</v>
      </c>
      <c r="G2008" s="168" t="s">
        <v>607</v>
      </c>
      <c r="H2008" s="168" t="s">
        <v>609</v>
      </c>
      <c r="I2008">
        <v>1294520.52</v>
      </c>
    </row>
    <row r="2009" spans="1:9" x14ac:dyDescent="0.3">
      <c r="A2009">
        <v>76</v>
      </c>
      <c r="B2009" s="168" t="s">
        <v>115</v>
      </c>
      <c r="C2009" s="168" t="s">
        <v>116</v>
      </c>
      <c r="D2009">
        <v>2482.1</v>
      </c>
      <c r="E2009">
        <v>2021</v>
      </c>
      <c r="F2009" s="168" t="s">
        <v>593</v>
      </c>
      <c r="G2009" s="168" t="s">
        <v>612</v>
      </c>
      <c r="H2009" s="168" t="s">
        <v>608</v>
      </c>
      <c r="I2009">
        <v>0</v>
      </c>
    </row>
    <row r="2010" spans="1:9" x14ac:dyDescent="0.3">
      <c r="A2010">
        <v>76</v>
      </c>
      <c r="B2010" s="168" t="s">
        <v>115</v>
      </c>
      <c r="C2010" s="168" t="s">
        <v>116</v>
      </c>
      <c r="D2010">
        <v>2482.1</v>
      </c>
      <c r="E2010">
        <v>2021</v>
      </c>
      <c r="F2010" s="168" t="s">
        <v>593</v>
      </c>
      <c r="G2010" s="168" t="s">
        <v>612</v>
      </c>
      <c r="H2010" s="168" t="s">
        <v>609</v>
      </c>
      <c r="I2010">
        <v>8330</v>
      </c>
    </row>
    <row r="2011" spans="1:9" x14ac:dyDescent="0.3">
      <c r="A2011">
        <v>76</v>
      </c>
      <c r="B2011" s="168" t="s">
        <v>115</v>
      </c>
      <c r="C2011" s="168" t="s">
        <v>116</v>
      </c>
      <c r="D2011">
        <v>2482.1</v>
      </c>
      <c r="E2011">
        <v>2021</v>
      </c>
      <c r="F2011" s="168" t="s">
        <v>593</v>
      </c>
      <c r="G2011" s="168" t="s">
        <v>629</v>
      </c>
      <c r="H2011" s="168" t="s">
        <v>608</v>
      </c>
      <c r="I2011">
        <v>0</v>
      </c>
    </row>
    <row r="2012" spans="1:9" x14ac:dyDescent="0.3">
      <c r="A2012">
        <v>76</v>
      </c>
      <c r="B2012" s="168" t="s">
        <v>115</v>
      </c>
      <c r="C2012" s="168" t="s">
        <v>116</v>
      </c>
      <c r="D2012">
        <v>2482.1</v>
      </c>
      <c r="E2012">
        <v>2021</v>
      </c>
      <c r="F2012" s="168" t="s">
        <v>593</v>
      </c>
      <c r="G2012" s="168" t="s">
        <v>629</v>
      </c>
      <c r="H2012" s="168" t="s">
        <v>609</v>
      </c>
      <c r="I2012">
        <v>548535</v>
      </c>
    </row>
    <row r="2013" spans="1:9" x14ac:dyDescent="0.3">
      <c r="A2013">
        <v>76</v>
      </c>
      <c r="B2013" s="168" t="s">
        <v>115</v>
      </c>
      <c r="C2013" s="168" t="s">
        <v>116</v>
      </c>
      <c r="D2013">
        <v>2482.1</v>
      </c>
      <c r="E2013">
        <v>2021</v>
      </c>
      <c r="F2013" s="168" t="s">
        <v>593</v>
      </c>
      <c r="G2013" s="168" t="s">
        <v>617</v>
      </c>
      <c r="H2013" s="168" t="s">
        <v>608</v>
      </c>
      <c r="I2013">
        <v>4964</v>
      </c>
    </row>
    <row r="2014" spans="1:9" x14ac:dyDescent="0.3">
      <c r="A2014">
        <v>76</v>
      </c>
      <c r="B2014" s="168" t="s">
        <v>115</v>
      </c>
      <c r="C2014" s="168" t="s">
        <v>116</v>
      </c>
      <c r="D2014">
        <v>2482.1</v>
      </c>
      <c r="E2014">
        <v>2021</v>
      </c>
      <c r="F2014" s="168" t="s">
        <v>593</v>
      </c>
      <c r="G2014" s="168" t="s">
        <v>617</v>
      </c>
      <c r="H2014" s="168" t="s">
        <v>609</v>
      </c>
      <c r="I2014">
        <v>4964</v>
      </c>
    </row>
    <row r="2015" spans="1:9" x14ac:dyDescent="0.3">
      <c r="A2015">
        <v>76</v>
      </c>
      <c r="B2015" s="168" t="s">
        <v>115</v>
      </c>
      <c r="C2015" s="168" t="s">
        <v>116</v>
      </c>
      <c r="D2015">
        <v>2482.1</v>
      </c>
      <c r="E2015">
        <v>2021</v>
      </c>
      <c r="F2015" s="168" t="s">
        <v>593</v>
      </c>
      <c r="G2015" s="168" t="s">
        <v>618</v>
      </c>
      <c r="H2015" s="168" t="s">
        <v>608</v>
      </c>
      <c r="I2015">
        <v>0</v>
      </c>
    </row>
    <row r="2016" spans="1:9" x14ac:dyDescent="0.3">
      <c r="A2016">
        <v>76</v>
      </c>
      <c r="B2016" s="168" t="s">
        <v>115</v>
      </c>
      <c r="C2016" s="168" t="s">
        <v>116</v>
      </c>
      <c r="D2016">
        <v>2482.1</v>
      </c>
      <c r="E2016">
        <v>2021</v>
      </c>
      <c r="F2016" s="168" t="s">
        <v>593</v>
      </c>
      <c r="G2016" s="168" t="s">
        <v>618</v>
      </c>
      <c r="H2016" s="168" t="s">
        <v>609</v>
      </c>
      <c r="I2016">
        <v>198000</v>
      </c>
    </row>
    <row r="2017" spans="1:9" x14ac:dyDescent="0.3">
      <c r="A2017">
        <v>76</v>
      </c>
      <c r="B2017" s="168" t="s">
        <v>115</v>
      </c>
      <c r="C2017" s="168" t="s">
        <v>116</v>
      </c>
      <c r="D2017">
        <v>2482.1</v>
      </c>
      <c r="E2017">
        <v>2021</v>
      </c>
      <c r="F2017" s="168" t="s">
        <v>593</v>
      </c>
      <c r="G2017" s="168" t="s">
        <v>610</v>
      </c>
      <c r="H2017" s="168" t="s">
        <v>608</v>
      </c>
      <c r="I2017">
        <v>0</v>
      </c>
    </row>
    <row r="2018" spans="1:9" x14ac:dyDescent="0.3">
      <c r="A2018">
        <v>76</v>
      </c>
      <c r="B2018" s="168" t="s">
        <v>115</v>
      </c>
      <c r="C2018" s="168" t="s">
        <v>116</v>
      </c>
      <c r="D2018">
        <v>2482.1</v>
      </c>
      <c r="E2018">
        <v>2021</v>
      </c>
      <c r="F2018" s="168" t="s">
        <v>593</v>
      </c>
      <c r="G2018" s="168" t="s">
        <v>610</v>
      </c>
      <c r="H2018" s="168" t="s">
        <v>609</v>
      </c>
      <c r="I2018">
        <v>3272.7272727272725</v>
      </c>
    </row>
    <row r="2019" spans="1:9" x14ac:dyDescent="0.3">
      <c r="A2019">
        <v>76</v>
      </c>
      <c r="B2019" s="168" t="s">
        <v>115</v>
      </c>
      <c r="C2019" s="168" t="s">
        <v>116</v>
      </c>
      <c r="D2019">
        <v>2482.1</v>
      </c>
      <c r="E2019">
        <v>2021</v>
      </c>
      <c r="F2019" s="168" t="s">
        <v>593</v>
      </c>
      <c r="G2019" s="168" t="s">
        <v>620</v>
      </c>
      <c r="H2019" s="168" t="s">
        <v>608</v>
      </c>
      <c r="I2019">
        <v>76952.529032258055</v>
      </c>
    </row>
    <row r="2020" spans="1:9" x14ac:dyDescent="0.3">
      <c r="A2020">
        <v>76</v>
      </c>
      <c r="B2020" s="168" t="s">
        <v>115</v>
      </c>
      <c r="C2020" s="168" t="s">
        <v>116</v>
      </c>
      <c r="D2020">
        <v>2482.1</v>
      </c>
      <c r="E2020">
        <v>2021</v>
      </c>
      <c r="F2020" s="168" t="s">
        <v>593</v>
      </c>
      <c r="G2020" s="168" t="s">
        <v>620</v>
      </c>
      <c r="H2020" s="168" t="s">
        <v>609</v>
      </c>
      <c r="I2020">
        <v>0</v>
      </c>
    </row>
    <row r="2021" spans="1:9" x14ac:dyDescent="0.3">
      <c r="A2021">
        <v>76</v>
      </c>
      <c r="B2021" s="168" t="s">
        <v>115</v>
      </c>
      <c r="C2021" s="168" t="s">
        <v>116</v>
      </c>
      <c r="D2021">
        <v>2482.1</v>
      </c>
      <c r="E2021">
        <v>2021</v>
      </c>
      <c r="F2021" s="168" t="s">
        <v>593</v>
      </c>
      <c r="G2021" s="168" t="s">
        <v>633</v>
      </c>
      <c r="H2021" s="168" t="s">
        <v>608</v>
      </c>
      <c r="I2021">
        <v>0</v>
      </c>
    </row>
    <row r="2022" spans="1:9" x14ac:dyDescent="0.3">
      <c r="A2022">
        <v>76</v>
      </c>
      <c r="B2022" s="168" t="s">
        <v>115</v>
      </c>
      <c r="C2022" s="168" t="s">
        <v>116</v>
      </c>
      <c r="D2022">
        <v>2482.1</v>
      </c>
      <c r="E2022">
        <v>2021</v>
      </c>
      <c r="F2022" s="168" t="s">
        <v>593</v>
      </c>
      <c r="G2022" s="168" t="s">
        <v>633</v>
      </c>
      <c r="H2022" s="168" t="s">
        <v>609</v>
      </c>
      <c r="I2022">
        <v>66106.194690265489</v>
      </c>
    </row>
    <row r="2023" spans="1:9" x14ac:dyDescent="0.3">
      <c r="A2023">
        <v>76</v>
      </c>
      <c r="B2023" s="168" t="s">
        <v>115</v>
      </c>
      <c r="C2023" s="168" t="s">
        <v>116</v>
      </c>
      <c r="D2023">
        <v>2482.1</v>
      </c>
      <c r="E2023">
        <v>2021</v>
      </c>
      <c r="F2023" s="168" t="s">
        <v>593</v>
      </c>
      <c r="G2023" s="168" t="s">
        <v>625</v>
      </c>
      <c r="H2023" s="168" t="s">
        <v>608</v>
      </c>
      <c r="I2023">
        <v>0</v>
      </c>
    </row>
    <row r="2024" spans="1:9" x14ac:dyDescent="0.3">
      <c r="A2024">
        <v>76</v>
      </c>
      <c r="B2024" s="168" t="s">
        <v>115</v>
      </c>
      <c r="C2024" s="168" t="s">
        <v>116</v>
      </c>
      <c r="D2024">
        <v>2482.1</v>
      </c>
      <c r="E2024">
        <v>2021</v>
      </c>
      <c r="F2024" s="168" t="s">
        <v>593</v>
      </c>
      <c r="G2024" s="168" t="s">
        <v>625</v>
      </c>
      <c r="H2024" s="168" t="s">
        <v>609</v>
      </c>
      <c r="I2024">
        <v>247500</v>
      </c>
    </row>
    <row r="2025" spans="1:9" x14ac:dyDescent="0.3">
      <c r="A2025">
        <v>76</v>
      </c>
      <c r="B2025" s="168" t="s">
        <v>115</v>
      </c>
      <c r="C2025" s="168" t="s">
        <v>116</v>
      </c>
      <c r="D2025">
        <v>2482.1</v>
      </c>
      <c r="E2025">
        <v>2021</v>
      </c>
      <c r="F2025" s="168" t="s">
        <v>593</v>
      </c>
      <c r="G2025" s="168" t="s">
        <v>630</v>
      </c>
      <c r="H2025" s="168" t="s">
        <v>608</v>
      </c>
      <c r="I2025">
        <v>522032</v>
      </c>
    </row>
    <row r="2026" spans="1:9" x14ac:dyDescent="0.3">
      <c r="A2026">
        <v>76</v>
      </c>
      <c r="B2026" s="168" t="s">
        <v>115</v>
      </c>
      <c r="C2026" s="168" t="s">
        <v>116</v>
      </c>
      <c r="D2026">
        <v>2482.1</v>
      </c>
      <c r="E2026">
        <v>2021</v>
      </c>
      <c r="F2026" s="168" t="s">
        <v>593</v>
      </c>
      <c r="G2026" s="168" t="s">
        <v>630</v>
      </c>
      <c r="H2026" s="168" t="s">
        <v>609</v>
      </c>
      <c r="I2026">
        <v>522032</v>
      </c>
    </row>
    <row r="2027" spans="1:9" x14ac:dyDescent="0.3">
      <c r="A2027">
        <v>76</v>
      </c>
      <c r="B2027" s="168" t="s">
        <v>115</v>
      </c>
      <c r="C2027" s="168" t="s">
        <v>116</v>
      </c>
      <c r="D2027">
        <v>2482.1</v>
      </c>
      <c r="E2027">
        <v>2021</v>
      </c>
      <c r="F2027" s="168" t="s">
        <v>593</v>
      </c>
      <c r="G2027" s="168" t="s">
        <v>621</v>
      </c>
      <c r="H2027" s="168" t="s">
        <v>608</v>
      </c>
      <c r="I2027">
        <v>0</v>
      </c>
    </row>
    <row r="2028" spans="1:9" x14ac:dyDescent="0.3">
      <c r="A2028">
        <v>76</v>
      </c>
      <c r="B2028" s="168" t="s">
        <v>115</v>
      </c>
      <c r="C2028" s="168" t="s">
        <v>116</v>
      </c>
      <c r="D2028">
        <v>2482.1</v>
      </c>
      <c r="E2028">
        <v>2021</v>
      </c>
      <c r="F2028" s="168" t="s">
        <v>593</v>
      </c>
      <c r="G2028" s="168" t="s">
        <v>613</v>
      </c>
      <c r="H2028" s="168" t="s">
        <v>608</v>
      </c>
      <c r="I2028">
        <v>93694.547654611219</v>
      </c>
    </row>
    <row r="2029" spans="1:9" x14ac:dyDescent="0.3">
      <c r="A2029">
        <v>76</v>
      </c>
      <c r="B2029" s="168" t="s">
        <v>115</v>
      </c>
      <c r="C2029" s="168" t="s">
        <v>116</v>
      </c>
      <c r="D2029">
        <v>2482.1</v>
      </c>
      <c r="E2029">
        <v>2021</v>
      </c>
      <c r="F2029" s="168" t="s">
        <v>593</v>
      </c>
      <c r="G2029" s="168" t="s">
        <v>613</v>
      </c>
      <c r="H2029" s="168" t="s">
        <v>609</v>
      </c>
      <c r="I2029">
        <v>415223</v>
      </c>
    </row>
    <row r="2030" spans="1:9" x14ac:dyDescent="0.3">
      <c r="A2030">
        <v>77</v>
      </c>
      <c r="B2030" s="168" t="s">
        <v>117</v>
      </c>
      <c r="C2030" s="168" t="s">
        <v>118</v>
      </c>
      <c r="D2030">
        <v>404.9</v>
      </c>
      <c r="E2030">
        <v>2021</v>
      </c>
      <c r="F2030" s="168" t="s">
        <v>593</v>
      </c>
      <c r="G2030" s="168" t="s">
        <v>607</v>
      </c>
      <c r="H2030" s="168" t="s">
        <v>608</v>
      </c>
      <c r="I2030">
        <v>54197.279999999999</v>
      </c>
    </row>
    <row r="2031" spans="1:9" x14ac:dyDescent="0.3">
      <c r="A2031">
        <v>77</v>
      </c>
      <c r="B2031" s="168" t="s">
        <v>117</v>
      </c>
      <c r="C2031" s="168" t="s">
        <v>118</v>
      </c>
      <c r="D2031">
        <v>404.9</v>
      </c>
      <c r="E2031">
        <v>2021</v>
      </c>
      <c r="F2031" s="168" t="s">
        <v>593</v>
      </c>
      <c r="G2031" s="168" t="s">
        <v>607</v>
      </c>
      <c r="H2031" s="168" t="s">
        <v>609</v>
      </c>
      <c r="I2031">
        <v>0</v>
      </c>
    </row>
    <row r="2032" spans="1:9" x14ac:dyDescent="0.3">
      <c r="A2032">
        <v>77</v>
      </c>
      <c r="B2032" s="168" t="s">
        <v>117</v>
      </c>
      <c r="C2032" s="168" t="s">
        <v>118</v>
      </c>
      <c r="D2032">
        <v>404.9</v>
      </c>
      <c r="E2032">
        <v>2021</v>
      </c>
      <c r="F2032" s="168" t="s">
        <v>593</v>
      </c>
      <c r="G2032" s="168" t="s">
        <v>612</v>
      </c>
      <c r="H2032" s="168" t="s">
        <v>608</v>
      </c>
      <c r="I2032">
        <v>0</v>
      </c>
    </row>
    <row r="2033" spans="1:9" x14ac:dyDescent="0.3">
      <c r="A2033">
        <v>77</v>
      </c>
      <c r="B2033" s="168" t="s">
        <v>117</v>
      </c>
      <c r="C2033" s="168" t="s">
        <v>118</v>
      </c>
      <c r="D2033">
        <v>404.9</v>
      </c>
      <c r="E2033">
        <v>2021</v>
      </c>
      <c r="F2033" s="168" t="s">
        <v>593</v>
      </c>
      <c r="G2033" s="168" t="s">
        <v>612</v>
      </c>
      <c r="H2033" s="168" t="s">
        <v>609</v>
      </c>
      <c r="I2033">
        <v>507.36602205394416</v>
      </c>
    </row>
    <row r="2034" spans="1:9" x14ac:dyDescent="0.3">
      <c r="A2034">
        <v>77</v>
      </c>
      <c r="B2034" s="168" t="s">
        <v>117</v>
      </c>
      <c r="C2034" s="168" t="s">
        <v>118</v>
      </c>
      <c r="D2034">
        <v>404.9</v>
      </c>
      <c r="E2034">
        <v>2021</v>
      </c>
      <c r="F2034" s="168" t="s">
        <v>593</v>
      </c>
      <c r="G2034" s="168" t="s">
        <v>611</v>
      </c>
      <c r="H2034" s="168" t="s">
        <v>608</v>
      </c>
      <c r="I2034">
        <v>0</v>
      </c>
    </row>
    <row r="2035" spans="1:9" x14ac:dyDescent="0.3">
      <c r="A2035">
        <v>77</v>
      </c>
      <c r="B2035" s="168" t="s">
        <v>117</v>
      </c>
      <c r="C2035" s="168" t="s">
        <v>118</v>
      </c>
      <c r="D2035">
        <v>404.9</v>
      </c>
      <c r="E2035">
        <v>2021</v>
      </c>
      <c r="F2035" s="168" t="s">
        <v>593</v>
      </c>
      <c r="G2035" s="168" t="s">
        <v>611</v>
      </c>
      <c r="H2035" s="168" t="s">
        <v>609</v>
      </c>
      <c r="I2035">
        <v>2884.5984934354437</v>
      </c>
    </row>
    <row r="2036" spans="1:9" x14ac:dyDescent="0.3">
      <c r="A2036">
        <v>78</v>
      </c>
      <c r="B2036" s="168" t="s">
        <v>119</v>
      </c>
      <c r="C2036" s="168" t="s">
        <v>120</v>
      </c>
      <c r="D2036">
        <v>5741.2</v>
      </c>
      <c r="E2036">
        <v>2021</v>
      </c>
      <c r="F2036" s="168" t="s">
        <v>592</v>
      </c>
      <c r="G2036" s="168" t="s">
        <v>612</v>
      </c>
      <c r="H2036" s="168" t="s">
        <v>608</v>
      </c>
      <c r="I2036">
        <v>0</v>
      </c>
    </row>
    <row r="2037" spans="1:9" x14ac:dyDescent="0.3">
      <c r="A2037">
        <v>78</v>
      </c>
      <c r="B2037" s="168" t="s">
        <v>119</v>
      </c>
      <c r="C2037" s="168" t="s">
        <v>120</v>
      </c>
      <c r="D2037">
        <v>5741.2</v>
      </c>
      <c r="E2037">
        <v>2021</v>
      </c>
      <c r="F2037" s="168" t="s">
        <v>592</v>
      </c>
      <c r="G2037" s="168" t="s">
        <v>612</v>
      </c>
      <c r="H2037" s="168" t="s">
        <v>609</v>
      </c>
      <c r="I2037">
        <v>7194.096828392454</v>
      </c>
    </row>
    <row r="2038" spans="1:9" x14ac:dyDescent="0.3">
      <c r="A2038">
        <v>78</v>
      </c>
      <c r="B2038" s="168" t="s">
        <v>119</v>
      </c>
      <c r="C2038" s="168" t="s">
        <v>120</v>
      </c>
      <c r="D2038">
        <v>5741.2</v>
      </c>
      <c r="E2038">
        <v>2021</v>
      </c>
      <c r="F2038" s="168" t="s">
        <v>592</v>
      </c>
      <c r="G2038" s="168" t="s">
        <v>617</v>
      </c>
      <c r="H2038" s="168" t="s">
        <v>608</v>
      </c>
      <c r="I2038">
        <v>3877.7887358030061</v>
      </c>
    </row>
    <row r="2039" spans="1:9" x14ac:dyDescent="0.3">
      <c r="A2039">
        <v>78</v>
      </c>
      <c r="B2039" s="168" t="s">
        <v>119</v>
      </c>
      <c r="C2039" s="168" t="s">
        <v>120</v>
      </c>
      <c r="D2039">
        <v>5741.2</v>
      </c>
      <c r="E2039">
        <v>2021</v>
      </c>
      <c r="F2039" s="168" t="s">
        <v>592</v>
      </c>
      <c r="G2039" s="168" t="s">
        <v>617</v>
      </c>
      <c r="H2039" s="168" t="s">
        <v>609</v>
      </c>
      <c r="I2039">
        <v>2908.3415518522547</v>
      </c>
    </row>
    <row r="2040" spans="1:9" x14ac:dyDescent="0.3">
      <c r="A2040">
        <v>78</v>
      </c>
      <c r="B2040" s="168" t="s">
        <v>119</v>
      </c>
      <c r="C2040" s="168" t="s">
        <v>120</v>
      </c>
      <c r="D2040">
        <v>5741.2</v>
      </c>
      <c r="E2040">
        <v>2021</v>
      </c>
      <c r="F2040" s="168" t="s">
        <v>592</v>
      </c>
      <c r="G2040" s="168" t="s">
        <v>610</v>
      </c>
      <c r="H2040" s="168" t="s">
        <v>608</v>
      </c>
      <c r="I2040">
        <v>0</v>
      </c>
    </row>
    <row r="2041" spans="1:9" x14ac:dyDescent="0.3">
      <c r="A2041">
        <v>78</v>
      </c>
      <c r="B2041" s="168" t="s">
        <v>119</v>
      </c>
      <c r="C2041" s="168" t="s">
        <v>120</v>
      </c>
      <c r="D2041">
        <v>5741.2</v>
      </c>
      <c r="E2041">
        <v>2021</v>
      </c>
      <c r="F2041" s="168" t="s">
        <v>592</v>
      </c>
      <c r="G2041" s="168" t="s">
        <v>610</v>
      </c>
      <c r="H2041" s="168" t="s">
        <v>609</v>
      </c>
      <c r="I2041">
        <v>6545.454545454545</v>
      </c>
    </row>
    <row r="2042" spans="1:9" x14ac:dyDescent="0.3">
      <c r="A2042">
        <v>78</v>
      </c>
      <c r="B2042" s="168" t="s">
        <v>119</v>
      </c>
      <c r="C2042" s="168" t="s">
        <v>120</v>
      </c>
      <c r="D2042">
        <v>5741.2</v>
      </c>
      <c r="E2042">
        <v>2021</v>
      </c>
      <c r="F2042" s="168" t="s">
        <v>592</v>
      </c>
      <c r="G2042" s="168" t="s">
        <v>620</v>
      </c>
      <c r="H2042" s="168" t="s">
        <v>608</v>
      </c>
      <c r="I2042">
        <v>19238.132258064514</v>
      </c>
    </row>
    <row r="2043" spans="1:9" x14ac:dyDescent="0.3">
      <c r="A2043">
        <v>78</v>
      </c>
      <c r="B2043" s="168" t="s">
        <v>119</v>
      </c>
      <c r="C2043" s="168" t="s">
        <v>120</v>
      </c>
      <c r="D2043">
        <v>5741.2</v>
      </c>
      <c r="E2043">
        <v>2021</v>
      </c>
      <c r="F2043" s="168" t="s">
        <v>592</v>
      </c>
      <c r="G2043" s="168" t="s">
        <v>620</v>
      </c>
      <c r="H2043" s="168" t="s">
        <v>609</v>
      </c>
      <c r="I2043">
        <v>0</v>
      </c>
    </row>
    <row r="2044" spans="1:9" x14ac:dyDescent="0.3">
      <c r="A2044">
        <v>78</v>
      </c>
      <c r="B2044" s="168" t="s">
        <v>119</v>
      </c>
      <c r="C2044" s="168" t="s">
        <v>120</v>
      </c>
      <c r="D2044">
        <v>5741.2</v>
      </c>
      <c r="E2044">
        <v>2021</v>
      </c>
      <c r="F2044" s="168" t="s">
        <v>592</v>
      </c>
      <c r="G2044" s="168" t="s">
        <v>615</v>
      </c>
      <c r="H2044" s="168" t="s">
        <v>608</v>
      </c>
      <c r="I2044">
        <v>0</v>
      </c>
    </row>
    <row r="2045" spans="1:9" x14ac:dyDescent="0.3">
      <c r="A2045">
        <v>78</v>
      </c>
      <c r="B2045" s="168" t="s">
        <v>119</v>
      </c>
      <c r="C2045" s="168" t="s">
        <v>120</v>
      </c>
      <c r="D2045">
        <v>5741.2</v>
      </c>
      <c r="E2045">
        <v>2021</v>
      </c>
      <c r="F2045" s="168" t="s">
        <v>592</v>
      </c>
      <c r="G2045" s="168" t="s">
        <v>615</v>
      </c>
      <c r="H2045" s="168" t="s">
        <v>609</v>
      </c>
      <c r="I2045">
        <v>15073.170731707318</v>
      </c>
    </row>
    <row r="2046" spans="1:9" x14ac:dyDescent="0.3">
      <c r="A2046">
        <v>78</v>
      </c>
      <c r="B2046" s="168" t="s">
        <v>119</v>
      </c>
      <c r="C2046" s="168" t="s">
        <v>120</v>
      </c>
      <c r="D2046">
        <v>5741.2</v>
      </c>
      <c r="E2046">
        <v>2021</v>
      </c>
      <c r="F2046" s="168" t="s">
        <v>592</v>
      </c>
      <c r="G2046" s="168" t="s">
        <v>630</v>
      </c>
      <c r="H2046" s="168" t="s">
        <v>608</v>
      </c>
      <c r="I2046">
        <v>107403.78907200749</v>
      </c>
    </row>
    <row r="2047" spans="1:9" x14ac:dyDescent="0.3">
      <c r="A2047">
        <v>78</v>
      </c>
      <c r="B2047" s="168" t="s">
        <v>119</v>
      </c>
      <c r="C2047" s="168" t="s">
        <v>120</v>
      </c>
      <c r="D2047">
        <v>5741.2</v>
      </c>
      <c r="E2047">
        <v>2021</v>
      </c>
      <c r="F2047" s="168" t="s">
        <v>592</v>
      </c>
      <c r="G2047" s="168" t="s">
        <v>630</v>
      </c>
      <c r="H2047" s="168" t="s">
        <v>609</v>
      </c>
      <c r="I2047">
        <v>112987.01269455589</v>
      </c>
    </row>
    <row r="2048" spans="1:9" x14ac:dyDescent="0.3">
      <c r="A2048">
        <v>78</v>
      </c>
      <c r="B2048" s="168" t="s">
        <v>119</v>
      </c>
      <c r="C2048" s="168" t="s">
        <v>120</v>
      </c>
      <c r="D2048">
        <v>5741.2</v>
      </c>
      <c r="E2048">
        <v>2021</v>
      </c>
      <c r="F2048" s="168" t="s">
        <v>592</v>
      </c>
      <c r="G2048" s="168" t="s">
        <v>613</v>
      </c>
      <c r="H2048" s="168" t="s">
        <v>608</v>
      </c>
      <c r="I2048">
        <v>216719.36545451594</v>
      </c>
    </row>
    <row r="2049" spans="1:9" x14ac:dyDescent="0.3">
      <c r="A2049">
        <v>78</v>
      </c>
      <c r="B2049" s="168" t="s">
        <v>119</v>
      </c>
      <c r="C2049" s="168" t="s">
        <v>120</v>
      </c>
      <c r="D2049">
        <v>5741.2</v>
      </c>
      <c r="E2049">
        <v>2021</v>
      </c>
      <c r="F2049" s="168" t="s">
        <v>592</v>
      </c>
      <c r="G2049" s="168" t="s">
        <v>613</v>
      </c>
      <c r="H2049" s="168" t="s">
        <v>609</v>
      </c>
      <c r="I2049">
        <v>43987.529305303979</v>
      </c>
    </row>
    <row r="2050" spans="1:9" x14ac:dyDescent="0.3">
      <c r="A2050">
        <v>78</v>
      </c>
      <c r="B2050" s="168" t="s">
        <v>119</v>
      </c>
      <c r="C2050" s="168" t="s">
        <v>120</v>
      </c>
      <c r="D2050">
        <v>5741.2</v>
      </c>
      <c r="E2050">
        <v>2021</v>
      </c>
      <c r="F2050" s="168" t="s">
        <v>592</v>
      </c>
      <c r="G2050" s="168" t="s">
        <v>622</v>
      </c>
      <c r="H2050" s="168" t="s">
        <v>608</v>
      </c>
      <c r="I2050">
        <v>78457.198765190129</v>
      </c>
    </row>
    <row r="2051" spans="1:9" x14ac:dyDescent="0.3">
      <c r="A2051">
        <v>78</v>
      </c>
      <c r="B2051" s="168" t="s">
        <v>119</v>
      </c>
      <c r="C2051" s="168" t="s">
        <v>120</v>
      </c>
      <c r="D2051">
        <v>5741.2</v>
      </c>
      <c r="E2051">
        <v>2021</v>
      </c>
      <c r="F2051" s="168" t="s">
        <v>592</v>
      </c>
      <c r="G2051" s="168" t="s">
        <v>622</v>
      </c>
      <c r="H2051" s="168" t="s">
        <v>609</v>
      </c>
      <c r="I2051">
        <v>0</v>
      </c>
    </row>
    <row r="2052" spans="1:9" x14ac:dyDescent="0.3">
      <c r="A2052">
        <v>79</v>
      </c>
      <c r="B2052" s="168" t="s">
        <v>121</v>
      </c>
      <c r="C2052" s="168" t="s">
        <v>122</v>
      </c>
      <c r="D2052">
        <v>9.1999999999999993</v>
      </c>
      <c r="E2052">
        <v>2021</v>
      </c>
      <c r="F2052" s="168" t="s">
        <v>593</v>
      </c>
      <c r="G2052" s="168" t="s">
        <v>612</v>
      </c>
      <c r="H2052" s="168" t="s">
        <v>608</v>
      </c>
      <c r="I2052">
        <v>0</v>
      </c>
    </row>
    <row r="2053" spans="1:9" x14ac:dyDescent="0.3">
      <c r="A2053">
        <v>79</v>
      </c>
      <c r="B2053" s="168" t="s">
        <v>121</v>
      </c>
      <c r="C2053" s="168" t="s">
        <v>122</v>
      </c>
      <c r="D2053">
        <v>9.1999999999999993</v>
      </c>
      <c r="E2053">
        <v>2021</v>
      </c>
      <c r="F2053" s="168" t="s">
        <v>593</v>
      </c>
      <c r="G2053" s="168" t="s">
        <v>612</v>
      </c>
      <c r="H2053" s="168" t="s">
        <v>609</v>
      </c>
      <c r="I2053">
        <v>11.52819808075151</v>
      </c>
    </row>
    <row r="2054" spans="1:9" x14ac:dyDescent="0.3">
      <c r="A2054">
        <v>79</v>
      </c>
      <c r="B2054" s="168" t="s">
        <v>121</v>
      </c>
      <c r="C2054" s="168" t="s">
        <v>122</v>
      </c>
      <c r="D2054">
        <v>9.1999999999999993</v>
      </c>
      <c r="E2054">
        <v>2021</v>
      </c>
      <c r="F2054" s="168" t="s">
        <v>593</v>
      </c>
      <c r="G2054" s="168" t="s">
        <v>617</v>
      </c>
      <c r="H2054" s="168" t="s">
        <v>608</v>
      </c>
      <c r="I2054">
        <v>6.213972056257866</v>
      </c>
    </row>
    <row r="2055" spans="1:9" x14ac:dyDescent="0.3">
      <c r="A2055">
        <v>79</v>
      </c>
      <c r="B2055" s="168" t="s">
        <v>121</v>
      </c>
      <c r="C2055" s="168" t="s">
        <v>122</v>
      </c>
      <c r="D2055">
        <v>9.1999999999999993</v>
      </c>
      <c r="E2055">
        <v>2021</v>
      </c>
      <c r="F2055" s="168" t="s">
        <v>593</v>
      </c>
      <c r="G2055" s="168" t="s">
        <v>617</v>
      </c>
      <c r="H2055" s="168" t="s">
        <v>609</v>
      </c>
      <c r="I2055">
        <v>4.6604790421933995</v>
      </c>
    </row>
    <row r="2056" spans="1:9" x14ac:dyDescent="0.3">
      <c r="A2056">
        <v>79</v>
      </c>
      <c r="B2056" s="168" t="s">
        <v>121</v>
      </c>
      <c r="C2056" s="168" t="s">
        <v>122</v>
      </c>
      <c r="D2056">
        <v>9.1999999999999993</v>
      </c>
      <c r="E2056">
        <v>2021</v>
      </c>
      <c r="F2056" s="168" t="s">
        <v>593</v>
      </c>
      <c r="G2056" s="168" t="s">
        <v>630</v>
      </c>
      <c r="H2056" s="168" t="s">
        <v>608</v>
      </c>
      <c r="I2056">
        <v>34.558826647860464</v>
      </c>
    </row>
    <row r="2057" spans="1:9" x14ac:dyDescent="0.3">
      <c r="A2057">
        <v>79</v>
      </c>
      <c r="B2057" s="168" t="s">
        <v>121</v>
      </c>
      <c r="C2057" s="168" t="s">
        <v>122</v>
      </c>
      <c r="D2057">
        <v>9.1999999999999993</v>
      </c>
      <c r="E2057">
        <v>2021</v>
      </c>
      <c r="F2057" s="168" t="s">
        <v>593</v>
      </c>
      <c r="G2057" s="168" t="s">
        <v>630</v>
      </c>
      <c r="H2057" s="168" t="s">
        <v>609</v>
      </c>
      <c r="I2057">
        <v>34.558826647860464</v>
      </c>
    </row>
    <row r="2058" spans="1:9" x14ac:dyDescent="0.3">
      <c r="A2058">
        <v>80</v>
      </c>
      <c r="B2058" s="168" t="s">
        <v>123</v>
      </c>
      <c r="C2058" s="168" t="s">
        <v>124</v>
      </c>
      <c r="D2058">
        <v>43</v>
      </c>
      <c r="E2058">
        <v>2021</v>
      </c>
      <c r="F2058" s="168" t="s">
        <v>593</v>
      </c>
      <c r="G2058" s="168" t="s">
        <v>612</v>
      </c>
      <c r="H2058" s="168" t="s">
        <v>608</v>
      </c>
      <c r="I2058">
        <v>0</v>
      </c>
    </row>
    <row r="2059" spans="1:9" x14ac:dyDescent="0.3">
      <c r="A2059">
        <v>80</v>
      </c>
      <c r="B2059" s="168" t="s">
        <v>123</v>
      </c>
      <c r="C2059" s="168" t="s">
        <v>124</v>
      </c>
      <c r="D2059">
        <v>43</v>
      </c>
      <c r="E2059">
        <v>2021</v>
      </c>
      <c r="F2059" s="168" t="s">
        <v>593</v>
      </c>
      <c r="G2059" s="168" t="s">
        <v>612</v>
      </c>
      <c r="H2059" s="168" t="s">
        <v>609</v>
      </c>
      <c r="I2059">
        <v>53.88179537742554</v>
      </c>
    </row>
    <row r="2060" spans="1:9" x14ac:dyDescent="0.3">
      <c r="A2060">
        <v>80</v>
      </c>
      <c r="B2060" s="168" t="s">
        <v>123</v>
      </c>
      <c r="C2060" s="168" t="s">
        <v>124</v>
      </c>
      <c r="D2060">
        <v>43</v>
      </c>
      <c r="E2060">
        <v>2021</v>
      </c>
      <c r="F2060" s="168" t="s">
        <v>593</v>
      </c>
      <c r="G2060" s="168" t="s">
        <v>617</v>
      </c>
      <c r="H2060" s="168" t="s">
        <v>608</v>
      </c>
      <c r="I2060">
        <v>29.04356504555307</v>
      </c>
    </row>
    <row r="2061" spans="1:9" x14ac:dyDescent="0.3">
      <c r="A2061">
        <v>80</v>
      </c>
      <c r="B2061" s="168" t="s">
        <v>123</v>
      </c>
      <c r="C2061" s="168" t="s">
        <v>124</v>
      </c>
      <c r="D2061">
        <v>43</v>
      </c>
      <c r="E2061">
        <v>2021</v>
      </c>
      <c r="F2061" s="168" t="s">
        <v>593</v>
      </c>
      <c r="G2061" s="168" t="s">
        <v>617</v>
      </c>
      <c r="H2061" s="168" t="s">
        <v>609</v>
      </c>
      <c r="I2061">
        <v>21.782673784164803</v>
      </c>
    </row>
    <row r="2062" spans="1:9" x14ac:dyDescent="0.3">
      <c r="A2062">
        <v>80</v>
      </c>
      <c r="B2062" s="168" t="s">
        <v>123</v>
      </c>
      <c r="C2062" s="168" t="s">
        <v>124</v>
      </c>
      <c r="D2062">
        <v>43</v>
      </c>
      <c r="E2062">
        <v>2021</v>
      </c>
      <c r="F2062" s="168" t="s">
        <v>593</v>
      </c>
      <c r="G2062" s="168" t="s">
        <v>630</v>
      </c>
      <c r="H2062" s="168" t="s">
        <v>608</v>
      </c>
      <c r="I2062">
        <v>161.52495063673913</v>
      </c>
    </row>
    <row r="2063" spans="1:9" x14ac:dyDescent="0.3">
      <c r="A2063">
        <v>80</v>
      </c>
      <c r="B2063" s="168" t="s">
        <v>123</v>
      </c>
      <c r="C2063" s="168" t="s">
        <v>124</v>
      </c>
      <c r="D2063">
        <v>43</v>
      </c>
      <c r="E2063">
        <v>2021</v>
      </c>
      <c r="F2063" s="168" t="s">
        <v>593</v>
      </c>
      <c r="G2063" s="168" t="s">
        <v>630</v>
      </c>
      <c r="H2063" s="168" t="s">
        <v>609</v>
      </c>
      <c r="I2063">
        <v>161.52495063673913</v>
      </c>
    </row>
    <row r="2064" spans="1:9" x14ac:dyDescent="0.3">
      <c r="A2064">
        <v>81</v>
      </c>
      <c r="B2064" s="168" t="s">
        <v>123</v>
      </c>
      <c r="C2064" s="168" t="s">
        <v>125</v>
      </c>
      <c r="D2064">
        <v>31.6</v>
      </c>
      <c r="E2064">
        <v>2021</v>
      </c>
      <c r="F2064" s="168" t="s">
        <v>593</v>
      </c>
      <c r="G2064" s="168" t="s">
        <v>612</v>
      </c>
      <c r="H2064" s="168" t="s">
        <v>608</v>
      </c>
      <c r="I2064">
        <v>0</v>
      </c>
    </row>
    <row r="2065" spans="1:9" x14ac:dyDescent="0.3">
      <c r="A2065">
        <v>81</v>
      </c>
      <c r="B2065" s="168" t="s">
        <v>123</v>
      </c>
      <c r="C2065" s="168" t="s">
        <v>125</v>
      </c>
      <c r="D2065">
        <v>31.6</v>
      </c>
      <c r="E2065">
        <v>2021</v>
      </c>
      <c r="F2065" s="168" t="s">
        <v>593</v>
      </c>
      <c r="G2065" s="168" t="s">
        <v>612</v>
      </c>
      <c r="H2065" s="168" t="s">
        <v>609</v>
      </c>
      <c r="I2065">
        <v>39.596854277363889</v>
      </c>
    </row>
    <row r="2066" spans="1:9" x14ac:dyDescent="0.3">
      <c r="A2066">
        <v>81</v>
      </c>
      <c r="B2066" s="168" t="s">
        <v>123</v>
      </c>
      <c r="C2066" s="168" t="s">
        <v>125</v>
      </c>
      <c r="D2066">
        <v>31.6</v>
      </c>
      <c r="E2066">
        <v>2021</v>
      </c>
      <c r="F2066" s="168" t="s">
        <v>593</v>
      </c>
      <c r="G2066" s="168" t="s">
        <v>617</v>
      </c>
      <c r="H2066" s="168" t="s">
        <v>608</v>
      </c>
      <c r="I2066">
        <v>21.34364314975528</v>
      </c>
    </row>
    <row r="2067" spans="1:9" x14ac:dyDescent="0.3">
      <c r="A2067">
        <v>81</v>
      </c>
      <c r="B2067" s="168" t="s">
        <v>123</v>
      </c>
      <c r="C2067" s="168" t="s">
        <v>125</v>
      </c>
      <c r="D2067">
        <v>31.6</v>
      </c>
      <c r="E2067">
        <v>2021</v>
      </c>
      <c r="F2067" s="168" t="s">
        <v>593</v>
      </c>
      <c r="G2067" s="168" t="s">
        <v>617</v>
      </c>
      <c r="H2067" s="168" t="s">
        <v>609</v>
      </c>
      <c r="I2067">
        <v>16.00773236231646</v>
      </c>
    </row>
    <row r="2068" spans="1:9" x14ac:dyDescent="0.3">
      <c r="A2068">
        <v>81</v>
      </c>
      <c r="B2068" s="168" t="s">
        <v>123</v>
      </c>
      <c r="C2068" s="168" t="s">
        <v>125</v>
      </c>
      <c r="D2068">
        <v>31.6</v>
      </c>
      <c r="E2068">
        <v>2021</v>
      </c>
      <c r="F2068" s="168" t="s">
        <v>593</v>
      </c>
      <c r="G2068" s="168" t="s">
        <v>630</v>
      </c>
      <c r="H2068" s="168" t="s">
        <v>608</v>
      </c>
      <c r="I2068">
        <v>118.70205674699901</v>
      </c>
    </row>
    <row r="2069" spans="1:9" x14ac:dyDescent="0.3">
      <c r="A2069">
        <v>81</v>
      </c>
      <c r="B2069" s="168" t="s">
        <v>123</v>
      </c>
      <c r="C2069" s="168" t="s">
        <v>125</v>
      </c>
      <c r="D2069">
        <v>31.6</v>
      </c>
      <c r="E2069">
        <v>2021</v>
      </c>
      <c r="F2069" s="168" t="s">
        <v>593</v>
      </c>
      <c r="G2069" s="168" t="s">
        <v>630</v>
      </c>
      <c r="H2069" s="168" t="s">
        <v>609</v>
      </c>
      <c r="I2069">
        <v>118.70205674699901</v>
      </c>
    </row>
    <row r="2070" spans="1:9" x14ac:dyDescent="0.3">
      <c r="A2070">
        <v>82</v>
      </c>
      <c r="B2070" s="168" t="s">
        <v>126</v>
      </c>
      <c r="C2070" s="168" t="s">
        <v>127</v>
      </c>
      <c r="D2070">
        <v>147.5</v>
      </c>
      <c r="E2070">
        <v>2021</v>
      </c>
      <c r="F2070" s="168" t="s">
        <v>593</v>
      </c>
      <c r="G2070" s="168" t="s">
        <v>612</v>
      </c>
      <c r="H2070" s="168" t="s">
        <v>608</v>
      </c>
      <c r="I2070">
        <v>0</v>
      </c>
    </row>
    <row r="2071" spans="1:9" x14ac:dyDescent="0.3">
      <c r="A2071">
        <v>82</v>
      </c>
      <c r="B2071" s="168" t="s">
        <v>126</v>
      </c>
      <c r="C2071" s="168" t="s">
        <v>127</v>
      </c>
      <c r="D2071">
        <v>147.5</v>
      </c>
      <c r="E2071">
        <v>2021</v>
      </c>
      <c r="F2071" s="168" t="s">
        <v>593</v>
      </c>
      <c r="G2071" s="168" t="s">
        <v>612</v>
      </c>
      <c r="H2071" s="168" t="s">
        <v>609</v>
      </c>
      <c r="I2071">
        <v>184.82708879465739</v>
      </c>
    </row>
    <row r="2072" spans="1:9" x14ac:dyDescent="0.3">
      <c r="A2072">
        <v>82</v>
      </c>
      <c r="B2072" s="168" t="s">
        <v>126</v>
      </c>
      <c r="C2072" s="168" t="s">
        <v>127</v>
      </c>
      <c r="D2072">
        <v>147.5</v>
      </c>
      <c r="E2072">
        <v>2021</v>
      </c>
      <c r="F2072" s="168" t="s">
        <v>593</v>
      </c>
      <c r="G2072" s="168" t="s">
        <v>617</v>
      </c>
      <c r="H2072" s="168" t="s">
        <v>608</v>
      </c>
      <c r="I2072">
        <v>99.626182423699476</v>
      </c>
    </row>
    <row r="2073" spans="1:9" x14ac:dyDescent="0.3">
      <c r="A2073">
        <v>82</v>
      </c>
      <c r="B2073" s="168" t="s">
        <v>126</v>
      </c>
      <c r="C2073" s="168" t="s">
        <v>127</v>
      </c>
      <c r="D2073">
        <v>147.5</v>
      </c>
      <c r="E2073">
        <v>2021</v>
      </c>
      <c r="F2073" s="168" t="s">
        <v>593</v>
      </c>
      <c r="G2073" s="168" t="s">
        <v>617</v>
      </c>
      <c r="H2073" s="168" t="s">
        <v>609</v>
      </c>
      <c r="I2073">
        <v>74.7196368177746</v>
      </c>
    </row>
    <row r="2074" spans="1:9" x14ac:dyDescent="0.3">
      <c r="A2074">
        <v>82</v>
      </c>
      <c r="B2074" s="168" t="s">
        <v>126</v>
      </c>
      <c r="C2074" s="168" t="s">
        <v>127</v>
      </c>
      <c r="D2074">
        <v>147.5</v>
      </c>
      <c r="E2074">
        <v>2021</v>
      </c>
      <c r="F2074" s="168" t="s">
        <v>593</v>
      </c>
      <c r="G2074" s="168" t="s">
        <v>630</v>
      </c>
      <c r="H2074" s="168" t="s">
        <v>608</v>
      </c>
      <c r="I2074">
        <v>554.06814462602381</v>
      </c>
    </row>
    <row r="2075" spans="1:9" x14ac:dyDescent="0.3">
      <c r="A2075">
        <v>82</v>
      </c>
      <c r="B2075" s="168" t="s">
        <v>126</v>
      </c>
      <c r="C2075" s="168" t="s">
        <v>127</v>
      </c>
      <c r="D2075">
        <v>147.5</v>
      </c>
      <c r="E2075">
        <v>2021</v>
      </c>
      <c r="F2075" s="168" t="s">
        <v>593</v>
      </c>
      <c r="G2075" s="168" t="s">
        <v>630</v>
      </c>
      <c r="H2075" s="168" t="s">
        <v>609</v>
      </c>
      <c r="I2075">
        <v>554.06814462602381</v>
      </c>
    </row>
    <row r="2076" spans="1:9" x14ac:dyDescent="0.3">
      <c r="A2076">
        <v>83</v>
      </c>
      <c r="B2076" s="168" t="s">
        <v>128</v>
      </c>
      <c r="C2076" s="168" t="s">
        <v>129</v>
      </c>
      <c r="D2076">
        <v>3106.9</v>
      </c>
      <c r="E2076">
        <v>2021</v>
      </c>
      <c r="F2076" s="168" t="s">
        <v>592</v>
      </c>
      <c r="G2076" s="168" t="s">
        <v>612</v>
      </c>
      <c r="H2076" s="168" t="s">
        <v>608</v>
      </c>
      <c r="I2076">
        <v>33656</v>
      </c>
    </row>
    <row r="2077" spans="1:9" x14ac:dyDescent="0.3">
      <c r="A2077">
        <v>83</v>
      </c>
      <c r="B2077" s="168" t="s">
        <v>128</v>
      </c>
      <c r="C2077" s="168" t="s">
        <v>129</v>
      </c>
      <c r="D2077">
        <v>3106.9</v>
      </c>
      <c r="E2077">
        <v>2021</v>
      </c>
      <c r="F2077" s="168" t="s">
        <v>592</v>
      </c>
      <c r="G2077" s="168" t="s">
        <v>612</v>
      </c>
      <c r="H2077" s="168" t="s">
        <v>609</v>
      </c>
      <c r="I2077">
        <v>53893.147675770313</v>
      </c>
    </row>
    <row r="2078" spans="1:9" x14ac:dyDescent="0.3">
      <c r="A2078">
        <v>83</v>
      </c>
      <c r="B2078" s="168" t="s">
        <v>128</v>
      </c>
      <c r="C2078" s="168" t="s">
        <v>129</v>
      </c>
      <c r="D2078">
        <v>3106.9</v>
      </c>
      <c r="E2078">
        <v>2021</v>
      </c>
      <c r="F2078" s="168" t="s">
        <v>592</v>
      </c>
      <c r="G2078" s="168" t="s">
        <v>629</v>
      </c>
      <c r="H2078" s="168" t="s">
        <v>608</v>
      </c>
      <c r="I2078">
        <v>0</v>
      </c>
    </row>
    <row r="2079" spans="1:9" x14ac:dyDescent="0.3">
      <c r="A2079">
        <v>83</v>
      </c>
      <c r="B2079" s="168" t="s">
        <v>128</v>
      </c>
      <c r="C2079" s="168" t="s">
        <v>129</v>
      </c>
      <c r="D2079">
        <v>3106.9</v>
      </c>
      <c r="E2079">
        <v>2021</v>
      </c>
      <c r="F2079" s="168" t="s">
        <v>592</v>
      </c>
      <c r="G2079" s="168" t="s">
        <v>629</v>
      </c>
      <c r="H2079" s="168" t="s">
        <v>609</v>
      </c>
      <c r="I2079">
        <v>259290.32</v>
      </c>
    </row>
    <row r="2080" spans="1:9" x14ac:dyDescent="0.3">
      <c r="A2080">
        <v>83</v>
      </c>
      <c r="B2080" s="168" t="s">
        <v>128</v>
      </c>
      <c r="C2080" s="168" t="s">
        <v>129</v>
      </c>
      <c r="D2080">
        <v>3106.9</v>
      </c>
      <c r="E2080">
        <v>2021</v>
      </c>
      <c r="F2080" s="168" t="s">
        <v>592</v>
      </c>
      <c r="G2080" s="168" t="s">
        <v>617</v>
      </c>
      <c r="H2080" s="168" t="s">
        <v>608</v>
      </c>
      <c r="I2080">
        <v>2098.4988893029963</v>
      </c>
    </row>
    <row r="2081" spans="1:9" x14ac:dyDescent="0.3">
      <c r="A2081">
        <v>83</v>
      </c>
      <c r="B2081" s="168" t="s">
        <v>128</v>
      </c>
      <c r="C2081" s="168" t="s">
        <v>129</v>
      </c>
      <c r="D2081">
        <v>3106.9</v>
      </c>
      <c r="E2081">
        <v>2021</v>
      </c>
      <c r="F2081" s="168" t="s">
        <v>592</v>
      </c>
      <c r="G2081" s="168" t="s">
        <v>617</v>
      </c>
      <c r="H2081" s="168" t="s">
        <v>609</v>
      </c>
      <c r="I2081">
        <v>1573.8741669772501</v>
      </c>
    </row>
    <row r="2082" spans="1:9" x14ac:dyDescent="0.3">
      <c r="A2082">
        <v>83</v>
      </c>
      <c r="B2082" s="168" t="s">
        <v>128</v>
      </c>
      <c r="C2082" s="168" t="s">
        <v>129</v>
      </c>
      <c r="D2082">
        <v>3106.9</v>
      </c>
      <c r="E2082">
        <v>2021</v>
      </c>
      <c r="F2082" s="168" t="s">
        <v>592</v>
      </c>
      <c r="G2082" s="168" t="s">
        <v>618</v>
      </c>
      <c r="H2082" s="168" t="s">
        <v>608</v>
      </c>
      <c r="I2082">
        <v>0</v>
      </c>
    </row>
    <row r="2083" spans="1:9" x14ac:dyDescent="0.3">
      <c r="A2083">
        <v>83</v>
      </c>
      <c r="B2083" s="168" t="s">
        <v>128</v>
      </c>
      <c r="C2083" s="168" t="s">
        <v>129</v>
      </c>
      <c r="D2083">
        <v>3106.9</v>
      </c>
      <c r="E2083">
        <v>2021</v>
      </c>
      <c r="F2083" s="168" t="s">
        <v>592</v>
      </c>
      <c r="G2083" s="168" t="s">
        <v>618</v>
      </c>
      <c r="H2083" s="168" t="s">
        <v>609</v>
      </c>
      <c r="I2083">
        <v>15977.528089887641</v>
      </c>
    </row>
    <row r="2084" spans="1:9" x14ac:dyDescent="0.3">
      <c r="A2084">
        <v>83</v>
      </c>
      <c r="B2084" s="168" t="s">
        <v>128</v>
      </c>
      <c r="C2084" s="168" t="s">
        <v>129</v>
      </c>
      <c r="D2084">
        <v>3106.9</v>
      </c>
      <c r="E2084">
        <v>2021</v>
      </c>
      <c r="F2084" s="168" t="s">
        <v>592</v>
      </c>
      <c r="G2084" s="168" t="s">
        <v>610</v>
      </c>
      <c r="H2084" s="168" t="s">
        <v>608</v>
      </c>
      <c r="I2084">
        <v>0</v>
      </c>
    </row>
    <row r="2085" spans="1:9" x14ac:dyDescent="0.3">
      <c r="A2085">
        <v>83</v>
      </c>
      <c r="B2085" s="168" t="s">
        <v>128</v>
      </c>
      <c r="C2085" s="168" t="s">
        <v>129</v>
      </c>
      <c r="D2085">
        <v>3106.9</v>
      </c>
      <c r="E2085">
        <v>2021</v>
      </c>
      <c r="F2085" s="168" t="s">
        <v>592</v>
      </c>
      <c r="G2085" s="168" t="s">
        <v>610</v>
      </c>
      <c r="H2085" s="168" t="s">
        <v>609</v>
      </c>
      <c r="I2085">
        <v>6545.454545454545</v>
      </c>
    </row>
    <row r="2086" spans="1:9" x14ac:dyDescent="0.3">
      <c r="A2086">
        <v>83</v>
      </c>
      <c r="B2086" s="168" t="s">
        <v>128</v>
      </c>
      <c r="C2086" s="168" t="s">
        <v>129</v>
      </c>
      <c r="D2086">
        <v>3106.9</v>
      </c>
      <c r="E2086">
        <v>2021</v>
      </c>
      <c r="F2086" s="168" t="s">
        <v>592</v>
      </c>
      <c r="G2086" s="168" t="s">
        <v>620</v>
      </c>
      <c r="H2086" s="168" t="s">
        <v>608</v>
      </c>
      <c r="I2086">
        <v>19238.132258064514</v>
      </c>
    </row>
    <row r="2087" spans="1:9" x14ac:dyDescent="0.3">
      <c r="A2087">
        <v>83</v>
      </c>
      <c r="B2087" s="168" t="s">
        <v>128</v>
      </c>
      <c r="C2087" s="168" t="s">
        <v>129</v>
      </c>
      <c r="D2087">
        <v>3106.9</v>
      </c>
      <c r="E2087">
        <v>2021</v>
      </c>
      <c r="F2087" s="168" t="s">
        <v>592</v>
      </c>
      <c r="G2087" s="168" t="s">
        <v>620</v>
      </c>
      <c r="H2087" s="168" t="s">
        <v>609</v>
      </c>
      <c r="I2087">
        <v>0</v>
      </c>
    </row>
    <row r="2088" spans="1:9" x14ac:dyDescent="0.3">
      <c r="A2088">
        <v>83</v>
      </c>
      <c r="B2088" s="168" t="s">
        <v>128</v>
      </c>
      <c r="C2088" s="168" t="s">
        <v>129</v>
      </c>
      <c r="D2088">
        <v>3106.9</v>
      </c>
      <c r="E2088">
        <v>2021</v>
      </c>
      <c r="F2088" s="168" t="s">
        <v>592</v>
      </c>
      <c r="G2088" s="168" t="s">
        <v>633</v>
      </c>
      <c r="H2088" s="168" t="s">
        <v>608</v>
      </c>
      <c r="I2088">
        <v>0</v>
      </c>
    </row>
    <row r="2089" spans="1:9" x14ac:dyDescent="0.3">
      <c r="A2089">
        <v>83</v>
      </c>
      <c r="B2089" s="168" t="s">
        <v>128</v>
      </c>
      <c r="C2089" s="168" t="s">
        <v>129</v>
      </c>
      <c r="D2089">
        <v>3106.9</v>
      </c>
      <c r="E2089">
        <v>2021</v>
      </c>
      <c r="F2089" s="168" t="s">
        <v>592</v>
      </c>
      <c r="G2089" s="168" t="s">
        <v>633</v>
      </c>
      <c r="H2089" s="168" t="s">
        <v>609</v>
      </c>
      <c r="I2089">
        <v>70513.274336283182</v>
      </c>
    </row>
    <row r="2090" spans="1:9" x14ac:dyDescent="0.3">
      <c r="A2090">
        <v>83</v>
      </c>
      <c r="B2090" s="168" t="s">
        <v>128</v>
      </c>
      <c r="C2090" s="168" t="s">
        <v>129</v>
      </c>
      <c r="D2090">
        <v>3106.9</v>
      </c>
      <c r="E2090">
        <v>2021</v>
      </c>
      <c r="F2090" s="168" t="s">
        <v>592</v>
      </c>
      <c r="G2090" s="168" t="s">
        <v>623</v>
      </c>
      <c r="H2090" s="168" t="s">
        <v>608</v>
      </c>
      <c r="I2090">
        <v>97634.615384615405</v>
      </c>
    </row>
    <row r="2091" spans="1:9" x14ac:dyDescent="0.3">
      <c r="A2091">
        <v>83</v>
      </c>
      <c r="B2091" s="168" t="s">
        <v>128</v>
      </c>
      <c r="C2091" s="168" t="s">
        <v>129</v>
      </c>
      <c r="D2091">
        <v>3106.9</v>
      </c>
      <c r="E2091">
        <v>2021</v>
      </c>
      <c r="F2091" s="168" t="s">
        <v>592</v>
      </c>
      <c r="G2091" s="168" t="s">
        <v>623</v>
      </c>
      <c r="H2091" s="168" t="s">
        <v>609</v>
      </c>
      <c r="I2091">
        <v>71020.782500000001</v>
      </c>
    </row>
    <row r="2092" spans="1:9" x14ac:dyDescent="0.3">
      <c r="A2092">
        <v>83</v>
      </c>
      <c r="B2092" s="168" t="s">
        <v>128</v>
      </c>
      <c r="C2092" s="168" t="s">
        <v>129</v>
      </c>
      <c r="D2092">
        <v>3106.9</v>
      </c>
      <c r="E2092">
        <v>2021</v>
      </c>
      <c r="F2092" s="168" t="s">
        <v>592</v>
      </c>
      <c r="G2092" s="168" t="s">
        <v>615</v>
      </c>
      <c r="H2092" s="168" t="s">
        <v>608</v>
      </c>
      <c r="I2092">
        <v>0</v>
      </c>
    </row>
    <row r="2093" spans="1:9" x14ac:dyDescent="0.3">
      <c r="A2093">
        <v>83</v>
      </c>
      <c r="B2093" s="168" t="s">
        <v>128</v>
      </c>
      <c r="C2093" s="168" t="s">
        <v>129</v>
      </c>
      <c r="D2093">
        <v>3106.9</v>
      </c>
      <c r="E2093">
        <v>2021</v>
      </c>
      <c r="F2093" s="168" t="s">
        <v>592</v>
      </c>
      <c r="G2093" s="168" t="s">
        <v>615</v>
      </c>
      <c r="H2093" s="168" t="s">
        <v>609</v>
      </c>
      <c r="I2093">
        <v>7536.5853658536589</v>
      </c>
    </row>
    <row r="2094" spans="1:9" x14ac:dyDescent="0.3">
      <c r="A2094">
        <v>83</v>
      </c>
      <c r="B2094" s="168" t="s">
        <v>128</v>
      </c>
      <c r="C2094" s="168" t="s">
        <v>129</v>
      </c>
      <c r="D2094">
        <v>3106.9</v>
      </c>
      <c r="E2094">
        <v>2021</v>
      </c>
      <c r="F2094" s="168" t="s">
        <v>592</v>
      </c>
      <c r="G2094" s="168" t="s">
        <v>630</v>
      </c>
      <c r="H2094" s="168" t="s">
        <v>608</v>
      </c>
      <c r="I2094">
        <v>58122.488724973897</v>
      </c>
    </row>
    <row r="2095" spans="1:9" x14ac:dyDescent="0.3">
      <c r="A2095">
        <v>83</v>
      </c>
      <c r="B2095" s="168" t="s">
        <v>128</v>
      </c>
      <c r="C2095" s="168" t="s">
        <v>129</v>
      </c>
      <c r="D2095">
        <v>3106.9</v>
      </c>
      <c r="E2095">
        <v>2021</v>
      </c>
      <c r="F2095" s="168" t="s">
        <v>592</v>
      </c>
      <c r="G2095" s="168" t="s">
        <v>630</v>
      </c>
      <c r="H2095" s="168" t="s">
        <v>609</v>
      </c>
      <c r="I2095">
        <v>61143.898442958896</v>
      </c>
    </row>
    <row r="2096" spans="1:9" x14ac:dyDescent="0.3">
      <c r="A2096">
        <v>83</v>
      </c>
      <c r="B2096" s="168" t="s">
        <v>128</v>
      </c>
      <c r="C2096" s="168" t="s">
        <v>129</v>
      </c>
      <c r="D2096">
        <v>3106.9</v>
      </c>
      <c r="E2096">
        <v>2021</v>
      </c>
      <c r="F2096" s="168" t="s">
        <v>592</v>
      </c>
      <c r="G2096" s="168" t="s">
        <v>613</v>
      </c>
      <c r="H2096" s="168" t="s">
        <v>608</v>
      </c>
      <c r="I2096">
        <v>220168.30167363898</v>
      </c>
    </row>
    <row r="2097" spans="1:9" x14ac:dyDescent="0.3">
      <c r="A2097">
        <v>83</v>
      </c>
      <c r="B2097" s="168" t="s">
        <v>128</v>
      </c>
      <c r="C2097" s="168" t="s">
        <v>129</v>
      </c>
      <c r="D2097">
        <v>3106.9</v>
      </c>
      <c r="E2097">
        <v>2021</v>
      </c>
      <c r="F2097" s="168" t="s">
        <v>592</v>
      </c>
      <c r="G2097" s="168" t="s">
        <v>613</v>
      </c>
      <c r="H2097" s="168" t="s">
        <v>609</v>
      </c>
      <c r="I2097">
        <v>89773.064744335803</v>
      </c>
    </row>
    <row r="2098" spans="1:9" x14ac:dyDescent="0.3">
      <c r="A2098">
        <v>83</v>
      </c>
      <c r="B2098" s="168" t="s">
        <v>128</v>
      </c>
      <c r="C2098" s="168" t="s">
        <v>129</v>
      </c>
      <c r="D2098">
        <v>3106.9</v>
      </c>
      <c r="E2098">
        <v>2021</v>
      </c>
      <c r="F2098" s="168" t="s">
        <v>592</v>
      </c>
      <c r="G2098" s="168" t="s">
        <v>622</v>
      </c>
      <c r="H2098" s="168" t="s">
        <v>608</v>
      </c>
      <c r="I2098">
        <v>28213.045859466878</v>
      </c>
    </row>
    <row r="2099" spans="1:9" x14ac:dyDescent="0.3">
      <c r="A2099">
        <v>83</v>
      </c>
      <c r="B2099" s="168" t="s">
        <v>128</v>
      </c>
      <c r="C2099" s="168" t="s">
        <v>129</v>
      </c>
      <c r="D2099">
        <v>3106.9</v>
      </c>
      <c r="E2099">
        <v>2021</v>
      </c>
      <c r="F2099" s="168" t="s">
        <v>592</v>
      </c>
      <c r="G2099" s="168" t="s">
        <v>622</v>
      </c>
      <c r="H2099" s="168" t="s">
        <v>609</v>
      </c>
      <c r="I2099">
        <v>0</v>
      </c>
    </row>
    <row r="2100" spans="1:9" x14ac:dyDescent="0.3">
      <c r="A2100">
        <v>84</v>
      </c>
      <c r="B2100" s="168" t="s">
        <v>130</v>
      </c>
      <c r="C2100" s="168" t="s">
        <v>131</v>
      </c>
      <c r="D2100">
        <v>18213.3</v>
      </c>
      <c r="E2100">
        <v>2021</v>
      </c>
      <c r="F2100" s="168" t="s">
        <v>592</v>
      </c>
      <c r="G2100" s="168" t="s">
        <v>612</v>
      </c>
      <c r="H2100" s="168" t="s">
        <v>608</v>
      </c>
      <c r="I2100">
        <v>0</v>
      </c>
    </row>
    <row r="2101" spans="1:9" x14ac:dyDescent="0.3">
      <c r="A2101">
        <v>84</v>
      </c>
      <c r="B2101" s="168" t="s">
        <v>130</v>
      </c>
      <c r="C2101" s="168" t="s">
        <v>131</v>
      </c>
      <c r="D2101">
        <v>18213.3</v>
      </c>
      <c r="E2101">
        <v>2021</v>
      </c>
      <c r="F2101" s="168" t="s">
        <v>592</v>
      </c>
      <c r="G2101" s="168" t="s">
        <v>612</v>
      </c>
      <c r="H2101" s="168" t="s">
        <v>609</v>
      </c>
      <c r="I2101">
        <v>22822.448924364293</v>
      </c>
    </row>
    <row r="2102" spans="1:9" x14ac:dyDescent="0.3">
      <c r="A2102">
        <v>84</v>
      </c>
      <c r="B2102" s="168" t="s">
        <v>130</v>
      </c>
      <c r="C2102" s="168" t="s">
        <v>131</v>
      </c>
      <c r="D2102">
        <v>18213.3</v>
      </c>
      <c r="E2102">
        <v>2021</v>
      </c>
      <c r="F2102" s="168" t="s">
        <v>592</v>
      </c>
      <c r="G2102" s="168" t="s">
        <v>617</v>
      </c>
      <c r="H2102" s="168" t="s">
        <v>608</v>
      </c>
      <c r="I2102">
        <v>12301.841005678411</v>
      </c>
    </row>
    <row r="2103" spans="1:9" x14ac:dyDescent="0.3">
      <c r="A2103">
        <v>84</v>
      </c>
      <c r="B2103" s="168" t="s">
        <v>130</v>
      </c>
      <c r="C2103" s="168" t="s">
        <v>131</v>
      </c>
      <c r="D2103">
        <v>18213.3</v>
      </c>
      <c r="E2103">
        <v>2021</v>
      </c>
      <c r="F2103" s="168" t="s">
        <v>592</v>
      </c>
      <c r="G2103" s="168" t="s">
        <v>617</v>
      </c>
      <c r="H2103" s="168" t="s">
        <v>609</v>
      </c>
      <c r="I2103">
        <v>9226.3807542588074</v>
      </c>
    </row>
    <row r="2104" spans="1:9" x14ac:dyDescent="0.3">
      <c r="A2104">
        <v>84</v>
      </c>
      <c r="B2104" s="168" t="s">
        <v>130</v>
      </c>
      <c r="C2104" s="168" t="s">
        <v>131</v>
      </c>
      <c r="D2104">
        <v>18213.3</v>
      </c>
      <c r="E2104">
        <v>2021</v>
      </c>
      <c r="F2104" s="168" t="s">
        <v>592</v>
      </c>
      <c r="G2104" s="168" t="s">
        <v>618</v>
      </c>
      <c r="H2104" s="168" t="s">
        <v>608</v>
      </c>
      <c r="I2104">
        <v>0</v>
      </c>
    </row>
    <row r="2105" spans="1:9" x14ac:dyDescent="0.3">
      <c r="A2105">
        <v>84</v>
      </c>
      <c r="B2105" s="168" t="s">
        <v>130</v>
      </c>
      <c r="C2105" s="168" t="s">
        <v>131</v>
      </c>
      <c r="D2105">
        <v>18213.3</v>
      </c>
      <c r="E2105">
        <v>2021</v>
      </c>
      <c r="F2105" s="168" t="s">
        <v>592</v>
      </c>
      <c r="G2105" s="168" t="s">
        <v>618</v>
      </c>
      <c r="H2105" s="168" t="s">
        <v>609</v>
      </c>
      <c r="I2105">
        <v>21303.370786516854</v>
      </c>
    </row>
    <row r="2106" spans="1:9" x14ac:dyDescent="0.3">
      <c r="A2106">
        <v>84</v>
      </c>
      <c r="B2106" s="168" t="s">
        <v>130</v>
      </c>
      <c r="C2106" s="168" t="s">
        <v>131</v>
      </c>
      <c r="D2106">
        <v>18213.3</v>
      </c>
      <c r="E2106">
        <v>2021</v>
      </c>
      <c r="F2106" s="168" t="s">
        <v>592</v>
      </c>
      <c r="G2106" s="168" t="s">
        <v>610</v>
      </c>
      <c r="H2106" s="168" t="s">
        <v>608</v>
      </c>
      <c r="I2106">
        <v>0</v>
      </c>
    </row>
    <row r="2107" spans="1:9" x14ac:dyDescent="0.3">
      <c r="A2107">
        <v>84</v>
      </c>
      <c r="B2107" s="168" t="s">
        <v>130</v>
      </c>
      <c r="C2107" s="168" t="s">
        <v>131</v>
      </c>
      <c r="D2107">
        <v>18213.3</v>
      </c>
      <c r="E2107">
        <v>2021</v>
      </c>
      <c r="F2107" s="168" t="s">
        <v>592</v>
      </c>
      <c r="G2107" s="168" t="s">
        <v>610</v>
      </c>
      <c r="H2107" s="168" t="s">
        <v>609</v>
      </c>
      <c r="I2107">
        <v>13090.90909090909</v>
      </c>
    </row>
    <row r="2108" spans="1:9" x14ac:dyDescent="0.3">
      <c r="A2108">
        <v>84</v>
      </c>
      <c r="B2108" s="168" t="s">
        <v>130</v>
      </c>
      <c r="C2108" s="168" t="s">
        <v>131</v>
      </c>
      <c r="D2108">
        <v>18213.3</v>
      </c>
      <c r="E2108">
        <v>2021</v>
      </c>
      <c r="F2108" s="168" t="s">
        <v>592</v>
      </c>
      <c r="G2108" s="168" t="s">
        <v>633</v>
      </c>
      <c r="H2108" s="168" t="s">
        <v>608</v>
      </c>
      <c r="I2108">
        <v>0</v>
      </c>
    </row>
    <row r="2109" spans="1:9" x14ac:dyDescent="0.3">
      <c r="A2109">
        <v>84</v>
      </c>
      <c r="B2109" s="168" t="s">
        <v>130</v>
      </c>
      <c r="C2109" s="168" t="s">
        <v>131</v>
      </c>
      <c r="D2109">
        <v>18213.3</v>
      </c>
      <c r="E2109">
        <v>2021</v>
      </c>
      <c r="F2109" s="168" t="s">
        <v>592</v>
      </c>
      <c r="G2109" s="168" t="s">
        <v>633</v>
      </c>
      <c r="H2109" s="168" t="s">
        <v>609</v>
      </c>
      <c r="I2109">
        <v>79327.433628318584</v>
      </c>
    </row>
    <row r="2110" spans="1:9" x14ac:dyDescent="0.3">
      <c r="A2110">
        <v>84</v>
      </c>
      <c r="B2110" s="168" t="s">
        <v>130</v>
      </c>
      <c r="C2110" s="168" t="s">
        <v>131</v>
      </c>
      <c r="D2110">
        <v>18213.3</v>
      </c>
      <c r="E2110">
        <v>2021</v>
      </c>
      <c r="F2110" s="168" t="s">
        <v>592</v>
      </c>
      <c r="G2110" s="168" t="s">
        <v>623</v>
      </c>
      <c r="H2110" s="168" t="s">
        <v>608</v>
      </c>
      <c r="I2110">
        <v>227625</v>
      </c>
    </row>
    <row r="2111" spans="1:9" x14ac:dyDescent="0.3">
      <c r="A2111">
        <v>84</v>
      </c>
      <c r="B2111" s="168" t="s">
        <v>130</v>
      </c>
      <c r="C2111" s="168" t="s">
        <v>131</v>
      </c>
      <c r="D2111">
        <v>18213.3</v>
      </c>
      <c r="E2111">
        <v>2021</v>
      </c>
      <c r="F2111" s="168" t="s">
        <v>592</v>
      </c>
      <c r="G2111" s="168" t="s">
        <v>623</v>
      </c>
      <c r="H2111" s="168" t="s">
        <v>609</v>
      </c>
      <c r="I2111">
        <v>177551.95625000002</v>
      </c>
    </row>
    <row r="2112" spans="1:9" x14ac:dyDescent="0.3">
      <c r="A2112">
        <v>84</v>
      </c>
      <c r="B2112" s="168" t="s">
        <v>130</v>
      </c>
      <c r="C2112" s="168" t="s">
        <v>131</v>
      </c>
      <c r="D2112">
        <v>18213.3</v>
      </c>
      <c r="E2112">
        <v>2021</v>
      </c>
      <c r="F2112" s="168" t="s">
        <v>592</v>
      </c>
      <c r="G2112" s="168" t="s">
        <v>615</v>
      </c>
      <c r="H2112" s="168" t="s">
        <v>608</v>
      </c>
      <c r="I2112">
        <v>0</v>
      </c>
    </row>
    <row r="2113" spans="1:9" x14ac:dyDescent="0.3">
      <c r="A2113">
        <v>84</v>
      </c>
      <c r="B2113" s="168" t="s">
        <v>130</v>
      </c>
      <c r="C2113" s="168" t="s">
        <v>131</v>
      </c>
      <c r="D2113">
        <v>18213.3</v>
      </c>
      <c r="E2113">
        <v>2021</v>
      </c>
      <c r="F2113" s="168" t="s">
        <v>592</v>
      </c>
      <c r="G2113" s="168" t="s">
        <v>615</v>
      </c>
      <c r="H2113" s="168" t="s">
        <v>609</v>
      </c>
      <c r="I2113">
        <v>7536.5853658536589</v>
      </c>
    </row>
    <row r="2114" spans="1:9" x14ac:dyDescent="0.3">
      <c r="A2114">
        <v>84</v>
      </c>
      <c r="B2114" s="168" t="s">
        <v>130</v>
      </c>
      <c r="C2114" s="168" t="s">
        <v>131</v>
      </c>
      <c r="D2114">
        <v>18213.3</v>
      </c>
      <c r="E2114">
        <v>2021</v>
      </c>
      <c r="F2114" s="168" t="s">
        <v>592</v>
      </c>
      <c r="G2114" s="168" t="s">
        <v>630</v>
      </c>
      <c r="H2114" s="168" t="s">
        <v>608</v>
      </c>
      <c r="I2114">
        <v>340726.22997024941</v>
      </c>
    </row>
    <row r="2115" spans="1:9" x14ac:dyDescent="0.3">
      <c r="A2115">
        <v>84</v>
      </c>
      <c r="B2115" s="168" t="s">
        <v>130</v>
      </c>
      <c r="C2115" s="168" t="s">
        <v>131</v>
      </c>
      <c r="D2115">
        <v>18213.3</v>
      </c>
      <c r="E2115">
        <v>2021</v>
      </c>
      <c r="F2115" s="168" t="s">
        <v>592</v>
      </c>
      <c r="G2115" s="168" t="s">
        <v>630</v>
      </c>
      <c r="H2115" s="168" t="s">
        <v>609</v>
      </c>
      <c r="I2115">
        <v>358438.36799096939</v>
      </c>
    </row>
    <row r="2116" spans="1:9" x14ac:dyDescent="0.3">
      <c r="A2116">
        <v>84</v>
      </c>
      <c r="B2116" s="168" t="s">
        <v>130</v>
      </c>
      <c r="C2116" s="168" t="s">
        <v>131</v>
      </c>
      <c r="D2116">
        <v>18213.3</v>
      </c>
      <c r="E2116">
        <v>2021</v>
      </c>
      <c r="F2116" s="168" t="s">
        <v>592</v>
      </c>
      <c r="G2116" s="168" t="s">
        <v>621</v>
      </c>
      <c r="H2116" s="168" t="s">
        <v>608</v>
      </c>
      <c r="I2116">
        <v>0</v>
      </c>
    </row>
    <row r="2117" spans="1:9" x14ac:dyDescent="0.3">
      <c r="A2117">
        <v>84</v>
      </c>
      <c r="B2117" s="168" t="s">
        <v>130</v>
      </c>
      <c r="C2117" s="168" t="s">
        <v>131</v>
      </c>
      <c r="D2117">
        <v>18213.3</v>
      </c>
      <c r="E2117">
        <v>2021</v>
      </c>
      <c r="F2117" s="168" t="s">
        <v>592</v>
      </c>
      <c r="G2117" s="168" t="s">
        <v>613</v>
      </c>
      <c r="H2117" s="168" t="s">
        <v>608</v>
      </c>
      <c r="I2117">
        <v>687517.38640575798</v>
      </c>
    </row>
    <row r="2118" spans="1:9" x14ac:dyDescent="0.3">
      <c r="A2118">
        <v>84</v>
      </c>
      <c r="B2118" s="168" t="s">
        <v>130</v>
      </c>
      <c r="C2118" s="168" t="s">
        <v>131</v>
      </c>
      <c r="D2118">
        <v>18213.3</v>
      </c>
      <c r="E2118">
        <v>2021</v>
      </c>
      <c r="F2118" s="168" t="s">
        <v>592</v>
      </c>
      <c r="G2118" s="168" t="s">
        <v>613</v>
      </c>
      <c r="H2118" s="168" t="s">
        <v>609</v>
      </c>
      <c r="I2118">
        <v>139545.40296389101</v>
      </c>
    </row>
    <row r="2119" spans="1:9" x14ac:dyDescent="0.3">
      <c r="A2119">
        <v>85</v>
      </c>
      <c r="B2119" s="168" t="s">
        <v>132</v>
      </c>
      <c r="C2119" s="168" t="s">
        <v>133</v>
      </c>
      <c r="D2119">
        <v>14009.5</v>
      </c>
      <c r="E2119">
        <v>2021</v>
      </c>
      <c r="F2119" s="168" t="s">
        <v>591</v>
      </c>
      <c r="G2119" s="168" t="s">
        <v>607</v>
      </c>
      <c r="H2119" s="168" t="s">
        <v>608</v>
      </c>
      <c r="I2119">
        <v>1812328.73</v>
      </c>
    </row>
    <row r="2120" spans="1:9" x14ac:dyDescent="0.3">
      <c r="A2120">
        <v>85</v>
      </c>
      <c r="B2120" s="168" t="s">
        <v>132</v>
      </c>
      <c r="C2120" s="168" t="s">
        <v>133</v>
      </c>
      <c r="D2120">
        <v>14009.5</v>
      </c>
      <c r="E2120">
        <v>2021</v>
      </c>
      <c r="F2120" s="168" t="s">
        <v>591</v>
      </c>
      <c r="G2120" s="168" t="s">
        <v>607</v>
      </c>
      <c r="H2120" s="168" t="s">
        <v>609</v>
      </c>
      <c r="I2120">
        <v>776712.31</v>
      </c>
    </row>
    <row r="2121" spans="1:9" x14ac:dyDescent="0.3">
      <c r="A2121">
        <v>85</v>
      </c>
      <c r="B2121" s="168" t="s">
        <v>132</v>
      </c>
      <c r="C2121" s="168" t="s">
        <v>133</v>
      </c>
      <c r="D2121">
        <v>14009.5</v>
      </c>
      <c r="E2121">
        <v>2021</v>
      </c>
      <c r="F2121" s="168" t="s">
        <v>591</v>
      </c>
      <c r="G2121" s="168" t="s">
        <v>612</v>
      </c>
      <c r="H2121" s="168" t="s">
        <v>608</v>
      </c>
      <c r="I2121">
        <v>738801.87</v>
      </c>
    </row>
    <row r="2122" spans="1:9" x14ac:dyDescent="0.3">
      <c r="A2122">
        <v>85</v>
      </c>
      <c r="B2122" s="168" t="s">
        <v>132</v>
      </c>
      <c r="C2122" s="168" t="s">
        <v>133</v>
      </c>
      <c r="D2122">
        <v>14009.5</v>
      </c>
      <c r="E2122">
        <v>2021</v>
      </c>
      <c r="F2122" s="168" t="s">
        <v>591</v>
      </c>
      <c r="G2122" s="168" t="s">
        <v>612</v>
      </c>
      <c r="H2122" s="168" t="s">
        <v>609</v>
      </c>
      <c r="I2122">
        <v>316629.37358400004</v>
      </c>
    </row>
    <row r="2123" spans="1:9" x14ac:dyDescent="0.3">
      <c r="A2123">
        <v>85</v>
      </c>
      <c r="B2123" s="168" t="s">
        <v>132</v>
      </c>
      <c r="C2123" s="168" t="s">
        <v>133</v>
      </c>
      <c r="D2123">
        <v>14009.5</v>
      </c>
      <c r="E2123">
        <v>2021</v>
      </c>
      <c r="F2123" s="168" t="s">
        <v>591</v>
      </c>
      <c r="G2123" s="168" t="s">
        <v>629</v>
      </c>
      <c r="H2123" s="168" t="s">
        <v>608</v>
      </c>
      <c r="I2123">
        <v>1274864.5</v>
      </c>
    </row>
    <row r="2124" spans="1:9" x14ac:dyDescent="0.3">
      <c r="A2124">
        <v>85</v>
      </c>
      <c r="B2124" s="168" t="s">
        <v>132</v>
      </c>
      <c r="C2124" s="168" t="s">
        <v>133</v>
      </c>
      <c r="D2124">
        <v>14009.5</v>
      </c>
      <c r="E2124">
        <v>2021</v>
      </c>
      <c r="F2124" s="168" t="s">
        <v>591</v>
      </c>
      <c r="G2124" s="168" t="s">
        <v>629</v>
      </c>
      <c r="H2124" s="168" t="s">
        <v>609</v>
      </c>
      <c r="I2124">
        <v>546370.5</v>
      </c>
    </row>
    <row r="2125" spans="1:9" x14ac:dyDescent="0.3">
      <c r="A2125">
        <v>85</v>
      </c>
      <c r="B2125" s="168" t="s">
        <v>132</v>
      </c>
      <c r="C2125" s="168" t="s">
        <v>133</v>
      </c>
      <c r="D2125">
        <v>14009.5</v>
      </c>
      <c r="E2125">
        <v>2021</v>
      </c>
      <c r="F2125" s="168" t="s">
        <v>591</v>
      </c>
      <c r="G2125" s="168" t="s">
        <v>610</v>
      </c>
      <c r="H2125" s="168" t="s">
        <v>608</v>
      </c>
      <c r="I2125">
        <v>0</v>
      </c>
    </row>
    <row r="2126" spans="1:9" x14ac:dyDescent="0.3">
      <c r="A2126">
        <v>85</v>
      </c>
      <c r="B2126" s="168" t="s">
        <v>132</v>
      </c>
      <c r="C2126" s="168" t="s">
        <v>133</v>
      </c>
      <c r="D2126">
        <v>14009.5</v>
      </c>
      <c r="E2126">
        <v>2021</v>
      </c>
      <c r="F2126" s="168" t="s">
        <v>591</v>
      </c>
      <c r="G2126" s="168" t="s">
        <v>610</v>
      </c>
      <c r="H2126" s="168" t="s">
        <v>609</v>
      </c>
      <c r="I2126">
        <v>13090.90909090909</v>
      </c>
    </row>
    <row r="2127" spans="1:9" x14ac:dyDescent="0.3">
      <c r="A2127">
        <v>85</v>
      </c>
      <c r="B2127" s="168" t="s">
        <v>132</v>
      </c>
      <c r="C2127" s="168" t="s">
        <v>133</v>
      </c>
      <c r="D2127">
        <v>14009.5</v>
      </c>
      <c r="E2127">
        <v>2021</v>
      </c>
      <c r="F2127" s="168" t="s">
        <v>591</v>
      </c>
      <c r="G2127" s="168" t="s">
        <v>623</v>
      </c>
      <c r="H2127" s="168" t="s">
        <v>608</v>
      </c>
      <c r="I2127">
        <v>319210.2</v>
      </c>
    </row>
    <row r="2128" spans="1:9" x14ac:dyDescent="0.3">
      <c r="A2128">
        <v>85</v>
      </c>
      <c r="B2128" s="168" t="s">
        <v>132</v>
      </c>
      <c r="C2128" s="168" t="s">
        <v>133</v>
      </c>
      <c r="D2128">
        <v>14009.5</v>
      </c>
      <c r="E2128">
        <v>2021</v>
      </c>
      <c r="F2128" s="168" t="s">
        <v>591</v>
      </c>
      <c r="G2128" s="168" t="s">
        <v>623</v>
      </c>
      <c r="H2128" s="168" t="s">
        <v>609</v>
      </c>
      <c r="I2128">
        <v>111535.67999999999</v>
      </c>
    </row>
    <row r="2129" spans="1:9" x14ac:dyDescent="0.3">
      <c r="A2129">
        <v>85</v>
      </c>
      <c r="B2129" s="168" t="s">
        <v>132</v>
      </c>
      <c r="C2129" s="168" t="s">
        <v>133</v>
      </c>
      <c r="D2129">
        <v>14009.5</v>
      </c>
      <c r="E2129">
        <v>2021</v>
      </c>
      <c r="F2129" s="168" t="s">
        <v>591</v>
      </c>
      <c r="G2129" s="168" t="s">
        <v>630</v>
      </c>
      <c r="H2129" s="168" t="s">
        <v>608</v>
      </c>
      <c r="I2129">
        <v>1601535.6839999999</v>
      </c>
    </row>
    <row r="2130" spans="1:9" x14ac:dyDescent="0.3">
      <c r="A2130">
        <v>85</v>
      </c>
      <c r="B2130" s="168" t="s">
        <v>132</v>
      </c>
      <c r="C2130" s="168" t="s">
        <v>133</v>
      </c>
      <c r="D2130">
        <v>14009.5</v>
      </c>
      <c r="E2130">
        <v>2021</v>
      </c>
      <c r="F2130" s="168" t="s">
        <v>591</v>
      </c>
      <c r="G2130" s="168" t="s">
        <v>630</v>
      </c>
      <c r="H2130" s="168" t="s">
        <v>609</v>
      </c>
      <c r="I2130">
        <v>686372.43599999999</v>
      </c>
    </row>
    <row r="2131" spans="1:9" x14ac:dyDescent="0.3">
      <c r="A2131">
        <v>85</v>
      </c>
      <c r="B2131" s="168" t="s">
        <v>132</v>
      </c>
      <c r="C2131" s="168" t="s">
        <v>133</v>
      </c>
      <c r="D2131">
        <v>14009.5</v>
      </c>
      <c r="E2131">
        <v>2021</v>
      </c>
      <c r="F2131" s="168" t="s">
        <v>591</v>
      </c>
      <c r="G2131" s="168" t="s">
        <v>611</v>
      </c>
      <c r="H2131" s="168" t="s">
        <v>608</v>
      </c>
      <c r="I2131">
        <v>0</v>
      </c>
    </row>
    <row r="2132" spans="1:9" x14ac:dyDescent="0.3">
      <c r="A2132">
        <v>85</v>
      </c>
      <c r="B2132" s="168" t="s">
        <v>132</v>
      </c>
      <c r="C2132" s="168" t="s">
        <v>133</v>
      </c>
      <c r="D2132">
        <v>14009.5</v>
      </c>
      <c r="E2132">
        <v>2021</v>
      </c>
      <c r="F2132" s="168" t="s">
        <v>591</v>
      </c>
      <c r="G2132" s="168" t="s">
        <v>611</v>
      </c>
      <c r="H2132" s="168" t="s">
        <v>609</v>
      </c>
      <c r="I2132">
        <v>58553.846791315467</v>
      </c>
    </row>
    <row r="2133" spans="1:9" x14ac:dyDescent="0.3">
      <c r="A2133">
        <v>85</v>
      </c>
      <c r="B2133" s="168" t="s">
        <v>132</v>
      </c>
      <c r="C2133" s="168" t="s">
        <v>133</v>
      </c>
      <c r="D2133">
        <v>14009.5</v>
      </c>
      <c r="E2133">
        <v>2021</v>
      </c>
      <c r="F2133" s="168" t="s">
        <v>591</v>
      </c>
      <c r="G2133" s="168" t="s">
        <v>628</v>
      </c>
      <c r="H2133" s="168" t="s">
        <v>608</v>
      </c>
      <c r="I2133">
        <v>0</v>
      </c>
    </row>
    <row r="2134" spans="1:9" x14ac:dyDescent="0.3">
      <c r="A2134">
        <v>85</v>
      </c>
      <c r="B2134" s="168" t="s">
        <v>132</v>
      </c>
      <c r="C2134" s="168" t="s">
        <v>133</v>
      </c>
      <c r="D2134">
        <v>14009.5</v>
      </c>
      <c r="E2134">
        <v>2021</v>
      </c>
      <c r="F2134" s="168" t="s">
        <v>591</v>
      </c>
      <c r="G2134" s="168" t="s">
        <v>628</v>
      </c>
      <c r="H2134" s="168" t="s">
        <v>609</v>
      </c>
      <c r="I2134">
        <v>492000</v>
      </c>
    </row>
    <row r="2135" spans="1:9" x14ac:dyDescent="0.3">
      <c r="A2135">
        <v>85</v>
      </c>
      <c r="B2135" s="168" t="s">
        <v>132</v>
      </c>
      <c r="C2135" s="168" t="s">
        <v>133</v>
      </c>
      <c r="D2135">
        <v>14009.5</v>
      </c>
      <c r="E2135">
        <v>2021</v>
      </c>
      <c r="F2135" s="168" t="s">
        <v>591</v>
      </c>
      <c r="G2135" s="168" t="s">
        <v>613</v>
      </c>
      <c r="H2135" s="168" t="s">
        <v>608</v>
      </c>
      <c r="I2135">
        <v>992773.44693966699</v>
      </c>
    </row>
    <row r="2136" spans="1:9" x14ac:dyDescent="0.3">
      <c r="A2136">
        <v>85</v>
      </c>
      <c r="B2136" s="168" t="s">
        <v>132</v>
      </c>
      <c r="C2136" s="168" t="s">
        <v>133</v>
      </c>
      <c r="D2136">
        <v>14009.5</v>
      </c>
      <c r="E2136">
        <v>2021</v>
      </c>
      <c r="F2136" s="168" t="s">
        <v>591</v>
      </c>
      <c r="G2136" s="168" t="s">
        <v>613</v>
      </c>
      <c r="H2136" s="168" t="s">
        <v>609</v>
      </c>
      <c r="I2136">
        <v>404800.84667539096</v>
      </c>
    </row>
    <row r="2137" spans="1:9" x14ac:dyDescent="0.3">
      <c r="A2137">
        <v>86</v>
      </c>
      <c r="B2137" s="168" t="s">
        <v>134</v>
      </c>
      <c r="C2137" s="168" t="s">
        <v>135</v>
      </c>
      <c r="D2137">
        <v>11408</v>
      </c>
      <c r="E2137">
        <v>2021</v>
      </c>
      <c r="F2137" s="168" t="s">
        <v>591</v>
      </c>
      <c r="G2137" s="168" t="s">
        <v>607</v>
      </c>
      <c r="H2137" s="168" t="s">
        <v>608</v>
      </c>
      <c r="I2137">
        <v>1812328.73</v>
      </c>
    </row>
    <row r="2138" spans="1:9" x14ac:dyDescent="0.3">
      <c r="A2138">
        <v>86</v>
      </c>
      <c r="B2138" s="168" t="s">
        <v>134</v>
      </c>
      <c r="C2138" s="168" t="s">
        <v>135</v>
      </c>
      <c r="D2138">
        <v>11408</v>
      </c>
      <c r="E2138">
        <v>2021</v>
      </c>
      <c r="F2138" s="168" t="s">
        <v>591</v>
      </c>
      <c r="G2138" s="168" t="s">
        <v>607</v>
      </c>
      <c r="H2138" s="168" t="s">
        <v>609</v>
      </c>
      <c r="I2138">
        <v>776712.31</v>
      </c>
    </row>
    <row r="2139" spans="1:9" x14ac:dyDescent="0.3">
      <c r="A2139">
        <v>86</v>
      </c>
      <c r="B2139" s="168" t="s">
        <v>134</v>
      </c>
      <c r="C2139" s="168" t="s">
        <v>135</v>
      </c>
      <c r="D2139">
        <v>11408</v>
      </c>
      <c r="E2139">
        <v>2021</v>
      </c>
      <c r="F2139" s="168" t="s">
        <v>591</v>
      </c>
      <c r="G2139" s="168" t="s">
        <v>612</v>
      </c>
      <c r="H2139" s="168" t="s">
        <v>608</v>
      </c>
      <c r="I2139">
        <v>866172.34</v>
      </c>
    </row>
    <row r="2140" spans="1:9" x14ac:dyDescent="0.3">
      <c r="A2140">
        <v>86</v>
      </c>
      <c r="B2140" s="168" t="s">
        <v>134</v>
      </c>
      <c r="C2140" s="168" t="s">
        <v>135</v>
      </c>
      <c r="D2140">
        <v>11408</v>
      </c>
      <c r="E2140">
        <v>2021</v>
      </c>
      <c r="F2140" s="168" t="s">
        <v>591</v>
      </c>
      <c r="G2140" s="168" t="s">
        <v>612</v>
      </c>
      <c r="H2140" s="168" t="s">
        <v>609</v>
      </c>
      <c r="I2140">
        <v>371216.72</v>
      </c>
    </row>
    <row r="2141" spans="1:9" x14ac:dyDescent="0.3">
      <c r="A2141">
        <v>86</v>
      </c>
      <c r="B2141" s="168" t="s">
        <v>134</v>
      </c>
      <c r="C2141" s="168" t="s">
        <v>135</v>
      </c>
      <c r="D2141">
        <v>11408</v>
      </c>
      <c r="E2141">
        <v>2021</v>
      </c>
      <c r="F2141" s="168" t="s">
        <v>591</v>
      </c>
      <c r="G2141" s="168" t="s">
        <v>629</v>
      </c>
      <c r="H2141" s="168" t="s">
        <v>608</v>
      </c>
      <c r="I2141">
        <v>1038127.9999999999</v>
      </c>
    </row>
    <row r="2142" spans="1:9" x14ac:dyDescent="0.3">
      <c r="A2142">
        <v>86</v>
      </c>
      <c r="B2142" s="168" t="s">
        <v>134</v>
      </c>
      <c r="C2142" s="168" t="s">
        <v>135</v>
      </c>
      <c r="D2142">
        <v>11408</v>
      </c>
      <c r="E2142">
        <v>2021</v>
      </c>
      <c r="F2142" s="168" t="s">
        <v>591</v>
      </c>
      <c r="G2142" s="168" t="s">
        <v>629</v>
      </c>
      <c r="H2142" s="168" t="s">
        <v>609</v>
      </c>
      <c r="I2142">
        <v>947732.51</v>
      </c>
    </row>
    <row r="2143" spans="1:9" x14ac:dyDescent="0.3">
      <c r="A2143">
        <v>86</v>
      </c>
      <c r="B2143" s="168" t="s">
        <v>134</v>
      </c>
      <c r="C2143" s="168" t="s">
        <v>135</v>
      </c>
      <c r="D2143">
        <v>11408</v>
      </c>
      <c r="E2143">
        <v>2021</v>
      </c>
      <c r="F2143" s="168" t="s">
        <v>591</v>
      </c>
      <c r="G2143" s="168" t="s">
        <v>618</v>
      </c>
      <c r="H2143" s="168" t="s">
        <v>608</v>
      </c>
      <c r="I2143">
        <v>0</v>
      </c>
    </row>
    <row r="2144" spans="1:9" x14ac:dyDescent="0.3">
      <c r="A2144">
        <v>86</v>
      </c>
      <c r="B2144" s="168" t="s">
        <v>134</v>
      </c>
      <c r="C2144" s="168" t="s">
        <v>135</v>
      </c>
      <c r="D2144">
        <v>11408</v>
      </c>
      <c r="E2144">
        <v>2021</v>
      </c>
      <c r="F2144" s="168" t="s">
        <v>591</v>
      </c>
      <c r="G2144" s="168" t="s">
        <v>618</v>
      </c>
      <c r="H2144" s="168" t="s">
        <v>609</v>
      </c>
      <c r="I2144">
        <v>35205.839999999997</v>
      </c>
    </row>
    <row r="2145" spans="1:9" x14ac:dyDescent="0.3">
      <c r="A2145">
        <v>86</v>
      </c>
      <c r="B2145" s="168" t="s">
        <v>134</v>
      </c>
      <c r="C2145" s="168" t="s">
        <v>135</v>
      </c>
      <c r="D2145">
        <v>11408</v>
      </c>
      <c r="E2145">
        <v>2021</v>
      </c>
      <c r="F2145" s="168" t="s">
        <v>591</v>
      </c>
      <c r="G2145" s="168" t="s">
        <v>610</v>
      </c>
      <c r="H2145" s="168" t="s">
        <v>608</v>
      </c>
      <c r="I2145">
        <v>0</v>
      </c>
    </row>
    <row r="2146" spans="1:9" x14ac:dyDescent="0.3">
      <c r="A2146">
        <v>86</v>
      </c>
      <c r="B2146" s="168" t="s">
        <v>134</v>
      </c>
      <c r="C2146" s="168" t="s">
        <v>135</v>
      </c>
      <c r="D2146">
        <v>11408</v>
      </c>
      <c r="E2146">
        <v>2021</v>
      </c>
      <c r="F2146" s="168" t="s">
        <v>591</v>
      </c>
      <c r="G2146" s="168" t="s">
        <v>610</v>
      </c>
      <c r="H2146" s="168" t="s">
        <v>609</v>
      </c>
      <c r="I2146">
        <v>9818.181818181818</v>
      </c>
    </row>
    <row r="2147" spans="1:9" x14ac:dyDescent="0.3">
      <c r="A2147">
        <v>86</v>
      </c>
      <c r="B2147" s="168" t="s">
        <v>134</v>
      </c>
      <c r="C2147" s="168" t="s">
        <v>135</v>
      </c>
      <c r="D2147">
        <v>11408</v>
      </c>
      <c r="E2147">
        <v>2021</v>
      </c>
      <c r="F2147" s="168" t="s">
        <v>591</v>
      </c>
      <c r="G2147" s="168" t="s">
        <v>623</v>
      </c>
      <c r="H2147" s="168" t="s">
        <v>608</v>
      </c>
      <c r="I2147">
        <v>333321.2</v>
      </c>
    </row>
    <row r="2148" spans="1:9" x14ac:dyDescent="0.3">
      <c r="A2148">
        <v>86</v>
      </c>
      <c r="B2148" s="168" t="s">
        <v>134</v>
      </c>
      <c r="C2148" s="168" t="s">
        <v>135</v>
      </c>
      <c r="D2148">
        <v>11408</v>
      </c>
      <c r="E2148">
        <v>2021</v>
      </c>
      <c r="F2148" s="168" t="s">
        <v>591</v>
      </c>
      <c r="G2148" s="168" t="s">
        <v>623</v>
      </c>
      <c r="H2148" s="168" t="s">
        <v>609</v>
      </c>
      <c r="I2148">
        <v>116754.43999999999</v>
      </c>
    </row>
    <row r="2149" spans="1:9" x14ac:dyDescent="0.3">
      <c r="A2149">
        <v>86</v>
      </c>
      <c r="B2149" s="168" t="s">
        <v>134</v>
      </c>
      <c r="C2149" s="168" t="s">
        <v>135</v>
      </c>
      <c r="D2149">
        <v>11408</v>
      </c>
      <c r="E2149">
        <v>2021</v>
      </c>
      <c r="F2149" s="168" t="s">
        <v>591</v>
      </c>
      <c r="G2149" s="168" t="s">
        <v>615</v>
      </c>
      <c r="H2149" s="168" t="s">
        <v>608</v>
      </c>
      <c r="I2149">
        <v>0</v>
      </c>
    </row>
    <row r="2150" spans="1:9" x14ac:dyDescent="0.3">
      <c r="A2150">
        <v>86</v>
      </c>
      <c r="B2150" s="168" t="s">
        <v>134</v>
      </c>
      <c r="C2150" s="168" t="s">
        <v>135</v>
      </c>
      <c r="D2150">
        <v>11408</v>
      </c>
      <c r="E2150">
        <v>2021</v>
      </c>
      <c r="F2150" s="168" t="s">
        <v>591</v>
      </c>
      <c r="G2150" s="168" t="s">
        <v>615</v>
      </c>
      <c r="H2150" s="168" t="s">
        <v>609</v>
      </c>
      <c r="I2150">
        <v>7536.5853658536589</v>
      </c>
    </row>
    <row r="2151" spans="1:9" x14ac:dyDescent="0.3">
      <c r="A2151">
        <v>86</v>
      </c>
      <c r="B2151" s="168" t="s">
        <v>134</v>
      </c>
      <c r="C2151" s="168" t="s">
        <v>135</v>
      </c>
      <c r="D2151">
        <v>11408</v>
      </c>
      <c r="E2151">
        <v>2021</v>
      </c>
      <c r="F2151" s="168" t="s">
        <v>591</v>
      </c>
      <c r="G2151" s="168" t="s">
        <v>630</v>
      </c>
      <c r="H2151" s="168" t="s">
        <v>608</v>
      </c>
      <c r="I2151">
        <v>1481325.3699999999</v>
      </c>
    </row>
    <row r="2152" spans="1:9" x14ac:dyDescent="0.3">
      <c r="A2152">
        <v>86</v>
      </c>
      <c r="B2152" s="168" t="s">
        <v>134</v>
      </c>
      <c r="C2152" s="168" t="s">
        <v>135</v>
      </c>
      <c r="D2152">
        <v>11408</v>
      </c>
      <c r="E2152">
        <v>2021</v>
      </c>
      <c r="F2152" s="168" t="s">
        <v>591</v>
      </c>
      <c r="G2152" s="168" t="s">
        <v>630</v>
      </c>
      <c r="H2152" s="168" t="s">
        <v>609</v>
      </c>
      <c r="I2152">
        <v>634853.73</v>
      </c>
    </row>
    <row r="2153" spans="1:9" x14ac:dyDescent="0.3">
      <c r="A2153">
        <v>86</v>
      </c>
      <c r="B2153" s="168" t="s">
        <v>134</v>
      </c>
      <c r="C2153" s="168" t="s">
        <v>135</v>
      </c>
      <c r="D2153">
        <v>11408</v>
      </c>
      <c r="E2153">
        <v>2021</v>
      </c>
      <c r="F2153" s="168" t="s">
        <v>591</v>
      </c>
      <c r="G2153" s="168" t="s">
        <v>611</v>
      </c>
      <c r="H2153" s="168" t="s">
        <v>608</v>
      </c>
      <c r="I2153">
        <v>0</v>
      </c>
    </row>
    <row r="2154" spans="1:9" x14ac:dyDescent="0.3">
      <c r="A2154">
        <v>86</v>
      </c>
      <c r="B2154" s="168" t="s">
        <v>134</v>
      </c>
      <c r="C2154" s="168" t="s">
        <v>135</v>
      </c>
      <c r="D2154">
        <v>11408</v>
      </c>
      <c r="E2154">
        <v>2021</v>
      </c>
      <c r="F2154" s="168" t="s">
        <v>591</v>
      </c>
      <c r="G2154" s="168" t="s">
        <v>611</v>
      </c>
      <c r="H2154" s="168" t="s">
        <v>609</v>
      </c>
      <c r="I2154">
        <v>47680.665562320341</v>
      </c>
    </row>
    <row r="2155" spans="1:9" x14ac:dyDescent="0.3">
      <c r="A2155">
        <v>86</v>
      </c>
      <c r="B2155" s="168" t="s">
        <v>134</v>
      </c>
      <c r="C2155" s="168" t="s">
        <v>135</v>
      </c>
      <c r="D2155">
        <v>11408</v>
      </c>
      <c r="E2155">
        <v>2021</v>
      </c>
      <c r="F2155" s="168" t="s">
        <v>591</v>
      </c>
      <c r="G2155" s="168" t="s">
        <v>621</v>
      </c>
      <c r="H2155" s="168" t="s">
        <v>608</v>
      </c>
      <c r="I2155">
        <v>0</v>
      </c>
    </row>
    <row r="2156" spans="1:9" x14ac:dyDescent="0.3">
      <c r="A2156">
        <v>86</v>
      </c>
      <c r="B2156" s="168" t="s">
        <v>134</v>
      </c>
      <c r="C2156" s="168" t="s">
        <v>135</v>
      </c>
      <c r="D2156">
        <v>11408</v>
      </c>
      <c r="E2156">
        <v>2021</v>
      </c>
      <c r="F2156" s="168" t="s">
        <v>591</v>
      </c>
      <c r="G2156" s="168" t="s">
        <v>613</v>
      </c>
      <c r="H2156" s="168" t="s">
        <v>608</v>
      </c>
      <c r="I2156">
        <v>808419.96378798096</v>
      </c>
    </row>
    <row r="2157" spans="1:9" x14ac:dyDescent="0.3">
      <c r="A2157">
        <v>86</v>
      </c>
      <c r="B2157" s="168" t="s">
        <v>134</v>
      </c>
      <c r="C2157" s="168" t="s">
        <v>135</v>
      </c>
      <c r="D2157">
        <v>11408</v>
      </c>
      <c r="E2157">
        <v>2021</v>
      </c>
      <c r="F2157" s="168" t="s">
        <v>591</v>
      </c>
      <c r="G2157" s="168" t="s">
        <v>613</v>
      </c>
      <c r="H2157" s="168" t="s">
        <v>609</v>
      </c>
      <c r="I2157">
        <v>329631.1830452804</v>
      </c>
    </row>
    <row r="2158" spans="1:9" x14ac:dyDescent="0.3">
      <c r="A2158">
        <v>88</v>
      </c>
      <c r="B2158" s="168" t="s">
        <v>138</v>
      </c>
      <c r="C2158" s="168" t="s">
        <v>139</v>
      </c>
      <c r="D2158">
        <v>7858.3</v>
      </c>
      <c r="E2158">
        <v>2021</v>
      </c>
      <c r="F2158" s="168" t="s">
        <v>591</v>
      </c>
      <c r="G2158" s="168" t="s">
        <v>607</v>
      </c>
      <c r="H2158" s="168" t="s">
        <v>608</v>
      </c>
      <c r="I2158">
        <v>1812328.73</v>
      </c>
    </row>
    <row r="2159" spans="1:9" x14ac:dyDescent="0.3">
      <c r="A2159">
        <v>88</v>
      </c>
      <c r="B2159" s="168" t="s">
        <v>138</v>
      </c>
      <c r="C2159" s="168" t="s">
        <v>139</v>
      </c>
      <c r="D2159">
        <v>7858.3</v>
      </c>
      <c r="E2159">
        <v>2021</v>
      </c>
      <c r="F2159" s="168" t="s">
        <v>591</v>
      </c>
      <c r="G2159" s="168" t="s">
        <v>607</v>
      </c>
      <c r="H2159" s="168" t="s">
        <v>609</v>
      </c>
      <c r="I2159">
        <v>776712.31</v>
      </c>
    </row>
    <row r="2160" spans="1:9" x14ac:dyDescent="0.3">
      <c r="A2160">
        <v>88</v>
      </c>
      <c r="B2160" s="168" t="s">
        <v>138</v>
      </c>
      <c r="C2160" s="168" t="s">
        <v>139</v>
      </c>
      <c r="D2160">
        <v>7858.3</v>
      </c>
      <c r="E2160">
        <v>2021</v>
      </c>
      <c r="F2160" s="168" t="s">
        <v>591</v>
      </c>
      <c r="G2160" s="168" t="s">
        <v>612</v>
      </c>
      <c r="H2160" s="168" t="s">
        <v>608</v>
      </c>
      <c r="I2160">
        <v>681570.02</v>
      </c>
    </row>
    <row r="2161" spans="1:9" x14ac:dyDescent="0.3">
      <c r="A2161">
        <v>88</v>
      </c>
      <c r="B2161" s="168" t="s">
        <v>138</v>
      </c>
      <c r="C2161" s="168" t="s">
        <v>139</v>
      </c>
      <c r="D2161">
        <v>7858.3</v>
      </c>
      <c r="E2161">
        <v>2021</v>
      </c>
      <c r="F2161" s="168" t="s">
        <v>591</v>
      </c>
      <c r="G2161" s="168" t="s">
        <v>612</v>
      </c>
      <c r="H2161" s="168" t="s">
        <v>609</v>
      </c>
      <c r="I2161">
        <v>292101.44</v>
      </c>
    </row>
    <row r="2162" spans="1:9" x14ac:dyDescent="0.3">
      <c r="A2162">
        <v>88</v>
      </c>
      <c r="B2162" s="168" t="s">
        <v>138</v>
      </c>
      <c r="C2162" s="168" t="s">
        <v>139</v>
      </c>
      <c r="D2162">
        <v>7858.3</v>
      </c>
      <c r="E2162">
        <v>2021</v>
      </c>
      <c r="F2162" s="168" t="s">
        <v>591</v>
      </c>
      <c r="G2162" s="168" t="s">
        <v>629</v>
      </c>
      <c r="H2162" s="168" t="s">
        <v>608</v>
      </c>
      <c r="I2162">
        <v>715105.29999999993</v>
      </c>
    </row>
    <row r="2163" spans="1:9" x14ac:dyDescent="0.3">
      <c r="A2163">
        <v>88</v>
      </c>
      <c r="B2163" s="168" t="s">
        <v>138</v>
      </c>
      <c r="C2163" s="168" t="s">
        <v>139</v>
      </c>
      <c r="D2163">
        <v>7858.3</v>
      </c>
      <c r="E2163">
        <v>2021</v>
      </c>
      <c r="F2163" s="168" t="s">
        <v>591</v>
      </c>
      <c r="G2163" s="168" t="s">
        <v>629</v>
      </c>
      <c r="H2163" s="168" t="s">
        <v>609</v>
      </c>
      <c r="I2163">
        <v>306473.7</v>
      </c>
    </row>
    <row r="2164" spans="1:9" x14ac:dyDescent="0.3">
      <c r="A2164">
        <v>88</v>
      </c>
      <c r="B2164" s="168" t="s">
        <v>138</v>
      </c>
      <c r="C2164" s="168" t="s">
        <v>139</v>
      </c>
      <c r="D2164">
        <v>7858.3</v>
      </c>
      <c r="E2164">
        <v>2021</v>
      </c>
      <c r="F2164" s="168" t="s">
        <v>591</v>
      </c>
      <c r="G2164" s="168" t="s">
        <v>618</v>
      </c>
      <c r="H2164" s="168" t="s">
        <v>608</v>
      </c>
      <c r="I2164">
        <v>0</v>
      </c>
    </row>
    <row r="2165" spans="1:9" x14ac:dyDescent="0.3">
      <c r="A2165">
        <v>88</v>
      </c>
      <c r="B2165" s="168" t="s">
        <v>138</v>
      </c>
      <c r="C2165" s="168" t="s">
        <v>139</v>
      </c>
      <c r="D2165">
        <v>7858.3</v>
      </c>
      <c r="E2165">
        <v>2021</v>
      </c>
      <c r="F2165" s="168" t="s">
        <v>591</v>
      </c>
      <c r="G2165" s="168" t="s">
        <v>618</v>
      </c>
      <c r="H2165" s="168" t="s">
        <v>609</v>
      </c>
      <c r="I2165">
        <v>37280.898876404492</v>
      </c>
    </row>
    <row r="2166" spans="1:9" x14ac:dyDescent="0.3">
      <c r="A2166">
        <v>88</v>
      </c>
      <c r="B2166" s="168" t="s">
        <v>138</v>
      </c>
      <c r="C2166" s="168" t="s">
        <v>139</v>
      </c>
      <c r="D2166">
        <v>7858.3</v>
      </c>
      <c r="E2166">
        <v>2021</v>
      </c>
      <c r="F2166" s="168" t="s">
        <v>591</v>
      </c>
      <c r="G2166" s="168" t="s">
        <v>610</v>
      </c>
      <c r="H2166" s="168" t="s">
        <v>608</v>
      </c>
      <c r="I2166">
        <v>0</v>
      </c>
    </row>
    <row r="2167" spans="1:9" x14ac:dyDescent="0.3">
      <c r="A2167">
        <v>88</v>
      </c>
      <c r="B2167" s="168" t="s">
        <v>138</v>
      </c>
      <c r="C2167" s="168" t="s">
        <v>139</v>
      </c>
      <c r="D2167">
        <v>7858.3</v>
      </c>
      <c r="E2167">
        <v>2021</v>
      </c>
      <c r="F2167" s="168" t="s">
        <v>591</v>
      </c>
      <c r="G2167" s="168" t="s">
        <v>610</v>
      </c>
      <c r="H2167" s="168" t="s">
        <v>609</v>
      </c>
      <c r="I2167">
        <v>9818.181818181818</v>
      </c>
    </row>
    <row r="2168" spans="1:9" x14ac:dyDescent="0.3">
      <c r="A2168">
        <v>88</v>
      </c>
      <c r="B2168" s="168" t="s">
        <v>138</v>
      </c>
      <c r="C2168" s="168" t="s">
        <v>139</v>
      </c>
      <c r="D2168">
        <v>7858.3</v>
      </c>
      <c r="E2168">
        <v>2021</v>
      </c>
      <c r="F2168" s="168" t="s">
        <v>591</v>
      </c>
      <c r="G2168" s="168" t="s">
        <v>623</v>
      </c>
      <c r="H2168" s="168" t="s">
        <v>608</v>
      </c>
      <c r="I2168">
        <v>311517</v>
      </c>
    </row>
    <row r="2169" spans="1:9" x14ac:dyDescent="0.3">
      <c r="A2169">
        <v>88</v>
      </c>
      <c r="B2169" s="168" t="s">
        <v>138</v>
      </c>
      <c r="C2169" s="168" t="s">
        <v>139</v>
      </c>
      <c r="D2169">
        <v>7858.3</v>
      </c>
      <c r="E2169">
        <v>2021</v>
      </c>
      <c r="F2169" s="168" t="s">
        <v>591</v>
      </c>
      <c r="G2169" s="168" t="s">
        <v>623</v>
      </c>
      <c r="H2169" s="168" t="s">
        <v>609</v>
      </c>
      <c r="I2169">
        <v>108184.87999999999</v>
      </c>
    </row>
    <row r="2170" spans="1:9" x14ac:dyDescent="0.3">
      <c r="A2170">
        <v>88</v>
      </c>
      <c r="B2170" s="168" t="s">
        <v>138</v>
      </c>
      <c r="C2170" s="168" t="s">
        <v>139</v>
      </c>
      <c r="D2170">
        <v>7858.3</v>
      </c>
      <c r="E2170">
        <v>2021</v>
      </c>
      <c r="F2170" s="168" t="s">
        <v>591</v>
      </c>
      <c r="G2170" s="168" t="s">
        <v>630</v>
      </c>
      <c r="H2170" s="168" t="s">
        <v>608</v>
      </c>
      <c r="I2170">
        <v>999455.48499999987</v>
      </c>
    </row>
    <row r="2171" spans="1:9" x14ac:dyDescent="0.3">
      <c r="A2171">
        <v>88</v>
      </c>
      <c r="B2171" s="168" t="s">
        <v>138</v>
      </c>
      <c r="C2171" s="168" t="s">
        <v>139</v>
      </c>
      <c r="D2171">
        <v>7858.3</v>
      </c>
      <c r="E2171">
        <v>2021</v>
      </c>
      <c r="F2171" s="168" t="s">
        <v>591</v>
      </c>
      <c r="G2171" s="168" t="s">
        <v>630</v>
      </c>
      <c r="H2171" s="168" t="s">
        <v>609</v>
      </c>
      <c r="I2171">
        <v>546107</v>
      </c>
    </row>
    <row r="2172" spans="1:9" x14ac:dyDescent="0.3">
      <c r="A2172">
        <v>88</v>
      </c>
      <c r="B2172" s="168" t="s">
        <v>138</v>
      </c>
      <c r="C2172" s="168" t="s">
        <v>139</v>
      </c>
      <c r="D2172">
        <v>7858.3</v>
      </c>
      <c r="E2172">
        <v>2021</v>
      </c>
      <c r="F2172" s="168" t="s">
        <v>591</v>
      </c>
      <c r="G2172" s="168" t="s">
        <v>611</v>
      </c>
      <c r="H2172" s="168" t="s">
        <v>608</v>
      </c>
      <c r="I2172">
        <v>0</v>
      </c>
    </row>
    <row r="2173" spans="1:9" x14ac:dyDescent="0.3">
      <c r="A2173">
        <v>88</v>
      </c>
      <c r="B2173" s="168" t="s">
        <v>138</v>
      </c>
      <c r="C2173" s="168" t="s">
        <v>139</v>
      </c>
      <c r="D2173">
        <v>7858.3</v>
      </c>
      <c r="E2173">
        <v>2021</v>
      </c>
      <c r="F2173" s="168" t="s">
        <v>591</v>
      </c>
      <c r="G2173" s="168" t="s">
        <v>611</v>
      </c>
      <c r="H2173" s="168" t="s">
        <v>609</v>
      </c>
      <c r="I2173">
        <v>32844.405170790844</v>
      </c>
    </row>
    <row r="2174" spans="1:9" x14ac:dyDescent="0.3">
      <c r="A2174">
        <v>88</v>
      </c>
      <c r="B2174" s="168" t="s">
        <v>138</v>
      </c>
      <c r="C2174" s="168" t="s">
        <v>139</v>
      </c>
      <c r="D2174">
        <v>7858.3</v>
      </c>
      <c r="E2174">
        <v>2021</v>
      </c>
      <c r="F2174" s="168" t="s">
        <v>591</v>
      </c>
      <c r="G2174" s="168" t="s">
        <v>613</v>
      </c>
      <c r="H2174" s="168" t="s">
        <v>608</v>
      </c>
      <c r="I2174">
        <v>296635.85827897</v>
      </c>
    </row>
    <row r="2175" spans="1:9" x14ac:dyDescent="0.3">
      <c r="A2175">
        <v>88</v>
      </c>
      <c r="B2175" s="168" t="s">
        <v>138</v>
      </c>
      <c r="C2175" s="168" t="s">
        <v>139</v>
      </c>
      <c r="D2175">
        <v>7858.3</v>
      </c>
      <c r="E2175">
        <v>2021</v>
      </c>
      <c r="F2175" s="168" t="s">
        <v>591</v>
      </c>
      <c r="G2175" s="168" t="s">
        <v>613</v>
      </c>
      <c r="H2175" s="168" t="s">
        <v>609</v>
      </c>
      <c r="I2175">
        <v>60208.179742888293</v>
      </c>
    </row>
    <row r="2176" spans="1:9" x14ac:dyDescent="0.3">
      <c r="A2176">
        <v>89</v>
      </c>
      <c r="B2176" s="168" t="s">
        <v>140</v>
      </c>
      <c r="C2176" s="168" t="s">
        <v>141</v>
      </c>
      <c r="D2176">
        <v>7847.8</v>
      </c>
      <c r="E2176">
        <v>2021</v>
      </c>
      <c r="F2176" s="168" t="s">
        <v>591</v>
      </c>
      <c r="G2176" s="168" t="s">
        <v>607</v>
      </c>
      <c r="H2176" s="168" t="s">
        <v>608</v>
      </c>
      <c r="I2176">
        <v>1812328.73</v>
      </c>
    </row>
    <row r="2177" spans="1:9" x14ac:dyDescent="0.3">
      <c r="A2177">
        <v>89</v>
      </c>
      <c r="B2177" s="168" t="s">
        <v>140</v>
      </c>
      <c r="C2177" s="168" t="s">
        <v>141</v>
      </c>
      <c r="D2177">
        <v>7847.8</v>
      </c>
      <c r="E2177">
        <v>2021</v>
      </c>
      <c r="F2177" s="168" t="s">
        <v>591</v>
      </c>
      <c r="G2177" s="168" t="s">
        <v>607</v>
      </c>
      <c r="H2177" s="168" t="s">
        <v>609</v>
      </c>
      <c r="I2177">
        <v>776712.31</v>
      </c>
    </row>
    <row r="2178" spans="1:9" x14ac:dyDescent="0.3">
      <c r="A2178">
        <v>89</v>
      </c>
      <c r="B2178" s="168" t="s">
        <v>140</v>
      </c>
      <c r="C2178" s="168" t="s">
        <v>141</v>
      </c>
      <c r="D2178">
        <v>7847.8</v>
      </c>
      <c r="E2178">
        <v>2021</v>
      </c>
      <c r="F2178" s="168" t="s">
        <v>591</v>
      </c>
      <c r="G2178" s="168" t="s">
        <v>612</v>
      </c>
      <c r="H2178" s="168" t="s">
        <v>608</v>
      </c>
      <c r="I2178">
        <v>681570.02</v>
      </c>
    </row>
    <row r="2179" spans="1:9" x14ac:dyDescent="0.3">
      <c r="A2179">
        <v>89</v>
      </c>
      <c r="B2179" s="168" t="s">
        <v>140</v>
      </c>
      <c r="C2179" s="168" t="s">
        <v>141</v>
      </c>
      <c r="D2179">
        <v>7847.8</v>
      </c>
      <c r="E2179">
        <v>2021</v>
      </c>
      <c r="F2179" s="168" t="s">
        <v>591</v>
      </c>
      <c r="G2179" s="168" t="s">
        <v>612</v>
      </c>
      <c r="H2179" s="168" t="s">
        <v>609</v>
      </c>
      <c r="I2179">
        <v>292101.44</v>
      </c>
    </row>
    <row r="2180" spans="1:9" x14ac:dyDescent="0.3">
      <c r="A2180">
        <v>89</v>
      </c>
      <c r="B2180" s="168" t="s">
        <v>140</v>
      </c>
      <c r="C2180" s="168" t="s">
        <v>141</v>
      </c>
      <c r="D2180">
        <v>7847.8</v>
      </c>
      <c r="E2180">
        <v>2021</v>
      </c>
      <c r="F2180" s="168" t="s">
        <v>591</v>
      </c>
      <c r="G2180" s="168" t="s">
        <v>629</v>
      </c>
      <c r="H2180" s="168" t="s">
        <v>608</v>
      </c>
      <c r="I2180">
        <v>707243.6</v>
      </c>
    </row>
    <row r="2181" spans="1:9" x14ac:dyDescent="0.3">
      <c r="A2181">
        <v>89</v>
      </c>
      <c r="B2181" s="168" t="s">
        <v>140</v>
      </c>
      <c r="C2181" s="168" t="s">
        <v>141</v>
      </c>
      <c r="D2181">
        <v>7847.8</v>
      </c>
      <c r="E2181">
        <v>2021</v>
      </c>
      <c r="F2181" s="168" t="s">
        <v>591</v>
      </c>
      <c r="G2181" s="168" t="s">
        <v>629</v>
      </c>
      <c r="H2181" s="168" t="s">
        <v>609</v>
      </c>
      <c r="I2181">
        <v>278955.8</v>
      </c>
    </row>
    <row r="2182" spans="1:9" x14ac:dyDescent="0.3">
      <c r="A2182">
        <v>89</v>
      </c>
      <c r="B2182" s="168" t="s">
        <v>140</v>
      </c>
      <c r="C2182" s="168" t="s">
        <v>141</v>
      </c>
      <c r="D2182">
        <v>7847.8</v>
      </c>
      <c r="E2182">
        <v>2021</v>
      </c>
      <c r="F2182" s="168" t="s">
        <v>591</v>
      </c>
      <c r="G2182" s="168" t="s">
        <v>618</v>
      </c>
      <c r="H2182" s="168" t="s">
        <v>608</v>
      </c>
      <c r="I2182">
        <v>0</v>
      </c>
    </row>
    <row r="2183" spans="1:9" x14ac:dyDescent="0.3">
      <c r="A2183">
        <v>89</v>
      </c>
      <c r="B2183" s="168" t="s">
        <v>140</v>
      </c>
      <c r="C2183" s="168" t="s">
        <v>141</v>
      </c>
      <c r="D2183">
        <v>7847.8</v>
      </c>
      <c r="E2183">
        <v>2021</v>
      </c>
      <c r="F2183" s="168" t="s">
        <v>591</v>
      </c>
      <c r="G2183" s="168" t="s">
        <v>618</v>
      </c>
      <c r="H2183" s="168" t="s">
        <v>609</v>
      </c>
      <c r="I2183">
        <v>37280.898876404492</v>
      </c>
    </row>
    <row r="2184" spans="1:9" x14ac:dyDescent="0.3">
      <c r="A2184">
        <v>89</v>
      </c>
      <c r="B2184" s="168" t="s">
        <v>140</v>
      </c>
      <c r="C2184" s="168" t="s">
        <v>141</v>
      </c>
      <c r="D2184">
        <v>7847.8</v>
      </c>
      <c r="E2184">
        <v>2021</v>
      </c>
      <c r="F2184" s="168" t="s">
        <v>591</v>
      </c>
      <c r="G2184" s="168" t="s">
        <v>610</v>
      </c>
      <c r="H2184" s="168" t="s">
        <v>608</v>
      </c>
      <c r="I2184">
        <v>0</v>
      </c>
    </row>
    <row r="2185" spans="1:9" x14ac:dyDescent="0.3">
      <c r="A2185">
        <v>89</v>
      </c>
      <c r="B2185" s="168" t="s">
        <v>140</v>
      </c>
      <c r="C2185" s="168" t="s">
        <v>141</v>
      </c>
      <c r="D2185">
        <v>7847.8</v>
      </c>
      <c r="E2185">
        <v>2021</v>
      </c>
      <c r="F2185" s="168" t="s">
        <v>591</v>
      </c>
      <c r="G2185" s="168" t="s">
        <v>610</v>
      </c>
      <c r="H2185" s="168" t="s">
        <v>609</v>
      </c>
      <c r="I2185">
        <v>9818.181818181818</v>
      </c>
    </row>
    <row r="2186" spans="1:9" x14ac:dyDescent="0.3">
      <c r="A2186">
        <v>89</v>
      </c>
      <c r="B2186" s="168" t="s">
        <v>140</v>
      </c>
      <c r="C2186" s="168" t="s">
        <v>141</v>
      </c>
      <c r="D2186">
        <v>7847.8</v>
      </c>
      <c r="E2186">
        <v>2021</v>
      </c>
      <c r="F2186" s="168" t="s">
        <v>591</v>
      </c>
      <c r="G2186" s="168" t="s">
        <v>623</v>
      </c>
      <c r="H2186" s="168" t="s">
        <v>608</v>
      </c>
      <c r="I2186">
        <v>311517</v>
      </c>
    </row>
    <row r="2187" spans="1:9" x14ac:dyDescent="0.3">
      <c r="A2187">
        <v>89</v>
      </c>
      <c r="B2187" s="168" t="s">
        <v>140</v>
      </c>
      <c r="C2187" s="168" t="s">
        <v>141</v>
      </c>
      <c r="D2187">
        <v>7847.8</v>
      </c>
      <c r="E2187">
        <v>2021</v>
      </c>
      <c r="F2187" s="168" t="s">
        <v>591</v>
      </c>
      <c r="G2187" s="168" t="s">
        <v>623</v>
      </c>
      <c r="H2187" s="168" t="s">
        <v>609</v>
      </c>
      <c r="I2187">
        <v>198184.88</v>
      </c>
    </row>
    <row r="2188" spans="1:9" x14ac:dyDescent="0.3">
      <c r="A2188">
        <v>89</v>
      </c>
      <c r="B2188" s="168" t="s">
        <v>140</v>
      </c>
      <c r="C2188" s="168" t="s">
        <v>141</v>
      </c>
      <c r="D2188">
        <v>7847.8</v>
      </c>
      <c r="E2188">
        <v>2021</v>
      </c>
      <c r="F2188" s="168" t="s">
        <v>591</v>
      </c>
      <c r="G2188" s="168" t="s">
        <v>630</v>
      </c>
      <c r="H2188" s="168" t="s">
        <v>608</v>
      </c>
      <c r="I2188">
        <v>1052576.9169999999</v>
      </c>
    </row>
    <row r="2189" spans="1:9" x14ac:dyDescent="0.3">
      <c r="A2189">
        <v>89</v>
      </c>
      <c r="B2189" s="168" t="s">
        <v>140</v>
      </c>
      <c r="C2189" s="168" t="s">
        <v>141</v>
      </c>
      <c r="D2189">
        <v>7847.8</v>
      </c>
      <c r="E2189">
        <v>2021</v>
      </c>
      <c r="F2189" s="168" t="s">
        <v>591</v>
      </c>
      <c r="G2189" s="168" t="s">
        <v>630</v>
      </c>
      <c r="H2189" s="168" t="s">
        <v>609</v>
      </c>
      <c r="I2189">
        <v>545844</v>
      </c>
    </row>
    <row r="2190" spans="1:9" x14ac:dyDescent="0.3">
      <c r="A2190">
        <v>89</v>
      </c>
      <c r="B2190" s="168" t="s">
        <v>140</v>
      </c>
      <c r="C2190" s="168" t="s">
        <v>141</v>
      </c>
      <c r="D2190">
        <v>7847.8</v>
      </c>
      <c r="E2190">
        <v>2021</v>
      </c>
      <c r="F2190" s="168" t="s">
        <v>591</v>
      </c>
      <c r="G2190" s="168" t="s">
        <v>611</v>
      </c>
      <c r="H2190" s="168" t="s">
        <v>608</v>
      </c>
      <c r="I2190">
        <v>0</v>
      </c>
    </row>
    <row r="2191" spans="1:9" x14ac:dyDescent="0.3">
      <c r="A2191">
        <v>89</v>
      </c>
      <c r="B2191" s="168" t="s">
        <v>140</v>
      </c>
      <c r="C2191" s="168" t="s">
        <v>141</v>
      </c>
      <c r="D2191">
        <v>7847.8</v>
      </c>
      <c r="E2191">
        <v>2021</v>
      </c>
      <c r="F2191" s="168" t="s">
        <v>591</v>
      </c>
      <c r="G2191" s="168" t="s">
        <v>611</v>
      </c>
      <c r="H2191" s="168" t="s">
        <v>609</v>
      </c>
      <c r="I2191">
        <v>32800.519565215422</v>
      </c>
    </row>
    <row r="2192" spans="1:9" x14ac:dyDescent="0.3">
      <c r="A2192">
        <v>89</v>
      </c>
      <c r="B2192" s="168" t="s">
        <v>140</v>
      </c>
      <c r="C2192" s="168" t="s">
        <v>141</v>
      </c>
      <c r="D2192">
        <v>7847.8</v>
      </c>
      <c r="E2192">
        <v>2021</v>
      </c>
      <c r="F2192" s="168" t="s">
        <v>591</v>
      </c>
      <c r="G2192" s="168" t="s">
        <v>613</v>
      </c>
      <c r="H2192" s="168" t="s">
        <v>608</v>
      </c>
      <c r="I2192">
        <v>296239.50327700662</v>
      </c>
    </row>
    <row r="2193" spans="1:9" x14ac:dyDescent="0.3">
      <c r="A2193">
        <v>89</v>
      </c>
      <c r="B2193" s="168" t="s">
        <v>140</v>
      </c>
      <c r="C2193" s="168" t="s">
        <v>141</v>
      </c>
      <c r="D2193">
        <v>7847.8</v>
      </c>
      <c r="E2193">
        <v>2021</v>
      </c>
      <c r="F2193" s="168" t="s">
        <v>591</v>
      </c>
      <c r="G2193" s="168" t="s">
        <v>613</v>
      </c>
      <c r="H2193" s="168" t="s">
        <v>609</v>
      </c>
      <c r="I2193">
        <v>60127.731568690273</v>
      </c>
    </row>
    <row r="2194" spans="1:9" x14ac:dyDescent="0.3">
      <c r="A2194">
        <v>90</v>
      </c>
      <c r="B2194" s="168" t="s">
        <v>142</v>
      </c>
      <c r="C2194" s="168" t="s">
        <v>143</v>
      </c>
      <c r="D2194">
        <v>1453.6</v>
      </c>
      <c r="E2194">
        <v>2021</v>
      </c>
      <c r="F2194" s="168" t="s">
        <v>592</v>
      </c>
      <c r="G2194" s="168" t="s">
        <v>618</v>
      </c>
      <c r="H2194" s="168" t="s">
        <v>608</v>
      </c>
      <c r="I2194">
        <v>0</v>
      </c>
    </row>
    <row r="2195" spans="1:9" x14ac:dyDescent="0.3">
      <c r="A2195">
        <v>90</v>
      </c>
      <c r="B2195" s="168" t="s">
        <v>142</v>
      </c>
      <c r="C2195" s="168" t="s">
        <v>143</v>
      </c>
      <c r="D2195">
        <v>1453.6</v>
      </c>
      <c r="E2195">
        <v>2021</v>
      </c>
      <c r="F2195" s="168" t="s">
        <v>592</v>
      </c>
      <c r="G2195" s="168" t="s">
        <v>618</v>
      </c>
      <c r="H2195" s="168" t="s">
        <v>609</v>
      </c>
      <c r="I2195">
        <v>10651.685393258427</v>
      </c>
    </row>
    <row r="2196" spans="1:9" x14ac:dyDescent="0.3">
      <c r="A2196">
        <v>90</v>
      </c>
      <c r="B2196" s="168" t="s">
        <v>142</v>
      </c>
      <c r="C2196" s="168" t="s">
        <v>143</v>
      </c>
      <c r="D2196">
        <v>1453.6</v>
      </c>
      <c r="E2196">
        <v>2021</v>
      </c>
      <c r="F2196" s="168" t="s">
        <v>592</v>
      </c>
      <c r="G2196" s="168" t="s">
        <v>610</v>
      </c>
      <c r="H2196" s="168" t="s">
        <v>608</v>
      </c>
      <c r="I2196">
        <v>0</v>
      </c>
    </row>
    <row r="2197" spans="1:9" x14ac:dyDescent="0.3">
      <c r="A2197">
        <v>90</v>
      </c>
      <c r="B2197" s="168" t="s">
        <v>142</v>
      </c>
      <c r="C2197" s="168" t="s">
        <v>143</v>
      </c>
      <c r="D2197">
        <v>1453.6</v>
      </c>
      <c r="E2197">
        <v>2021</v>
      </c>
      <c r="F2197" s="168" t="s">
        <v>592</v>
      </c>
      <c r="G2197" s="168" t="s">
        <v>610</v>
      </c>
      <c r="H2197" s="168" t="s">
        <v>609</v>
      </c>
      <c r="I2197">
        <v>13090.90909090909</v>
      </c>
    </row>
    <row r="2198" spans="1:9" x14ac:dyDescent="0.3">
      <c r="A2198">
        <v>90</v>
      </c>
      <c r="B2198" s="168" t="s">
        <v>142</v>
      </c>
      <c r="C2198" s="168" t="s">
        <v>143</v>
      </c>
      <c r="D2198">
        <v>1453.6</v>
      </c>
      <c r="E2198">
        <v>2021</v>
      </c>
      <c r="F2198" s="168" t="s">
        <v>592</v>
      </c>
      <c r="G2198" s="168" t="s">
        <v>630</v>
      </c>
      <c r="H2198" s="168" t="s">
        <v>608</v>
      </c>
      <c r="I2198">
        <v>21733.00083224065</v>
      </c>
    </row>
    <row r="2199" spans="1:9" x14ac:dyDescent="0.3">
      <c r="A2199">
        <v>90</v>
      </c>
      <c r="B2199" s="168" t="s">
        <v>142</v>
      </c>
      <c r="C2199" s="168" t="s">
        <v>143</v>
      </c>
      <c r="D2199">
        <v>1453.6</v>
      </c>
      <c r="E2199">
        <v>2021</v>
      </c>
      <c r="F2199" s="168" t="s">
        <v>592</v>
      </c>
      <c r="G2199" s="168" t="s">
        <v>630</v>
      </c>
      <c r="H2199" s="168" t="s">
        <v>609</v>
      </c>
      <c r="I2199">
        <v>23146.603190238344</v>
      </c>
    </row>
    <row r="2200" spans="1:9" x14ac:dyDescent="0.3">
      <c r="A2200">
        <v>90</v>
      </c>
      <c r="B2200" s="168" t="s">
        <v>142</v>
      </c>
      <c r="C2200" s="168" t="s">
        <v>143</v>
      </c>
      <c r="D2200">
        <v>1453.6</v>
      </c>
      <c r="E2200">
        <v>2021</v>
      </c>
      <c r="F2200" s="168" t="s">
        <v>592</v>
      </c>
      <c r="G2200" s="168" t="s">
        <v>621</v>
      </c>
      <c r="H2200" s="168" t="s">
        <v>609</v>
      </c>
      <c r="I2200">
        <v>599994</v>
      </c>
    </row>
    <row r="2201" spans="1:9" x14ac:dyDescent="0.3">
      <c r="A2201">
        <v>90</v>
      </c>
      <c r="B2201" s="168" t="s">
        <v>142</v>
      </c>
      <c r="C2201" s="168" t="s">
        <v>143</v>
      </c>
      <c r="D2201">
        <v>1453.6</v>
      </c>
      <c r="E2201">
        <v>2021</v>
      </c>
      <c r="F2201" s="168" t="s">
        <v>592</v>
      </c>
      <c r="G2201" s="168" t="s">
        <v>613</v>
      </c>
      <c r="H2201" s="168" t="s">
        <v>608</v>
      </c>
      <c r="I2201">
        <v>54870.631509908097</v>
      </c>
    </row>
    <row r="2202" spans="1:9" x14ac:dyDescent="0.3">
      <c r="A2202">
        <v>90</v>
      </c>
      <c r="B2202" s="168" t="s">
        <v>142</v>
      </c>
      <c r="C2202" s="168" t="s">
        <v>143</v>
      </c>
      <c r="D2202">
        <v>1453.6</v>
      </c>
      <c r="E2202">
        <v>2021</v>
      </c>
      <c r="F2202" s="168" t="s">
        <v>592</v>
      </c>
      <c r="G2202" s="168" t="s">
        <v>613</v>
      </c>
      <c r="H2202" s="168" t="s">
        <v>609</v>
      </c>
      <c r="I2202">
        <v>11137.092001356836</v>
      </c>
    </row>
    <row r="2203" spans="1:9" x14ac:dyDescent="0.3">
      <c r="A2203">
        <v>91</v>
      </c>
      <c r="B2203" s="168" t="s">
        <v>144</v>
      </c>
      <c r="C2203" s="168" t="s">
        <v>145</v>
      </c>
      <c r="D2203">
        <v>6172.3</v>
      </c>
      <c r="E2203">
        <v>2021</v>
      </c>
      <c r="F2203" s="168" t="s">
        <v>592</v>
      </c>
      <c r="G2203" s="168" t="s">
        <v>607</v>
      </c>
      <c r="H2203" s="168" t="s">
        <v>609</v>
      </c>
      <c r="I2203">
        <v>2589041.04</v>
      </c>
    </row>
    <row r="2204" spans="1:9" x14ac:dyDescent="0.3">
      <c r="A2204">
        <v>91</v>
      </c>
      <c r="B2204" s="168" t="s">
        <v>144</v>
      </c>
      <c r="C2204" s="168" t="s">
        <v>145</v>
      </c>
      <c r="D2204">
        <v>6172.3</v>
      </c>
      <c r="E2204">
        <v>2021</v>
      </c>
      <c r="F2204" s="168" t="s">
        <v>592</v>
      </c>
      <c r="G2204" s="168" t="s">
        <v>612</v>
      </c>
      <c r="H2204" s="168" t="s">
        <v>608</v>
      </c>
      <c r="I2204">
        <v>0</v>
      </c>
    </row>
    <row r="2205" spans="1:9" x14ac:dyDescent="0.3">
      <c r="A2205">
        <v>91</v>
      </c>
      <c r="B2205" s="168" t="s">
        <v>144</v>
      </c>
      <c r="C2205" s="168" t="s">
        <v>145</v>
      </c>
      <c r="D2205">
        <v>6172.3</v>
      </c>
      <c r="E2205">
        <v>2021</v>
      </c>
      <c r="F2205" s="168" t="s">
        <v>592</v>
      </c>
      <c r="G2205" s="168" t="s">
        <v>612</v>
      </c>
      <c r="H2205" s="168" t="s">
        <v>609</v>
      </c>
      <c r="I2205">
        <v>363300</v>
      </c>
    </row>
    <row r="2206" spans="1:9" x14ac:dyDescent="0.3">
      <c r="A2206">
        <v>91</v>
      </c>
      <c r="B2206" s="168" t="s">
        <v>144</v>
      </c>
      <c r="C2206" s="168" t="s">
        <v>145</v>
      </c>
      <c r="D2206">
        <v>6172.3</v>
      </c>
      <c r="E2206">
        <v>2021</v>
      </c>
      <c r="F2206" s="168" t="s">
        <v>592</v>
      </c>
      <c r="G2206" s="168" t="s">
        <v>629</v>
      </c>
      <c r="H2206" s="168" t="s">
        <v>608</v>
      </c>
      <c r="I2206">
        <v>0</v>
      </c>
    </row>
    <row r="2207" spans="1:9" x14ac:dyDescent="0.3">
      <c r="A2207">
        <v>91</v>
      </c>
      <c r="B2207" s="168" t="s">
        <v>144</v>
      </c>
      <c r="C2207" s="168" t="s">
        <v>145</v>
      </c>
      <c r="D2207">
        <v>6172.3</v>
      </c>
      <c r="E2207">
        <v>2021</v>
      </c>
      <c r="F2207" s="168" t="s">
        <v>592</v>
      </c>
      <c r="G2207" s="168" t="s">
        <v>629</v>
      </c>
      <c r="H2207" s="168" t="s">
        <v>609</v>
      </c>
      <c r="I2207">
        <v>1211554.3799999999</v>
      </c>
    </row>
    <row r="2208" spans="1:9" x14ac:dyDescent="0.3">
      <c r="A2208">
        <v>91</v>
      </c>
      <c r="B2208" s="168" t="s">
        <v>144</v>
      </c>
      <c r="C2208" s="168" t="s">
        <v>145</v>
      </c>
      <c r="D2208">
        <v>6172.3</v>
      </c>
      <c r="E2208">
        <v>2021</v>
      </c>
      <c r="F2208" s="168" t="s">
        <v>592</v>
      </c>
      <c r="G2208" s="168" t="s">
        <v>617</v>
      </c>
      <c r="H2208" s="168" t="s">
        <v>608</v>
      </c>
      <c r="I2208">
        <v>0</v>
      </c>
    </row>
    <row r="2209" spans="1:9" x14ac:dyDescent="0.3">
      <c r="A2209">
        <v>91</v>
      </c>
      <c r="B2209" s="168" t="s">
        <v>144</v>
      </c>
      <c r="C2209" s="168" t="s">
        <v>145</v>
      </c>
      <c r="D2209">
        <v>6172.3</v>
      </c>
      <c r="E2209">
        <v>2021</v>
      </c>
      <c r="F2209" s="168" t="s">
        <v>592</v>
      </c>
      <c r="G2209" s="168" t="s">
        <v>617</v>
      </c>
      <c r="H2209" s="168" t="s">
        <v>609</v>
      </c>
      <c r="I2209">
        <v>84400</v>
      </c>
    </row>
    <row r="2210" spans="1:9" x14ac:dyDescent="0.3">
      <c r="A2210">
        <v>91</v>
      </c>
      <c r="B2210" s="168" t="s">
        <v>144</v>
      </c>
      <c r="C2210" s="168" t="s">
        <v>145</v>
      </c>
      <c r="D2210">
        <v>6172.3</v>
      </c>
      <c r="E2210">
        <v>2021</v>
      </c>
      <c r="F2210" s="168" t="s">
        <v>592</v>
      </c>
      <c r="G2210" s="168" t="s">
        <v>618</v>
      </c>
      <c r="H2210" s="168" t="s">
        <v>608</v>
      </c>
      <c r="I2210">
        <v>0</v>
      </c>
    </row>
    <row r="2211" spans="1:9" x14ac:dyDescent="0.3">
      <c r="A2211">
        <v>91</v>
      </c>
      <c r="B2211" s="168" t="s">
        <v>144</v>
      </c>
      <c r="C2211" s="168" t="s">
        <v>145</v>
      </c>
      <c r="D2211">
        <v>6172.3</v>
      </c>
      <c r="E2211">
        <v>2021</v>
      </c>
      <c r="F2211" s="168" t="s">
        <v>592</v>
      </c>
      <c r="G2211" s="168" t="s">
        <v>618</v>
      </c>
      <c r="H2211" s="168" t="s">
        <v>609</v>
      </c>
      <c r="I2211">
        <v>149000</v>
      </c>
    </row>
    <row r="2212" spans="1:9" x14ac:dyDescent="0.3">
      <c r="A2212">
        <v>91</v>
      </c>
      <c r="B2212" s="168" t="s">
        <v>144</v>
      </c>
      <c r="C2212" s="168" t="s">
        <v>145</v>
      </c>
      <c r="D2212">
        <v>6172.3</v>
      </c>
      <c r="E2212">
        <v>2021</v>
      </c>
      <c r="F2212" s="168" t="s">
        <v>592</v>
      </c>
      <c r="G2212" s="168" t="s">
        <v>619</v>
      </c>
      <c r="H2212" s="168" t="s">
        <v>608</v>
      </c>
      <c r="I2212">
        <v>0</v>
      </c>
    </row>
    <row r="2213" spans="1:9" x14ac:dyDescent="0.3">
      <c r="A2213">
        <v>91</v>
      </c>
      <c r="B2213" s="168" t="s">
        <v>144</v>
      </c>
      <c r="C2213" s="168" t="s">
        <v>145</v>
      </c>
      <c r="D2213">
        <v>6172.3</v>
      </c>
      <c r="E2213">
        <v>2021</v>
      </c>
      <c r="F2213" s="168" t="s">
        <v>592</v>
      </c>
      <c r="G2213" s="168" t="s">
        <v>619</v>
      </c>
      <c r="H2213" s="168" t="s">
        <v>609</v>
      </c>
      <c r="I2213">
        <v>269000</v>
      </c>
    </row>
    <row r="2214" spans="1:9" x14ac:dyDescent="0.3">
      <c r="A2214">
        <v>91</v>
      </c>
      <c r="B2214" s="168" t="s">
        <v>144</v>
      </c>
      <c r="C2214" s="168" t="s">
        <v>145</v>
      </c>
      <c r="D2214">
        <v>6172.3</v>
      </c>
      <c r="E2214">
        <v>2021</v>
      </c>
      <c r="F2214" s="168" t="s">
        <v>592</v>
      </c>
      <c r="G2214" s="168" t="s">
        <v>610</v>
      </c>
      <c r="H2214" s="168" t="s">
        <v>608</v>
      </c>
      <c r="I2214">
        <v>0</v>
      </c>
    </row>
    <row r="2215" spans="1:9" x14ac:dyDescent="0.3">
      <c r="A2215">
        <v>91</v>
      </c>
      <c r="B2215" s="168" t="s">
        <v>144</v>
      </c>
      <c r="C2215" s="168" t="s">
        <v>145</v>
      </c>
      <c r="D2215">
        <v>6172.3</v>
      </c>
      <c r="E2215">
        <v>2021</v>
      </c>
      <c r="F2215" s="168" t="s">
        <v>592</v>
      </c>
      <c r="G2215" s="168" t="s">
        <v>610</v>
      </c>
      <c r="H2215" s="168" t="s">
        <v>609</v>
      </c>
      <c r="I2215">
        <v>342500</v>
      </c>
    </row>
    <row r="2216" spans="1:9" x14ac:dyDescent="0.3">
      <c r="A2216">
        <v>91</v>
      </c>
      <c r="B2216" s="168" t="s">
        <v>144</v>
      </c>
      <c r="C2216" s="168" t="s">
        <v>145</v>
      </c>
      <c r="D2216">
        <v>6172.3</v>
      </c>
      <c r="E2216">
        <v>2021</v>
      </c>
      <c r="F2216" s="168" t="s">
        <v>592</v>
      </c>
      <c r="G2216" s="168" t="s">
        <v>620</v>
      </c>
      <c r="H2216" s="168" t="s">
        <v>608</v>
      </c>
      <c r="I2216">
        <v>0</v>
      </c>
    </row>
    <row r="2217" spans="1:9" x14ac:dyDescent="0.3">
      <c r="A2217">
        <v>91</v>
      </c>
      <c r="B2217" s="168" t="s">
        <v>144</v>
      </c>
      <c r="C2217" s="168" t="s">
        <v>145</v>
      </c>
      <c r="D2217">
        <v>6172.3</v>
      </c>
      <c r="E2217">
        <v>2021</v>
      </c>
      <c r="F2217" s="168" t="s">
        <v>592</v>
      </c>
      <c r="G2217" s="168" t="s">
        <v>620</v>
      </c>
      <c r="H2217" s="168" t="s">
        <v>609</v>
      </c>
      <c r="I2217">
        <v>32400</v>
      </c>
    </row>
    <row r="2218" spans="1:9" x14ac:dyDescent="0.3">
      <c r="A2218">
        <v>91</v>
      </c>
      <c r="B2218" s="168" t="s">
        <v>144</v>
      </c>
      <c r="C2218" s="168" t="s">
        <v>145</v>
      </c>
      <c r="D2218">
        <v>6172.3</v>
      </c>
      <c r="E2218">
        <v>2021</v>
      </c>
      <c r="F2218" s="168" t="s">
        <v>592</v>
      </c>
      <c r="G2218" s="168" t="s">
        <v>633</v>
      </c>
      <c r="H2218" s="168" t="s">
        <v>608</v>
      </c>
      <c r="I2218">
        <v>0</v>
      </c>
    </row>
    <row r="2219" spans="1:9" x14ac:dyDescent="0.3">
      <c r="A2219">
        <v>91</v>
      </c>
      <c r="B2219" s="168" t="s">
        <v>144</v>
      </c>
      <c r="C2219" s="168" t="s">
        <v>145</v>
      </c>
      <c r="D2219">
        <v>6172.3</v>
      </c>
      <c r="E2219">
        <v>2021</v>
      </c>
      <c r="F2219" s="168" t="s">
        <v>592</v>
      </c>
      <c r="G2219" s="168" t="s">
        <v>623</v>
      </c>
      <c r="H2219" s="168" t="s">
        <v>609</v>
      </c>
      <c r="I2219">
        <v>103938.2</v>
      </c>
    </row>
    <row r="2220" spans="1:9" x14ac:dyDescent="0.3">
      <c r="A2220">
        <v>91</v>
      </c>
      <c r="B2220" s="168" t="s">
        <v>144</v>
      </c>
      <c r="C2220" s="168" t="s">
        <v>145</v>
      </c>
      <c r="D2220">
        <v>6172.3</v>
      </c>
      <c r="E2220">
        <v>2021</v>
      </c>
      <c r="F2220" s="168" t="s">
        <v>592</v>
      </c>
      <c r="G2220" s="168" t="s">
        <v>611</v>
      </c>
      <c r="H2220" s="168" t="s">
        <v>608</v>
      </c>
      <c r="I2220">
        <v>0</v>
      </c>
    </row>
    <row r="2221" spans="1:9" x14ac:dyDescent="0.3">
      <c r="A2221">
        <v>91</v>
      </c>
      <c r="B2221" s="168" t="s">
        <v>144</v>
      </c>
      <c r="C2221" s="168" t="s">
        <v>145</v>
      </c>
      <c r="D2221">
        <v>6172.3</v>
      </c>
      <c r="E2221">
        <v>2021</v>
      </c>
      <c r="F2221" s="168" t="s">
        <v>592</v>
      </c>
      <c r="G2221" s="168" t="s">
        <v>626</v>
      </c>
      <c r="H2221" s="168" t="s">
        <v>608</v>
      </c>
      <c r="I2221">
        <v>0</v>
      </c>
    </row>
    <row r="2222" spans="1:9" x14ac:dyDescent="0.3">
      <c r="A2222">
        <v>91</v>
      </c>
      <c r="B2222" s="168" t="s">
        <v>144</v>
      </c>
      <c r="C2222" s="168" t="s">
        <v>145</v>
      </c>
      <c r="D2222">
        <v>6172.3</v>
      </c>
      <c r="E2222">
        <v>2021</v>
      </c>
      <c r="F2222" s="168" t="s">
        <v>592</v>
      </c>
      <c r="G2222" s="168" t="s">
        <v>626</v>
      </c>
      <c r="H2222" s="168" t="s">
        <v>609</v>
      </c>
      <c r="I2222">
        <v>299500</v>
      </c>
    </row>
    <row r="2223" spans="1:9" x14ac:dyDescent="0.3">
      <c r="A2223">
        <v>91</v>
      </c>
      <c r="B2223" s="168" t="s">
        <v>144</v>
      </c>
      <c r="C2223" s="168" t="s">
        <v>145</v>
      </c>
      <c r="D2223">
        <v>6172.3</v>
      </c>
      <c r="E2223">
        <v>2021</v>
      </c>
      <c r="F2223" s="168" t="s">
        <v>592</v>
      </c>
      <c r="G2223" s="168" t="s">
        <v>613</v>
      </c>
      <c r="H2223" s="168" t="s">
        <v>608</v>
      </c>
      <c r="I2223">
        <v>0</v>
      </c>
    </row>
    <row r="2224" spans="1:9" x14ac:dyDescent="0.3">
      <c r="A2224">
        <v>91</v>
      </c>
      <c r="B2224" s="168" t="s">
        <v>144</v>
      </c>
      <c r="C2224" s="168" t="s">
        <v>145</v>
      </c>
      <c r="D2224">
        <v>6172.3</v>
      </c>
      <c r="E2224">
        <v>2021</v>
      </c>
      <c r="F2224" s="168" t="s">
        <v>592</v>
      </c>
      <c r="G2224" s="168" t="s">
        <v>613</v>
      </c>
      <c r="H2224" s="168" t="s">
        <v>609</v>
      </c>
      <c r="I2224">
        <v>323931.59999999998</v>
      </c>
    </row>
    <row r="2225" spans="1:9" x14ac:dyDescent="0.3">
      <c r="A2225">
        <v>91</v>
      </c>
      <c r="B2225" s="168" t="s">
        <v>144</v>
      </c>
      <c r="C2225" s="168" t="s">
        <v>145</v>
      </c>
      <c r="D2225">
        <v>6172.3</v>
      </c>
      <c r="E2225">
        <v>2021</v>
      </c>
      <c r="F2225" s="168" t="s">
        <v>592</v>
      </c>
      <c r="G2225" s="168" t="s">
        <v>631</v>
      </c>
      <c r="H2225" s="168" t="s">
        <v>609</v>
      </c>
      <c r="I2225">
        <v>267936</v>
      </c>
    </row>
    <row r="2226" spans="1:9" x14ac:dyDescent="0.3">
      <c r="A2226">
        <v>92</v>
      </c>
      <c r="B2226" s="168" t="s">
        <v>146</v>
      </c>
      <c r="C2226" s="168" t="s">
        <v>147</v>
      </c>
      <c r="D2226">
        <v>57815.38</v>
      </c>
      <c r="E2226">
        <v>2021</v>
      </c>
      <c r="F2226" s="168" t="s">
        <v>592</v>
      </c>
      <c r="G2226" s="168" t="s">
        <v>607</v>
      </c>
      <c r="H2226" s="168" t="s">
        <v>608</v>
      </c>
      <c r="I2226">
        <v>7534109</v>
      </c>
    </row>
    <row r="2227" spans="1:9" x14ac:dyDescent="0.3">
      <c r="A2227">
        <v>92</v>
      </c>
      <c r="B2227" s="168" t="s">
        <v>146</v>
      </c>
      <c r="C2227" s="168" t="s">
        <v>147</v>
      </c>
      <c r="D2227">
        <v>57815.38</v>
      </c>
      <c r="E2227">
        <v>2021</v>
      </c>
      <c r="F2227" s="168" t="s">
        <v>592</v>
      </c>
      <c r="G2227" s="168" t="s">
        <v>612</v>
      </c>
      <c r="H2227" s="168" t="s">
        <v>608</v>
      </c>
      <c r="I2227">
        <v>133200</v>
      </c>
    </row>
    <row r="2228" spans="1:9" x14ac:dyDescent="0.3">
      <c r="A2228">
        <v>92</v>
      </c>
      <c r="B2228" s="168" t="s">
        <v>146</v>
      </c>
      <c r="C2228" s="168" t="s">
        <v>147</v>
      </c>
      <c r="D2228">
        <v>57815.38</v>
      </c>
      <c r="E2228">
        <v>2021</v>
      </c>
      <c r="F2228" s="168" t="s">
        <v>592</v>
      </c>
      <c r="G2228" s="168" t="s">
        <v>612</v>
      </c>
      <c r="H2228" s="168" t="s">
        <v>609</v>
      </c>
      <c r="I2228">
        <v>0</v>
      </c>
    </row>
    <row r="2229" spans="1:9" x14ac:dyDescent="0.3">
      <c r="A2229">
        <v>92</v>
      </c>
      <c r="B2229" s="168" t="s">
        <v>146</v>
      </c>
      <c r="C2229" s="168" t="s">
        <v>147</v>
      </c>
      <c r="D2229">
        <v>57815.38</v>
      </c>
      <c r="E2229">
        <v>2021</v>
      </c>
      <c r="F2229" s="168" t="s">
        <v>592</v>
      </c>
      <c r="G2229" s="168" t="s">
        <v>629</v>
      </c>
      <c r="H2229" s="168" t="s">
        <v>608</v>
      </c>
      <c r="I2229">
        <v>113573.5977947661</v>
      </c>
    </row>
    <row r="2230" spans="1:9" x14ac:dyDescent="0.3">
      <c r="A2230">
        <v>92</v>
      </c>
      <c r="B2230" s="168" t="s">
        <v>146</v>
      </c>
      <c r="C2230" s="168" t="s">
        <v>147</v>
      </c>
      <c r="D2230">
        <v>57815.38</v>
      </c>
      <c r="E2230">
        <v>2021</v>
      </c>
      <c r="F2230" s="168" t="s">
        <v>592</v>
      </c>
      <c r="G2230" s="168" t="s">
        <v>629</v>
      </c>
      <c r="H2230" s="168" t="s">
        <v>609</v>
      </c>
      <c r="I2230">
        <v>0</v>
      </c>
    </row>
    <row r="2231" spans="1:9" x14ac:dyDescent="0.3">
      <c r="A2231">
        <v>92</v>
      </c>
      <c r="B2231" s="168" t="s">
        <v>146</v>
      </c>
      <c r="C2231" s="168" t="s">
        <v>147</v>
      </c>
      <c r="D2231">
        <v>57815.38</v>
      </c>
      <c r="E2231">
        <v>2021</v>
      </c>
      <c r="F2231" s="168" t="s">
        <v>592</v>
      </c>
      <c r="G2231" s="168" t="s">
        <v>617</v>
      </c>
      <c r="H2231" s="168" t="s">
        <v>608</v>
      </c>
      <c r="I2231">
        <v>24282</v>
      </c>
    </row>
    <row r="2232" spans="1:9" x14ac:dyDescent="0.3">
      <c r="A2232">
        <v>92</v>
      </c>
      <c r="B2232" s="168" t="s">
        <v>146</v>
      </c>
      <c r="C2232" s="168" t="s">
        <v>147</v>
      </c>
      <c r="D2232">
        <v>57815.38</v>
      </c>
      <c r="E2232">
        <v>2021</v>
      </c>
      <c r="F2232" s="168" t="s">
        <v>592</v>
      </c>
      <c r="G2232" s="168" t="s">
        <v>618</v>
      </c>
      <c r="H2232" s="168" t="s">
        <v>608</v>
      </c>
      <c r="I2232">
        <v>0</v>
      </c>
    </row>
    <row r="2233" spans="1:9" x14ac:dyDescent="0.3">
      <c r="A2233">
        <v>92</v>
      </c>
      <c r="B2233" s="168" t="s">
        <v>146</v>
      </c>
      <c r="C2233" s="168" t="s">
        <v>147</v>
      </c>
      <c r="D2233">
        <v>57815.38</v>
      </c>
      <c r="E2233">
        <v>2021</v>
      </c>
      <c r="F2233" s="168" t="s">
        <v>592</v>
      </c>
      <c r="G2233" s="168" t="s">
        <v>618</v>
      </c>
      <c r="H2233" s="168" t="s">
        <v>609</v>
      </c>
      <c r="I2233">
        <v>5325.8426966292136</v>
      </c>
    </row>
    <row r="2234" spans="1:9" x14ac:dyDescent="0.3">
      <c r="A2234">
        <v>92</v>
      </c>
      <c r="B2234" s="168" t="s">
        <v>146</v>
      </c>
      <c r="C2234" s="168" t="s">
        <v>147</v>
      </c>
      <c r="D2234">
        <v>57815.38</v>
      </c>
      <c r="E2234">
        <v>2021</v>
      </c>
      <c r="F2234" s="168" t="s">
        <v>592</v>
      </c>
      <c r="G2234" s="168" t="s">
        <v>610</v>
      </c>
      <c r="H2234" s="168" t="s">
        <v>608</v>
      </c>
      <c r="I2234">
        <v>0</v>
      </c>
    </row>
    <row r="2235" spans="1:9" x14ac:dyDescent="0.3">
      <c r="A2235">
        <v>92</v>
      </c>
      <c r="B2235" s="168" t="s">
        <v>146</v>
      </c>
      <c r="C2235" s="168" t="s">
        <v>147</v>
      </c>
      <c r="D2235">
        <v>57815.38</v>
      </c>
      <c r="E2235">
        <v>2021</v>
      </c>
      <c r="F2235" s="168" t="s">
        <v>592</v>
      </c>
      <c r="G2235" s="168" t="s">
        <v>610</v>
      </c>
      <c r="H2235" s="168" t="s">
        <v>609</v>
      </c>
      <c r="I2235">
        <v>6545.454545454545</v>
      </c>
    </row>
    <row r="2236" spans="1:9" x14ac:dyDescent="0.3">
      <c r="A2236">
        <v>92</v>
      </c>
      <c r="B2236" s="168" t="s">
        <v>146</v>
      </c>
      <c r="C2236" s="168" t="s">
        <v>147</v>
      </c>
      <c r="D2236">
        <v>57815.38</v>
      </c>
      <c r="E2236">
        <v>2021</v>
      </c>
      <c r="F2236" s="168" t="s">
        <v>592</v>
      </c>
      <c r="G2236" s="168" t="s">
        <v>620</v>
      </c>
      <c r="H2236" s="168" t="s">
        <v>608</v>
      </c>
      <c r="I2236">
        <v>266266</v>
      </c>
    </row>
    <row r="2237" spans="1:9" x14ac:dyDescent="0.3">
      <c r="A2237">
        <v>92</v>
      </c>
      <c r="B2237" s="168" t="s">
        <v>146</v>
      </c>
      <c r="C2237" s="168" t="s">
        <v>147</v>
      </c>
      <c r="D2237">
        <v>57815.38</v>
      </c>
      <c r="E2237">
        <v>2021</v>
      </c>
      <c r="F2237" s="168" t="s">
        <v>592</v>
      </c>
      <c r="G2237" s="168" t="s">
        <v>611</v>
      </c>
      <c r="H2237" s="168" t="s">
        <v>608</v>
      </c>
      <c r="I2237">
        <v>0</v>
      </c>
    </row>
    <row r="2238" spans="1:9" x14ac:dyDescent="0.3">
      <c r="A2238">
        <v>92</v>
      </c>
      <c r="B2238" s="168" t="s">
        <v>146</v>
      </c>
      <c r="C2238" s="168" t="s">
        <v>147</v>
      </c>
      <c r="D2238">
        <v>57815.38</v>
      </c>
      <c r="E2238">
        <v>2021</v>
      </c>
      <c r="F2238" s="168" t="s">
        <v>592</v>
      </c>
      <c r="G2238" s="168" t="s">
        <v>626</v>
      </c>
      <c r="H2238" s="168" t="s">
        <v>608</v>
      </c>
      <c r="I2238">
        <v>0</v>
      </c>
    </row>
    <row r="2239" spans="1:9" x14ac:dyDescent="0.3">
      <c r="A2239">
        <v>92</v>
      </c>
      <c r="B2239" s="168" t="s">
        <v>146</v>
      </c>
      <c r="C2239" s="168" t="s">
        <v>147</v>
      </c>
      <c r="D2239">
        <v>57815.38</v>
      </c>
      <c r="E2239">
        <v>2021</v>
      </c>
      <c r="F2239" s="168" t="s">
        <v>592</v>
      </c>
      <c r="G2239" s="168" t="s">
        <v>626</v>
      </c>
      <c r="H2239" s="168" t="s">
        <v>609</v>
      </c>
      <c r="I2239">
        <v>177172.69675494215</v>
      </c>
    </row>
    <row r="2240" spans="1:9" x14ac:dyDescent="0.3">
      <c r="A2240">
        <v>92</v>
      </c>
      <c r="B2240" s="168" t="s">
        <v>146</v>
      </c>
      <c r="C2240" s="168" t="s">
        <v>147</v>
      </c>
      <c r="D2240">
        <v>57815.38</v>
      </c>
      <c r="E2240">
        <v>2021</v>
      </c>
      <c r="F2240" s="168" t="s">
        <v>592</v>
      </c>
      <c r="G2240" s="168" t="s">
        <v>613</v>
      </c>
      <c r="H2240" s="168" t="s">
        <v>608</v>
      </c>
      <c r="I2240">
        <v>405898.6</v>
      </c>
    </row>
    <row r="2241" spans="1:9" x14ac:dyDescent="0.3">
      <c r="A2241">
        <v>92</v>
      </c>
      <c r="B2241" s="168" t="s">
        <v>146</v>
      </c>
      <c r="C2241" s="168" t="s">
        <v>147</v>
      </c>
      <c r="D2241">
        <v>57815.38</v>
      </c>
      <c r="E2241">
        <v>2021</v>
      </c>
      <c r="F2241" s="168" t="s">
        <v>592</v>
      </c>
      <c r="G2241" s="168" t="s">
        <v>613</v>
      </c>
      <c r="H2241" s="168" t="s">
        <v>609</v>
      </c>
      <c r="I2241">
        <v>1227594.4359346679</v>
      </c>
    </row>
    <row r="2242" spans="1:9" x14ac:dyDescent="0.3">
      <c r="A2242">
        <v>92</v>
      </c>
      <c r="B2242" s="168" t="s">
        <v>146</v>
      </c>
      <c r="C2242" s="168" t="s">
        <v>147</v>
      </c>
      <c r="D2242">
        <v>57815.38</v>
      </c>
      <c r="E2242">
        <v>2021</v>
      </c>
      <c r="F2242" s="168" t="s">
        <v>592</v>
      </c>
      <c r="G2242" s="168" t="s">
        <v>631</v>
      </c>
      <c r="H2242" s="168" t="s">
        <v>609</v>
      </c>
      <c r="I2242">
        <v>78500</v>
      </c>
    </row>
    <row r="2243" spans="1:9" x14ac:dyDescent="0.3">
      <c r="A2243">
        <v>93</v>
      </c>
      <c r="B2243" s="168" t="s">
        <v>148</v>
      </c>
      <c r="C2243" s="168" t="s">
        <v>149</v>
      </c>
      <c r="D2243">
        <v>1556.1</v>
      </c>
      <c r="E2243">
        <v>2021</v>
      </c>
      <c r="F2243" s="168" t="s">
        <v>592</v>
      </c>
      <c r="G2243" s="168" t="s">
        <v>607</v>
      </c>
      <c r="H2243" s="168" t="s">
        <v>608</v>
      </c>
      <c r="I2243">
        <v>330293.3</v>
      </c>
    </row>
    <row r="2244" spans="1:9" x14ac:dyDescent="0.3">
      <c r="A2244">
        <v>93</v>
      </c>
      <c r="B2244" s="168" t="s">
        <v>148</v>
      </c>
      <c r="C2244" s="168" t="s">
        <v>149</v>
      </c>
      <c r="D2244">
        <v>1556.1</v>
      </c>
      <c r="E2244">
        <v>2021</v>
      </c>
      <c r="F2244" s="168" t="s">
        <v>592</v>
      </c>
      <c r="G2244" s="168" t="s">
        <v>612</v>
      </c>
      <c r="H2244" s="168" t="s">
        <v>608</v>
      </c>
      <c r="I2244">
        <v>62248</v>
      </c>
    </row>
    <row r="2245" spans="1:9" x14ac:dyDescent="0.3">
      <c r="A2245">
        <v>93</v>
      </c>
      <c r="B2245" s="168" t="s">
        <v>148</v>
      </c>
      <c r="C2245" s="168" t="s">
        <v>149</v>
      </c>
      <c r="D2245">
        <v>1556.1</v>
      </c>
      <c r="E2245">
        <v>2021</v>
      </c>
      <c r="F2245" s="168" t="s">
        <v>592</v>
      </c>
      <c r="G2245" s="168" t="s">
        <v>612</v>
      </c>
      <c r="H2245" s="168" t="s">
        <v>609</v>
      </c>
      <c r="I2245">
        <v>0</v>
      </c>
    </row>
    <row r="2246" spans="1:9" x14ac:dyDescent="0.3">
      <c r="A2246">
        <v>93</v>
      </c>
      <c r="B2246" s="168" t="s">
        <v>148</v>
      </c>
      <c r="C2246" s="168" t="s">
        <v>149</v>
      </c>
      <c r="D2246">
        <v>1556.1</v>
      </c>
      <c r="E2246">
        <v>2021</v>
      </c>
      <c r="F2246" s="168" t="s">
        <v>592</v>
      </c>
      <c r="G2246" s="168" t="s">
        <v>629</v>
      </c>
      <c r="H2246" s="168" t="s">
        <v>608</v>
      </c>
      <c r="I2246">
        <v>43926.402205233891</v>
      </c>
    </row>
    <row r="2247" spans="1:9" x14ac:dyDescent="0.3">
      <c r="A2247">
        <v>93</v>
      </c>
      <c r="B2247" s="168" t="s">
        <v>148</v>
      </c>
      <c r="C2247" s="168" t="s">
        <v>149</v>
      </c>
      <c r="D2247">
        <v>1556.1</v>
      </c>
      <c r="E2247">
        <v>2021</v>
      </c>
      <c r="F2247" s="168" t="s">
        <v>592</v>
      </c>
      <c r="G2247" s="168" t="s">
        <v>629</v>
      </c>
      <c r="H2247" s="168" t="s">
        <v>609</v>
      </c>
      <c r="I2247">
        <v>0</v>
      </c>
    </row>
    <row r="2248" spans="1:9" x14ac:dyDescent="0.3">
      <c r="A2248">
        <v>93</v>
      </c>
      <c r="B2248" s="168" t="s">
        <v>148</v>
      </c>
      <c r="C2248" s="168" t="s">
        <v>149</v>
      </c>
      <c r="D2248">
        <v>1556.1</v>
      </c>
      <c r="E2248">
        <v>2021</v>
      </c>
      <c r="F2248" s="168" t="s">
        <v>592</v>
      </c>
      <c r="G2248" s="168" t="s">
        <v>617</v>
      </c>
      <c r="H2248" s="168" t="s">
        <v>608</v>
      </c>
      <c r="I2248">
        <v>10974</v>
      </c>
    </row>
    <row r="2249" spans="1:9" x14ac:dyDescent="0.3">
      <c r="A2249">
        <v>93</v>
      </c>
      <c r="B2249" s="168" t="s">
        <v>148</v>
      </c>
      <c r="C2249" s="168" t="s">
        <v>149</v>
      </c>
      <c r="D2249">
        <v>1556.1</v>
      </c>
      <c r="E2249">
        <v>2021</v>
      </c>
      <c r="F2249" s="168" t="s">
        <v>592</v>
      </c>
      <c r="G2249" s="168" t="s">
        <v>618</v>
      </c>
      <c r="H2249" s="168" t="s">
        <v>608</v>
      </c>
      <c r="I2249">
        <v>0</v>
      </c>
    </row>
    <row r="2250" spans="1:9" x14ac:dyDescent="0.3">
      <c r="A2250">
        <v>93</v>
      </c>
      <c r="B2250" s="168" t="s">
        <v>148</v>
      </c>
      <c r="C2250" s="168" t="s">
        <v>149</v>
      </c>
      <c r="D2250">
        <v>1556.1</v>
      </c>
      <c r="E2250">
        <v>2021</v>
      </c>
      <c r="F2250" s="168" t="s">
        <v>592</v>
      </c>
      <c r="G2250" s="168" t="s">
        <v>618</v>
      </c>
      <c r="H2250" s="168" t="s">
        <v>609</v>
      </c>
      <c r="I2250">
        <v>5325.8426966292136</v>
      </c>
    </row>
    <row r="2251" spans="1:9" x14ac:dyDescent="0.3">
      <c r="A2251">
        <v>93</v>
      </c>
      <c r="B2251" s="168" t="s">
        <v>148</v>
      </c>
      <c r="C2251" s="168" t="s">
        <v>149</v>
      </c>
      <c r="D2251">
        <v>1556.1</v>
      </c>
      <c r="E2251">
        <v>2021</v>
      </c>
      <c r="F2251" s="168" t="s">
        <v>592</v>
      </c>
      <c r="G2251" s="168" t="s">
        <v>610</v>
      </c>
      <c r="H2251" s="168" t="s">
        <v>608</v>
      </c>
      <c r="I2251">
        <v>0</v>
      </c>
    </row>
    <row r="2252" spans="1:9" x14ac:dyDescent="0.3">
      <c r="A2252">
        <v>93</v>
      </c>
      <c r="B2252" s="168" t="s">
        <v>148</v>
      </c>
      <c r="C2252" s="168" t="s">
        <v>149</v>
      </c>
      <c r="D2252">
        <v>1556.1</v>
      </c>
      <c r="E2252">
        <v>2021</v>
      </c>
      <c r="F2252" s="168" t="s">
        <v>592</v>
      </c>
      <c r="G2252" s="168" t="s">
        <v>610</v>
      </c>
      <c r="H2252" s="168" t="s">
        <v>609</v>
      </c>
      <c r="I2252">
        <v>6545.454545454545</v>
      </c>
    </row>
    <row r="2253" spans="1:9" x14ac:dyDescent="0.3">
      <c r="A2253">
        <v>93</v>
      </c>
      <c r="B2253" s="168" t="s">
        <v>148</v>
      </c>
      <c r="C2253" s="168" t="s">
        <v>149</v>
      </c>
      <c r="D2253">
        <v>1556.1</v>
      </c>
      <c r="E2253">
        <v>2021</v>
      </c>
      <c r="F2253" s="168" t="s">
        <v>592</v>
      </c>
      <c r="G2253" s="168" t="s">
        <v>620</v>
      </c>
      <c r="H2253" s="168" t="s">
        <v>608</v>
      </c>
      <c r="I2253">
        <v>88484</v>
      </c>
    </row>
    <row r="2254" spans="1:9" x14ac:dyDescent="0.3">
      <c r="A2254">
        <v>93</v>
      </c>
      <c r="B2254" s="168" t="s">
        <v>148</v>
      </c>
      <c r="C2254" s="168" t="s">
        <v>149</v>
      </c>
      <c r="D2254">
        <v>1556.1</v>
      </c>
      <c r="E2254">
        <v>2021</v>
      </c>
      <c r="F2254" s="168" t="s">
        <v>592</v>
      </c>
      <c r="G2254" s="168" t="s">
        <v>614</v>
      </c>
      <c r="H2254" s="168" t="s">
        <v>608</v>
      </c>
      <c r="I2254">
        <v>288000</v>
      </c>
    </row>
    <row r="2255" spans="1:9" x14ac:dyDescent="0.3">
      <c r="A2255">
        <v>93</v>
      </c>
      <c r="B2255" s="168" t="s">
        <v>148</v>
      </c>
      <c r="C2255" s="168" t="s">
        <v>149</v>
      </c>
      <c r="D2255">
        <v>1556.1</v>
      </c>
      <c r="E2255">
        <v>2021</v>
      </c>
      <c r="F2255" s="168" t="s">
        <v>592</v>
      </c>
      <c r="G2255" s="168" t="s">
        <v>614</v>
      </c>
      <c r="H2255" s="168" t="s">
        <v>609</v>
      </c>
      <c r="I2255">
        <v>0</v>
      </c>
    </row>
    <row r="2256" spans="1:9" x14ac:dyDescent="0.3">
      <c r="A2256">
        <v>93</v>
      </c>
      <c r="B2256" s="168" t="s">
        <v>148</v>
      </c>
      <c r="C2256" s="168" t="s">
        <v>149</v>
      </c>
      <c r="D2256">
        <v>1556.1</v>
      </c>
      <c r="E2256">
        <v>2021</v>
      </c>
      <c r="F2256" s="168" t="s">
        <v>592</v>
      </c>
      <c r="G2256" s="168" t="s">
        <v>630</v>
      </c>
      <c r="H2256" s="168" t="s">
        <v>608</v>
      </c>
      <c r="I2256">
        <v>25000</v>
      </c>
    </row>
    <row r="2257" spans="1:9" x14ac:dyDescent="0.3">
      <c r="A2257">
        <v>93</v>
      </c>
      <c r="B2257" s="168" t="s">
        <v>148</v>
      </c>
      <c r="C2257" s="168" t="s">
        <v>149</v>
      </c>
      <c r="D2257">
        <v>1556.1</v>
      </c>
      <c r="E2257">
        <v>2021</v>
      </c>
      <c r="F2257" s="168" t="s">
        <v>592</v>
      </c>
      <c r="G2257" s="168" t="s">
        <v>630</v>
      </c>
      <c r="H2257" s="168" t="s">
        <v>609</v>
      </c>
      <c r="I2257">
        <v>25000</v>
      </c>
    </row>
    <row r="2258" spans="1:9" x14ac:dyDescent="0.3">
      <c r="A2258">
        <v>93</v>
      </c>
      <c r="B2258" s="168" t="s">
        <v>148</v>
      </c>
      <c r="C2258" s="168" t="s">
        <v>149</v>
      </c>
      <c r="D2258">
        <v>1556.1</v>
      </c>
      <c r="E2258">
        <v>2021</v>
      </c>
      <c r="F2258" s="168" t="s">
        <v>592</v>
      </c>
      <c r="G2258" s="168" t="s">
        <v>611</v>
      </c>
      <c r="H2258" s="168" t="s">
        <v>608</v>
      </c>
      <c r="I2258">
        <v>0</v>
      </c>
    </row>
    <row r="2259" spans="1:9" x14ac:dyDescent="0.3">
      <c r="A2259">
        <v>93</v>
      </c>
      <c r="B2259" s="168" t="s">
        <v>148</v>
      </c>
      <c r="C2259" s="168" t="s">
        <v>149</v>
      </c>
      <c r="D2259">
        <v>1556.1</v>
      </c>
      <c r="E2259">
        <v>2021</v>
      </c>
      <c r="F2259" s="168" t="s">
        <v>592</v>
      </c>
      <c r="G2259" s="168" t="s">
        <v>621</v>
      </c>
      <c r="H2259" s="168" t="s">
        <v>608</v>
      </c>
      <c r="I2259">
        <v>6864140</v>
      </c>
    </row>
    <row r="2260" spans="1:9" x14ac:dyDescent="0.3">
      <c r="A2260">
        <v>93</v>
      </c>
      <c r="B2260" s="168" t="s">
        <v>148</v>
      </c>
      <c r="C2260" s="168" t="s">
        <v>149</v>
      </c>
      <c r="D2260">
        <v>1556.1</v>
      </c>
      <c r="E2260">
        <v>2021</v>
      </c>
      <c r="F2260" s="168" t="s">
        <v>592</v>
      </c>
      <c r="G2260" s="168" t="s">
        <v>626</v>
      </c>
      <c r="H2260" s="168" t="s">
        <v>608</v>
      </c>
      <c r="I2260">
        <v>0</v>
      </c>
    </row>
    <row r="2261" spans="1:9" x14ac:dyDescent="0.3">
      <c r="A2261">
        <v>93</v>
      </c>
      <c r="B2261" s="168" t="s">
        <v>148</v>
      </c>
      <c r="C2261" s="168" t="s">
        <v>149</v>
      </c>
      <c r="D2261">
        <v>1556.1</v>
      </c>
      <c r="E2261">
        <v>2021</v>
      </c>
      <c r="F2261" s="168" t="s">
        <v>592</v>
      </c>
      <c r="G2261" s="168" t="s">
        <v>626</v>
      </c>
      <c r="H2261" s="168" t="s">
        <v>609</v>
      </c>
      <c r="I2261">
        <v>22827.303245057814</v>
      </c>
    </row>
    <row r="2262" spans="1:9" x14ac:dyDescent="0.3">
      <c r="A2262">
        <v>93</v>
      </c>
      <c r="B2262" s="168" t="s">
        <v>148</v>
      </c>
      <c r="C2262" s="168" t="s">
        <v>149</v>
      </c>
      <c r="D2262">
        <v>1556.1</v>
      </c>
      <c r="E2262">
        <v>2021</v>
      </c>
      <c r="F2262" s="168" t="s">
        <v>592</v>
      </c>
      <c r="G2262" s="168" t="s">
        <v>613</v>
      </c>
      <c r="H2262" s="168" t="s">
        <v>608</v>
      </c>
      <c r="I2262">
        <v>312625</v>
      </c>
    </row>
    <row r="2263" spans="1:9" x14ac:dyDescent="0.3">
      <c r="A2263">
        <v>93</v>
      </c>
      <c r="B2263" s="168" t="s">
        <v>148</v>
      </c>
      <c r="C2263" s="168" t="s">
        <v>149</v>
      </c>
      <c r="D2263">
        <v>1556.1</v>
      </c>
      <c r="E2263">
        <v>2021</v>
      </c>
      <c r="F2263" s="168" t="s">
        <v>592</v>
      </c>
      <c r="G2263" s="168" t="s">
        <v>613</v>
      </c>
      <c r="H2263" s="168" t="s">
        <v>609</v>
      </c>
      <c r="I2263">
        <v>91346.4</v>
      </c>
    </row>
    <row r="2264" spans="1:9" x14ac:dyDescent="0.3">
      <c r="A2264">
        <v>93</v>
      </c>
      <c r="B2264" s="168" t="s">
        <v>148</v>
      </c>
      <c r="C2264" s="168" t="s">
        <v>149</v>
      </c>
      <c r="D2264">
        <v>1556.1</v>
      </c>
      <c r="E2264">
        <v>2021</v>
      </c>
      <c r="F2264" s="168" t="s">
        <v>592</v>
      </c>
      <c r="G2264" s="168" t="s">
        <v>631</v>
      </c>
      <c r="H2264" s="168" t="s">
        <v>609</v>
      </c>
      <c r="I2264">
        <v>78500</v>
      </c>
    </row>
    <row r="2265" spans="1:9" x14ac:dyDescent="0.3">
      <c r="A2265">
        <v>94</v>
      </c>
      <c r="B2265" s="168" t="s">
        <v>150</v>
      </c>
      <c r="C2265" s="168" t="s">
        <v>151</v>
      </c>
      <c r="D2265">
        <v>2615.5</v>
      </c>
      <c r="E2265">
        <v>2021</v>
      </c>
      <c r="F2265" s="168" t="s">
        <v>592</v>
      </c>
      <c r="G2265" s="168" t="s">
        <v>607</v>
      </c>
      <c r="H2265" s="168" t="s">
        <v>608</v>
      </c>
      <c r="I2265">
        <v>13445205.199999999</v>
      </c>
    </row>
    <row r="2266" spans="1:9" x14ac:dyDescent="0.3">
      <c r="A2266">
        <v>94</v>
      </c>
      <c r="B2266" s="168" t="s">
        <v>150</v>
      </c>
      <c r="C2266" s="168" t="s">
        <v>151</v>
      </c>
      <c r="D2266">
        <v>2615.5</v>
      </c>
      <c r="E2266">
        <v>2021</v>
      </c>
      <c r="F2266" s="168" t="s">
        <v>592</v>
      </c>
      <c r="G2266" s="168" t="s">
        <v>607</v>
      </c>
      <c r="H2266" s="168" t="s">
        <v>609</v>
      </c>
      <c r="I2266">
        <v>1970835.3</v>
      </c>
    </row>
    <row r="2267" spans="1:9" x14ac:dyDescent="0.3">
      <c r="A2267">
        <v>94</v>
      </c>
      <c r="B2267" s="168" t="s">
        <v>150</v>
      </c>
      <c r="C2267" s="168" t="s">
        <v>151</v>
      </c>
      <c r="D2267">
        <v>2615.5</v>
      </c>
      <c r="E2267">
        <v>2021</v>
      </c>
      <c r="F2267" s="168" t="s">
        <v>592</v>
      </c>
      <c r="G2267" s="168" t="s">
        <v>612</v>
      </c>
      <c r="H2267" s="168" t="s">
        <v>608</v>
      </c>
      <c r="I2267">
        <v>579860</v>
      </c>
    </row>
    <row r="2268" spans="1:9" x14ac:dyDescent="0.3">
      <c r="A2268">
        <v>94</v>
      </c>
      <c r="B2268" s="168" t="s">
        <v>150</v>
      </c>
      <c r="C2268" s="168" t="s">
        <v>151</v>
      </c>
      <c r="D2268">
        <v>2615.5</v>
      </c>
      <c r="E2268">
        <v>2021</v>
      </c>
      <c r="F2268" s="168" t="s">
        <v>592</v>
      </c>
      <c r="G2268" s="168" t="s">
        <v>612</v>
      </c>
      <c r="H2268" s="168" t="s">
        <v>609</v>
      </c>
      <c r="I2268">
        <v>30163</v>
      </c>
    </row>
    <row r="2269" spans="1:9" x14ac:dyDescent="0.3">
      <c r="A2269">
        <v>94</v>
      </c>
      <c r="B2269" s="168" t="s">
        <v>150</v>
      </c>
      <c r="C2269" s="168" t="s">
        <v>151</v>
      </c>
      <c r="D2269">
        <v>2615.5</v>
      </c>
      <c r="E2269">
        <v>2021</v>
      </c>
      <c r="F2269" s="168" t="s">
        <v>592</v>
      </c>
      <c r="G2269" s="168" t="s">
        <v>629</v>
      </c>
      <c r="H2269" s="168" t="s">
        <v>608</v>
      </c>
      <c r="I2269">
        <v>150323.47</v>
      </c>
    </row>
    <row r="2270" spans="1:9" x14ac:dyDescent="0.3">
      <c r="A2270">
        <v>94</v>
      </c>
      <c r="B2270" s="168" t="s">
        <v>150</v>
      </c>
      <c r="C2270" s="168" t="s">
        <v>151</v>
      </c>
      <c r="D2270">
        <v>2615.5</v>
      </c>
      <c r="E2270">
        <v>2021</v>
      </c>
      <c r="F2270" s="168" t="s">
        <v>592</v>
      </c>
      <c r="G2270" s="168" t="s">
        <v>629</v>
      </c>
      <c r="H2270" s="168" t="s">
        <v>609</v>
      </c>
      <c r="I2270">
        <v>226579</v>
      </c>
    </row>
    <row r="2271" spans="1:9" x14ac:dyDescent="0.3">
      <c r="A2271">
        <v>94</v>
      </c>
      <c r="B2271" s="168" t="s">
        <v>150</v>
      </c>
      <c r="C2271" s="168" t="s">
        <v>151</v>
      </c>
      <c r="D2271">
        <v>2615.5</v>
      </c>
      <c r="E2271">
        <v>2021</v>
      </c>
      <c r="F2271" s="168" t="s">
        <v>592</v>
      </c>
      <c r="G2271" s="168" t="s">
        <v>617</v>
      </c>
      <c r="H2271" s="168" t="s">
        <v>609</v>
      </c>
      <c r="I2271">
        <v>384655.45</v>
      </c>
    </row>
    <row r="2272" spans="1:9" x14ac:dyDescent="0.3">
      <c r="A2272">
        <v>94</v>
      </c>
      <c r="B2272" s="168" t="s">
        <v>150</v>
      </c>
      <c r="C2272" s="168" t="s">
        <v>151</v>
      </c>
      <c r="D2272">
        <v>2615.5</v>
      </c>
      <c r="E2272">
        <v>2021</v>
      </c>
      <c r="F2272" s="168" t="s">
        <v>592</v>
      </c>
      <c r="G2272" s="168" t="s">
        <v>619</v>
      </c>
      <c r="H2272" s="168" t="s">
        <v>609</v>
      </c>
      <c r="I2272">
        <v>88000</v>
      </c>
    </row>
    <row r="2273" spans="1:9" x14ac:dyDescent="0.3">
      <c r="A2273">
        <v>94</v>
      </c>
      <c r="B2273" s="168" t="s">
        <v>150</v>
      </c>
      <c r="C2273" s="168" t="s">
        <v>151</v>
      </c>
      <c r="D2273">
        <v>2615.5</v>
      </c>
      <c r="E2273">
        <v>2021</v>
      </c>
      <c r="F2273" s="168" t="s">
        <v>592</v>
      </c>
      <c r="G2273" s="168" t="s">
        <v>610</v>
      </c>
      <c r="H2273" s="168" t="s">
        <v>608</v>
      </c>
      <c r="I2273">
        <v>0</v>
      </c>
    </row>
    <row r="2274" spans="1:9" x14ac:dyDescent="0.3">
      <c r="A2274">
        <v>94</v>
      </c>
      <c r="B2274" s="168" t="s">
        <v>150</v>
      </c>
      <c r="C2274" s="168" t="s">
        <v>151</v>
      </c>
      <c r="D2274">
        <v>2615.5</v>
      </c>
      <c r="E2274">
        <v>2021</v>
      </c>
      <c r="F2274" s="168" t="s">
        <v>592</v>
      </c>
      <c r="G2274" s="168" t="s">
        <v>620</v>
      </c>
      <c r="H2274" s="168" t="s">
        <v>608</v>
      </c>
      <c r="I2274">
        <v>430392.75</v>
      </c>
    </row>
    <row r="2275" spans="1:9" x14ac:dyDescent="0.3">
      <c r="A2275">
        <v>94</v>
      </c>
      <c r="B2275" s="168" t="s">
        <v>150</v>
      </c>
      <c r="C2275" s="168" t="s">
        <v>151</v>
      </c>
      <c r="D2275">
        <v>2615.5</v>
      </c>
      <c r="E2275">
        <v>2021</v>
      </c>
      <c r="F2275" s="168" t="s">
        <v>592</v>
      </c>
      <c r="G2275" s="168" t="s">
        <v>620</v>
      </c>
      <c r="H2275" s="168" t="s">
        <v>609</v>
      </c>
      <c r="I2275">
        <v>1069607.25</v>
      </c>
    </row>
    <row r="2276" spans="1:9" x14ac:dyDescent="0.3">
      <c r="A2276">
        <v>94</v>
      </c>
      <c r="B2276" s="168" t="s">
        <v>150</v>
      </c>
      <c r="C2276" s="168" t="s">
        <v>151</v>
      </c>
      <c r="D2276">
        <v>2615.5</v>
      </c>
      <c r="E2276">
        <v>2021</v>
      </c>
      <c r="F2276" s="168" t="s">
        <v>592</v>
      </c>
      <c r="G2276" s="168" t="s">
        <v>625</v>
      </c>
      <c r="H2276" s="168" t="s">
        <v>608</v>
      </c>
      <c r="I2276">
        <v>153000</v>
      </c>
    </row>
    <row r="2277" spans="1:9" x14ac:dyDescent="0.3">
      <c r="A2277">
        <v>94</v>
      </c>
      <c r="B2277" s="168" t="s">
        <v>150</v>
      </c>
      <c r="C2277" s="168" t="s">
        <v>151</v>
      </c>
      <c r="D2277">
        <v>2615.5</v>
      </c>
      <c r="E2277">
        <v>2021</v>
      </c>
      <c r="F2277" s="168" t="s">
        <v>592</v>
      </c>
      <c r="G2277" s="168" t="s">
        <v>630</v>
      </c>
      <c r="H2277" s="168" t="s">
        <v>608</v>
      </c>
      <c r="I2277">
        <v>140000</v>
      </c>
    </row>
    <row r="2278" spans="1:9" x14ac:dyDescent="0.3">
      <c r="A2278">
        <v>94</v>
      </c>
      <c r="B2278" s="168" t="s">
        <v>150</v>
      </c>
      <c r="C2278" s="168" t="s">
        <v>151</v>
      </c>
      <c r="D2278">
        <v>2615.5</v>
      </c>
      <c r="E2278">
        <v>2021</v>
      </c>
      <c r="F2278" s="168" t="s">
        <v>592</v>
      </c>
      <c r="G2278" s="168" t="s">
        <v>630</v>
      </c>
      <c r="H2278" s="168" t="s">
        <v>609</v>
      </c>
      <c r="I2278">
        <v>527739.38</v>
      </c>
    </row>
    <row r="2279" spans="1:9" x14ac:dyDescent="0.3">
      <c r="A2279">
        <v>94</v>
      </c>
      <c r="B2279" s="168" t="s">
        <v>150</v>
      </c>
      <c r="C2279" s="168" t="s">
        <v>151</v>
      </c>
      <c r="D2279">
        <v>2615.5</v>
      </c>
      <c r="E2279">
        <v>2021</v>
      </c>
      <c r="F2279" s="168" t="s">
        <v>592</v>
      </c>
      <c r="G2279" s="168" t="s">
        <v>611</v>
      </c>
      <c r="H2279" s="168" t="s">
        <v>608</v>
      </c>
      <c r="I2279">
        <v>0</v>
      </c>
    </row>
    <row r="2280" spans="1:9" x14ac:dyDescent="0.3">
      <c r="A2280">
        <v>94</v>
      </c>
      <c r="B2280" s="168" t="s">
        <v>150</v>
      </c>
      <c r="C2280" s="168" t="s">
        <v>151</v>
      </c>
      <c r="D2280">
        <v>2615.5</v>
      </c>
      <c r="E2280">
        <v>2021</v>
      </c>
      <c r="F2280" s="168" t="s">
        <v>592</v>
      </c>
      <c r="G2280" s="168" t="s">
        <v>611</v>
      </c>
      <c r="H2280" s="168" t="s">
        <v>609</v>
      </c>
      <c r="I2280">
        <v>27237</v>
      </c>
    </row>
    <row r="2281" spans="1:9" x14ac:dyDescent="0.3">
      <c r="A2281">
        <v>94</v>
      </c>
      <c r="B2281" s="168" t="s">
        <v>150</v>
      </c>
      <c r="C2281" s="168" t="s">
        <v>151</v>
      </c>
      <c r="D2281">
        <v>2615.5</v>
      </c>
      <c r="E2281">
        <v>2021</v>
      </c>
      <c r="F2281" s="168" t="s">
        <v>592</v>
      </c>
      <c r="G2281" s="168" t="s">
        <v>621</v>
      </c>
      <c r="H2281" s="168" t="s">
        <v>609</v>
      </c>
      <c r="I2281">
        <v>7298464.2800000003</v>
      </c>
    </row>
    <row r="2282" spans="1:9" x14ac:dyDescent="0.3">
      <c r="A2282">
        <v>94</v>
      </c>
      <c r="B2282" s="168" t="s">
        <v>150</v>
      </c>
      <c r="C2282" s="168" t="s">
        <v>151</v>
      </c>
      <c r="D2282">
        <v>2615.5</v>
      </c>
      <c r="E2282">
        <v>2021</v>
      </c>
      <c r="F2282" s="168" t="s">
        <v>592</v>
      </c>
      <c r="G2282" s="168" t="s">
        <v>613</v>
      </c>
      <c r="H2282" s="168" t="s">
        <v>608</v>
      </c>
      <c r="I2282">
        <v>256838.69</v>
      </c>
    </row>
    <row r="2283" spans="1:9" x14ac:dyDescent="0.3">
      <c r="A2283">
        <v>94</v>
      </c>
      <c r="B2283" s="168" t="s">
        <v>150</v>
      </c>
      <c r="C2283" s="168" t="s">
        <v>151</v>
      </c>
      <c r="D2283">
        <v>2615.5</v>
      </c>
      <c r="E2283">
        <v>2021</v>
      </c>
      <c r="F2283" s="168" t="s">
        <v>592</v>
      </c>
      <c r="G2283" s="168" t="s">
        <v>613</v>
      </c>
      <c r="H2283" s="168" t="s">
        <v>609</v>
      </c>
      <c r="I2283">
        <v>3415258.97</v>
      </c>
    </row>
    <row r="2284" spans="1:9" x14ac:dyDescent="0.3">
      <c r="A2284">
        <v>94</v>
      </c>
      <c r="B2284" s="168" t="s">
        <v>150</v>
      </c>
      <c r="C2284" s="168" t="s">
        <v>151</v>
      </c>
      <c r="D2284">
        <v>2615.5</v>
      </c>
      <c r="E2284">
        <v>2021</v>
      </c>
      <c r="F2284" s="168" t="s">
        <v>592</v>
      </c>
      <c r="G2284" s="168" t="s">
        <v>622</v>
      </c>
      <c r="H2284" s="168" t="s">
        <v>609</v>
      </c>
      <c r="I2284">
        <v>0</v>
      </c>
    </row>
    <row r="2285" spans="1:9" x14ac:dyDescent="0.3">
      <c r="A2285">
        <v>94</v>
      </c>
      <c r="B2285" s="168" t="s">
        <v>150</v>
      </c>
      <c r="C2285" s="168" t="s">
        <v>151</v>
      </c>
      <c r="D2285">
        <v>2615.5</v>
      </c>
      <c r="E2285">
        <v>2021</v>
      </c>
      <c r="F2285" s="168" t="s">
        <v>592</v>
      </c>
      <c r="G2285" s="168" t="s">
        <v>631</v>
      </c>
      <c r="H2285" s="168" t="s">
        <v>608</v>
      </c>
      <c r="I2285">
        <v>119000</v>
      </c>
    </row>
    <row r="2286" spans="1:9" x14ac:dyDescent="0.3">
      <c r="A2286">
        <v>94</v>
      </c>
      <c r="B2286" s="168" t="s">
        <v>150</v>
      </c>
      <c r="C2286" s="168" t="s">
        <v>151</v>
      </c>
      <c r="D2286">
        <v>2615.5</v>
      </c>
      <c r="E2286">
        <v>2021</v>
      </c>
      <c r="F2286" s="168" t="s">
        <v>592</v>
      </c>
      <c r="G2286" s="168" t="s">
        <v>631</v>
      </c>
      <c r="H2286" s="168" t="s">
        <v>609</v>
      </c>
      <c r="I2286">
        <v>78894</v>
      </c>
    </row>
    <row r="2287" spans="1:9" x14ac:dyDescent="0.3">
      <c r="A2287">
        <v>94</v>
      </c>
      <c r="B2287" s="168" t="s">
        <v>150</v>
      </c>
      <c r="C2287" s="168" t="s">
        <v>151</v>
      </c>
      <c r="D2287">
        <v>2615.5</v>
      </c>
      <c r="E2287">
        <v>2021</v>
      </c>
      <c r="F2287" s="168" t="s">
        <v>592</v>
      </c>
      <c r="G2287" s="168" t="s">
        <v>632</v>
      </c>
      <c r="H2287" s="168" t="s">
        <v>608</v>
      </c>
      <c r="I2287">
        <v>190000</v>
      </c>
    </row>
    <row r="2288" spans="1:9" x14ac:dyDescent="0.3">
      <c r="A2288">
        <v>95</v>
      </c>
      <c r="B2288" s="168" t="s">
        <v>152</v>
      </c>
      <c r="C2288" s="168" t="s">
        <v>153</v>
      </c>
      <c r="D2288">
        <v>22228.9</v>
      </c>
      <c r="E2288">
        <v>2021</v>
      </c>
      <c r="F2288" s="168" t="s">
        <v>592</v>
      </c>
      <c r="G2288" s="168" t="s">
        <v>607</v>
      </c>
      <c r="H2288" s="168" t="s">
        <v>608</v>
      </c>
      <c r="I2288">
        <v>15534246.24</v>
      </c>
    </row>
    <row r="2289" spans="1:9" x14ac:dyDescent="0.3">
      <c r="A2289">
        <v>95</v>
      </c>
      <c r="B2289" s="168" t="s">
        <v>152</v>
      </c>
      <c r="C2289" s="168" t="s">
        <v>153</v>
      </c>
      <c r="D2289">
        <v>22228.9</v>
      </c>
      <c r="E2289">
        <v>2021</v>
      </c>
      <c r="F2289" s="168" t="s">
        <v>592</v>
      </c>
      <c r="G2289" s="168" t="s">
        <v>612</v>
      </c>
      <c r="H2289" s="168" t="s">
        <v>608</v>
      </c>
      <c r="I2289">
        <v>115098.98</v>
      </c>
    </row>
    <row r="2290" spans="1:9" x14ac:dyDescent="0.3">
      <c r="A2290">
        <v>95</v>
      </c>
      <c r="B2290" s="168" t="s">
        <v>152</v>
      </c>
      <c r="C2290" s="168" t="s">
        <v>153</v>
      </c>
      <c r="D2290">
        <v>22228.9</v>
      </c>
      <c r="E2290">
        <v>2021</v>
      </c>
      <c r="F2290" s="168" t="s">
        <v>592</v>
      </c>
      <c r="G2290" s="168" t="s">
        <v>612</v>
      </c>
      <c r="H2290" s="168" t="s">
        <v>609</v>
      </c>
      <c r="I2290">
        <v>46778.14</v>
      </c>
    </row>
    <row r="2291" spans="1:9" x14ac:dyDescent="0.3">
      <c r="A2291">
        <v>95</v>
      </c>
      <c r="B2291" s="168" t="s">
        <v>152</v>
      </c>
      <c r="C2291" s="168" t="s">
        <v>153</v>
      </c>
      <c r="D2291">
        <v>22228.9</v>
      </c>
      <c r="E2291">
        <v>2021</v>
      </c>
      <c r="F2291" s="168" t="s">
        <v>592</v>
      </c>
      <c r="G2291" s="168" t="s">
        <v>629</v>
      </c>
      <c r="H2291" s="168" t="s">
        <v>608</v>
      </c>
      <c r="I2291">
        <v>5124440.68</v>
      </c>
    </row>
    <row r="2292" spans="1:9" x14ac:dyDescent="0.3">
      <c r="A2292">
        <v>95</v>
      </c>
      <c r="B2292" s="168" t="s">
        <v>152</v>
      </c>
      <c r="C2292" s="168" t="s">
        <v>153</v>
      </c>
      <c r="D2292">
        <v>22228.9</v>
      </c>
      <c r="E2292">
        <v>2021</v>
      </c>
      <c r="F2292" s="168" t="s">
        <v>592</v>
      </c>
      <c r="G2292" s="168" t="s">
        <v>629</v>
      </c>
      <c r="H2292" s="168" t="s">
        <v>609</v>
      </c>
      <c r="I2292">
        <v>1189591.3200000003</v>
      </c>
    </row>
    <row r="2293" spans="1:9" x14ac:dyDescent="0.3">
      <c r="A2293">
        <v>95</v>
      </c>
      <c r="B2293" s="168" t="s">
        <v>152</v>
      </c>
      <c r="C2293" s="168" t="s">
        <v>153</v>
      </c>
      <c r="D2293">
        <v>22228.9</v>
      </c>
      <c r="E2293">
        <v>2021</v>
      </c>
      <c r="F2293" s="168" t="s">
        <v>592</v>
      </c>
      <c r="G2293" s="168" t="s">
        <v>617</v>
      </c>
      <c r="H2293" s="168" t="s">
        <v>608</v>
      </c>
      <c r="I2293">
        <v>0</v>
      </c>
    </row>
    <row r="2294" spans="1:9" x14ac:dyDescent="0.3">
      <c r="A2294">
        <v>95</v>
      </c>
      <c r="B2294" s="168" t="s">
        <v>152</v>
      </c>
      <c r="C2294" s="168" t="s">
        <v>153</v>
      </c>
      <c r="D2294">
        <v>22228.9</v>
      </c>
      <c r="E2294">
        <v>2021</v>
      </c>
      <c r="F2294" s="168" t="s">
        <v>592</v>
      </c>
      <c r="G2294" s="168" t="s">
        <v>610</v>
      </c>
      <c r="H2294" s="168" t="s">
        <v>608</v>
      </c>
      <c r="I2294">
        <v>0</v>
      </c>
    </row>
    <row r="2295" spans="1:9" x14ac:dyDescent="0.3">
      <c r="A2295">
        <v>95</v>
      </c>
      <c r="B2295" s="168" t="s">
        <v>152</v>
      </c>
      <c r="C2295" s="168" t="s">
        <v>153</v>
      </c>
      <c r="D2295">
        <v>22228.9</v>
      </c>
      <c r="E2295">
        <v>2021</v>
      </c>
      <c r="F2295" s="168" t="s">
        <v>592</v>
      </c>
      <c r="G2295" s="168" t="s">
        <v>610</v>
      </c>
      <c r="H2295" s="168" t="s">
        <v>609</v>
      </c>
      <c r="I2295">
        <v>32727.272727272728</v>
      </c>
    </row>
    <row r="2296" spans="1:9" x14ac:dyDescent="0.3">
      <c r="A2296">
        <v>95</v>
      </c>
      <c r="B2296" s="168" t="s">
        <v>152</v>
      </c>
      <c r="C2296" s="168" t="s">
        <v>153</v>
      </c>
      <c r="D2296">
        <v>22228.9</v>
      </c>
      <c r="E2296">
        <v>2021</v>
      </c>
      <c r="F2296" s="168" t="s">
        <v>592</v>
      </c>
      <c r="G2296" s="168" t="s">
        <v>633</v>
      </c>
      <c r="H2296" s="168" t="s">
        <v>608</v>
      </c>
      <c r="I2296">
        <v>0</v>
      </c>
    </row>
    <row r="2297" spans="1:9" x14ac:dyDescent="0.3">
      <c r="A2297">
        <v>95</v>
      </c>
      <c r="B2297" s="168" t="s">
        <v>152</v>
      </c>
      <c r="C2297" s="168" t="s">
        <v>153</v>
      </c>
      <c r="D2297">
        <v>22228.9</v>
      </c>
      <c r="E2297">
        <v>2021</v>
      </c>
      <c r="F2297" s="168" t="s">
        <v>592</v>
      </c>
      <c r="G2297" s="168" t="s">
        <v>633</v>
      </c>
      <c r="H2297" s="168" t="s">
        <v>609</v>
      </c>
      <c r="I2297">
        <v>354974.56912338495</v>
      </c>
    </row>
    <row r="2298" spans="1:9" x14ac:dyDescent="0.3">
      <c r="A2298">
        <v>95</v>
      </c>
      <c r="B2298" s="168" t="s">
        <v>152</v>
      </c>
      <c r="C2298" s="168" t="s">
        <v>153</v>
      </c>
      <c r="D2298">
        <v>22228.9</v>
      </c>
      <c r="E2298">
        <v>2021</v>
      </c>
      <c r="F2298" s="168" t="s">
        <v>592</v>
      </c>
      <c r="G2298" s="168" t="s">
        <v>623</v>
      </c>
      <c r="H2298" s="168" t="s">
        <v>608</v>
      </c>
      <c r="I2298">
        <v>0</v>
      </c>
    </row>
    <row r="2299" spans="1:9" x14ac:dyDescent="0.3">
      <c r="A2299">
        <v>95</v>
      </c>
      <c r="B2299" s="168" t="s">
        <v>152</v>
      </c>
      <c r="C2299" s="168" t="s">
        <v>153</v>
      </c>
      <c r="D2299">
        <v>22228.9</v>
      </c>
      <c r="E2299">
        <v>2021</v>
      </c>
      <c r="F2299" s="168" t="s">
        <v>592</v>
      </c>
      <c r="G2299" s="168" t="s">
        <v>623</v>
      </c>
      <c r="H2299" s="168" t="s">
        <v>609</v>
      </c>
      <c r="I2299">
        <v>415752.78</v>
      </c>
    </row>
    <row r="2300" spans="1:9" x14ac:dyDescent="0.3">
      <c r="A2300">
        <v>95</v>
      </c>
      <c r="B2300" s="168" t="s">
        <v>152</v>
      </c>
      <c r="C2300" s="168" t="s">
        <v>153</v>
      </c>
      <c r="D2300">
        <v>22228.9</v>
      </c>
      <c r="E2300">
        <v>2021</v>
      </c>
      <c r="F2300" s="168" t="s">
        <v>592</v>
      </c>
      <c r="G2300" s="168" t="s">
        <v>615</v>
      </c>
      <c r="H2300" s="168" t="s">
        <v>608</v>
      </c>
      <c r="I2300">
        <v>0</v>
      </c>
    </row>
    <row r="2301" spans="1:9" x14ac:dyDescent="0.3">
      <c r="A2301">
        <v>95</v>
      </c>
      <c r="B2301" s="168" t="s">
        <v>152</v>
      </c>
      <c r="C2301" s="168" t="s">
        <v>153</v>
      </c>
      <c r="D2301">
        <v>22228.9</v>
      </c>
      <c r="E2301">
        <v>2021</v>
      </c>
      <c r="F2301" s="168" t="s">
        <v>592</v>
      </c>
      <c r="G2301" s="168" t="s">
        <v>615</v>
      </c>
      <c r="H2301" s="168" t="s">
        <v>609</v>
      </c>
      <c r="I2301">
        <v>7536.5853658536589</v>
      </c>
    </row>
    <row r="2302" spans="1:9" x14ac:dyDescent="0.3">
      <c r="A2302">
        <v>95</v>
      </c>
      <c r="B2302" s="168" t="s">
        <v>152</v>
      </c>
      <c r="C2302" s="168" t="s">
        <v>153</v>
      </c>
      <c r="D2302">
        <v>22228.9</v>
      </c>
      <c r="E2302">
        <v>2021</v>
      </c>
      <c r="F2302" s="168" t="s">
        <v>592</v>
      </c>
      <c r="G2302" s="168" t="s">
        <v>630</v>
      </c>
      <c r="H2302" s="168" t="s">
        <v>608</v>
      </c>
      <c r="I2302">
        <v>3600012</v>
      </c>
    </row>
    <row r="2303" spans="1:9" x14ac:dyDescent="0.3">
      <c r="A2303">
        <v>95</v>
      </c>
      <c r="B2303" s="168" t="s">
        <v>152</v>
      </c>
      <c r="C2303" s="168" t="s">
        <v>153</v>
      </c>
      <c r="D2303">
        <v>22228.9</v>
      </c>
      <c r="E2303">
        <v>2021</v>
      </c>
      <c r="F2303" s="168" t="s">
        <v>592</v>
      </c>
      <c r="G2303" s="168" t="s">
        <v>630</v>
      </c>
      <c r="H2303" s="168" t="s">
        <v>609</v>
      </c>
      <c r="I2303">
        <v>1124687.1400000001</v>
      </c>
    </row>
    <row r="2304" spans="1:9" x14ac:dyDescent="0.3">
      <c r="A2304">
        <v>95</v>
      </c>
      <c r="B2304" s="168" t="s">
        <v>152</v>
      </c>
      <c r="C2304" s="168" t="s">
        <v>153</v>
      </c>
      <c r="D2304">
        <v>22228.9</v>
      </c>
      <c r="E2304">
        <v>2021</v>
      </c>
      <c r="F2304" s="168" t="s">
        <v>592</v>
      </c>
      <c r="G2304" s="168" t="s">
        <v>611</v>
      </c>
      <c r="H2304" s="168" t="s">
        <v>608</v>
      </c>
      <c r="I2304">
        <v>0</v>
      </c>
    </row>
    <row r="2305" spans="1:9" x14ac:dyDescent="0.3">
      <c r="A2305">
        <v>95</v>
      </c>
      <c r="B2305" s="168" t="s">
        <v>152</v>
      </c>
      <c r="C2305" s="168" t="s">
        <v>153</v>
      </c>
      <c r="D2305">
        <v>22228.9</v>
      </c>
      <c r="E2305">
        <v>2021</v>
      </c>
      <c r="F2305" s="168" t="s">
        <v>592</v>
      </c>
      <c r="G2305" s="168" t="s">
        <v>611</v>
      </c>
      <c r="H2305" s="168" t="s">
        <v>609</v>
      </c>
      <c r="I2305">
        <v>92907.49883575234</v>
      </c>
    </row>
    <row r="2306" spans="1:9" x14ac:dyDescent="0.3">
      <c r="A2306">
        <v>95</v>
      </c>
      <c r="B2306" s="168" t="s">
        <v>152</v>
      </c>
      <c r="C2306" s="168" t="s">
        <v>153</v>
      </c>
      <c r="D2306">
        <v>22228.9</v>
      </c>
      <c r="E2306">
        <v>2021</v>
      </c>
      <c r="F2306" s="168" t="s">
        <v>592</v>
      </c>
      <c r="G2306" s="168" t="s">
        <v>621</v>
      </c>
      <c r="H2306" s="168" t="s">
        <v>608</v>
      </c>
      <c r="I2306">
        <v>0</v>
      </c>
    </row>
    <row r="2307" spans="1:9" x14ac:dyDescent="0.3">
      <c r="A2307">
        <v>95</v>
      </c>
      <c r="B2307" s="168" t="s">
        <v>152</v>
      </c>
      <c r="C2307" s="168" t="s">
        <v>153</v>
      </c>
      <c r="D2307">
        <v>22228.9</v>
      </c>
      <c r="E2307">
        <v>2021</v>
      </c>
      <c r="F2307" s="168" t="s">
        <v>592</v>
      </c>
      <c r="G2307" s="168" t="s">
        <v>621</v>
      </c>
      <c r="H2307" s="168" t="s">
        <v>609</v>
      </c>
      <c r="I2307">
        <v>910711.2</v>
      </c>
    </row>
    <row r="2308" spans="1:9" x14ac:dyDescent="0.3">
      <c r="A2308">
        <v>95</v>
      </c>
      <c r="B2308" s="168" t="s">
        <v>152</v>
      </c>
      <c r="C2308" s="168" t="s">
        <v>153</v>
      </c>
      <c r="D2308">
        <v>22228.9</v>
      </c>
      <c r="E2308">
        <v>2021</v>
      </c>
      <c r="F2308" s="168" t="s">
        <v>592</v>
      </c>
      <c r="G2308" s="168" t="s">
        <v>613</v>
      </c>
      <c r="H2308" s="168" t="s">
        <v>608</v>
      </c>
      <c r="I2308">
        <v>0</v>
      </c>
    </row>
    <row r="2309" spans="1:9" x14ac:dyDescent="0.3">
      <c r="A2309">
        <v>95</v>
      </c>
      <c r="B2309" s="168" t="s">
        <v>152</v>
      </c>
      <c r="C2309" s="168" t="s">
        <v>153</v>
      </c>
      <c r="D2309">
        <v>22228.9</v>
      </c>
      <c r="E2309">
        <v>2021</v>
      </c>
      <c r="F2309" s="168" t="s">
        <v>592</v>
      </c>
      <c r="G2309" s="168" t="s">
        <v>613</v>
      </c>
      <c r="H2309" s="168" t="s">
        <v>609</v>
      </c>
      <c r="I2309">
        <v>2780651.5710701784</v>
      </c>
    </row>
    <row r="2310" spans="1:9" x14ac:dyDescent="0.3">
      <c r="A2310">
        <v>96</v>
      </c>
      <c r="B2310" s="168" t="s">
        <v>154</v>
      </c>
      <c r="C2310" s="168" t="s">
        <v>155</v>
      </c>
      <c r="D2310">
        <v>481.3</v>
      </c>
      <c r="E2310">
        <v>2021</v>
      </c>
      <c r="F2310" s="168" t="s">
        <v>593</v>
      </c>
      <c r="G2310" s="168" t="s">
        <v>617</v>
      </c>
      <c r="H2310" s="168" t="s">
        <v>608</v>
      </c>
      <c r="I2310">
        <v>0</v>
      </c>
    </row>
    <row r="2311" spans="1:9" x14ac:dyDescent="0.3">
      <c r="A2311">
        <v>96</v>
      </c>
      <c r="B2311" s="168" t="s">
        <v>154</v>
      </c>
      <c r="C2311" s="168" t="s">
        <v>155</v>
      </c>
      <c r="D2311">
        <v>481.3</v>
      </c>
      <c r="E2311">
        <v>2021</v>
      </c>
      <c r="F2311" s="168" t="s">
        <v>593</v>
      </c>
      <c r="G2311" s="168" t="s">
        <v>630</v>
      </c>
      <c r="H2311" s="168" t="s">
        <v>608</v>
      </c>
      <c r="I2311">
        <v>65457</v>
      </c>
    </row>
    <row r="2312" spans="1:9" x14ac:dyDescent="0.3">
      <c r="A2312">
        <v>96</v>
      </c>
      <c r="B2312" s="168" t="s">
        <v>154</v>
      </c>
      <c r="C2312" s="168" t="s">
        <v>155</v>
      </c>
      <c r="D2312">
        <v>481.3</v>
      </c>
      <c r="E2312">
        <v>2021</v>
      </c>
      <c r="F2312" s="168" t="s">
        <v>593</v>
      </c>
      <c r="G2312" s="168" t="s">
        <v>613</v>
      </c>
      <c r="H2312" s="168" t="s">
        <v>609</v>
      </c>
      <c r="I2312">
        <v>66884.399999999994</v>
      </c>
    </row>
    <row r="2313" spans="1:9" x14ac:dyDescent="0.3">
      <c r="A2313">
        <v>97</v>
      </c>
      <c r="B2313" s="168" t="s">
        <v>156</v>
      </c>
      <c r="C2313" s="168" t="s">
        <v>157</v>
      </c>
      <c r="D2313">
        <v>140.9</v>
      </c>
      <c r="E2313">
        <v>2021</v>
      </c>
      <c r="F2313" s="168" t="s">
        <v>593</v>
      </c>
      <c r="G2313" s="168" t="s">
        <v>617</v>
      </c>
      <c r="H2313" s="168" t="s">
        <v>608</v>
      </c>
      <c r="I2313">
        <v>0</v>
      </c>
    </row>
    <row r="2314" spans="1:9" x14ac:dyDescent="0.3">
      <c r="A2314">
        <v>97</v>
      </c>
      <c r="B2314" s="168" t="s">
        <v>156</v>
      </c>
      <c r="C2314" s="168" t="s">
        <v>157</v>
      </c>
      <c r="D2314">
        <v>140.9</v>
      </c>
      <c r="E2314">
        <v>2021</v>
      </c>
      <c r="F2314" s="168" t="s">
        <v>593</v>
      </c>
      <c r="G2314" s="168" t="s">
        <v>630</v>
      </c>
      <c r="H2314" s="168" t="s">
        <v>608</v>
      </c>
      <c r="I2314">
        <v>19162</v>
      </c>
    </row>
    <row r="2315" spans="1:9" x14ac:dyDescent="0.3">
      <c r="A2315">
        <v>98</v>
      </c>
      <c r="B2315" s="168" t="s">
        <v>158</v>
      </c>
      <c r="C2315" s="168" t="s">
        <v>159</v>
      </c>
      <c r="D2315">
        <v>7998.2</v>
      </c>
      <c r="E2315">
        <v>2021</v>
      </c>
      <c r="F2315" s="168" t="s">
        <v>592</v>
      </c>
      <c r="G2315" s="168" t="s">
        <v>607</v>
      </c>
      <c r="H2315" s="168" t="s">
        <v>608</v>
      </c>
      <c r="I2315">
        <v>0</v>
      </c>
    </row>
    <row r="2316" spans="1:9" x14ac:dyDescent="0.3">
      <c r="A2316">
        <v>98</v>
      </c>
      <c r="B2316" s="168" t="s">
        <v>158</v>
      </c>
      <c r="C2316" s="168" t="s">
        <v>159</v>
      </c>
      <c r="D2316">
        <v>7998.2</v>
      </c>
      <c r="E2316">
        <v>2021</v>
      </c>
      <c r="F2316" s="168" t="s">
        <v>592</v>
      </c>
      <c r="G2316" s="168" t="s">
        <v>612</v>
      </c>
      <c r="H2316" s="168" t="s">
        <v>608</v>
      </c>
      <c r="I2316">
        <v>26387.665000000001</v>
      </c>
    </row>
    <row r="2317" spans="1:9" x14ac:dyDescent="0.3">
      <c r="A2317">
        <v>98</v>
      </c>
      <c r="B2317" s="168" t="s">
        <v>158</v>
      </c>
      <c r="C2317" s="168" t="s">
        <v>159</v>
      </c>
      <c r="D2317">
        <v>7998.2</v>
      </c>
      <c r="E2317">
        <v>2021</v>
      </c>
      <c r="F2317" s="168" t="s">
        <v>592</v>
      </c>
      <c r="G2317" s="168" t="s">
        <v>612</v>
      </c>
      <c r="H2317" s="168" t="s">
        <v>609</v>
      </c>
      <c r="I2317">
        <v>11309</v>
      </c>
    </row>
    <row r="2318" spans="1:9" x14ac:dyDescent="0.3">
      <c r="A2318">
        <v>98</v>
      </c>
      <c r="B2318" s="168" t="s">
        <v>158</v>
      </c>
      <c r="C2318" s="168" t="s">
        <v>159</v>
      </c>
      <c r="D2318">
        <v>7998.2</v>
      </c>
      <c r="E2318">
        <v>2021</v>
      </c>
      <c r="F2318" s="168" t="s">
        <v>592</v>
      </c>
      <c r="G2318" s="168" t="s">
        <v>629</v>
      </c>
      <c r="H2318" s="168" t="s">
        <v>609</v>
      </c>
      <c r="I2318">
        <v>2312512</v>
      </c>
    </row>
    <row r="2319" spans="1:9" x14ac:dyDescent="0.3">
      <c r="A2319">
        <v>98</v>
      </c>
      <c r="B2319" s="168" t="s">
        <v>158</v>
      </c>
      <c r="C2319" s="168" t="s">
        <v>159</v>
      </c>
      <c r="D2319">
        <v>7998.2</v>
      </c>
      <c r="E2319">
        <v>2021</v>
      </c>
      <c r="F2319" s="168" t="s">
        <v>592</v>
      </c>
      <c r="G2319" s="168" t="s">
        <v>617</v>
      </c>
      <c r="H2319" s="168" t="s">
        <v>608</v>
      </c>
      <c r="I2319">
        <v>15996.5</v>
      </c>
    </row>
    <row r="2320" spans="1:9" x14ac:dyDescent="0.3">
      <c r="A2320">
        <v>98</v>
      </c>
      <c r="B2320" s="168" t="s">
        <v>158</v>
      </c>
      <c r="C2320" s="168" t="s">
        <v>159</v>
      </c>
      <c r="D2320">
        <v>7998.2</v>
      </c>
      <c r="E2320">
        <v>2021</v>
      </c>
      <c r="F2320" s="168" t="s">
        <v>592</v>
      </c>
      <c r="G2320" s="168" t="s">
        <v>617</v>
      </c>
      <c r="H2320" s="168" t="s">
        <v>609</v>
      </c>
      <c r="I2320">
        <v>15996.5</v>
      </c>
    </row>
    <row r="2321" spans="1:9" x14ac:dyDescent="0.3">
      <c r="A2321">
        <v>98</v>
      </c>
      <c r="B2321" s="168" t="s">
        <v>158</v>
      </c>
      <c r="C2321" s="168" t="s">
        <v>159</v>
      </c>
      <c r="D2321">
        <v>7998.2</v>
      </c>
      <c r="E2321">
        <v>2021</v>
      </c>
      <c r="F2321" s="168" t="s">
        <v>592</v>
      </c>
      <c r="G2321" s="168" t="s">
        <v>633</v>
      </c>
      <c r="H2321" s="168" t="s">
        <v>608</v>
      </c>
      <c r="I2321">
        <v>0</v>
      </c>
    </row>
    <row r="2322" spans="1:9" x14ac:dyDescent="0.3">
      <c r="A2322">
        <v>98</v>
      </c>
      <c r="B2322" s="168" t="s">
        <v>158</v>
      </c>
      <c r="C2322" s="168" t="s">
        <v>159</v>
      </c>
      <c r="D2322">
        <v>7998.2</v>
      </c>
      <c r="E2322">
        <v>2021</v>
      </c>
      <c r="F2322" s="168" t="s">
        <v>592</v>
      </c>
      <c r="G2322" s="168" t="s">
        <v>633</v>
      </c>
      <c r="H2322" s="168" t="s">
        <v>609</v>
      </c>
      <c r="I2322">
        <v>127723.71096917335</v>
      </c>
    </row>
    <row r="2323" spans="1:9" x14ac:dyDescent="0.3">
      <c r="A2323">
        <v>98</v>
      </c>
      <c r="B2323" s="168" t="s">
        <v>158</v>
      </c>
      <c r="C2323" s="168" t="s">
        <v>159</v>
      </c>
      <c r="D2323">
        <v>7998.2</v>
      </c>
      <c r="E2323">
        <v>2021</v>
      </c>
      <c r="F2323" s="168" t="s">
        <v>592</v>
      </c>
      <c r="G2323" s="168" t="s">
        <v>630</v>
      </c>
      <c r="H2323" s="168" t="s">
        <v>608</v>
      </c>
      <c r="I2323">
        <v>1262066</v>
      </c>
    </row>
    <row r="2324" spans="1:9" x14ac:dyDescent="0.3">
      <c r="A2324">
        <v>98</v>
      </c>
      <c r="B2324" s="168" t="s">
        <v>158</v>
      </c>
      <c r="C2324" s="168" t="s">
        <v>159</v>
      </c>
      <c r="D2324">
        <v>7998.2</v>
      </c>
      <c r="E2324">
        <v>2021</v>
      </c>
      <c r="F2324" s="168" t="s">
        <v>592</v>
      </c>
      <c r="G2324" s="168" t="s">
        <v>630</v>
      </c>
      <c r="H2324" s="168" t="s">
        <v>609</v>
      </c>
      <c r="I2324">
        <v>442983.88912349701</v>
      </c>
    </row>
    <row r="2325" spans="1:9" x14ac:dyDescent="0.3">
      <c r="A2325">
        <v>98</v>
      </c>
      <c r="B2325" s="168" t="s">
        <v>158</v>
      </c>
      <c r="C2325" s="168" t="s">
        <v>159</v>
      </c>
      <c r="D2325">
        <v>7998.2</v>
      </c>
      <c r="E2325">
        <v>2021</v>
      </c>
      <c r="F2325" s="168" t="s">
        <v>592</v>
      </c>
      <c r="G2325" s="168" t="s">
        <v>621</v>
      </c>
      <c r="H2325" s="168" t="s">
        <v>609</v>
      </c>
      <c r="I2325">
        <v>145323</v>
      </c>
    </row>
    <row r="2326" spans="1:9" x14ac:dyDescent="0.3">
      <c r="A2326">
        <v>98</v>
      </c>
      <c r="B2326" s="168" t="s">
        <v>158</v>
      </c>
      <c r="C2326" s="168" t="s">
        <v>159</v>
      </c>
      <c r="D2326">
        <v>7998.2</v>
      </c>
      <c r="E2326">
        <v>2021</v>
      </c>
      <c r="F2326" s="168" t="s">
        <v>592</v>
      </c>
      <c r="G2326" s="168" t="s">
        <v>613</v>
      </c>
      <c r="H2326" s="168" t="s">
        <v>608</v>
      </c>
      <c r="I2326">
        <v>202542</v>
      </c>
    </row>
    <row r="2327" spans="1:9" x14ac:dyDescent="0.3">
      <c r="A2327">
        <v>98</v>
      </c>
      <c r="B2327" s="168" t="s">
        <v>158</v>
      </c>
      <c r="C2327" s="168" t="s">
        <v>159</v>
      </c>
      <c r="D2327">
        <v>7998.2</v>
      </c>
      <c r="E2327">
        <v>2021</v>
      </c>
      <c r="F2327" s="168" t="s">
        <v>592</v>
      </c>
      <c r="G2327" s="168" t="s">
        <v>613</v>
      </c>
      <c r="H2327" s="168" t="s">
        <v>609</v>
      </c>
      <c r="I2327">
        <v>266548.8</v>
      </c>
    </row>
    <row r="2328" spans="1:9" x14ac:dyDescent="0.3">
      <c r="A2328">
        <v>99</v>
      </c>
      <c r="B2328" s="168" t="s">
        <v>158</v>
      </c>
      <c r="C2328" s="168" t="s">
        <v>160</v>
      </c>
      <c r="D2328">
        <v>4101.8999999999996</v>
      </c>
      <c r="E2328">
        <v>2021</v>
      </c>
      <c r="F2328" s="168" t="s">
        <v>592</v>
      </c>
      <c r="G2328" s="168" t="s">
        <v>607</v>
      </c>
      <c r="H2328" s="168" t="s">
        <v>608</v>
      </c>
      <c r="I2328">
        <v>0</v>
      </c>
    </row>
    <row r="2329" spans="1:9" x14ac:dyDescent="0.3">
      <c r="A2329">
        <v>99</v>
      </c>
      <c r="B2329" s="168" t="s">
        <v>158</v>
      </c>
      <c r="C2329" s="168" t="s">
        <v>160</v>
      </c>
      <c r="D2329">
        <v>4101.8999999999996</v>
      </c>
      <c r="E2329">
        <v>2021</v>
      </c>
      <c r="F2329" s="168" t="s">
        <v>592</v>
      </c>
      <c r="G2329" s="168" t="s">
        <v>612</v>
      </c>
      <c r="H2329" s="168" t="s">
        <v>608</v>
      </c>
      <c r="I2329">
        <v>26387.67</v>
      </c>
    </row>
    <row r="2330" spans="1:9" x14ac:dyDescent="0.3">
      <c r="A2330">
        <v>99</v>
      </c>
      <c r="B2330" s="168" t="s">
        <v>158</v>
      </c>
      <c r="C2330" s="168" t="s">
        <v>160</v>
      </c>
      <c r="D2330">
        <v>4101.8999999999996</v>
      </c>
      <c r="E2330">
        <v>2021</v>
      </c>
      <c r="F2330" s="168" t="s">
        <v>592</v>
      </c>
      <c r="G2330" s="168" t="s">
        <v>612</v>
      </c>
      <c r="H2330" s="168" t="s">
        <v>609</v>
      </c>
      <c r="I2330">
        <v>11309</v>
      </c>
    </row>
    <row r="2331" spans="1:9" x14ac:dyDescent="0.3">
      <c r="A2331">
        <v>99</v>
      </c>
      <c r="B2331" s="168" t="s">
        <v>158</v>
      </c>
      <c r="C2331" s="168" t="s">
        <v>160</v>
      </c>
      <c r="D2331">
        <v>4101.8999999999996</v>
      </c>
      <c r="E2331">
        <v>2021</v>
      </c>
      <c r="F2331" s="168" t="s">
        <v>592</v>
      </c>
      <c r="G2331" s="168" t="s">
        <v>629</v>
      </c>
      <c r="H2331" s="168" t="s">
        <v>609</v>
      </c>
      <c r="I2331">
        <v>1256615</v>
      </c>
    </row>
    <row r="2332" spans="1:9" x14ac:dyDescent="0.3">
      <c r="A2332">
        <v>99</v>
      </c>
      <c r="B2332" s="168" t="s">
        <v>158</v>
      </c>
      <c r="C2332" s="168" t="s">
        <v>160</v>
      </c>
      <c r="D2332">
        <v>4101.8999999999996</v>
      </c>
      <c r="E2332">
        <v>2021</v>
      </c>
      <c r="F2332" s="168" t="s">
        <v>592</v>
      </c>
      <c r="G2332" s="168" t="s">
        <v>617</v>
      </c>
      <c r="H2332" s="168" t="s">
        <v>608</v>
      </c>
      <c r="I2332">
        <v>8204</v>
      </c>
    </row>
    <row r="2333" spans="1:9" x14ac:dyDescent="0.3">
      <c r="A2333">
        <v>99</v>
      </c>
      <c r="B2333" s="168" t="s">
        <v>158</v>
      </c>
      <c r="C2333" s="168" t="s">
        <v>160</v>
      </c>
      <c r="D2333">
        <v>4101.8999999999996</v>
      </c>
      <c r="E2333">
        <v>2021</v>
      </c>
      <c r="F2333" s="168" t="s">
        <v>592</v>
      </c>
      <c r="G2333" s="168" t="s">
        <v>617</v>
      </c>
      <c r="H2333" s="168" t="s">
        <v>609</v>
      </c>
      <c r="I2333">
        <v>8204</v>
      </c>
    </row>
    <row r="2334" spans="1:9" x14ac:dyDescent="0.3">
      <c r="A2334">
        <v>99</v>
      </c>
      <c r="B2334" s="168" t="s">
        <v>158</v>
      </c>
      <c r="C2334" s="168" t="s">
        <v>160</v>
      </c>
      <c r="D2334">
        <v>4101.8999999999996</v>
      </c>
      <c r="E2334">
        <v>2021</v>
      </c>
      <c r="F2334" s="168" t="s">
        <v>592</v>
      </c>
      <c r="G2334" s="168" t="s">
        <v>633</v>
      </c>
      <c r="H2334" s="168" t="s">
        <v>608</v>
      </c>
      <c r="I2334">
        <v>0</v>
      </c>
    </row>
    <row r="2335" spans="1:9" x14ac:dyDescent="0.3">
      <c r="A2335">
        <v>99</v>
      </c>
      <c r="B2335" s="168" t="s">
        <v>158</v>
      </c>
      <c r="C2335" s="168" t="s">
        <v>160</v>
      </c>
      <c r="D2335">
        <v>4101.8999999999996</v>
      </c>
      <c r="E2335">
        <v>2021</v>
      </c>
      <c r="F2335" s="168" t="s">
        <v>592</v>
      </c>
      <c r="G2335" s="168" t="s">
        <v>633</v>
      </c>
      <c r="H2335" s="168" t="s">
        <v>609</v>
      </c>
      <c r="I2335">
        <v>65503.474534826855</v>
      </c>
    </row>
    <row r="2336" spans="1:9" x14ac:dyDescent="0.3">
      <c r="A2336">
        <v>99</v>
      </c>
      <c r="B2336" s="168" t="s">
        <v>158</v>
      </c>
      <c r="C2336" s="168" t="s">
        <v>160</v>
      </c>
      <c r="D2336">
        <v>4101.8999999999996</v>
      </c>
      <c r="E2336">
        <v>2021</v>
      </c>
      <c r="F2336" s="168" t="s">
        <v>592</v>
      </c>
      <c r="G2336" s="168" t="s">
        <v>630</v>
      </c>
      <c r="H2336" s="168" t="s">
        <v>608</v>
      </c>
      <c r="I2336">
        <v>700042</v>
      </c>
    </row>
    <row r="2337" spans="1:9" x14ac:dyDescent="0.3">
      <c r="A2337">
        <v>99</v>
      </c>
      <c r="B2337" s="168" t="s">
        <v>158</v>
      </c>
      <c r="C2337" s="168" t="s">
        <v>160</v>
      </c>
      <c r="D2337">
        <v>4101.8999999999996</v>
      </c>
      <c r="E2337">
        <v>2021</v>
      </c>
      <c r="F2337" s="168" t="s">
        <v>592</v>
      </c>
      <c r="G2337" s="168" t="s">
        <v>630</v>
      </c>
      <c r="H2337" s="168" t="s">
        <v>609</v>
      </c>
      <c r="I2337">
        <v>279973.668162296</v>
      </c>
    </row>
    <row r="2338" spans="1:9" x14ac:dyDescent="0.3">
      <c r="A2338">
        <v>99</v>
      </c>
      <c r="B2338" s="168" t="s">
        <v>158</v>
      </c>
      <c r="C2338" s="168" t="s">
        <v>160</v>
      </c>
      <c r="D2338">
        <v>4101.8999999999996</v>
      </c>
      <c r="E2338">
        <v>2021</v>
      </c>
      <c r="F2338" s="168" t="s">
        <v>592</v>
      </c>
      <c r="G2338" s="168" t="s">
        <v>621</v>
      </c>
      <c r="H2338" s="168" t="s">
        <v>609</v>
      </c>
      <c r="I2338">
        <v>145323</v>
      </c>
    </row>
    <row r="2339" spans="1:9" x14ac:dyDescent="0.3">
      <c r="A2339">
        <v>99</v>
      </c>
      <c r="B2339" s="168" t="s">
        <v>158</v>
      </c>
      <c r="C2339" s="168" t="s">
        <v>160</v>
      </c>
      <c r="D2339">
        <v>4101.8999999999996</v>
      </c>
      <c r="E2339">
        <v>2021</v>
      </c>
      <c r="F2339" s="168" t="s">
        <v>592</v>
      </c>
      <c r="G2339" s="168" t="s">
        <v>613</v>
      </c>
      <c r="H2339" s="168" t="s">
        <v>608</v>
      </c>
      <c r="I2339">
        <v>0</v>
      </c>
    </row>
    <row r="2340" spans="1:9" x14ac:dyDescent="0.3">
      <c r="A2340">
        <v>100</v>
      </c>
      <c r="B2340" s="168" t="s">
        <v>161</v>
      </c>
      <c r="C2340" s="168" t="s">
        <v>162</v>
      </c>
      <c r="D2340">
        <v>489.2</v>
      </c>
      <c r="E2340">
        <v>2021</v>
      </c>
      <c r="F2340" s="168" t="s">
        <v>593</v>
      </c>
      <c r="G2340" s="168" t="s">
        <v>617</v>
      </c>
      <c r="H2340" s="168" t="s">
        <v>608</v>
      </c>
      <c r="I2340">
        <v>0</v>
      </c>
    </row>
    <row r="2341" spans="1:9" x14ac:dyDescent="0.3">
      <c r="A2341">
        <v>100</v>
      </c>
      <c r="B2341" s="168" t="s">
        <v>161</v>
      </c>
      <c r="C2341" s="168" t="s">
        <v>162</v>
      </c>
      <c r="D2341">
        <v>489.2</v>
      </c>
      <c r="E2341">
        <v>2021</v>
      </c>
      <c r="F2341" s="168" t="s">
        <v>593</v>
      </c>
      <c r="G2341" s="168" t="s">
        <v>630</v>
      </c>
      <c r="H2341" s="168" t="s">
        <v>608</v>
      </c>
      <c r="I2341">
        <v>66531</v>
      </c>
    </row>
    <row r="2342" spans="1:9" x14ac:dyDescent="0.3">
      <c r="A2342">
        <v>100</v>
      </c>
      <c r="B2342" s="168" t="s">
        <v>161</v>
      </c>
      <c r="C2342" s="168" t="s">
        <v>162</v>
      </c>
      <c r="D2342">
        <v>489.2</v>
      </c>
      <c r="E2342">
        <v>2021</v>
      </c>
      <c r="F2342" s="168" t="s">
        <v>593</v>
      </c>
      <c r="G2342" s="168" t="s">
        <v>613</v>
      </c>
      <c r="H2342" s="168" t="s">
        <v>609</v>
      </c>
      <c r="I2342">
        <v>33643.199999999997</v>
      </c>
    </row>
    <row r="2343" spans="1:9" x14ac:dyDescent="0.3">
      <c r="A2343">
        <v>101</v>
      </c>
      <c r="B2343" s="168" t="s">
        <v>163</v>
      </c>
      <c r="C2343" s="168" t="s">
        <v>164</v>
      </c>
      <c r="D2343">
        <v>482.4</v>
      </c>
      <c r="E2343">
        <v>2021</v>
      </c>
      <c r="F2343" s="168" t="s">
        <v>593</v>
      </c>
      <c r="G2343" s="168" t="s">
        <v>617</v>
      </c>
      <c r="H2343" s="168" t="s">
        <v>608</v>
      </c>
      <c r="I2343">
        <v>0</v>
      </c>
    </row>
    <row r="2344" spans="1:9" x14ac:dyDescent="0.3">
      <c r="A2344">
        <v>101</v>
      </c>
      <c r="B2344" s="168" t="s">
        <v>163</v>
      </c>
      <c r="C2344" s="168" t="s">
        <v>164</v>
      </c>
      <c r="D2344">
        <v>482.4</v>
      </c>
      <c r="E2344">
        <v>2021</v>
      </c>
      <c r="F2344" s="168" t="s">
        <v>593</v>
      </c>
      <c r="G2344" s="168" t="s">
        <v>630</v>
      </c>
      <c r="H2344" s="168" t="s">
        <v>608</v>
      </c>
      <c r="I2344">
        <v>65606</v>
      </c>
    </row>
    <row r="2345" spans="1:9" x14ac:dyDescent="0.3">
      <c r="A2345">
        <v>101</v>
      </c>
      <c r="B2345" s="168" t="s">
        <v>163</v>
      </c>
      <c r="C2345" s="168" t="s">
        <v>164</v>
      </c>
      <c r="D2345">
        <v>482.4</v>
      </c>
      <c r="E2345">
        <v>2021</v>
      </c>
      <c r="F2345" s="168" t="s">
        <v>593</v>
      </c>
      <c r="G2345" s="168" t="s">
        <v>613</v>
      </c>
      <c r="H2345" s="168" t="s">
        <v>609</v>
      </c>
      <c r="I2345">
        <v>33241.199999999997</v>
      </c>
    </row>
    <row r="2346" spans="1:9" x14ac:dyDescent="0.3">
      <c r="A2346">
        <v>102</v>
      </c>
      <c r="B2346" s="168" t="s">
        <v>165</v>
      </c>
      <c r="C2346" s="168" t="s">
        <v>166</v>
      </c>
      <c r="D2346">
        <v>10231.5</v>
      </c>
      <c r="E2346">
        <v>2021</v>
      </c>
      <c r="F2346" s="168" t="s">
        <v>592</v>
      </c>
      <c r="G2346" s="168" t="s">
        <v>607</v>
      </c>
      <c r="H2346" s="168" t="s">
        <v>608</v>
      </c>
      <c r="I2346">
        <v>0</v>
      </c>
    </row>
    <row r="2347" spans="1:9" x14ac:dyDescent="0.3">
      <c r="A2347">
        <v>102</v>
      </c>
      <c r="B2347" s="168" t="s">
        <v>165</v>
      </c>
      <c r="C2347" s="168" t="s">
        <v>166</v>
      </c>
      <c r="D2347">
        <v>10231.5</v>
      </c>
      <c r="E2347">
        <v>2021</v>
      </c>
      <c r="F2347" s="168" t="s">
        <v>592</v>
      </c>
      <c r="G2347" s="168" t="s">
        <v>612</v>
      </c>
      <c r="H2347" s="168" t="s">
        <v>608</v>
      </c>
      <c r="I2347">
        <v>82586.399999999994</v>
      </c>
    </row>
    <row r="2348" spans="1:9" x14ac:dyDescent="0.3">
      <c r="A2348">
        <v>102</v>
      </c>
      <c r="B2348" s="168" t="s">
        <v>165</v>
      </c>
      <c r="C2348" s="168" t="s">
        <v>166</v>
      </c>
      <c r="D2348">
        <v>10231.5</v>
      </c>
      <c r="E2348">
        <v>2021</v>
      </c>
      <c r="F2348" s="168" t="s">
        <v>592</v>
      </c>
      <c r="G2348" s="168" t="s">
        <v>612</v>
      </c>
      <c r="H2348" s="168" t="s">
        <v>609</v>
      </c>
      <c r="I2348">
        <v>35394.17</v>
      </c>
    </row>
    <row r="2349" spans="1:9" x14ac:dyDescent="0.3">
      <c r="A2349">
        <v>102</v>
      </c>
      <c r="B2349" s="168" t="s">
        <v>165</v>
      </c>
      <c r="C2349" s="168" t="s">
        <v>166</v>
      </c>
      <c r="D2349">
        <v>10231.5</v>
      </c>
      <c r="E2349">
        <v>2021</v>
      </c>
      <c r="F2349" s="168" t="s">
        <v>592</v>
      </c>
      <c r="G2349" s="168" t="s">
        <v>629</v>
      </c>
      <c r="H2349" s="168" t="s">
        <v>609</v>
      </c>
      <c r="I2349">
        <v>2772737</v>
      </c>
    </row>
    <row r="2350" spans="1:9" x14ac:dyDescent="0.3">
      <c r="A2350">
        <v>102</v>
      </c>
      <c r="B2350" s="168" t="s">
        <v>165</v>
      </c>
      <c r="C2350" s="168" t="s">
        <v>166</v>
      </c>
      <c r="D2350">
        <v>10231.5</v>
      </c>
      <c r="E2350">
        <v>2021</v>
      </c>
      <c r="F2350" s="168" t="s">
        <v>592</v>
      </c>
      <c r="G2350" s="168" t="s">
        <v>633</v>
      </c>
      <c r="H2350" s="168" t="s">
        <v>608</v>
      </c>
      <c r="I2350">
        <v>0</v>
      </c>
    </row>
    <row r="2351" spans="1:9" x14ac:dyDescent="0.3">
      <c r="A2351">
        <v>102</v>
      </c>
      <c r="B2351" s="168" t="s">
        <v>165</v>
      </c>
      <c r="C2351" s="168" t="s">
        <v>166</v>
      </c>
      <c r="D2351">
        <v>10231.5</v>
      </c>
      <c r="E2351">
        <v>2021</v>
      </c>
      <c r="F2351" s="168" t="s">
        <v>592</v>
      </c>
      <c r="G2351" s="168" t="s">
        <v>633</v>
      </c>
      <c r="H2351" s="168" t="s">
        <v>609</v>
      </c>
      <c r="I2351">
        <v>163387.40576393402</v>
      </c>
    </row>
    <row r="2352" spans="1:9" x14ac:dyDescent="0.3">
      <c r="A2352">
        <v>102</v>
      </c>
      <c r="B2352" s="168" t="s">
        <v>165</v>
      </c>
      <c r="C2352" s="168" t="s">
        <v>166</v>
      </c>
      <c r="D2352">
        <v>10231.5</v>
      </c>
      <c r="E2352">
        <v>2021</v>
      </c>
      <c r="F2352" s="168" t="s">
        <v>592</v>
      </c>
      <c r="G2352" s="168" t="s">
        <v>615</v>
      </c>
      <c r="H2352" s="168" t="s">
        <v>608</v>
      </c>
      <c r="I2352">
        <v>0</v>
      </c>
    </row>
    <row r="2353" spans="1:9" x14ac:dyDescent="0.3">
      <c r="A2353">
        <v>102</v>
      </c>
      <c r="B2353" s="168" t="s">
        <v>165</v>
      </c>
      <c r="C2353" s="168" t="s">
        <v>166</v>
      </c>
      <c r="D2353">
        <v>10231.5</v>
      </c>
      <c r="E2353">
        <v>2021</v>
      </c>
      <c r="F2353" s="168" t="s">
        <v>592</v>
      </c>
      <c r="G2353" s="168" t="s">
        <v>615</v>
      </c>
      <c r="H2353" s="168" t="s">
        <v>609</v>
      </c>
      <c r="I2353">
        <v>7536.5853658536589</v>
      </c>
    </row>
    <row r="2354" spans="1:9" x14ac:dyDescent="0.3">
      <c r="A2354">
        <v>102</v>
      </c>
      <c r="B2354" s="168" t="s">
        <v>165</v>
      </c>
      <c r="C2354" s="168" t="s">
        <v>166</v>
      </c>
      <c r="D2354">
        <v>10231.5</v>
      </c>
      <c r="E2354">
        <v>2021</v>
      </c>
      <c r="F2354" s="168" t="s">
        <v>592</v>
      </c>
      <c r="G2354" s="168" t="s">
        <v>630</v>
      </c>
      <c r="H2354" s="168" t="s">
        <v>608</v>
      </c>
      <c r="I2354">
        <v>1639861</v>
      </c>
    </row>
    <row r="2355" spans="1:9" x14ac:dyDescent="0.3">
      <c r="A2355">
        <v>102</v>
      </c>
      <c r="B2355" s="168" t="s">
        <v>165</v>
      </c>
      <c r="C2355" s="168" t="s">
        <v>166</v>
      </c>
      <c r="D2355">
        <v>10231.5</v>
      </c>
      <c r="E2355">
        <v>2021</v>
      </c>
      <c r="F2355" s="168" t="s">
        <v>592</v>
      </c>
      <c r="G2355" s="168" t="s">
        <v>630</v>
      </c>
      <c r="H2355" s="168" t="s">
        <v>609</v>
      </c>
      <c r="I2355">
        <v>592070.16409530398</v>
      </c>
    </row>
    <row r="2356" spans="1:9" x14ac:dyDescent="0.3">
      <c r="A2356">
        <v>102</v>
      </c>
      <c r="B2356" s="168" t="s">
        <v>165</v>
      </c>
      <c r="C2356" s="168" t="s">
        <v>166</v>
      </c>
      <c r="D2356">
        <v>10231.5</v>
      </c>
      <c r="E2356">
        <v>2021</v>
      </c>
      <c r="F2356" s="168" t="s">
        <v>592</v>
      </c>
      <c r="G2356" s="168" t="s">
        <v>621</v>
      </c>
      <c r="H2356" s="168" t="s">
        <v>608</v>
      </c>
      <c r="I2356">
        <v>17354248.030000001</v>
      </c>
    </row>
    <row r="2357" spans="1:9" x14ac:dyDescent="0.3">
      <c r="A2357">
        <v>102</v>
      </c>
      <c r="B2357" s="168" t="s">
        <v>165</v>
      </c>
      <c r="C2357" s="168" t="s">
        <v>166</v>
      </c>
      <c r="D2357">
        <v>10231.5</v>
      </c>
      <c r="E2357">
        <v>2021</v>
      </c>
      <c r="F2357" s="168" t="s">
        <v>592</v>
      </c>
      <c r="G2357" s="168" t="s">
        <v>621</v>
      </c>
      <c r="H2357" s="168" t="s">
        <v>609</v>
      </c>
      <c r="I2357">
        <v>145323</v>
      </c>
    </row>
    <row r="2358" spans="1:9" x14ac:dyDescent="0.3">
      <c r="A2358">
        <v>102</v>
      </c>
      <c r="B2358" s="168" t="s">
        <v>165</v>
      </c>
      <c r="C2358" s="168" t="s">
        <v>166</v>
      </c>
      <c r="D2358">
        <v>10231.5</v>
      </c>
      <c r="E2358">
        <v>2021</v>
      </c>
      <c r="F2358" s="168" t="s">
        <v>592</v>
      </c>
      <c r="G2358" s="168" t="s">
        <v>613</v>
      </c>
      <c r="H2358" s="168" t="s">
        <v>608</v>
      </c>
      <c r="I2358">
        <v>0</v>
      </c>
    </row>
    <row r="2359" spans="1:9" x14ac:dyDescent="0.3">
      <c r="A2359">
        <v>102</v>
      </c>
      <c r="B2359" s="168" t="s">
        <v>165</v>
      </c>
      <c r="C2359" s="168" t="s">
        <v>166</v>
      </c>
      <c r="D2359">
        <v>10231.5</v>
      </c>
      <c r="E2359">
        <v>2021</v>
      </c>
      <c r="F2359" s="168" t="s">
        <v>592</v>
      </c>
      <c r="G2359" s="168" t="s">
        <v>613</v>
      </c>
      <c r="H2359" s="168" t="s">
        <v>609</v>
      </c>
      <c r="I2359">
        <v>1266425.1698934832</v>
      </c>
    </row>
    <row r="2360" spans="1:9" x14ac:dyDescent="0.3">
      <c r="A2360">
        <v>103</v>
      </c>
      <c r="B2360" s="168" t="s">
        <v>167</v>
      </c>
      <c r="C2360" s="168" t="s">
        <v>168</v>
      </c>
      <c r="D2360">
        <v>2674.6</v>
      </c>
      <c r="E2360">
        <v>2021</v>
      </c>
      <c r="F2360" s="168" t="s">
        <v>592</v>
      </c>
      <c r="G2360" s="168" t="s">
        <v>607</v>
      </c>
      <c r="H2360" s="168" t="s">
        <v>608</v>
      </c>
      <c r="I2360">
        <v>0</v>
      </c>
    </row>
    <row r="2361" spans="1:9" x14ac:dyDescent="0.3">
      <c r="A2361">
        <v>103</v>
      </c>
      <c r="B2361" s="168" t="s">
        <v>167</v>
      </c>
      <c r="C2361" s="168" t="s">
        <v>168</v>
      </c>
      <c r="D2361">
        <v>2674.6</v>
      </c>
      <c r="E2361">
        <v>2021</v>
      </c>
      <c r="F2361" s="168" t="s">
        <v>592</v>
      </c>
      <c r="G2361" s="168" t="s">
        <v>612</v>
      </c>
      <c r="H2361" s="168" t="s">
        <v>608</v>
      </c>
      <c r="I2361">
        <v>82586.399999999994</v>
      </c>
    </row>
    <row r="2362" spans="1:9" x14ac:dyDescent="0.3">
      <c r="A2362">
        <v>103</v>
      </c>
      <c r="B2362" s="168" t="s">
        <v>167</v>
      </c>
      <c r="C2362" s="168" t="s">
        <v>168</v>
      </c>
      <c r="D2362">
        <v>2674.6</v>
      </c>
      <c r="E2362">
        <v>2021</v>
      </c>
      <c r="F2362" s="168" t="s">
        <v>592</v>
      </c>
      <c r="G2362" s="168" t="s">
        <v>612</v>
      </c>
      <c r="H2362" s="168" t="s">
        <v>609</v>
      </c>
      <c r="I2362">
        <v>35394.17</v>
      </c>
    </row>
    <row r="2363" spans="1:9" x14ac:dyDescent="0.3">
      <c r="A2363">
        <v>103</v>
      </c>
      <c r="B2363" s="168" t="s">
        <v>167</v>
      </c>
      <c r="C2363" s="168" t="s">
        <v>168</v>
      </c>
      <c r="D2363">
        <v>2674.6</v>
      </c>
      <c r="E2363">
        <v>2021</v>
      </c>
      <c r="F2363" s="168" t="s">
        <v>592</v>
      </c>
      <c r="G2363" s="168" t="s">
        <v>629</v>
      </c>
      <c r="H2363" s="168" t="s">
        <v>609</v>
      </c>
      <c r="I2363">
        <v>735206</v>
      </c>
    </row>
    <row r="2364" spans="1:9" x14ac:dyDescent="0.3">
      <c r="A2364">
        <v>103</v>
      </c>
      <c r="B2364" s="168" t="s">
        <v>167</v>
      </c>
      <c r="C2364" s="168" t="s">
        <v>168</v>
      </c>
      <c r="D2364">
        <v>2674.6</v>
      </c>
      <c r="E2364">
        <v>2021</v>
      </c>
      <c r="F2364" s="168" t="s">
        <v>592</v>
      </c>
      <c r="G2364" s="168" t="s">
        <v>633</v>
      </c>
      <c r="H2364" s="168" t="s">
        <v>608</v>
      </c>
      <c r="I2364">
        <v>0</v>
      </c>
    </row>
    <row r="2365" spans="1:9" x14ac:dyDescent="0.3">
      <c r="A2365">
        <v>103</v>
      </c>
      <c r="B2365" s="168" t="s">
        <v>167</v>
      </c>
      <c r="C2365" s="168" t="s">
        <v>168</v>
      </c>
      <c r="D2365">
        <v>2674.6</v>
      </c>
      <c r="E2365">
        <v>2021</v>
      </c>
      <c r="F2365" s="168" t="s">
        <v>592</v>
      </c>
      <c r="G2365" s="168" t="s">
        <v>633</v>
      </c>
      <c r="H2365" s="168" t="s">
        <v>609</v>
      </c>
      <c r="I2365">
        <v>42710.839608680835</v>
      </c>
    </row>
    <row r="2366" spans="1:9" x14ac:dyDescent="0.3">
      <c r="A2366">
        <v>103</v>
      </c>
      <c r="B2366" s="168" t="s">
        <v>167</v>
      </c>
      <c r="C2366" s="168" t="s">
        <v>168</v>
      </c>
      <c r="D2366">
        <v>2674.6</v>
      </c>
      <c r="E2366">
        <v>2021</v>
      </c>
      <c r="F2366" s="168" t="s">
        <v>592</v>
      </c>
      <c r="G2366" s="168" t="s">
        <v>630</v>
      </c>
      <c r="H2366" s="168" t="s">
        <v>608</v>
      </c>
      <c r="I2366">
        <v>421605</v>
      </c>
    </row>
    <row r="2367" spans="1:9" x14ac:dyDescent="0.3">
      <c r="A2367">
        <v>103</v>
      </c>
      <c r="B2367" s="168" t="s">
        <v>167</v>
      </c>
      <c r="C2367" s="168" t="s">
        <v>168</v>
      </c>
      <c r="D2367">
        <v>2674.6</v>
      </c>
      <c r="E2367">
        <v>2021</v>
      </c>
      <c r="F2367" s="168" t="s">
        <v>592</v>
      </c>
      <c r="G2367" s="168" t="s">
        <v>630</v>
      </c>
      <c r="H2367" s="168" t="s">
        <v>609</v>
      </c>
      <c r="I2367">
        <v>147703.27861890249</v>
      </c>
    </row>
    <row r="2368" spans="1:9" x14ac:dyDescent="0.3">
      <c r="A2368">
        <v>103</v>
      </c>
      <c r="B2368" s="168" t="s">
        <v>167</v>
      </c>
      <c r="C2368" s="168" t="s">
        <v>168</v>
      </c>
      <c r="D2368">
        <v>2674.6</v>
      </c>
      <c r="E2368">
        <v>2021</v>
      </c>
      <c r="F2368" s="168" t="s">
        <v>592</v>
      </c>
      <c r="G2368" s="168" t="s">
        <v>621</v>
      </c>
      <c r="H2368" s="168" t="s">
        <v>609</v>
      </c>
      <c r="I2368">
        <v>145323</v>
      </c>
    </row>
    <row r="2369" spans="1:9" x14ac:dyDescent="0.3">
      <c r="A2369">
        <v>103</v>
      </c>
      <c r="B2369" s="168" t="s">
        <v>167</v>
      </c>
      <c r="C2369" s="168" t="s">
        <v>168</v>
      </c>
      <c r="D2369">
        <v>2674.6</v>
      </c>
      <c r="E2369">
        <v>2021</v>
      </c>
      <c r="F2369" s="168" t="s">
        <v>592</v>
      </c>
      <c r="G2369" s="168" t="s">
        <v>613</v>
      </c>
      <c r="H2369" s="168" t="s">
        <v>608</v>
      </c>
      <c r="I2369">
        <v>0</v>
      </c>
    </row>
    <row r="2370" spans="1:9" x14ac:dyDescent="0.3">
      <c r="A2370">
        <v>103</v>
      </c>
      <c r="B2370" s="168" t="s">
        <v>167</v>
      </c>
      <c r="C2370" s="168" t="s">
        <v>168</v>
      </c>
      <c r="D2370">
        <v>2674.6</v>
      </c>
      <c r="E2370">
        <v>2021</v>
      </c>
      <c r="F2370" s="168" t="s">
        <v>592</v>
      </c>
      <c r="G2370" s="168" t="s">
        <v>613</v>
      </c>
      <c r="H2370" s="168" t="s">
        <v>609</v>
      </c>
      <c r="I2370">
        <v>331054.17186112673</v>
      </c>
    </row>
    <row r="2371" spans="1:9" x14ac:dyDescent="0.3">
      <c r="A2371">
        <v>104</v>
      </c>
      <c r="B2371" s="168" t="s">
        <v>169</v>
      </c>
      <c r="C2371" s="168" t="s">
        <v>170</v>
      </c>
      <c r="D2371">
        <v>3021.3</v>
      </c>
      <c r="E2371">
        <v>2021</v>
      </c>
      <c r="F2371" s="168" t="s">
        <v>591</v>
      </c>
      <c r="G2371" s="168" t="s">
        <v>612</v>
      </c>
      <c r="H2371" s="168" t="s">
        <v>609</v>
      </c>
      <c r="I2371">
        <v>44836.19</v>
      </c>
    </row>
    <row r="2372" spans="1:9" x14ac:dyDescent="0.3">
      <c r="A2372">
        <v>104</v>
      </c>
      <c r="B2372" s="168" t="s">
        <v>169</v>
      </c>
      <c r="C2372" s="168" t="s">
        <v>170</v>
      </c>
      <c r="D2372">
        <v>3021.3</v>
      </c>
      <c r="E2372">
        <v>2021</v>
      </c>
      <c r="F2372" s="168" t="s">
        <v>591</v>
      </c>
      <c r="G2372" s="168" t="s">
        <v>629</v>
      </c>
      <c r="H2372" s="168" t="s">
        <v>609</v>
      </c>
      <c r="I2372">
        <v>95882.04</v>
      </c>
    </row>
    <row r="2373" spans="1:9" x14ac:dyDescent="0.3">
      <c r="A2373">
        <v>104</v>
      </c>
      <c r="B2373" s="168" t="s">
        <v>169</v>
      </c>
      <c r="C2373" s="168" t="s">
        <v>170</v>
      </c>
      <c r="D2373">
        <v>3021.3</v>
      </c>
      <c r="E2373">
        <v>2021</v>
      </c>
      <c r="F2373" s="168" t="s">
        <v>591</v>
      </c>
      <c r="G2373" s="168" t="s">
        <v>630</v>
      </c>
      <c r="H2373" s="168" t="s">
        <v>608</v>
      </c>
      <c r="I2373">
        <v>1110897</v>
      </c>
    </row>
    <row r="2374" spans="1:9" x14ac:dyDescent="0.3">
      <c r="A2374">
        <v>104</v>
      </c>
      <c r="B2374" s="168" t="s">
        <v>169</v>
      </c>
      <c r="C2374" s="168" t="s">
        <v>170</v>
      </c>
      <c r="D2374">
        <v>3021.3</v>
      </c>
      <c r="E2374">
        <v>2021</v>
      </c>
      <c r="F2374" s="168" t="s">
        <v>591</v>
      </c>
      <c r="G2374" s="168" t="s">
        <v>630</v>
      </c>
      <c r="H2374" s="168" t="s">
        <v>609</v>
      </c>
      <c r="I2374">
        <v>700000</v>
      </c>
    </row>
    <row r="2375" spans="1:9" x14ac:dyDescent="0.3">
      <c r="A2375">
        <v>105</v>
      </c>
      <c r="B2375" s="168" t="s">
        <v>171</v>
      </c>
      <c r="C2375" s="168" t="s">
        <v>172</v>
      </c>
      <c r="D2375">
        <v>1759.2</v>
      </c>
      <c r="E2375">
        <v>2021</v>
      </c>
      <c r="F2375" s="168" t="s">
        <v>593</v>
      </c>
      <c r="G2375" s="168" t="s">
        <v>630</v>
      </c>
      <c r="H2375" s="168" t="s">
        <v>608</v>
      </c>
      <c r="I2375">
        <v>239251</v>
      </c>
    </row>
    <row r="2376" spans="1:9" x14ac:dyDescent="0.3">
      <c r="A2376">
        <v>106</v>
      </c>
      <c r="B2376" s="168" t="s">
        <v>173</v>
      </c>
      <c r="C2376" s="168" t="s">
        <v>174</v>
      </c>
      <c r="D2376">
        <v>110.3</v>
      </c>
      <c r="E2376">
        <v>2021</v>
      </c>
      <c r="F2376" s="168" t="s">
        <v>593</v>
      </c>
      <c r="G2376" s="168" t="s">
        <v>630</v>
      </c>
      <c r="H2376" s="168" t="s">
        <v>608</v>
      </c>
      <c r="I2376">
        <v>15001</v>
      </c>
    </row>
    <row r="2377" spans="1:9" x14ac:dyDescent="0.3">
      <c r="A2377">
        <v>107</v>
      </c>
      <c r="B2377" s="168" t="s">
        <v>175</v>
      </c>
      <c r="C2377" s="168" t="s">
        <v>176</v>
      </c>
      <c r="D2377">
        <v>3989.9</v>
      </c>
      <c r="E2377">
        <v>2021</v>
      </c>
      <c r="F2377" s="168" t="s">
        <v>591</v>
      </c>
      <c r="G2377" s="168" t="s">
        <v>612</v>
      </c>
      <c r="H2377" s="168" t="s">
        <v>608</v>
      </c>
      <c r="I2377">
        <v>17042.03</v>
      </c>
    </row>
    <row r="2378" spans="1:9" x14ac:dyDescent="0.3">
      <c r="A2378">
        <v>107</v>
      </c>
      <c r="B2378" s="168" t="s">
        <v>175</v>
      </c>
      <c r="C2378" s="168" t="s">
        <v>176</v>
      </c>
      <c r="D2378">
        <v>3989.9</v>
      </c>
      <c r="E2378">
        <v>2021</v>
      </c>
      <c r="F2378" s="168" t="s">
        <v>591</v>
      </c>
      <c r="G2378" s="168" t="s">
        <v>612</v>
      </c>
      <c r="H2378" s="168" t="s">
        <v>609</v>
      </c>
      <c r="I2378">
        <v>7303.73</v>
      </c>
    </row>
    <row r="2379" spans="1:9" x14ac:dyDescent="0.3">
      <c r="A2379">
        <v>108</v>
      </c>
      <c r="B2379" s="168" t="s">
        <v>177</v>
      </c>
      <c r="C2379" s="168" t="s">
        <v>178</v>
      </c>
      <c r="D2379">
        <v>1762.7</v>
      </c>
      <c r="E2379">
        <v>2021</v>
      </c>
      <c r="F2379" s="168" t="s">
        <v>593</v>
      </c>
      <c r="G2379" s="168" t="s">
        <v>621</v>
      </c>
      <c r="H2379" s="168" t="s">
        <v>609</v>
      </c>
      <c r="I2379">
        <v>7499994</v>
      </c>
    </row>
  </sheetData>
  <phoneticPr fontId="2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AY102"/>
  <sheetViews>
    <sheetView zoomScale="70" zoomScaleNormal="70" workbookViewId="0">
      <pane ySplit="2" topLeftCell="A87" activePane="bottomLeft" state="frozen"/>
      <selection pane="bottomLeft" activeCell="E103" sqref="E103"/>
    </sheetView>
  </sheetViews>
  <sheetFormatPr defaultColWidth="9.109375" defaultRowHeight="18" x14ac:dyDescent="0.3"/>
  <cols>
    <col min="1" max="1" width="7" style="32" customWidth="1"/>
    <col min="2" max="2" width="38.44140625" style="21" customWidth="1"/>
    <col min="3" max="3" width="49.5546875" style="21" customWidth="1"/>
    <col min="4" max="4" width="23.6640625" style="21" customWidth="1"/>
    <col min="5" max="5" width="25.33203125" style="21" customWidth="1"/>
    <col min="6" max="6" width="19.6640625" style="21" customWidth="1"/>
    <col min="7" max="7" width="20.109375" style="21" customWidth="1"/>
    <col min="8" max="9" width="18.33203125" style="21" customWidth="1"/>
    <col min="10" max="11" width="20.109375" style="21" customWidth="1"/>
    <col min="12" max="13" width="16" style="21" customWidth="1"/>
    <col min="14" max="14" width="11.5546875" style="21" customWidth="1"/>
    <col min="15" max="15" width="18.33203125" style="21" customWidth="1"/>
    <col min="16" max="16" width="13.44140625" style="21" customWidth="1"/>
    <col min="17" max="17" width="18.33203125" style="21" customWidth="1"/>
    <col min="18" max="18" width="11.88671875" style="21" customWidth="1"/>
    <col min="19" max="19" width="16" style="21" customWidth="1"/>
    <col min="20" max="21" width="18.33203125" style="21" customWidth="1"/>
    <col min="22" max="22" width="16" style="21" customWidth="1"/>
    <col min="23" max="25" width="18.33203125" style="21" customWidth="1"/>
    <col min="26" max="26" width="21.109375" style="21" customWidth="1"/>
    <col min="27" max="27" width="18.33203125" style="21" customWidth="1"/>
    <col min="28" max="29" width="16" style="21" customWidth="1"/>
    <col min="30" max="30" width="29.5546875" style="21" customWidth="1"/>
    <col min="31" max="31" width="20.5546875" style="21" customWidth="1"/>
    <col min="32" max="32" width="27.33203125" style="21" customWidth="1"/>
    <col min="33" max="33" width="30" style="21" customWidth="1"/>
    <col min="34" max="34" width="42.33203125" style="21" customWidth="1"/>
    <col min="35" max="35" width="26.33203125" style="21" customWidth="1"/>
    <col min="36" max="36" width="20.5546875" style="21" customWidth="1"/>
    <col min="37" max="37" width="26.109375" style="21" customWidth="1"/>
    <col min="38" max="38" width="55.109375" style="21" customWidth="1"/>
    <col min="39" max="39" width="33.88671875" style="21" customWidth="1"/>
    <col min="40" max="40" width="31.33203125" style="21" customWidth="1"/>
    <col min="41" max="41" width="18.44140625" style="21" customWidth="1"/>
    <col min="42" max="42" width="15.6640625" style="21" customWidth="1"/>
    <col min="43" max="43" width="18" style="21" customWidth="1"/>
    <col min="44" max="45" width="20.109375" style="21" customWidth="1"/>
    <col min="46" max="47" width="16" style="21" customWidth="1"/>
    <col min="48" max="48" width="16.6640625" style="21" customWidth="1"/>
    <col min="49" max="49" width="18.44140625" style="21" customWidth="1"/>
    <col min="50" max="50" width="16.33203125" style="21" customWidth="1"/>
    <col min="51" max="51" width="15" style="21" customWidth="1"/>
    <col min="52" max="16384" width="9.109375" style="21"/>
  </cols>
  <sheetData>
    <row r="1" spans="1:51" ht="37.5" customHeight="1" x14ac:dyDescent="0.3">
      <c r="A1" s="136" t="s">
        <v>0</v>
      </c>
      <c r="B1" s="138" t="s">
        <v>1</v>
      </c>
      <c r="C1" s="138" t="s">
        <v>2</v>
      </c>
      <c r="D1" s="138" t="s">
        <v>3</v>
      </c>
      <c r="E1" s="138" t="s">
        <v>208</v>
      </c>
      <c r="F1" s="135" t="s">
        <v>192</v>
      </c>
      <c r="G1" s="135"/>
      <c r="H1" s="135" t="s">
        <v>185</v>
      </c>
      <c r="I1" s="135"/>
      <c r="J1" s="135" t="s">
        <v>547</v>
      </c>
      <c r="K1" s="135"/>
      <c r="L1" s="140" t="s">
        <v>188</v>
      </c>
      <c r="M1" s="141"/>
      <c r="N1" s="140" t="s">
        <v>198</v>
      </c>
      <c r="O1" s="141"/>
      <c r="P1" s="135" t="s">
        <v>189</v>
      </c>
      <c r="Q1" s="135"/>
      <c r="R1" s="135" t="s">
        <v>202</v>
      </c>
      <c r="S1" s="135"/>
      <c r="T1" s="140" t="s">
        <v>190</v>
      </c>
      <c r="U1" s="141"/>
      <c r="V1" s="135" t="s">
        <v>201</v>
      </c>
      <c r="W1" s="135"/>
      <c r="X1" s="140" t="s">
        <v>191</v>
      </c>
      <c r="Y1" s="141"/>
      <c r="Z1" s="135" t="s">
        <v>193</v>
      </c>
      <c r="AA1" s="135"/>
      <c r="AB1" s="135" t="s">
        <v>194</v>
      </c>
      <c r="AC1" s="135"/>
      <c r="AD1" s="135" t="s">
        <v>195</v>
      </c>
      <c r="AE1" s="135"/>
      <c r="AF1" s="135" t="s">
        <v>292</v>
      </c>
      <c r="AG1" s="135"/>
      <c r="AH1" s="135" t="s">
        <v>206</v>
      </c>
      <c r="AI1" s="135"/>
      <c r="AJ1" s="135" t="s">
        <v>197</v>
      </c>
      <c r="AK1" s="135"/>
      <c r="AL1" s="135" t="s">
        <v>199</v>
      </c>
      <c r="AM1" s="135"/>
      <c r="AN1" s="135" t="s">
        <v>200</v>
      </c>
      <c r="AO1" s="135"/>
      <c r="AP1" s="140" t="s">
        <v>203</v>
      </c>
      <c r="AQ1" s="141"/>
      <c r="AR1" s="135" t="s">
        <v>204</v>
      </c>
      <c r="AS1" s="135"/>
      <c r="AT1" s="135" t="s">
        <v>205</v>
      </c>
      <c r="AU1" s="135"/>
      <c r="AV1" s="153" t="s">
        <v>290</v>
      </c>
      <c r="AW1" s="157"/>
      <c r="AX1" s="140" t="s">
        <v>289</v>
      </c>
      <c r="AY1" s="141"/>
    </row>
    <row r="2" spans="1:51" ht="18.75" customHeight="1" x14ac:dyDescent="0.3">
      <c r="A2" s="137"/>
      <c r="B2" s="139"/>
      <c r="C2" s="139"/>
      <c r="D2" s="139"/>
      <c r="E2" s="139"/>
      <c r="F2" s="95" t="s">
        <v>186</v>
      </c>
      <c r="G2" s="95" t="s">
        <v>187</v>
      </c>
      <c r="H2" s="95" t="s">
        <v>186</v>
      </c>
      <c r="I2" s="95" t="s">
        <v>187</v>
      </c>
      <c r="J2" s="95" t="s">
        <v>186</v>
      </c>
      <c r="K2" s="95" t="s">
        <v>187</v>
      </c>
      <c r="L2" s="95" t="s">
        <v>186</v>
      </c>
      <c r="M2" s="95" t="s">
        <v>187</v>
      </c>
      <c r="N2" s="95" t="s">
        <v>186</v>
      </c>
      <c r="O2" s="95" t="s">
        <v>187</v>
      </c>
      <c r="P2" s="95" t="s">
        <v>186</v>
      </c>
      <c r="Q2" s="95" t="s">
        <v>187</v>
      </c>
      <c r="R2" s="95" t="s">
        <v>186</v>
      </c>
      <c r="S2" s="95" t="s">
        <v>187</v>
      </c>
      <c r="T2" s="95" t="s">
        <v>186</v>
      </c>
      <c r="U2" s="95" t="s">
        <v>187</v>
      </c>
      <c r="V2" s="95" t="s">
        <v>186</v>
      </c>
      <c r="W2" s="95" t="s">
        <v>187</v>
      </c>
      <c r="X2" s="95" t="s">
        <v>186</v>
      </c>
      <c r="Y2" s="95" t="s">
        <v>187</v>
      </c>
      <c r="Z2" s="95" t="s">
        <v>186</v>
      </c>
      <c r="AA2" s="95" t="s">
        <v>187</v>
      </c>
      <c r="AB2" s="95" t="s">
        <v>186</v>
      </c>
      <c r="AC2" s="95" t="s">
        <v>187</v>
      </c>
      <c r="AD2" s="95" t="s">
        <v>186</v>
      </c>
      <c r="AE2" s="95" t="s">
        <v>187</v>
      </c>
      <c r="AF2" s="95" t="s">
        <v>186</v>
      </c>
      <c r="AG2" s="95" t="s">
        <v>187</v>
      </c>
      <c r="AH2" s="95" t="s">
        <v>186</v>
      </c>
      <c r="AI2" s="95" t="s">
        <v>187</v>
      </c>
      <c r="AJ2" s="95" t="s">
        <v>186</v>
      </c>
      <c r="AK2" s="95" t="s">
        <v>187</v>
      </c>
      <c r="AL2" s="95" t="s">
        <v>186</v>
      </c>
      <c r="AM2" s="95" t="s">
        <v>187</v>
      </c>
      <c r="AN2" s="95" t="s">
        <v>186</v>
      </c>
      <c r="AO2" s="95" t="s">
        <v>187</v>
      </c>
      <c r="AP2" s="95" t="s">
        <v>186</v>
      </c>
      <c r="AQ2" s="95" t="s">
        <v>187</v>
      </c>
      <c r="AR2" s="95" t="s">
        <v>186</v>
      </c>
      <c r="AS2" s="95" t="s">
        <v>187</v>
      </c>
      <c r="AT2" s="95" t="s">
        <v>186</v>
      </c>
      <c r="AU2" s="95" t="s">
        <v>187</v>
      </c>
      <c r="AV2" s="95" t="s">
        <v>186</v>
      </c>
      <c r="AW2" s="95" t="s">
        <v>187</v>
      </c>
      <c r="AX2" s="95" t="s">
        <v>186</v>
      </c>
      <c r="AY2" s="95" t="s">
        <v>187</v>
      </c>
    </row>
    <row r="3" spans="1:51" ht="18.75" customHeight="1" x14ac:dyDescent="0.3">
      <c r="A3" s="96"/>
      <c r="B3" s="98" t="s">
        <v>295</v>
      </c>
      <c r="C3" s="98"/>
      <c r="D3" s="98"/>
      <c r="E3" s="98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</row>
    <row r="4" spans="1:51" ht="37.5" customHeight="1" x14ac:dyDescent="0.3">
      <c r="A4" s="23" t="s">
        <v>298</v>
      </c>
      <c r="B4" s="95" t="s">
        <v>27</v>
      </c>
      <c r="C4" s="95" t="s">
        <v>28</v>
      </c>
      <c r="D4" s="95">
        <v>4528.3999999999996</v>
      </c>
      <c r="E4" s="24">
        <f t="shared" ref="E4:E29" si="0">SUM(F4:AU4)</f>
        <v>1619086.2866281325</v>
      </c>
      <c r="F4" s="95">
        <v>73451.22121333034</v>
      </c>
      <c r="G4" s="95">
        <f>22533.046706214+207622.118140006+306421.563099132+7147.77283202323</f>
        <v>543724.50077737519</v>
      </c>
      <c r="H4" s="95">
        <v>25207.001450053856</v>
      </c>
      <c r="I4" s="95">
        <v>27072.319557357841</v>
      </c>
      <c r="J4" s="95">
        <v>0</v>
      </c>
      <c r="K4" s="95">
        <v>2980.1011310491226</v>
      </c>
      <c r="L4" s="95">
        <v>0</v>
      </c>
      <c r="M4" s="95">
        <f>6352.16436541357+5073.98</f>
        <v>11426.144365413569</v>
      </c>
      <c r="N4" s="95">
        <v>0</v>
      </c>
      <c r="O4" s="95">
        <v>41000</v>
      </c>
      <c r="P4" s="95">
        <v>0</v>
      </c>
      <c r="Q4" s="95">
        <v>16000</v>
      </c>
      <c r="R4" s="95">
        <v>0</v>
      </c>
      <c r="S4" s="95">
        <v>6545.454545454545</v>
      </c>
      <c r="T4" s="95">
        <v>20379.761552049386</v>
      </c>
      <c r="U4" s="95">
        <v>2207.8075014720166</v>
      </c>
      <c r="V4" s="95">
        <v>24515.383921320943</v>
      </c>
      <c r="W4" s="95">
        <v>11810.956371103519</v>
      </c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>
        <v>0</v>
      </c>
      <c r="AI4" s="95">
        <f>885+6125</f>
        <v>7010</v>
      </c>
      <c r="AJ4" s="95">
        <v>0</v>
      </c>
      <c r="AK4" s="95">
        <v>460983.03281321691</v>
      </c>
      <c r="AL4" s="95"/>
      <c r="AM4" s="95"/>
      <c r="AN4" s="95"/>
      <c r="AO4" s="95"/>
      <c r="AP4" s="95"/>
      <c r="AQ4" s="95"/>
      <c r="AR4" s="95">
        <v>12823.061348737769</v>
      </c>
      <c r="AS4" s="95">
        <v>281466.19660479401</v>
      </c>
      <c r="AT4" s="95">
        <v>50483.343475403446</v>
      </c>
      <c r="AU4" s="95">
        <v>0</v>
      </c>
      <c r="AV4" s="95"/>
      <c r="AW4" s="95"/>
      <c r="AX4" s="95"/>
      <c r="AY4" s="95"/>
    </row>
    <row r="5" spans="1:51" ht="37.5" customHeight="1" x14ac:dyDescent="0.3">
      <c r="A5" s="23" t="s">
        <v>299</v>
      </c>
      <c r="B5" s="95" t="s">
        <v>27</v>
      </c>
      <c r="C5" s="95" t="s">
        <v>29</v>
      </c>
      <c r="D5" s="95">
        <v>4779.7</v>
      </c>
      <c r="E5" s="24">
        <f t="shared" si="0"/>
        <v>1123806.2552423037</v>
      </c>
      <c r="F5" s="95">
        <v>77527.339023353736</v>
      </c>
      <c r="G5" s="95">
        <f>23783.5004287809+219143.944455831+323426.186985452+7544.43286927424</f>
        <v>573898.06473933824</v>
      </c>
      <c r="H5" s="95">
        <v>26605.844190182495</v>
      </c>
      <c r="I5" s="95">
        <v>28574.676660256002</v>
      </c>
      <c r="J5" s="95"/>
      <c r="K5" s="95"/>
      <c r="L5" s="95">
        <v>0</v>
      </c>
      <c r="M5" s="95">
        <v>6704.6727359259885</v>
      </c>
      <c r="N5" s="95"/>
      <c r="O5" s="95"/>
      <c r="P5" s="95"/>
      <c r="Q5" s="95"/>
      <c r="R5" s="95">
        <v>0</v>
      </c>
      <c r="S5" s="95">
        <v>3272.7272727272725</v>
      </c>
      <c r="T5" s="95">
        <v>21510.720406839158</v>
      </c>
      <c r="U5" s="95">
        <v>2330.3280440742424</v>
      </c>
      <c r="V5" s="95">
        <v>0</v>
      </c>
      <c r="W5" s="95">
        <v>12466.396114955282</v>
      </c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>
        <v>0</v>
      </c>
      <c r="AI5" s="95">
        <f>885+6125</f>
        <v>7010</v>
      </c>
      <c r="AJ5" s="95"/>
      <c r="AK5" s="95"/>
      <c r="AL5" s="95"/>
      <c r="AM5" s="95"/>
      <c r="AN5" s="95"/>
      <c r="AO5" s="95"/>
      <c r="AP5" s="95"/>
      <c r="AQ5" s="95"/>
      <c r="AR5" s="95">
        <v>13534.667063104391</v>
      </c>
      <c r="AS5" s="95">
        <v>297085.9420351414</v>
      </c>
      <c r="AT5" s="95">
        <v>53284.876956405322</v>
      </c>
      <c r="AU5" s="95">
        <v>0</v>
      </c>
      <c r="AV5" s="95"/>
      <c r="AW5" s="95"/>
      <c r="AX5" s="95"/>
      <c r="AY5" s="95"/>
    </row>
    <row r="6" spans="1:51" ht="37.5" customHeight="1" x14ac:dyDescent="0.3">
      <c r="A6" s="23" t="s">
        <v>300</v>
      </c>
      <c r="B6" s="95" t="s">
        <v>32</v>
      </c>
      <c r="C6" s="95" t="s">
        <v>33</v>
      </c>
      <c r="D6" s="95">
        <v>4394.6000000000004</v>
      </c>
      <c r="E6" s="24">
        <f t="shared" si="0"/>
        <v>989550.44883426174</v>
      </c>
      <c r="F6" s="95">
        <v>71280.968276676431</v>
      </c>
      <c r="G6" s="95">
        <f>21867.2659339123+201487.536520199+297367.768129018+6936.57859014427</f>
        <v>527659.14917327359</v>
      </c>
      <c r="H6" s="95">
        <v>24462.213711776054</v>
      </c>
      <c r="I6" s="95">
        <v>26272.417526447483</v>
      </c>
      <c r="J6" s="95">
        <v>0</v>
      </c>
      <c r="K6" s="95">
        <v>29471.110816279146</v>
      </c>
      <c r="L6" s="95">
        <v>0</v>
      </c>
      <c r="M6" s="95">
        <f>6164.47785536757+3911.47</f>
        <v>10075.947855367569</v>
      </c>
      <c r="N6" s="95"/>
      <c r="O6" s="95"/>
      <c r="P6" s="95"/>
      <c r="Q6" s="95"/>
      <c r="R6" s="95">
        <v>0</v>
      </c>
      <c r="S6" s="95">
        <v>3272.7272727272725</v>
      </c>
      <c r="T6" s="95"/>
      <c r="U6" s="95"/>
      <c r="V6" s="95">
        <v>0</v>
      </c>
      <c r="W6" s="95">
        <v>11461.97969888957</v>
      </c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>
        <v>12444.180152628524</v>
      </c>
      <c r="AS6" s="95">
        <v>273149.7543501961</v>
      </c>
      <c r="AT6" s="95"/>
      <c r="AU6" s="95"/>
      <c r="AV6" s="95"/>
      <c r="AW6" s="95"/>
      <c r="AX6" s="95"/>
      <c r="AY6" s="95"/>
    </row>
    <row r="7" spans="1:51" ht="37.5" customHeight="1" x14ac:dyDescent="0.3">
      <c r="A7" s="23" t="s">
        <v>301</v>
      </c>
      <c r="B7" s="95" t="s">
        <v>37</v>
      </c>
      <c r="C7" s="95" t="s">
        <v>38</v>
      </c>
      <c r="D7" s="95">
        <v>4151.6000000000004</v>
      </c>
      <c r="E7" s="24">
        <f t="shared" si="0"/>
        <v>597449.7480775658</v>
      </c>
      <c r="F7" s="95"/>
      <c r="G7" s="95"/>
      <c r="H7" s="95">
        <v>23109.572303693047</v>
      </c>
      <c r="I7" s="95">
        <v>24819.680654166332</v>
      </c>
      <c r="J7" s="95">
        <v>0</v>
      </c>
      <c r="K7" s="95">
        <v>249914.07811507981</v>
      </c>
      <c r="L7" s="95">
        <v>0</v>
      </c>
      <c r="M7" s="95">
        <v>5823.6122205306483</v>
      </c>
      <c r="N7" s="95"/>
      <c r="O7" s="95"/>
      <c r="P7" s="95"/>
      <c r="Q7" s="95"/>
      <c r="R7" s="95">
        <v>0</v>
      </c>
      <c r="S7" s="95">
        <v>3272.7272727272725</v>
      </c>
      <c r="T7" s="95">
        <v>18683.998334839733</v>
      </c>
      <c r="U7" s="95">
        <v>2024.0998196076375</v>
      </c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>
        <v>11756.077531891999</v>
      </c>
      <c r="AS7" s="95">
        <v>258045.90182502937</v>
      </c>
      <c r="AT7" s="95"/>
      <c r="AU7" s="95"/>
      <c r="AV7" s="95"/>
      <c r="AW7" s="95"/>
      <c r="AX7" s="95"/>
      <c r="AY7" s="95"/>
    </row>
    <row r="8" spans="1:51" ht="37.5" customHeight="1" x14ac:dyDescent="0.3">
      <c r="A8" s="23" t="s">
        <v>302</v>
      </c>
      <c r="B8" s="95" t="s">
        <v>27</v>
      </c>
      <c r="C8" s="95" t="s">
        <v>42</v>
      </c>
      <c r="D8" s="95">
        <v>11233.4</v>
      </c>
      <c r="E8" s="24">
        <f t="shared" si="0"/>
        <v>4205787.0735264393</v>
      </c>
      <c r="F8" s="95">
        <v>182207.16994475399</v>
      </c>
      <c r="G8" s="95">
        <f>515038.932495791+960353.783260417+88243.32+17731.1614104871</f>
        <v>1581367.1971666953</v>
      </c>
      <c r="H8" s="95">
        <v>62529.884747159034</v>
      </c>
      <c r="I8" s="95">
        <v>67157.096218448802</v>
      </c>
      <c r="J8" s="95">
        <v>0</v>
      </c>
      <c r="K8" s="95">
        <f>45000+40643.7408869283</f>
        <v>85643.74088692831</v>
      </c>
      <c r="L8" s="95">
        <v>0</v>
      </c>
      <c r="M8" s="95">
        <f>15757.5309562841+11621.81</f>
        <v>27379.340956284097</v>
      </c>
      <c r="N8" s="95">
        <v>0</v>
      </c>
      <c r="O8" s="95">
        <v>41000</v>
      </c>
      <c r="P8" s="95"/>
      <c r="Q8" s="95"/>
      <c r="R8" s="95">
        <v>0</v>
      </c>
      <c r="S8" s="95">
        <v>6545.454545454545</v>
      </c>
      <c r="T8" s="95">
        <v>50555.165934721219</v>
      </c>
      <c r="U8" s="95">
        <v>5476.8096429281322</v>
      </c>
      <c r="V8" s="95">
        <v>60814.219976540648</v>
      </c>
      <c r="W8" s="95">
        <v>29298.912927116478</v>
      </c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>
        <v>0</v>
      </c>
      <c r="AI8" s="95">
        <f>885+6125</f>
        <v>7010</v>
      </c>
      <c r="AJ8" s="95">
        <v>0</v>
      </c>
      <c r="AK8" s="95">
        <v>1143540.0584762811</v>
      </c>
      <c r="AL8" s="95"/>
      <c r="AM8" s="95"/>
      <c r="AN8" s="95"/>
      <c r="AO8" s="95"/>
      <c r="AP8" s="95"/>
      <c r="AQ8" s="95"/>
      <c r="AR8" s="95">
        <v>31809.596624615948</v>
      </c>
      <c r="AS8" s="95">
        <v>698220.64591032011</v>
      </c>
      <c r="AT8" s="95">
        <v>125231.77956819121</v>
      </c>
      <c r="AU8" s="95">
        <v>0</v>
      </c>
      <c r="AV8" s="95"/>
      <c r="AW8" s="95"/>
      <c r="AX8" s="95"/>
      <c r="AY8" s="95"/>
    </row>
    <row r="9" spans="1:51" ht="37.5" customHeight="1" x14ac:dyDescent="0.3">
      <c r="A9" s="23" t="s">
        <v>303</v>
      </c>
      <c r="B9" s="95" t="s">
        <v>43</v>
      </c>
      <c r="C9" s="95" t="s">
        <v>44</v>
      </c>
      <c r="D9" s="95">
        <v>235.9</v>
      </c>
      <c r="E9" s="24">
        <f t="shared" si="0"/>
        <v>73221.448658842521</v>
      </c>
      <c r="F9" s="95">
        <v>0</v>
      </c>
      <c r="G9" s="95">
        <f>20167.3097611705+372.352179815008</f>
        <v>20539.661940985508</v>
      </c>
      <c r="H9" s="95">
        <v>1313.1197866945731</v>
      </c>
      <c r="I9" s="95">
        <v>1410.2906509099714</v>
      </c>
      <c r="J9" s="95"/>
      <c r="K9" s="95"/>
      <c r="L9" s="95">
        <v>0</v>
      </c>
      <c r="M9" s="95">
        <v>330.90618624703245</v>
      </c>
      <c r="N9" s="95"/>
      <c r="O9" s="95"/>
      <c r="P9" s="95"/>
      <c r="Q9" s="95"/>
      <c r="R9" s="95">
        <v>0</v>
      </c>
      <c r="S9" s="95">
        <v>3272.7272727272725</v>
      </c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>
        <v>0</v>
      </c>
      <c r="AI9" s="95">
        <f>885+6125</f>
        <v>7010</v>
      </c>
      <c r="AJ9" s="95">
        <v>0</v>
      </c>
      <c r="AK9" s="95">
        <v>24014.198710502136</v>
      </c>
      <c r="AL9" s="95"/>
      <c r="AM9" s="95"/>
      <c r="AN9" s="95"/>
      <c r="AO9" s="95"/>
      <c r="AP9" s="95"/>
      <c r="AQ9" s="95"/>
      <c r="AR9" s="95">
        <v>667.99756473969614</v>
      </c>
      <c r="AS9" s="95">
        <v>14662.546546036332</v>
      </c>
      <c r="AT9" s="95"/>
      <c r="AU9" s="95"/>
      <c r="AV9" s="95"/>
      <c r="AW9" s="95"/>
      <c r="AX9" s="95"/>
      <c r="AY9" s="95"/>
    </row>
    <row r="10" spans="1:51" ht="37.5" customHeight="1" x14ac:dyDescent="0.3">
      <c r="A10" s="23" t="s">
        <v>304</v>
      </c>
      <c r="B10" s="95" t="s">
        <v>27</v>
      </c>
      <c r="C10" s="95" t="s">
        <v>59</v>
      </c>
      <c r="D10" s="95">
        <v>16237.4</v>
      </c>
      <c r="E10" s="24">
        <f t="shared" si="0"/>
        <v>12267885.421505038</v>
      </c>
      <c r="F10" s="95">
        <v>0</v>
      </c>
      <c r="G10" s="95">
        <f>120247+90298.2+2550000+67116.24</f>
        <v>2827661.4400000004</v>
      </c>
      <c r="H10" s="95"/>
      <c r="I10" s="95"/>
      <c r="J10" s="95">
        <v>0</v>
      </c>
      <c r="K10" s="95">
        <f>898500+5432962.95801644</f>
        <v>6331462.9580164403</v>
      </c>
      <c r="L10" s="95">
        <v>0</v>
      </c>
      <c r="M10" s="95">
        <v>25701.473755173123</v>
      </c>
      <c r="N10" s="95"/>
      <c r="O10" s="95"/>
      <c r="P10" s="95">
        <v>0</v>
      </c>
      <c r="Q10" s="95">
        <v>286599.05660377361</v>
      </c>
      <c r="R10" s="95">
        <v>0</v>
      </c>
      <c r="S10" s="95">
        <f>6545.45454545455+40000</f>
        <v>46545.454545454551</v>
      </c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>
        <v>0</v>
      </c>
      <c r="AS10" s="95">
        <v>2749915.0385841941</v>
      </c>
      <c r="AT10" s="95"/>
      <c r="AU10" s="95"/>
      <c r="AV10" s="95"/>
      <c r="AW10" s="95"/>
      <c r="AX10" s="95"/>
      <c r="AY10" s="95"/>
    </row>
    <row r="11" spans="1:51" ht="37.5" customHeight="1" x14ac:dyDescent="0.3">
      <c r="A11" s="23" t="s">
        <v>305</v>
      </c>
      <c r="B11" s="95" t="s">
        <v>60</v>
      </c>
      <c r="C11" s="95" t="s">
        <v>61</v>
      </c>
      <c r="D11" s="95">
        <v>3051</v>
      </c>
      <c r="E11" s="24">
        <f t="shared" si="0"/>
        <v>4438477.4308331525</v>
      </c>
      <c r="F11" s="95">
        <v>0</v>
      </c>
      <c r="G11" s="95">
        <f>22595+2550000</f>
        <v>2572595</v>
      </c>
      <c r="H11" s="95">
        <v>0</v>
      </c>
      <c r="I11" s="95">
        <v>184260</v>
      </c>
      <c r="J11" s="95">
        <v>0</v>
      </c>
      <c r="K11" s="95">
        <f>586396.181384248+247550.397169464</f>
        <v>833946.578553712</v>
      </c>
      <c r="L11" s="95">
        <v>0</v>
      </c>
      <c r="M11" s="95">
        <v>4799.23596936387</v>
      </c>
      <c r="N11" s="95"/>
      <c r="O11" s="95"/>
      <c r="P11" s="95">
        <v>0</v>
      </c>
      <c r="Q11" s="95">
        <v>36509.433962264156</v>
      </c>
      <c r="R11" s="95"/>
      <c r="S11" s="95"/>
      <c r="T11" s="95"/>
      <c r="U11" s="95"/>
      <c r="V11" s="95">
        <v>0</v>
      </c>
      <c r="W11" s="95">
        <v>36000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>
        <v>0</v>
      </c>
      <c r="AS11" s="95">
        <f>253659.41+516707.772347813</f>
        <v>770367.18234781304</v>
      </c>
      <c r="AT11" s="95"/>
      <c r="AU11" s="95"/>
      <c r="AV11" s="95"/>
      <c r="AW11" s="95"/>
      <c r="AX11" s="95"/>
      <c r="AY11" s="95"/>
    </row>
    <row r="12" spans="1:51" ht="37.5" customHeight="1" x14ac:dyDescent="0.3">
      <c r="A12" s="23" t="s">
        <v>306</v>
      </c>
      <c r="B12" s="95" t="s">
        <v>64</v>
      </c>
      <c r="C12" s="95" t="s">
        <v>65</v>
      </c>
      <c r="D12" s="95">
        <v>1779.1</v>
      </c>
      <c r="E12" s="24">
        <f t="shared" si="0"/>
        <v>1910993.9379249774</v>
      </c>
      <c r="F12" s="95">
        <v>0</v>
      </c>
      <c r="G12" s="95">
        <f>13175+637500</f>
        <v>650675</v>
      </c>
      <c r="H12" s="95">
        <v>0</v>
      </c>
      <c r="I12" s="95">
        <v>24900</v>
      </c>
      <c r="J12" s="95">
        <v>0</v>
      </c>
      <c r="K12" s="95">
        <f>193603.818615752+435791.13366536</f>
        <v>629394.95228111197</v>
      </c>
      <c r="L12" s="95">
        <v>0</v>
      </c>
      <c r="M12" s="95">
        <v>2810.6439954307971</v>
      </c>
      <c r="N12" s="95"/>
      <c r="O12" s="95"/>
      <c r="P12" s="95">
        <v>0</v>
      </c>
      <c r="Q12" s="95">
        <v>31033.018867924526</v>
      </c>
      <c r="R12" s="95">
        <v>0</v>
      </c>
      <c r="S12" s="95">
        <f>3272.72727272727+40000+3498</f>
        <v>46770.727272727272</v>
      </c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>
        <v>0</v>
      </c>
      <c r="AS12" s="95">
        <f>224106.810262292+301302.785245491</f>
        <v>525409.595507783</v>
      </c>
      <c r="AT12" s="95"/>
      <c r="AU12" s="95"/>
      <c r="AV12" s="95"/>
      <c r="AW12" s="95"/>
      <c r="AX12" s="95"/>
      <c r="AY12" s="95"/>
    </row>
    <row r="13" spans="1:51" ht="37.5" customHeight="1" x14ac:dyDescent="0.3">
      <c r="A13" s="23" t="s">
        <v>307</v>
      </c>
      <c r="B13" s="95" t="s">
        <v>37</v>
      </c>
      <c r="C13" s="95" t="s">
        <v>69</v>
      </c>
      <c r="D13" s="95">
        <v>912.3</v>
      </c>
      <c r="E13" s="24">
        <f t="shared" si="0"/>
        <v>759261.14424041065</v>
      </c>
      <c r="F13" s="95">
        <v>173196.60578167695</v>
      </c>
      <c r="G13" s="95">
        <v>73758.511228452247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>
        <v>0</v>
      </c>
      <c r="U13" s="95">
        <v>448541.66666666669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>
        <v>0</v>
      </c>
      <c r="AK13" s="95">
        <v>63764.36056361474</v>
      </c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</row>
    <row r="14" spans="1:51" ht="37.5" customHeight="1" x14ac:dyDescent="0.3">
      <c r="A14" s="23" t="s">
        <v>308</v>
      </c>
      <c r="B14" s="95" t="s">
        <v>37</v>
      </c>
      <c r="C14" s="95" t="s">
        <v>70</v>
      </c>
      <c r="D14" s="95">
        <v>1610.7</v>
      </c>
      <c r="E14" s="24">
        <f t="shared" si="0"/>
        <v>997820.27022693108</v>
      </c>
      <c r="F14" s="95">
        <v>305785.12872141518</v>
      </c>
      <c r="G14" s="95">
        <v>130223.42873579748</v>
      </c>
      <c r="H14" s="95">
        <v>0</v>
      </c>
      <c r="I14" s="95">
        <v>90400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>
        <v>0</v>
      </c>
      <c r="U14" s="95">
        <v>358833.33333333331</v>
      </c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>
        <v>0</v>
      </c>
      <c r="AK14" s="95">
        <v>112578.37943638526</v>
      </c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</row>
    <row r="15" spans="1:51" ht="37.5" customHeight="1" x14ac:dyDescent="0.3">
      <c r="A15" s="23" t="s">
        <v>309</v>
      </c>
      <c r="B15" s="19" t="s">
        <v>71</v>
      </c>
      <c r="C15" s="19" t="s">
        <v>72</v>
      </c>
      <c r="D15" s="19">
        <v>18956.5</v>
      </c>
      <c r="E15" s="24">
        <f t="shared" si="0"/>
        <v>7376624.3519296702</v>
      </c>
      <c r="F15" s="95">
        <v>172563.66824289903</v>
      </c>
      <c r="G15" s="95">
        <v>0</v>
      </c>
      <c r="H15" s="95"/>
      <c r="I15" s="95"/>
      <c r="J15" s="95">
        <v>0</v>
      </c>
      <c r="K15" s="95">
        <f>1190250+290000</f>
        <v>1480250</v>
      </c>
      <c r="L15" s="95">
        <v>12803.821878744808</v>
      </c>
      <c r="M15" s="95">
        <f>9602.86640905861+4838.83</f>
        <v>14441.69640905861</v>
      </c>
      <c r="N15" s="95">
        <v>0</v>
      </c>
      <c r="O15" s="95">
        <v>42606.741573033709</v>
      </c>
      <c r="P15" s="95">
        <v>0</v>
      </c>
      <c r="Q15" s="95">
        <v>299000</v>
      </c>
      <c r="R15" s="95">
        <v>0</v>
      </c>
      <c r="S15" s="95">
        <f>298248+13090.9090909091</f>
        <v>311338.90909090912</v>
      </c>
      <c r="T15" s="95">
        <v>452096.1080645161</v>
      </c>
      <c r="U15" s="95">
        <v>0</v>
      </c>
      <c r="V15" s="95">
        <v>0</v>
      </c>
      <c r="W15" s="95">
        <f>214920+127805.309734513</f>
        <v>342725.30973451299</v>
      </c>
      <c r="X15" s="95">
        <f>22634.6153846154+75000</f>
        <v>97634.615384615405</v>
      </c>
      <c r="Y15" s="95">
        <v>71020.782500000001</v>
      </c>
      <c r="Z15" s="95">
        <v>0</v>
      </c>
      <c r="AA15" s="95">
        <v>101498</v>
      </c>
      <c r="AB15" s="95"/>
      <c r="AC15" s="95"/>
      <c r="AD15" s="95">
        <v>0</v>
      </c>
      <c r="AE15" s="95">
        <v>22609.756097560974</v>
      </c>
      <c r="AF15" s="95">
        <f>283421.594851658+71208.0866684964</f>
        <v>354629.68152015435</v>
      </c>
      <c r="AG15" s="95">
        <f>301856.48278464+71208.0866684964</f>
        <v>373064.56945313641</v>
      </c>
      <c r="AH15" s="95">
        <v>0</v>
      </c>
      <c r="AI15" s="95">
        <f>79230.2363895622+7928.70377728609</f>
        <v>87158.94016684829</v>
      </c>
      <c r="AJ15" s="95">
        <v>0</v>
      </c>
      <c r="AK15" s="95">
        <f>892546.67+295000</f>
        <v>1187546.67</v>
      </c>
      <c r="AL15" s="95"/>
      <c r="AM15" s="95"/>
      <c r="AN15" s="95"/>
      <c r="AO15" s="95"/>
      <c r="AP15" s="95">
        <v>0</v>
      </c>
      <c r="AQ15" s="95">
        <v>59500</v>
      </c>
      <c r="AR15" s="95">
        <f>715571.770925683+627767.380857879</f>
        <v>1343339.1517835618</v>
      </c>
      <c r="AS15" s="95">
        <f>145239.601350936+402503.519388708</f>
        <v>547743.12073964393</v>
      </c>
      <c r="AT15" s="95">
        <v>3052.8092904743239</v>
      </c>
      <c r="AU15" s="95">
        <v>0</v>
      </c>
      <c r="AV15" s="95"/>
      <c r="AW15" s="95"/>
      <c r="AX15" s="95"/>
      <c r="AY15" s="95"/>
    </row>
    <row r="16" spans="1:51" ht="37.5" customHeight="1" x14ac:dyDescent="0.3">
      <c r="A16" s="23" t="s">
        <v>310</v>
      </c>
      <c r="B16" s="19" t="s">
        <v>73</v>
      </c>
      <c r="C16" s="19" t="s">
        <v>74</v>
      </c>
      <c r="D16" s="19">
        <v>2378.5</v>
      </c>
      <c r="E16" s="24">
        <f t="shared" si="0"/>
        <v>2022801.0633419217</v>
      </c>
      <c r="F16" s="95">
        <v>21651.817841676224</v>
      </c>
      <c r="G16" s="95">
        <v>61304.34782608696</v>
      </c>
      <c r="H16" s="95">
        <v>0</v>
      </c>
      <c r="I16" s="95">
        <v>45200</v>
      </c>
      <c r="J16" s="95"/>
      <c r="K16" s="95"/>
      <c r="L16" s="95">
        <v>1606.5144060662321</v>
      </c>
      <c r="M16" s="95">
        <f>1204.88580454967+3312</f>
        <v>4516.88580454967</v>
      </c>
      <c r="N16" s="95"/>
      <c r="O16" s="95"/>
      <c r="P16" s="95">
        <v>0</v>
      </c>
      <c r="Q16" s="95">
        <v>318000</v>
      </c>
      <c r="R16" s="95">
        <v>0</v>
      </c>
      <c r="S16" s="95">
        <v>6545.454545454545</v>
      </c>
      <c r="T16" s="95">
        <v>388226.92720235052</v>
      </c>
      <c r="U16" s="95">
        <v>712071.02179032797</v>
      </c>
      <c r="V16" s="95"/>
      <c r="W16" s="95"/>
      <c r="X16" s="95"/>
      <c r="Y16" s="95"/>
      <c r="Z16" s="95">
        <v>0</v>
      </c>
      <c r="AA16" s="95">
        <v>101498</v>
      </c>
      <c r="AB16" s="95"/>
      <c r="AC16" s="95"/>
      <c r="AD16" s="95">
        <v>0</v>
      </c>
      <c r="AE16" s="95">
        <v>7536.5853658536589</v>
      </c>
      <c r="AF16" s="95">
        <v>35561.325316100985</v>
      </c>
      <c r="AG16" s="95">
        <v>37874.377881110282</v>
      </c>
      <c r="AH16" s="95">
        <v>0</v>
      </c>
      <c r="AI16" s="95">
        <v>994.82615114999976</v>
      </c>
      <c r="AJ16" s="95"/>
      <c r="AK16" s="95"/>
      <c r="AL16" s="95"/>
      <c r="AM16" s="95"/>
      <c r="AN16" s="95"/>
      <c r="AO16" s="95"/>
      <c r="AP16" s="95">
        <v>0</v>
      </c>
      <c r="AQ16" s="95">
        <v>10500</v>
      </c>
      <c r="AR16" s="95">
        <f>89783.8449685721+78766.8987086469</f>
        <v>168550.743677219</v>
      </c>
      <c r="AS16" s="95">
        <f>18223.4268885713+50502.7099341146</f>
        <v>68726.136822685905</v>
      </c>
      <c r="AT16" s="95">
        <v>32436.098711289691</v>
      </c>
      <c r="AU16" s="95">
        <v>0</v>
      </c>
      <c r="AV16" s="95"/>
      <c r="AW16" s="95"/>
      <c r="AX16" s="95"/>
      <c r="AY16" s="95"/>
    </row>
    <row r="17" spans="1:51" ht="37.5" customHeight="1" x14ac:dyDescent="0.3">
      <c r="A17" s="23" t="s">
        <v>311</v>
      </c>
      <c r="B17" s="19" t="s">
        <v>75</v>
      </c>
      <c r="C17" s="19" t="s">
        <v>76</v>
      </c>
      <c r="D17" s="19">
        <v>6733.6</v>
      </c>
      <c r="E17" s="24">
        <f t="shared" si="0"/>
        <v>3474215.3360854629</v>
      </c>
      <c r="F17" s="95">
        <v>1812328.73</v>
      </c>
      <c r="G17" s="95">
        <v>776712.31</v>
      </c>
      <c r="H17" s="95"/>
      <c r="I17" s="95"/>
      <c r="J17" s="95">
        <v>0</v>
      </c>
      <c r="K17" s="95">
        <v>148998.18322167807</v>
      </c>
      <c r="L17" s="95">
        <v>4548.0871997845616</v>
      </c>
      <c r="M17" s="95">
        <v>3411.0653998384214</v>
      </c>
      <c r="N17" s="95">
        <v>0</v>
      </c>
      <c r="O17" s="95">
        <v>15977.528089887641</v>
      </c>
      <c r="P17" s="95"/>
      <c r="Q17" s="95"/>
      <c r="R17" s="95">
        <v>0</v>
      </c>
      <c r="S17" s="95">
        <v>6545.454545454545</v>
      </c>
      <c r="T17" s="95"/>
      <c r="U17" s="95"/>
      <c r="V17" s="95"/>
      <c r="W17" s="95"/>
      <c r="X17" s="95">
        <f>20576.9230769231+75000</f>
        <v>95576.923076923093</v>
      </c>
      <c r="Y17" s="95">
        <v>71020.782500000001</v>
      </c>
      <c r="Z17" s="95"/>
      <c r="AA17" s="95"/>
      <c r="AB17" s="95"/>
      <c r="AC17" s="95"/>
      <c r="AD17" s="95">
        <v>0</v>
      </c>
      <c r="AE17" s="95">
        <v>22609.756097560974</v>
      </c>
      <c r="AF17" s="95">
        <v>100675.10622177742</v>
      </c>
      <c r="AG17" s="95">
        <v>107223.42270348717</v>
      </c>
      <c r="AH17" s="95">
        <v>0</v>
      </c>
      <c r="AI17" s="95">
        <v>2816.3806480486182</v>
      </c>
      <c r="AJ17" s="95"/>
      <c r="AK17" s="95"/>
      <c r="AL17" s="95"/>
      <c r="AM17" s="95"/>
      <c r="AN17" s="95"/>
      <c r="AO17" s="95"/>
      <c r="AP17" s="95"/>
      <c r="AQ17" s="95"/>
      <c r="AR17" s="95">
        <v>254180.5753543734</v>
      </c>
      <c r="AS17" s="95">
        <v>51591.031026648598</v>
      </c>
      <c r="AT17" s="95"/>
      <c r="AU17" s="95"/>
      <c r="AV17" s="95"/>
      <c r="AW17" s="95"/>
      <c r="AX17" s="95"/>
      <c r="AY17" s="95"/>
    </row>
    <row r="18" spans="1:51" ht="37.5" customHeight="1" x14ac:dyDescent="0.3">
      <c r="A18" s="23" t="s">
        <v>312</v>
      </c>
      <c r="B18" s="19" t="s">
        <v>77</v>
      </c>
      <c r="C18" s="19" t="s">
        <v>78</v>
      </c>
      <c r="D18" s="19">
        <v>1557</v>
      </c>
      <c r="E18" s="24">
        <f t="shared" si="0"/>
        <v>361065.35272919619</v>
      </c>
      <c r="F18" s="95">
        <v>14173.588555598013</v>
      </c>
      <c r="G18" s="95">
        <v>0</v>
      </c>
      <c r="H18" s="95"/>
      <c r="I18" s="95"/>
      <c r="J18" s="95"/>
      <c r="K18" s="95"/>
      <c r="L18" s="95">
        <v>1051.6472273471193</v>
      </c>
      <c r="M18" s="95">
        <v>788.73542051033951</v>
      </c>
      <c r="N18" s="95">
        <v>0</v>
      </c>
      <c r="O18" s="95">
        <v>111842.69662921347</v>
      </c>
      <c r="P18" s="95"/>
      <c r="Q18" s="95"/>
      <c r="R18" s="95">
        <v>0</v>
      </c>
      <c r="S18" s="95">
        <v>6545.454545454545</v>
      </c>
      <c r="T18" s="95">
        <v>96190.661290322576</v>
      </c>
      <c r="U18" s="95">
        <v>0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>
        <f>23278.9503961191+5848.7057707303</f>
        <v>29127.6561668494</v>
      </c>
      <c r="AG18" s="95">
        <f>24793.1075723728+5848.7057707303</f>
        <v>30641.813343103098</v>
      </c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>
        <v>58773.784576862206</v>
      </c>
      <c r="AS18" s="95">
        <v>11929.314973935467</v>
      </c>
      <c r="AT18" s="95"/>
      <c r="AU18" s="95"/>
      <c r="AV18" s="95"/>
      <c r="AW18" s="95"/>
      <c r="AX18" s="95"/>
      <c r="AY18" s="95"/>
    </row>
    <row r="19" spans="1:51" ht="37.5" customHeight="1" x14ac:dyDescent="0.3">
      <c r="A19" s="23" t="s">
        <v>313</v>
      </c>
      <c r="B19" s="19" t="s">
        <v>79</v>
      </c>
      <c r="C19" s="19" t="s">
        <v>80</v>
      </c>
      <c r="D19" s="19">
        <v>5057.3</v>
      </c>
      <c r="E19" s="24">
        <f t="shared" si="0"/>
        <v>3621228.7780256099</v>
      </c>
      <c r="F19" s="95">
        <v>46037.308543497646</v>
      </c>
      <c r="G19" s="95">
        <v>0</v>
      </c>
      <c r="H19" s="95"/>
      <c r="I19" s="95"/>
      <c r="J19" s="95"/>
      <c r="K19" s="95"/>
      <c r="L19" s="95">
        <v>3415.8609652296641</v>
      </c>
      <c r="M19" s="95">
        <v>2561.8957239222477</v>
      </c>
      <c r="N19" s="95"/>
      <c r="O19" s="95"/>
      <c r="P19" s="95"/>
      <c r="Q19" s="95"/>
      <c r="R19" s="95">
        <v>0</v>
      </c>
      <c r="S19" s="95">
        <v>6545.454545454545</v>
      </c>
      <c r="T19" s="95">
        <v>38476.264516129027</v>
      </c>
      <c r="U19" s="95">
        <v>0</v>
      </c>
      <c r="V19" s="95"/>
      <c r="W19" s="95"/>
      <c r="X19" s="95"/>
      <c r="Y19" s="95"/>
      <c r="Z19" s="95">
        <v>0</v>
      </c>
      <c r="AA19" s="95">
        <v>101498</v>
      </c>
      <c r="AB19" s="95"/>
      <c r="AC19" s="95"/>
      <c r="AD19" s="95"/>
      <c r="AE19" s="95"/>
      <c r="AF19" s="95">
        <f>75612.4828762319+18997.212391981</f>
        <v>94609.69526821289</v>
      </c>
      <c r="AG19" s="95">
        <f>80530.6248720366+18997.212391981</f>
        <v>99527.837264017595</v>
      </c>
      <c r="AH19" s="95"/>
      <c r="AI19" s="95"/>
      <c r="AJ19" s="95">
        <v>0</v>
      </c>
      <c r="AK19" s="95">
        <v>2724045.06</v>
      </c>
      <c r="AL19" s="95"/>
      <c r="AM19" s="95"/>
      <c r="AN19" s="95"/>
      <c r="AO19" s="95"/>
      <c r="AP19" s="95"/>
      <c r="AQ19" s="95"/>
      <c r="AR19" s="95">
        <f>190903.442993298+167478.594424738</f>
        <v>358382.03741803602</v>
      </c>
      <c r="AS19" s="95">
        <f>38747.6715592061+107381.692221904</f>
        <v>146129.36378111009</v>
      </c>
      <c r="AT19" s="95"/>
      <c r="AU19" s="95"/>
      <c r="AV19" s="95"/>
      <c r="AW19" s="95"/>
      <c r="AX19" s="95"/>
      <c r="AY19" s="95"/>
    </row>
    <row r="20" spans="1:51" ht="37.5" customHeight="1" x14ac:dyDescent="0.3">
      <c r="A20" s="23" t="s">
        <v>517</v>
      </c>
      <c r="B20" s="19" t="s">
        <v>81</v>
      </c>
      <c r="C20" s="19" t="s">
        <v>82</v>
      </c>
      <c r="D20" s="19">
        <v>286.89999999999998</v>
      </c>
      <c r="E20" s="24">
        <f t="shared" si="0"/>
        <v>2950.8081812918272</v>
      </c>
      <c r="F20" s="95">
        <v>2611.6907877977328</v>
      </c>
      <c r="G20" s="95">
        <v>0</v>
      </c>
      <c r="H20" s="95"/>
      <c r="I20" s="95"/>
      <c r="J20" s="95"/>
      <c r="K20" s="95"/>
      <c r="L20" s="95">
        <v>193.78136771091104</v>
      </c>
      <c r="M20" s="95">
        <v>145.33602578318326</v>
      </c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</row>
    <row r="21" spans="1:51" ht="37.5" customHeight="1" x14ac:dyDescent="0.3">
      <c r="A21" s="23" t="s">
        <v>520</v>
      </c>
      <c r="B21" s="19" t="s">
        <v>81</v>
      </c>
      <c r="C21" s="19" t="s">
        <v>83</v>
      </c>
      <c r="D21" s="19">
        <v>155.69999999999999</v>
      </c>
      <c r="E21" s="24">
        <f t="shared" si="0"/>
        <v>4534561.3971203454</v>
      </c>
      <c r="F21" s="95">
        <v>1417.3588555598014</v>
      </c>
      <c r="G21" s="95">
        <v>0</v>
      </c>
      <c r="H21" s="95"/>
      <c r="I21" s="95"/>
      <c r="J21" s="95"/>
      <c r="K21" s="95"/>
      <c r="L21" s="95">
        <v>105.16472273471193</v>
      </c>
      <c r="M21" s="95">
        <v>78.873542051033951</v>
      </c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>
        <v>0</v>
      </c>
      <c r="AK21" s="95">
        <v>4532960</v>
      </c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</row>
    <row r="22" spans="1:51" ht="37.5" customHeight="1" x14ac:dyDescent="0.3">
      <c r="A22" s="23" t="s">
        <v>521</v>
      </c>
      <c r="B22" s="19" t="s">
        <v>81</v>
      </c>
      <c r="C22" s="19" t="s">
        <v>84</v>
      </c>
      <c r="D22" s="19">
        <v>1142.7</v>
      </c>
      <c r="E22" s="24">
        <f t="shared" si="0"/>
        <v>1770688.5833999906</v>
      </c>
      <c r="F22" s="95">
        <v>10402.157766526558</v>
      </c>
      <c r="G22" s="95">
        <v>7826.086956521739</v>
      </c>
      <c r="H22" s="95"/>
      <c r="I22" s="95"/>
      <c r="J22" s="95"/>
      <c r="K22" s="95"/>
      <c r="L22" s="95">
        <v>771.8158552919416</v>
      </c>
      <c r="M22" s="95">
        <v>578.86189146895629</v>
      </c>
      <c r="N22" s="95">
        <v>0</v>
      </c>
      <c r="O22" s="95">
        <v>37280.898876404492</v>
      </c>
      <c r="P22" s="95"/>
      <c r="Q22" s="95"/>
      <c r="R22" s="95">
        <v>0</v>
      </c>
      <c r="S22" s="95">
        <v>6545.454545454545</v>
      </c>
      <c r="T22" s="95">
        <v>186515.41295527678</v>
      </c>
      <c r="U22" s="95">
        <v>342099.45621181739</v>
      </c>
      <c r="V22" s="95"/>
      <c r="W22" s="95"/>
      <c r="X22" s="95"/>
      <c r="Y22" s="95"/>
      <c r="Z22" s="95">
        <v>0</v>
      </c>
      <c r="AA22" s="95">
        <v>101498</v>
      </c>
      <c r="AB22" s="95"/>
      <c r="AC22" s="95"/>
      <c r="AD22" s="95"/>
      <c r="AE22" s="95"/>
      <c r="AF22" s="95">
        <v>17084.686331178724</v>
      </c>
      <c r="AG22" s="95">
        <v>18195.94349579345</v>
      </c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>
        <v>43134.748642248196</v>
      </c>
      <c r="AS22" s="95">
        <v>8755.0598720077433</v>
      </c>
      <c r="AT22" s="95">
        <v>0</v>
      </c>
      <c r="AU22" s="95">
        <v>990000</v>
      </c>
      <c r="AV22" s="95"/>
      <c r="AW22" s="95"/>
      <c r="AX22" s="95"/>
      <c r="AY22" s="95"/>
    </row>
    <row r="23" spans="1:51" ht="37.5" customHeight="1" x14ac:dyDescent="0.3">
      <c r="A23" s="23" t="s">
        <v>522</v>
      </c>
      <c r="B23" s="19" t="s">
        <v>81</v>
      </c>
      <c r="C23" s="19" t="s">
        <v>85</v>
      </c>
      <c r="D23" s="19">
        <v>1186.4000000000001</v>
      </c>
      <c r="E23" s="24">
        <f t="shared" si="0"/>
        <v>235520.64547636756</v>
      </c>
      <c r="F23" s="95">
        <v>10799.964972614955</v>
      </c>
      <c r="G23" s="95">
        <v>0</v>
      </c>
      <c r="H23" s="95"/>
      <c r="I23" s="95"/>
      <c r="J23" s="95"/>
      <c r="K23" s="95"/>
      <c r="L23" s="95">
        <v>801.33222255916667</v>
      </c>
      <c r="M23" s="95">
        <v>600.99916691937494</v>
      </c>
      <c r="N23" s="95">
        <v>0</v>
      </c>
      <c r="O23" s="95">
        <v>53258.426966292136</v>
      </c>
      <c r="P23" s="95"/>
      <c r="Q23" s="95"/>
      <c r="R23" s="95">
        <v>0</v>
      </c>
      <c r="S23" s="95">
        <v>6545.454545454545</v>
      </c>
      <c r="T23" s="95"/>
      <c r="U23" s="95"/>
      <c r="V23" s="95"/>
      <c r="W23" s="95"/>
      <c r="X23" s="95">
        <v>37500</v>
      </c>
      <c r="Y23" s="95">
        <v>35510.391250000001</v>
      </c>
      <c r="Z23" s="95"/>
      <c r="AA23" s="95"/>
      <c r="AB23" s="95"/>
      <c r="AC23" s="95"/>
      <c r="AD23" s="95"/>
      <c r="AE23" s="95"/>
      <c r="AF23" s="95">
        <v>17738.051862527729</v>
      </c>
      <c r="AG23" s="95">
        <v>18891.806566386058</v>
      </c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>
        <v>44784.340412324549</v>
      </c>
      <c r="AS23" s="95">
        <v>9089.8775112890416</v>
      </c>
      <c r="AT23" s="95"/>
      <c r="AU23" s="95"/>
      <c r="AV23" s="95"/>
      <c r="AW23" s="95"/>
      <c r="AX23" s="95"/>
      <c r="AY23" s="95"/>
    </row>
    <row r="24" spans="1:51" ht="37.5" customHeight="1" x14ac:dyDescent="0.3">
      <c r="A24" s="23" t="s">
        <v>523</v>
      </c>
      <c r="B24" s="19" t="s">
        <v>81</v>
      </c>
      <c r="C24" s="19" t="s">
        <v>86</v>
      </c>
      <c r="D24" s="19">
        <v>122.7</v>
      </c>
      <c r="E24" s="24">
        <f t="shared" si="0"/>
        <v>1261.9873260526567</v>
      </c>
      <c r="F24" s="95">
        <v>1116.9552445548338</v>
      </c>
      <c r="G24" s="95">
        <v>0</v>
      </c>
      <c r="H24" s="95"/>
      <c r="I24" s="95"/>
      <c r="J24" s="95"/>
      <c r="K24" s="95"/>
      <c r="L24" s="95">
        <v>82.875475141613066</v>
      </c>
      <c r="M24" s="95">
        <v>62.156606356209799</v>
      </c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</row>
    <row r="25" spans="1:51" ht="37.5" customHeight="1" x14ac:dyDescent="0.3">
      <c r="A25" s="23" t="s">
        <v>524</v>
      </c>
      <c r="B25" s="19" t="s">
        <v>60</v>
      </c>
      <c r="C25" s="19" t="s">
        <v>89</v>
      </c>
      <c r="D25" s="19">
        <v>11053.9</v>
      </c>
      <c r="E25" s="24">
        <f t="shared" si="0"/>
        <v>7193616.6157902842</v>
      </c>
      <c r="F25" s="95"/>
      <c r="G25" s="95"/>
      <c r="H25" s="95">
        <v>0</v>
      </c>
      <c r="I25" s="95">
        <v>13851.255300523817</v>
      </c>
      <c r="J25" s="95">
        <v>3609883.8517911453</v>
      </c>
      <c r="K25" s="95">
        <v>642398.67138219427</v>
      </c>
      <c r="L25" s="95">
        <v>7466.15496876835</v>
      </c>
      <c r="M25" s="95">
        <f>5599.61622657626+3192.8</f>
        <v>8792.4162265762607</v>
      </c>
      <c r="N25" s="95">
        <v>0</v>
      </c>
      <c r="O25" s="95">
        <v>15977.528089887641</v>
      </c>
      <c r="P25" s="95"/>
      <c r="Q25" s="95"/>
      <c r="R25" s="95">
        <v>0</v>
      </c>
      <c r="S25" s="95">
        <v>6545.454545454545</v>
      </c>
      <c r="T25" s="95">
        <v>96190.661290322576</v>
      </c>
      <c r="U25" s="95">
        <v>0</v>
      </c>
      <c r="V25" s="95"/>
      <c r="W25" s="95"/>
      <c r="X25" s="95">
        <f>11317.3076923077+37500</f>
        <v>48817.307692307702</v>
      </c>
      <c r="Y25" s="95">
        <v>35510.391250000001</v>
      </c>
      <c r="Z25" s="95">
        <v>0</v>
      </c>
      <c r="AA25" s="95">
        <f>101498+94350.85</f>
        <v>195848.85</v>
      </c>
      <c r="AB25" s="95"/>
      <c r="AC25" s="95"/>
      <c r="AD25" s="95"/>
      <c r="AE25" s="95"/>
      <c r="AF25" s="95">
        <f>165268.586887386+41522.8058568244</f>
        <v>206791.39274421037</v>
      </c>
      <c r="AG25" s="95">
        <f>176018.324851799+41522.8058568244</f>
        <v>217541.13070862339</v>
      </c>
      <c r="AH25" s="95"/>
      <c r="AI25" s="95"/>
      <c r="AJ25" s="95">
        <v>0</v>
      </c>
      <c r="AK25" s="95">
        <v>98047.2</v>
      </c>
      <c r="AL25" s="95"/>
      <c r="AM25" s="95"/>
      <c r="AN25" s="95">
        <v>0</v>
      </c>
      <c r="AO25" s="95">
        <v>1351680.56</v>
      </c>
      <c r="AP25" s="95"/>
      <c r="AQ25" s="95"/>
      <c r="AR25" s="95">
        <v>417263.6720193816</v>
      </c>
      <c r="AS25" s="95">
        <v>84692.006930241012</v>
      </c>
      <c r="AT25" s="95">
        <v>136318.1108506468</v>
      </c>
      <c r="AU25" s="95">
        <v>0</v>
      </c>
      <c r="AV25" s="95"/>
      <c r="AW25" s="95"/>
      <c r="AX25" s="95"/>
      <c r="AY25" s="95"/>
    </row>
    <row r="26" spans="1:51" ht="37.5" customHeight="1" x14ac:dyDescent="0.3">
      <c r="A26" s="23" t="s">
        <v>525</v>
      </c>
      <c r="B26" s="19" t="s">
        <v>90</v>
      </c>
      <c r="C26" s="19" t="s">
        <v>91</v>
      </c>
      <c r="D26" s="19">
        <v>17563.900000000001</v>
      </c>
      <c r="E26" s="24">
        <f t="shared" si="0"/>
        <v>3058110.9581608297</v>
      </c>
      <c r="F26" s="95"/>
      <c r="G26" s="95"/>
      <c r="H26" s="95">
        <v>0</v>
      </c>
      <c r="I26" s="95">
        <f>67800+22008.7085076643</f>
        <v>89808.708507664298</v>
      </c>
      <c r="J26" s="95">
        <v>0</v>
      </c>
      <c r="K26" s="95">
        <f>99973+199000</f>
        <v>298973</v>
      </c>
      <c r="L26" s="95">
        <v>11863.215630316037</v>
      </c>
      <c r="M26" s="95">
        <f>8897.41172273703+60192.3</f>
        <v>69089.711722737033</v>
      </c>
      <c r="N26" s="95"/>
      <c r="O26" s="95"/>
      <c r="P26" s="95"/>
      <c r="Q26" s="95"/>
      <c r="R26" s="95">
        <v>0</v>
      </c>
      <c r="S26" s="95">
        <v>6545.454545454545</v>
      </c>
      <c r="T26" s="95">
        <v>163524.12419354837</v>
      </c>
      <c r="U26" s="95">
        <v>0</v>
      </c>
      <c r="V26" s="95"/>
      <c r="W26" s="95"/>
      <c r="X26" s="95">
        <f>22634.6153846154+75000</f>
        <v>97634.615384615405</v>
      </c>
      <c r="Y26" s="95">
        <v>71020.782500000001</v>
      </c>
      <c r="Z26" s="95"/>
      <c r="AA26" s="95"/>
      <c r="AB26" s="95"/>
      <c r="AC26" s="95"/>
      <c r="AD26" s="95">
        <v>0</v>
      </c>
      <c r="AE26" s="95">
        <v>15073.170731707318</v>
      </c>
      <c r="AF26" s="95">
        <f>262600.614555168+65976.9321043866</f>
        <v>328577.54665955459</v>
      </c>
      <c r="AG26" s="95">
        <f>279681.221638021+65976.9321043866</f>
        <v>345658.15374240757</v>
      </c>
      <c r="AH26" s="95">
        <v>0</v>
      </c>
      <c r="AI26" s="95">
        <v>7346.2379803167878</v>
      </c>
      <c r="AJ26" s="95">
        <v>0</v>
      </c>
      <c r="AK26" s="95">
        <f>133618.24+247260+260064</f>
        <v>640942.24</v>
      </c>
      <c r="AL26" s="95"/>
      <c r="AM26" s="95"/>
      <c r="AN26" s="95"/>
      <c r="AO26" s="95"/>
      <c r="AP26" s="95"/>
      <c r="AQ26" s="95"/>
      <c r="AR26" s="95">
        <v>663003.77323670534</v>
      </c>
      <c r="AS26" s="95">
        <v>134569.8749330155</v>
      </c>
      <c r="AT26" s="95">
        <v>114480.34839278714</v>
      </c>
      <c r="AU26" s="95">
        <v>0</v>
      </c>
      <c r="AV26" s="95"/>
      <c r="AW26" s="95"/>
      <c r="AX26" s="95"/>
      <c r="AY26" s="95"/>
    </row>
    <row r="27" spans="1:51" ht="37.5" customHeight="1" x14ac:dyDescent="0.3">
      <c r="A27" s="23" t="s">
        <v>526</v>
      </c>
      <c r="B27" s="19" t="s">
        <v>92</v>
      </c>
      <c r="C27" s="19" t="s">
        <v>93</v>
      </c>
      <c r="D27" s="19">
        <v>21448.3</v>
      </c>
      <c r="E27" s="24">
        <f t="shared" si="0"/>
        <v>6830478.2706842134</v>
      </c>
      <c r="F27" s="95"/>
      <c r="G27" s="95"/>
      <c r="H27" s="95">
        <v>0</v>
      </c>
      <c r="I27" s="95">
        <v>26876.114227758979</v>
      </c>
      <c r="J27" s="95">
        <v>2959761.6282088547</v>
      </c>
      <c r="K27" s="95">
        <v>526705.84861780563</v>
      </c>
      <c r="L27" s="95">
        <v>14486.862701547345</v>
      </c>
      <c r="M27" s="95">
        <v>10865.14702616051</v>
      </c>
      <c r="N27" s="95">
        <v>0</v>
      </c>
      <c r="O27" s="95">
        <v>10651.685393258427</v>
      </c>
      <c r="P27" s="95"/>
      <c r="Q27" s="95"/>
      <c r="R27" s="95">
        <v>0</v>
      </c>
      <c r="S27" s="95">
        <v>26181.81818181818</v>
      </c>
      <c r="T27" s="95">
        <v>76952.529032258055</v>
      </c>
      <c r="U27" s="95">
        <v>0</v>
      </c>
      <c r="V27" s="95"/>
      <c r="W27" s="95"/>
      <c r="X27" s="95">
        <f>11317.3076923077+37500</f>
        <v>48817.307692307702</v>
      </c>
      <c r="Y27" s="95">
        <v>35510.391250000001</v>
      </c>
      <c r="Z27" s="95">
        <v>0</v>
      </c>
      <c r="AA27" s="95">
        <v>101498</v>
      </c>
      <c r="AB27" s="95"/>
      <c r="AC27" s="95"/>
      <c r="AD27" s="95">
        <v>0</v>
      </c>
      <c r="AE27" s="95">
        <v>7536.5853658536589</v>
      </c>
      <c r="AF27" s="95">
        <f>320676.886179243+80568.2697381854</f>
        <v>401245.15591742838</v>
      </c>
      <c r="AG27" s="95">
        <f>341535.009084472+80568.2697381854</f>
        <v>422103.27882265742</v>
      </c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>
        <f>809632.475105918+710286.345836733</f>
        <v>1519918.820942651</v>
      </c>
      <c r="AS27" s="95">
        <f>164331.102347759+455411.929148568</f>
        <v>619743.03149632702</v>
      </c>
      <c r="AT27" s="95">
        <v>21624.065807526462</v>
      </c>
      <c r="AU27" s="95">
        <v>0</v>
      </c>
      <c r="AV27" s="95"/>
      <c r="AW27" s="95"/>
      <c r="AX27" s="95"/>
      <c r="AY27" s="95"/>
    </row>
    <row r="28" spans="1:51" ht="37.5" customHeight="1" x14ac:dyDescent="0.3">
      <c r="A28" s="23" t="s">
        <v>527</v>
      </c>
      <c r="B28" s="19" t="s">
        <v>81</v>
      </c>
      <c r="C28" s="19" t="s">
        <v>96</v>
      </c>
      <c r="D28" s="19">
        <v>60.7</v>
      </c>
      <c r="E28" s="24">
        <f t="shared" si="0"/>
        <v>182258.43169766787</v>
      </c>
      <c r="F28" s="95"/>
      <c r="G28" s="95"/>
      <c r="H28" s="95">
        <v>0</v>
      </c>
      <c r="I28" s="95">
        <v>76.061046032784432</v>
      </c>
      <c r="J28" s="95"/>
      <c r="K28" s="95"/>
      <c r="L28" s="95">
        <v>40.998706936397006</v>
      </c>
      <c r="M28" s="95">
        <v>30.749030202297757</v>
      </c>
      <c r="N28" s="95"/>
      <c r="O28" s="95"/>
      <c r="P28" s="95"/>
      <c r="Q28" s="95"/>
      <c r="R28" s="95"/>
      <c r="S28" s="95"/>
      <c r="T28" s="95">
        <v>9907.6621741360832</v>
      </c>
      <c r="U28" s="95">
        <v>18172.256053257479</v>
      </c>
      <c r="V28" s="95"/>
      <c r="W28" s="95"/>
      <c r="X28" s="95"/>
      <c r="Y28" s="95"/>
      <c r="Z28" s="95"/>
      <c r="AA28" s="95"/>
      <c r="AB28" s="95"/>
      <c r="AC28" s="95"/>
      <c r="AD28" s="95">
        <v>0</v>
      </c>
      <c r="AE28" s="95">
        <v>150731.70731707316</v>
      </c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>
        <v>2010.1537740655308</v>
      </c>
      <c r="AS28" s="95">
        <v>1288.8435959641595</v>
      </c>
      <c r="AT28" s="95"/>
      <c r="AU28" s="95"/>
      <c r="AV28" s="95"/>
      <c r="AW28" s="95"/>
      <c r="AX28" s="95"/>
      <c r="AY28" s="95"/>
    </row>
    <row r="29" spans="1:51" ht="37.5" customHeight="1" x14ac:dyDescent="0.3">
      <c r="A29" s="23" t="s">
        <v>528</v>
      </c>
      <c r="B29" s="19" t="s">
        <v>73</v>
      </c>
      <c r="C29" s="19" t="s">
        <v>97</v>
      </c>
      <c r="D29" s="19">
        <v>358.3</v>
      </c>
      <c r="E29" s="24">
        <f t="shared" si="0"/>
        <v>200500.88045263203</v>
      </c>
      <c r="F29" s="95"/>
      <c r="G29" s="95"/>
      <c r="H29" s="95">
        <v>0</v>
      </c>
      <c r="I29" s="95">
        <v>448.97319264492029</v>
      </c>
      <c r="J29" s="95"/>
      <c r="K29" s="95"/>
      <c r="L29" s="95">
        <v>242.00719432143407</v>
      </c>
      <c r="M29" s="95">
        <v>181.50539574107555</v>
      </c>
      <c r="N29" s="95"/>
      <c r="O29" s="95"/>
      <c r="P29" s="95"/>
      <c r="Q29" s="95"/>
      <c r="R29" s="95">
        <v>0</v>
      </c>
      <c r="S29" s="95">
        <v>6545.454545454545</v>
      </c>
      <c r="T29" s="95">
        <v>58482.954810427655</v>
      </c>
      <c r="U29" s="95">
        <v>107267.20500629579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>
        <v>5356.9993108089056</v>
      </c>
      <c r="AG29" s="95">
        <v>5705.4402332570171</v>
      </c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>
        <v>13525.142590809075</v>
      </c>
      <c r="AS29" s="95">
        <v>2745.1981728715978</v>
      </c>
      <c r="AT29" s="95"/>
      <c r="AU29" s="95"/>
      <c r="AV29" s="95"/>
      <c r="AW29" s="95"/>
      <c r="AX29" s="95"/>
      <c r="AY29" s="95"/>
    </row>
    <row r="30" spans="1:51" ht="37.5" customHeight="1" x14ac:dyDescent="0.3">
      <c r="A30" s="23" t="s">
        <v>529</v>
      </c>
      <c r="B30" s="19" t="s">
        <v>98</v>
      </c>
      <c r="C30" s="19" t="s">
        <v>99</v>
      </c>
      <c r="D30" s="19">
        <v>196.6</v>
      </c>
      <c r="E30" s="24">
        <f t="shared" ref="E30:E45" si="1">SUM(F30:AU30)</f>
        <v>478.7348726773115</v>
      </c>
      <c r="F30" s="95"/>
      <c r="G30" s="95"/>
      <c r="H30" s="95">
        <v>0</v>
      </c>
      <c r="I30" s="95">
        <v>246.35258072562468</v>
      </c>
      <c r="J30" s="95"/>
      <c r="K30" s="95"/>
      <c r="L30" s="95">
        <v>132.78988111524961</v>
      </c>
      <c r="M30" s="95">
        <v>99.59241083643721</v>
      </c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</row>
    <row r="31" spans="1:51" ht="37.5" customHeight="1" x14ac:dyDescent="0.3">
      <c r="A31" s="23" t="s">
        <v>530</v>
      </c>
      <c r="B31" s="19" t="s">
        <v>81</v>
      </c>
      <c r="C31" s="19" t="s">
        <v>100</v>
      </c>
      <c r="D31" s="19">
        <v>54.4</v>
      </c>
      <c r="E31" s="24">
        <f t="shared" si="1"/>
        <v>132.4678386248512</v>
      </c>
      <c r="F31" s="95"/>
      <c r="G31" s="95"/>
      <c r="H31" s="95">
        <v>0</v>
      </c>
      <c r="I31" s="95">
        <v>68.166736477487191</v>
      </c>
      <c r="J31" s="95"/>
      <c r="K31" s="95"/>
      <c r="L31" s="95">
        <v>36.743486941350859</v>
      </c>
      <c r="M31" s="95">
        <v>27.557615206013146</v>
      </c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</row>
    <row r="32" spans="1:51" ht="56.25" customHeight="1" x14ac:dyDescent="0.3">
      <c r="A32" s="23" t="s">
        <v>531</v>
      </c>
      <c r="B32" s="19" t="s">
        <v>119</v>
      </c>
      <c r="C32" s="19" t="s">
        <v>120</v>
      </c>
      <c r="D32" s="19">
        <v>5741.2</v>
      </c>
      <c r="E32" s="24">
        <f t="shared" si="1"/>
        <v>614391.87994284742</v>
      </c>
      <c r="F32" s="95"/>
      <c r="G32" s="95"/>
      <c r="H32" s="19">
        <v>0</v>
      </c>
      <c r="I32" s="95">
        <v>7194.096828392454</v>
      </c>
      <c r="J32" s="95"/>
      <c r="K32" s="95"/>
      <c r="L32" s="95">
        <v>3877.7887358030061</v>
      </c>
      <c r="M32" s="95">
        <v>2908.3415518522547</v>
      </c>
      <c r="N32" s="95"/>
      <c r="O32" s="95"/>
      <c r="P32" s="95"/>
      <c r="Q32" s="95"/>
      <c r="R32" s="95">
        <v>0</v>
      </c>
      <c r="S32" s="95">
        <v>6545.454545454545</v>
      </c>
      <c r="T32" s="95">
        <v>19238.132258064514</v>
      </c>
      <c r="U32" s="95">
        <v>0</v>
      </c>
      <c r="V32" s="95"/>
      <c r="W32" s="95"/>
      <c r="X32" s="95"/>
      <c r="Y32" s="95"/>
      <c r="Z32" s="95"/>
      <c r="AA32" s="95"/>
      <c r="AB32" s="95"/>
      <c r="AC32" s="95"/>
      <c r="AD32" s="95">
        <v>0</v>
      </c>
      <c r="AE32" s="95">
        <v>15073.170731707318</v>
      </c>
      <c r="AF32" s="95">
        <f>85837.5786860622+21566.2103859453</f>
        <v>107403.78907200749</v>
      </c>
      <c r="AG32" s="95">
        <f>91420.8023086106+21566.2103859453</f>
        <v>112987.01269455589</v>
      </c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>
        <v>216719.36545451594</v>
      </c>
      <c r="AS32" s="95">
        <v>43987.529305303979</v>
      </c>
      <c r="AT32" s="95">
        <v>78457.198765190129</v>
      </c>
      <c r="AU32" s="95">
        <v>0</v>
      </c>
      <c r="AV32" s="95"/>
      <c r="AW32" s="95"/>
      <c r="AX32" s="95"/>
      <c r="AY32" s="95"/>
    </row>
    <row r="33" spans="1:51" ht="37.5" customHeight="1" x14ac:dyDescent="0.3">
      <c r="A33" s="23" t="s">
        <v>532</v>
      </c>
      <c r="B33" s="19" t="s">
        <v>128</v>
      </c>
      <c r="C33" s="19" t="s">
        <v>129</v>
      </c>
      <c r="D33" s="19">
        <v>3106.9</v>
      </c>
      <c r="E33" s="24">
        <f t="shared" si="1"/>
        <v>6158999.3526575807</v>
      </c>
      <c r="F33" s="95"/>
      <c r="G33" s="95"/>
      <c r="H33" s="19">
        <v>33656</v>
      </c>
      <c r="I33" s="95">
        <f>50000+3893.14767577031</f>
        <v>53893.147675770313</v>
      </c>
      <c r="J33" s="95">
        <f>5062600.34*0.6</f>
        <v>3037560.2039999999</v>
      </c>
      <c r="K33" s="95">
        <f>161290.32+98000+(5062600.34*0.4)</f>
        <v>2284330.4559999998</v>
      </c>
      <c r="L33" s="95">
        <v>2098.4988893029963</v>
      </c>
      <c r="M33" s="95">
        <f>1573.87416697725</f>
        <v>1573.8741669772501</v>
      </c>
      <c r="N33" s="95">
        <v>0</v>
      </c>
      <c r="O33" s="95">
        <v>15977.528089887641</v>
      </c>
      <c r="P33" s="95"/>
      <c r="Q33" s="95"/>
      <c r="R33" s="95">
        <v>0</v>
      </c>
      <c r="S33" s="95">
        <v>6545.454545454545</v>
      </c>
      <c r="T33" s="95">
        <v>19238.132258064514</v>
      </c>
      <c r="U33" s="95">
        <v>0</v>
      </c>
      <c r="V33" s="95">
        <v>0</v>
      </c>
      <c r="W33" s="95">
        <v>70513.274336283182</v>
      </c>
      <c r="X33" s="95">
        <f>22634.6153846154+75000</f>
        <v>97634.615384615405</v>
      </c>
      <c r="Y33" s="95">
        <v>71020.782500000001</v>
      </c>
      <c r="Z33" s="95"/>
      <c r="AA33" s="95"/>
      <c r="AB33" s="95"/>
      <c r="AC33" s="95"/>
      <c r="AD33" s="95">
        <v>0</v>
      </c>
      <c r="AE33" s="95">
        <v>7536.5853658536589</v>
      </c>
      <c r="AF33" s="95">
        <f>46451.7475823394+11670.7411426345</f>
        <v>58122.488724973897</v>
      </c>
      <c r="AG33" s="95">
        <f>49473.1573003244+11670.7411426345</f>
        <v>61143.898442958896</v>
      </c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>
        <f>117279.557676206+102888.743997433</f>
        <v>220168.30167363898</v>
      </c>
      <c r="AS33" s="95">
        <f>23804.2316586513+65968.8330856845</f>
        <v>89773.064744335803</v>
      </c>
      <c r="AT33" s="95">
        <v>28213.045859466878</v>
      </c>
      <c r="AU33" s="95">
        <v>0</v>
      </c>
      <c r="AV33" s="95"/>
      <c r="AW33" s="95"/>
      <c r="AX33" s="95"/>
      <c r="AY33" s="95"/>
    </row>
    <row r="34" spans="1:51" ht="37.5" customHeight="1" x14ac:dyDescent="0.3">
      <c r="A34" s="23" t="s">
        <v>533</v>
      </c>
      <c r="B34" s="19" t="s">
        <v>130</v>
      </c>
      <c r="C34" s="19" t="s">
        <v>131</v>
      </c>
      <c r="D34" s="19">
        <v>18213.3</v>
      </c>
      <c r="E34" s="24">
        <f t="shared" si="1"/>
        <v>2648168.3831367674</v>
      </c>
      <c r="F34" s="95">
        <f>551155.07*0.6</f>
        <v>330693.04199999996</v>
      </c>
      <c r="G34" s="95">
        <f>551155.07*0.4</f>
        <v>220462.02799999999</v>
      </c>
      <c r="H34" s="19">
        <v>0</v>
      </c>
      <c r="I34" s="95">
        <v>22822.448924364293</v>
      </c>
      <c r="J34" s="95"/>
      <c r="K34" s="95"/>
      <c r="L34" s="95">
        <v>12301.841005678411</v>
      </c>
      <c r="M34" s="95">
        <v>9226.3807542588074</v>
      </c>
      <c r="N34" s="95">
        <v>0</v>
      </c>
      <c r="O34" s="95">
        <v>21303.370786516854</v>
      </c>
      <c r="P34" s="95"/>
      <c r="Q34" s="95"/>
      <c r="R34" s="95">
        <v>0</v>
      </c>
      <c r="S34" s="95">
        <v>13090.90909090909</v>
      </c>
      <c r="T34" s="95"/>
      <c r="U34" s="95"/>
      <c r="V34" s="95">
        <v>0</v>
      </c>
      <c r="W34" s="95">
        <v>79327.433628318584</v>
      </c>
      <c r="X34" s="95">
        <f>40125+187500</f>
        <v>227625</v>
      </c>
      <c r="Y34" s="95">
        <v>177551.95625000002</v>
      </c>
      <c r="Z34" s="95"/>
      <c r="AA34" s="95"/>
      <c r="AB34" s="95"/>
      <c r="AC34" s="95"/>
      <c r="AD34" s="95">
        <v>0</v>
      </c>
      <c r="AE34" s="95">
        <v>7536.5853658536589</v>
      </c>
      <c r="AF34" s="95">
        <f>272309.895471828+68416.3344984214</f>
        <v>340726.22997024941</v>
      </c>
      <c r="AG34" s="95">
        <f>290022.033492548+68416.3344984214</f>
        <v>358438.36799096939</v>
      </c>
      <c r="AH34" s="95"/>
      <c r="AI34" s="95"/>
      <c r="AJ34" s="95">
        <v>0</v>
      </c>
      <c r="AK34" s="95"/>
      <c r="AL34" s="95"/>
      <c r="AM34" s="95"/>
      <c r="AN34" s="95"/>
      <c r="AO34" s="95"/>
      <c r="AP34" s="95"/>
      <c r="AQ34" s="95"/>
      <c r="AR34" s="95">
        <f>687517.386405758</f>
        <v>687517.38640575798</v>
      </c>
      <c r="AS34" s="95">
        <f>139545.402963891</f>
        <v>139545.40296389101</v>
      </c>
      <c r="AT34" s="95"/>
      <c r="AU34" s="95"/>
      <c r="AV34" s="95"/>
      <c r="AW34" s="95"/>
      <c r="AX34" s="95"/>
      <c r="AY34" s="95"/>
    </row>
    <row r="35" spans="1:51" ht="37.5" customHeight="1" x14ac:dyDescent="0.3">
      <c r="A35" s="23" t="s">
        <v>534</v>
      </c>
      <c r="B35" s="19" t="s">
        <v>136</v>
      </c>
      <c r="C35" s="19" t="s">
        <v>137</v>
      </c>
      <c r="D35" s="19">
        <v>1318.7</v>
      </c>
      <c r="E35" s="24">
        <f t="shared" si="1"/>
        <v>1294518.1200000001</v>
      </c>
      <c r="F35" s="101">
        <v>906162.68400000001</v>
      </c>
      <c r="G35" s="101">
        <v>388355.43600000005</v>
      </c>
      <c r="H35" s="19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</row>
    <row r="36" spans="1:51" ht="37.5" customHeight="1" x14ac:dyDescent="0.3">
      <c r="A36" s="23" t="s">
        <v>535</v>
      </c>
      <c r="B36" s="19" t="s">
        <v>142</v>
      </c>
      <c r="C36" s="19" t="s">
        <v>143</v>
      </c>
      <c r="D36" s="19">
        <v>1453.6</v>
      </c>
      <c r="E36" s="24">
        <f t="shared" si="1"/>
        <v>734623.92201791157</v>
      </c>
      <c r="F36" s="95"/>
      <c r="G36" s="95"/>
      <c r="H36" s="95"/>
      <c r="I36" s="95"/>
      <c r="J36" s="95"/>
      <c r="K36" s="95"/>
      <c r="L36" s="95"/>
      <c r="M36" s="95"/>
      <c r="N36" s="95">
        <v>0</v>
      </c>
      <c r="O36" s="95">
        <v>10651.685393258427</v>
      </c>
      <c r="P36" s="95"/>
      <c r="Q36" s="95"/>
      <c r="R36" s="95">
        <v>0</v>
      </c>
      <c r="S36" s="95">
        <v>13090.90909090909</v>
      </c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>
        <v>21733.00083224065</v>
      </c>
      <c r="AG36" s="95">
        <v>23146.603190238344</v>
      </c>
      <c r="AH36" s="95"/>
      <c r="AI36" s="95"/>
      <c r="AJ36" s="95"/>
      <c r="AK36" s="95">
        <v>599994</v>
      </c>
      <c r="AL36" s="95"/>
      <c r="AM36" s="95"/>
      <c r="AN36" s="95"/>
      <c r="AO36" s="95"/>
      <c r="AP36" s="95"/>
      <c r="AQ36" s="95"/>
      <c r="AR36" s="95">
        <v>54870.631509908097</v>
      </c>
      <c r="AS36" s="95">
        <v>11137.092001356836</v>
      </c>
      <c r="AT36" s="95"/>
      <c r="AU36" s="95"/>
      <c r="AV36" s="95"/>
      <c r="AW36" s="95"/>
      <c r="AX36" s="95"/>
      <c r="AY36" s="95"/>
    </row>
    <row r="37" spans="1:51" ht="37.5" customHeight="1" x14ac:dyDescent="0.3">
      <c r="A37" s="23" t="s">
        <v>536</v>
      </c>
      <c r="B37" s="19" t="s">
        <v>144</v>
      </c>
      <c r="C37" s="19" t="s">
        <v>145</v>
      </c>
      <c r="D37" s="19">
        <v>6172.3</v>
      </c>
      <c r="E37" s="24">
        <f t="shared" si="1"/>
        <v>5768565.2199999997</v>
      </c>
      <c r="F37" s="95"/>
      <c r="G37" s="95">
        <v>2589041.04</v>
      </c>
      <c r="H37" s="95">
        <v>0</v>
      </c>
      <c r="I37" s="95">
        <v>363300</v>
      </c>
      <c r="J37" s="95">
        <v>0</v>
      </c>
      <c r="K37" s="95">
        <v>1211554.3799999999</v>
      </c>
      <c r="L37" s="95">
        <v>0</v>
      </c>
      <c r="M37" s="95">
        <f>24600+59800</f>
        <v>84400</v>
      </c>
      <c r="N37" s="95">
        <v>0</v>
      </c>
      <c r="O37" s="95">
        <v>149000</v>
      </c>
      <c r="P37" s="95">
        <v>0</v>
      </c>
      <c r="Q37" s="95">
        <f>70000+199000</f>
        <v>269000</v>
      </c>
      <c r="R37" s="95">
        <v>0</v>
      </c>
      <c r="S37" s="95">
        <f>342500</f>
        <v>342500</v>
      </c>
      <c r="T37" s="95">
        <v>0</v>
      </c>
      <c r="U37" s="95">
        <v>32400</v>
      </c>
      <c r="V37" s="95">
        <v>0</v>
      </c>
      <c r="W37" s="95"/>
      <c r="X37" s="95"/>
      <c r="Y37" s="95">
        <v>103938.2</v>
      </c>
      <c r="Z37" s="95"/>
      <c r="AA37" s="95"/>
      <c r="AB37" s="95"/>
      <c r="AC37" s="95"/>
      <c r="AD37" s="95"/>
      <c r="AE37" s="95"/>
      <c r="AF37" s="95"/>
      <c r="AG37" s="95"/>
      <c r="AH37" s="95">
        <v>0</v>
      </c>
      <c r="AI37" s="95"/>
      <c r="AJ37" s="95"/>
      <c r="AK37" s="95"/>
      <c r="AL37" s="95"/>
      <c r="AM37" s="95"/>
      <c r="AN37" s="95"/>
      <c r="AO37" s="95"/>
      <c r="AP37" s="95">
        <v>0</v>
      </c>
      <c r="AQ37" s="95">
        <v>299500</v>
      </c>
      <c r="AR37" s="95">
        <v>0</v>
      </c>
      <c r="AS37" s="95">
        <v>323931.59999999998</v>
      </c>
      <c r="AT37" s="95"/>
      <c r="AU37" s="95"/>
      <c r="AV37" s="95"/>
      <c r="AW37" s="95">
        <v>267936</v>
      </c>
      <c r="AX37" s="95"/>
      <c r="AY37" s="95"/>
    </row>
    <row r="38" spans="1:51" ht="37.5" customHeight="1" x14ac:dyDescent="0.3">
      <c r="A38" s="23" t="s">
        <v>537</v>
      </c>
      <c r="B38" s="19" t="s">
        <v>146</v>
      </c>
      <c r="C38" s="19" t="s">
        <v>147</v>
      </c>
      <c r="D38" s="19">
        <f>3618.1+54197.28</f>
        <v>57815.38</v>
      </c>
      <c r="E38" s="24">
        <f>SUM(F38:AU38)</f>
        <v>9893967.6277264599</v>
      </c>
      <c r="F38" s="21">
        <v>7534109</v>
      </c>
      <c r="G38" s="95"/>
      <c r="H38" s="95">
        <v>133200</v>
      </c>
      <c r="I38" s="95">
        <v>0</v>
      </c>
      <c r="J38" s="95">
        <f>71573.5977947661+42000</f>
        <v>113573.5977947661</v>
      </c>
      <c r="K38" s="95">
        <v>0</v>
      </c>
      <c r="L38" s="95">
        <v>24282</v>
      </c>
      <c r="M38" s="95"/>
      <c r="N38" s="95">
        <v>0</v>
      </c>
      <c r="O38" s="95">
        <v>5325.8426966292136</v>
      </c>
      <c r="P38" s="95"/>
      <c r="Q38" s="95"/>
      <c r="R38" s="95">
        <v>0</v>
      </c>
      <c r="S38" s="95">
        <v>6545.454545454545</v>
      </c>
      <c r="T38" s="95">
        <f>354750-T39</f>
        <v>266266</v>
      </c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>
        <v>0</v>
      </c>
      <c r="AI38" s="95"/>
      <c r="AJ38" s="95"/>
      <c r="AK38" s="95"/>
      <c r="AL38" s="95"/>
      <c r="AM38" s="95"/>
      <c r="AN38" s="95"/>
      <c r="AO38" s="95"/>
      <c r="AP38" s="95">
        <v>0</v>
      </c>
      <c r="AQ38" s="95">
        <v>177172.69675494215</v>
      </c>
      <c r="AR38" s="95">
        <f>312625+93273.6</f>
        <v>405898.6</v>
      </c>
      <c r="AS38" s="95">
        <v>1227594.4359346679</v>
      </c>
      <c r="AT38" s="95"/>
      <c r="AU38" s="95"/>
      <c r="AV38" s="95"/>
      <c r="AW38" s="95">
        <v>78500</v>
      </c>
      <c r="AX38" s="95"/>
      <c r="AY38" s="95"/>
    </row>
    <row r="39" spans="1:51" ht="37.5" customHeight="1" x14ac:dyDescent="0.3">
      <c r="A39" s="23" t="s">
        <v>538</v>
      </c>
      <c r="B39" s="19" t="s">
        <v>148</v>
      </c>
      <c r="C39" s="19" t="s">
        <v>149</v>
      </c>
      <c r="D39" s="19">
        <v>1556.1</v>
      </c>
      <c r="E39" s="24">
        <f t="shared" si="1"/>
        <v>8176735.7026923755</v>
      </c>
      <c r="F39" s="95">
        <f>233014+14925.32+60424+21929.98</f>
        <v>330293.3</v>
      </c>
      <c r="G39" s="95"/>
      <c r="H39" s="95">
        <v>62248</v>
      </c>
      <c r="I39" s="95">
        <v>0</v>
      </c>
      <c r="J39" s="95">
        <f>1926.40220523389+42000</f>
        <v>43926.402205233891</v>
      </c>
      <c r="K39" s="95">
        <v>0</v>
      </c>
      <c r="L39" s="95">
        <v>10974</v>
      </c>
      <c r="M39" s="95"/>
      <c r="N39" s="95">
        <v>0</v>
      </c>
      <c r="O39" s="95">
        <v>5325.8426966292136</v>
      </c>
      <c r="P39" s="95"/>
      <c r="Q39" s="95"/>
      <c r="R39" s="95">
        <v>0</v>
      </c>
      <c r="S39" s="95">
        <v>6545.454545454545</v>
      </c>
      <c r="T39" s="95">
        <v>88484</v>
      </c>
      <c r="U39" s="95"/>
      <c r="V39" s="95"/>
      <c r="W39" s="95"/>
      <c r="X39" s="95"/>
      <c r="Y39" s="95"/>
      <c r="Z39" s="95"/>
      <c r="AA39" s="95"/>
      <c r="AB39" s="95">
        <f>84000+204000</f>
        <v>288000</v>
      </c>
      <c r="AC39" s="95">
        <v>0</v>
      </c>
      <c r="AD39" s="95"/>
      <c r="AE39" s="95"/>
      <c r="AF39" s="95">
        <f>25000</f>
        <v>25000</v>
      </c>
      <c r="AG39" s="95">
        <f>25000</f>
        <v>25000</v>
      </c>
      <c r="AH39" s="95">
        <v>0</v>
      </c>
      <c r="AI39" s="95"/>
      <c r="AJ39" s="95">
        <v>6864140</v>
      </c>
      <c r="AK39" s="95"/>
      <c r="AL39" s="95"/>
      <c r="AM39" s="95"/>
      <c r="AN39" s="95"/>
      <c r="AO39" s="95"/>
      <c r="AP39" s="95">
        <v>0</v>
      </c>
      <c r="AQ39" s="95">
        <v>22827.303245057814</v>
      </c>
      <c r="AR39" s="95">
        <v>312625</v>
      </c>
      <c r="AS39" s="95">
        <v>91346.4</v>
      </c>
      <c r="AT39" s="95"/>
      <c r="AU39" s="95"/>
      <c r="AV39" s="95"/>
      <c r="AW39" s="95">
        <v>78500</v>
      </c>
      <c r="AX39" s="95"/>
      <c r="AY39" s="95"/>
    </row>
    <row r="40" spans="1:51" ht="56.25" customHeight="1" x14ac:dyDescent="0.3">
      <c r="A40" s="23" t="s">
        <v>539</v>
      </c>
      <c r="B40" s="19" t="s">
        <v>150</v>
      </c>
      <c r="C40" s="19" t="s">
        <v>151</v>
      </c>
      <c r="D40" s="19">
        <v>2615.5</v>
      </c>
      <c r="E40" s="24">
        <f t="shared" si="1"/>
        <v>30194159.740000002</v>
      </c>
      <c r="F40" s="95">
        <f>12945205.2+500000</f>
        <v>13445205.199999999</v>
      </c>
      <c r="G40" s="95">
        <f>1743000+79200+54049.2+94586.1</f>
        <v>1970835.3</v>
      </c>
      <c r="H40" s="95">
        <f>10300+569560</f>
        <v>579860</v>
      </c>
      <c r="I40" s="95">
        <v>30163</v>
      </c>
      <c r="J40" s="95">
        <v>150323.47</v>
      </c>
      <c r="K40" s="95">
        <v>226579</v>
      </c>
      <c r="L40" s="95"/>
      <c r="M40" s="95">
        <f>36538.86+53000+295116.59</f>
        <v>384655.45</v>
      </c>
      <c r="N40" s="95"/>
      <c r="O40" s="95"/>
      <c r="P40" s="95"/>
      <c r="Q40" s="95">
        <v>88000</v>
      </c>
      <c r="R40" s="95">
        <v>0</v>
      </c>
      <c r="S40" s="95"/>
      <c r="T40" s="95">
        <v>430392.75</v>
      </c>
      <c r="U40" s="95">
        <v>1069607.25</v>
      </c>
      <c r="V40" s="95"/>
      <c r="W40" s="95"/>
      <c r="X40" s="95"/>
      <c r="Y40" s="95"/>
      <c r="Z40" s="95">
        <v>153000</v>
      </c>
      <c r="AA40" s="95"/>
      <c r="AB40" s="95"/>
      <c r="AC40" s="95"/>
      <c r="AD40" s="95"/>
      <c r="AE40" s="95"/>
      <c r="AF40" s="95">
        <f>115000+25000</f>
        <v>140000</v>
      </c>
      <c r="AG40" s="95">
        <f>502739.38+25000</f>
        <v>527739.38</v>
      </c>
      <c r="AH40" s="95">
        <v>0</v>
      </c>
      <c r="AI40" s="95">
        <f>20157+7080</f>
        <v>27237</v>
      </c>
      <c r="AJ40" s="95"/>
      <c r="AK40" s="95">
        <v>7298464.2800000003</v>
      </c>
      <c r="AL40" s="95"/>
      <c r="AM40" s="95"/>
      <c r="AN40" s="95"/>
      <c r="AO40" s="95"/>
      <c r="AP40" s="95"/>
      <c r="AQ40" s="95"/>
      <c r="AR40" s="95">
        <f>149834.69+107004</f>
        <v>256838.69</v>
      </c>
      <c r="AS40" s="95">
        <f>3415258.97</f>
        <v>3415258.97</v>
      </c>
      <c r="AT40" s="95"/>
      <c r="AU40" s="95">
        <v>0</v>
      </c>
      <c r="AV40" s="95">
        <v>119000</v>
      </c>
      <c r="AW40" s="95">
        <v>78894</v>
      </c>
      <c r="AX40" s="95">
        <v>190000</v>
      </c>
      <c r="AY40" s="95"/>
    </row>
    <row r="41" spans="1:51" ht="37.5" customHeight="1" x14ac:dyDescent="0.3">
      <c r="A41" s="23" t="s">
        <v>540</v>
      </c>
      <c r="B41" s="95" t="s">
        <v>152</v>
      </c>
      <c r="C41" s="95" t="s">
        <v>153</v>
      </c>
      <c r="D41" s="19">
        <v>22228.9</v>
      </c>
      <c r="E41" s="24">
        <f t="shared" si="1"/>
        <v>31330115.977122445</v>
      </c>
      <c r="F41" s="95">
        <v>15534246.24</v>
      </c>
      <c r="G41" s="95"/>
      <c r="H41" s="95">
        <f>5950+109148.98</f>
        <v>115098.98</v>
      </c>
      <c r="I41" s="95">
        <v>46778.14</v>
      </c>
      <c r="J41" s="95">
        <v>5124440.68</v>
      </c>
      <c r="K41" s="95">
        <f>6024032-J41+290000</f>
        <v>1189591.3200000003</v>
      </c>
      <c r="L41" s="95">
        <v>0</v>
      </c>
      <c r="M41" s="95"/>
      <c r="N41" s="95"/>
      <c r="O41" s="95"/>
      <c r="P41" s="95"/>
      <c r="Q41" s="95"/>
      <c r="R41" s="95">
        <v>0</v>
      </c>
      <c r="S41" s="95">
        <v>32727.272727272728</v>
      </c>
      <c r="T41" s="95"/>
      <c r="U41" s="95"/>
      <c r="V41" s="95">
        <v>0</v>
      </c>
      <c r="W41" s="95">
        <v>354974.56912338495</v>
      </c>
      <c r="X41" s="95">
        <v>0</v>
      </c>
      <c r="Y41" s="95">
        <v>415752.78</v>
      </c>
      <c r="Z41" s="95"/>
      <c r="AA41" s="95"/>
      <c r="AB41" s="95"/>
      <c r="AC41" s="95"/>
      <c r="AD41" s="95">
        <v>0</v>
      </c>
      <c r="AE41" s="95">
        <v>7536.5853658536589</v>
      </c>
      <c r="AF41" s="95">
        <f>3005580+594432</f>
        <v>3600012</v>
      </c>
      <c r="AG41" s="95">
        <f>265127.57+265127.57+594432</f>
        <v>1124687.1400000001</v>
      </c>
      <c r="AH41" s="95">
        <v>0</v>
      </c>
      <c r="AI41" s="95">
        <v>92907.49883575234</v>
      </c>
      <c r="AJ41" s="95">
        <v>0</v>
      </c>
      <c r="AK41" s="95">
        <f>449434.8+461276.4</f>
        <v>910711.2</v>
      </c>
      <c r="AL41" s="95"/>
      <c r="AM41" s="95"/>
      <c r="AN41" s="95"/>
      <c r="AO41" s="95"/>
      <c r="AP41" s="95"/>
      <c r="AQ41" s="95"/>
      <c r="AR41" s="95">
        <v>0</v>
      </c>
      <c r="AS41" s="95">
        <f>11472.6670121583+257315.35+2511863.55405802</f>
        <v>2780651.5710701784</v>
      </c>
      <c r="AT41" s="95"/>
      <c r="AU41" s="95"/>
      <c r="AV41" s="95"/>
      <c r="AW41" s="95"/>
      <c r="AX41" s="95"/>
      <c r="AY41" s="95"/>
    </row>
    <row r="42" spans="1:51" ht="36" x14ac:dyDescent="0.3">
      <c r="A42" s="23" t="s">
        <v>541</v>
      </c>
      <c r="B42" s="95" t="s">
        <v>158</v>
      </c>
      <c r="C42" s="95" t="s">
        <v>159</v>
      </c>
      <c r="D42" s="95">
        <v>7998.2</v>
      </c>
      <c r="E42" s="24">
        <f t="shared" si="1"/>
        <v>4829389.0650926698</v>
      </c>
      <c r="F42" s="95">
        <v>0</v>
      </c>
      <c r="G42" s="95"/>
      <c r="H42" s="95">
        <f>52775.33/2</f>
        <v>26387.665000000001</v>
      </c>
      <c r="I42" s="95">
        <f>22618/2</f>
        <v>11309</v>
      </c>
      <c r="J42" s="95"/>
      <c r="K42" s="95">
        <f>2167512+145000</f>
        <v>2312512</v>
      </c>
      <c r="L42" s="95">
        <f>31993/2</f>
        <v>15996.5</v>
      </c>
      <c r="M42" s="95">
        <f>31993/2</f>
        <v>15996.5</v>
      </c>
      <c r="N42" s="95"/>
      <c r="O42" s="95"/>
      <c r="P42" s="95"/>
      <c r="Q42" s="95"/>
      <c r="R42" s="95"/>
      <c r="S42" s="95"/>
      <c r="T42" s="95"/>
      <c r="U42" s="95"/>
      <c r="V42" s="95">
        <v>0</v>
      </c>
      <c r="W42" s="95">
        <v>127723.71096917335</v>
      </c>
      <c r="X42" s="95"/>
      <c r="Y42" s="95"/>
      <c r="Z42" s="95"/>
      <c r="AA42" s="95"/>
      <c r="AB42" s="95"/>
      <c r="AC42" s="95"/>
      <c r="AD42" s="95"/>
      <c r="AE42" s="95"/>
      <c r="AF42" s="95">
        <f>1087755+174311</f>
        <v>1262066</v>
      </c>
      <c r="AG42" s="95">
        <f>268672.889123497+174311</f>
        <v>442983.88912349701</v>
      </c>
      <c r="AH42" s="95"/>
      <c r="AI42" s="95"/>
      <c r="AJ42" s="95"/>
      <c r="AK42" s="95">
        <v>145323</v>
      </c>
      <c r="AL42" s="95"/>
      <c r="AM42" s="95"/>
      <c r="AN42" s="95"/>
      <c r="AO42" s="95"/>
      <c r="AP42" s="95"/>
      <c r="AQ42" s="95"/>
      <c r="AR42" s="95">
        <v>202542</v>
      </c>
      <c r="AS42" s="95">
        <v>266548.8</v>
      </c>
      <c r="AT42" s="95"/>
      <c r="AU42" s="95"/>
      <c r="AV42" s="95"/>
      <c r="AW42" s="95"/>
      <c r="AX42" s="95"/>
      <c r="AY42" s="95"/>
    </row>
    <row r="43" spans="1:51" ht="36" x14ac:dyDescent="0.3">
      <c r="A43" s="23" t="s">
        <v>542</v>
      </c>
      <c r="B43" s="95" t="s">
        <v>158</v>
      </c>
      <c r="C43" s="95" t="s">
        <v>160</v>
      </c>
      <c r="D43" s="95">
        <v>4101.8999999999996</v>
      </c>
      <c r="E43" s="24">
        <f t="shared" si="1"/>
        <v>2501561.8126971228</v>
      </c>
      <c r="F43" s="95">
        <v>0</v>
      </c>
      <c r="G43" s="95"/>
      <c r="H43" s="95">
        <v>26387.67</v>
      </c>
      <c r="I43" s="95">
        <v>11309</v>
      </c>
      <c r="J43" s="95"/>
      <c r="K43" s="95">
        <f>1111615+145000</f>
        <v>1256615</v>
      </c>
      <c r="L43" s="95">
        <f>16408/2</f>
        <v>8204</v>
      </c>
      <c r="M43" s="95">
        <f>16408/2</f>
        <v>8204</v>
      </c>
      <c r="N43" s="95"/>
      <c r="O43" s="95"/>
      <c r="P43" s="95"/>
      <c r="Q43" s="95"/>
      <c r="R43" s="95"/>
      <c r="S43" s="95"/>
      <c r="T43" s="95"/>
      <c r="U43" s="95"/>
      <c r="V43" s="95">
        <v>0</v>
      </c>
      <c r="W43" s="95">
        <v>65503.474534826855</v>
      </c>
      <c r="X43" s="95"/>
      <c r="Y43" s="95"/>
      <c r="Z43" s="95"/>
      <c r="AA43" s="95"/>
      <c r="AB43" s="95"/>
      <c r="AC43" s="95"/>
      <c r="AD43" s="95"/>
      <c r="AE43" s="95"/>
      <c r="AF43" s="95">
        <f>557858+142184</f>
        <v>700042</v>
      </c>
      <c r="AG43" s="95">
        <f>137789.668162296+142184</f>
        <v>279973.668162296</v>
      </c>
      <c r="AH43" s="95"/>
      <c r="AI43" s="95"/>
      <c r="AJ43" s="95"/>
      <c r="AK43" s="95">
        <v>145323</v>
      </c>
      <c r="AL43" s="95"/>
      <c r="AM43" s="95"/>
      <c r="AN43" s="95"/>
      <c r="AO43" s="95"/>
      <c r="AP43" s="95"/>
      <c r="AQ43" s="95"/>
      <c r="AR43" s="95">
        <v>0</v>
      </c>
      <c r="AS43" s="95"/>
      <c r="AT43" s="95"/>
      <c r="AU43" s="95"/>
      <c r="AV43" s="95"/>
      <c r="AW43" s="95"/>
      <c r="AX43" s="95"/>
      <c r="AY43" s="95"/>
    </row>
    <row r="44" spans="1:51" ht="36" x14ac:dyDescent="0.3">
      <c r="A44" s="23" t="s">
        <v>543</v>
      </c>
      <c r="B44" s="95" t="s">
        <v>165</v>
      </c>
      <c r="C44" s="95" t="s">
        <v>166</v>
      </c>
      <c r="D44" s="95">
        <v>10231.5</v>
      </c>
      <c r="E44" s="24">
        <f t="shared" si="1"/>
        <v>24059568.925118577</v>
      </c>
      <c r="F44" s="95">
        <v>0</v>
      </c>
      <c r="G44" s="95"/>
      <c r="H44" s="95">
        <f>165172.8/2</f>
        <v>82586.399999999994</v>
      </c>
      <c r="I44" s="95">
        <f>70788.34/2</f>
        <v>35394.17</v>
      </c>
      <c r="J44" s="95"/>
      <c r="K44" s="95">
        <v>2772737</v>
      </c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>
        <v>0</v>
      </c>
      <c r="W44" s="95">
        <v>163387.40576393402</v>
      </c>
      <c r="X44" s="95"/>
      <c r="Y44" s="95"/>
      <c r="Z44" s="95"/>
      <c r="AA44" s="95"/>
      <c r="AB44" s="95"/>
      <c r="AC44" s="95"/>
      <c r="AD44" s="95">
        <v>0</v>
      </c>
      <c r="AE44" s="95">
        <v>7536.5853658536589</v>
      </c>
      <c r="AF44" s="95">
        <f>1391484+248377</f>
        <v>1639861</v>
      </c>
      <c r="AG44" s="95">
        <f>343693.164095304+248377</f>
        <v>592070.16409530398</v>
      </c>
      <c r="AH44" s="95"/>
      <c r="AI44" s="95"/>
      <c r="AJ44" s="95">
        <v>17354248.030000001</v>
      </c>
      <c r="AK44" s="95">
        <v>145323</v>
      </c>
      <c r="AL44" s="95"/>
      <c r="AM44" s="95"/>
      <c r="AN44" s="95"/>
      <c r="AO44" s="95"/>
      <c r="AP44" s="95"/>
      <c r="AQ44" s="95"/>
      <c r="AR44" s="95">
        <v>0</v>
      </c>
      <c r="AS44" s="95">
        <f>5280.62983480505+104986.027791108+1156158.51226757</f>
        <v>1266425.1698934832</v>
      </c>
      <c r="AT44" s="95"/>
      <c r="AU44" s="95"/>
      <c r="AV44" s="95"/>
      <c r="AW44" s="95"/>
      <c r="AX44" s="95"/>
      <c r="AY44" s="95"/>
    </row>
    <row r="45" spans="1:51" ht="36" x14ac:dyDescent="0.3">
      <c r="A45" s="23" t="s">
        <v>544</v>
      </c>
      <c r="B45" s="95" t="s">
        <v>167</v>
      </c>
      <c r="C45" s="95" t="s">
        <v>168</v>
      </c>
      <c r="D45" s="95">
        <v>2674.6</v>
      </c>
      <c r="E45" s="24">
        <f t="shared" si="1"/>
        <v>1941582.86008871</v>
      </c>
      <c r="F45" s="95">
        <v>0</v>
      </c>
      <c r="G45" s="95"/>
      <c r="H45" s="95">
        <v>82586.399999999994</v>
      </c>
      <c r="I45" s="95">
        <v>35394.17</v>
      </c>
      <c r="J45" s="95"/>
      <c r="K45" s="95">
        <v>735206</v>
      </c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>
        <v>0</v>
      </c>
      <c r="W45" s="95">
        <v>42710.839608680835</v>
      </c>
      <c r="X45" s="95"/>
      <c r="Y45" s="95"/>
      <c r="Z45" s="95"/>
      <c r="AA45" s="95"/>
      <c r="AB45" s="95"/>
      <c r="AC45" s="95"/>
      <c r="AD45" s="95"/>
      <c r="AE45" s="95"/>
      <c r="AF45" s="95">
        <f>363746+57859</f>
        <v>421605</v>
      </c>
      <c r="AG45" s="95">
        <f>89844.2786189025+57859</f>
        <v>147703.27861890249</v>
      </c>
      <c r="AH45" s="95"/>
      <c r="AI45" s="95"/>
      <c r="AJ45" s="95"/>
      <c r="AK45" s="95">
        <v>145323</v>
      </c>
      <c r="AL45" s="95"/>
      <c r="AM45" s="95"/>
      <c r="AN45" s="95"/>
      <c r="AO45" s="95"/>
      <c r="AP45" s="95"/>
      <c r="AQ45" s="95"/>
      <c r="AR45" s="95">
        <v>0</v>
      </c>
      <c r="AS45" s="95">
        <f>1380.40097308993+27444.2290895858+302229.541798451</f>
        <v>331054.17186112673</v>
      </c>
      <c r="AT45" s="95"/>
      <c r="AU45" s="95"/>
      <c r="AV45" s="95"/>
      <c r="AW45" s="95"/>
      <c r="AX45" s="95"/>
      <c r="AY45" s="95"/>
    </row>
    <row r="46" spans="1:51" x14ac:dyDescent="0.3">
      <c r="A46" s="105"/>
      <c r="B46" s="97" t="s">
        <v>315</v>
      </c>
      <c r="C46" s="95"/>
      <c r="D46" s="99">
        <f>SUM(D4:D45)</f>
        <v>286455.57999999996</v>
      </c>
      <c r="E46" s="106">
        <f>SUM(E4:E45)</f>
        <v>199996182.71710441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</row>
    <row r="47" spans="1:51" x14ac:dyDescent="0.3">
      <c r="A47" s="105"/>
      <c r="B47" s="97" t="s">
        <v>296</v>
      </c>
      <c r="C47" s="95"/>
      <c r="D47" s="99"/>
      <c r="E47" s="106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</row>
    <row r="48" spans="1:51" ht="37.5" customHeight="1" x14ac:dyDescent="0.3">
      <c r="A48" s="23" t="s">
        <v>298</v>
      </c>
      <c r="B48" s="95" t="s">
        <v>27</v>
      </c>
      <c r="C48" s="95" t="s">
        <v>28</v>
      </c>
      <c r="D48" s="95">
        <v>4528.3999999999996</v>
      </c>
      <c r="E48" s="24">
        <f t="shared" ref="E48:E73" si="2">SUM(F48:AU48)</f>
        <v>4719213.18</v>
      </c>
      <c r="F48" s="95">
        <f>(12945205.2*0.6)/3</f>
        <v>2589041.0399999996</v>
      </c>
      <c r="G48" s="101">
        <f>(12945205.2*0.4)/3</f>
        <v>1726027.36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>
        <v>0</v>
      </c>
      <c r="AK48" s="95"/>
      <c r="AL48" s="95"/>
      <c r="AM48" s="95"/>
      <c r="AN48" s="95"/>
      <c r="AO48" s="95"/>
      <c r="AP48" s="95"/>
      <c r="AQ48" s="95"/>
      <c r="AR48" s="95">
        <f>404144.78*0.6</f>
        <v>242486.86800000002</v>
      </c>
      <c r="AS48" s="95">
        <f>404144.78*0.4</f>
        <v>161657.91200000001</v>
      </c>
      <c r="AT48" s="95"/>
      <c r="AU48" s="95"/>
      <c r="AV48" s="95"/>
      <c r="AW48" s="95"/>
      <c r="AX48" s="95"/>
      <c r="AY48" s="95"/>
    </row>
    <row r="49" spans="1:51" ht="37.5" customHeight="1" x14ac:dyDescent="0.3">
      <c r="A49" s="23" t="s">
        <v>299</v>
      </c>
      <c r="B49" s="95" t="s">
        <v>27</v>
      </c>
      <c r="C49" s="95" t="s">
        <v>29</v>
      </c>
      <c r="D49" s="95">
        <v>4779.7</v>
      </c>
      <c r="E49" s="24">
        <f t="shared" si="2"/>
        <v>4719213.18</v>
      </c>
      <c r="F49" s="101">
        <f>(12945205.2*0.6)/3</f>
        <v>2589041.0399999996</v>
      </c>
      <c r="G49" s="101">
        <f>(12945205.2*0.4)/3</f>
        <v>1726027.36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107">
        <f>404144.78*0.6</f>
        <v>242486.86800000002</v>
      </c>
      <c r="AS49" s="107">
        <f>404144.78*0.4</f>
        <v>161657.91200000001</v>
      </c>
      <c r="AT49" s="95"/>
      <c r="AU49" s="95"/>
      <c r="AV49" s="95"/>
      <c r="AW49" s="95"/>
      <c r="AX49" s="95"/>
      <c r="AY49" s="95"/>
    </row>
    <row r="50" spans="1:51" ht="37.5" customHeight="1" x14ac:dyDescent="0.3">
      <c r="A50" s="23" t="s">
        <v>300</v>
      </c>
      <c r="B50" s="95" t="s">
        <v>32</v>
      </c>
      <c r="C50" s="95" t="s">
        <v>33</v>
      </c>
      <c r="D50" s="95">
        <v>4394.6000000000004</v>
      </c>
      <c r="E50" s="24">
        <f t="shared" si="2"/>
        <v>4719213.18</v>
      </c>
      <c r="F50" s="101">
        <f>(12945205.2*0.6)/3</f>
        <v>2589041.0399999996</v>
      </c>
      <c r="G50" s="101">
        <f>(12945205.2*0.4)/3</f>
        <v>1726027.36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107">
        <f>404144.78*0.6</f>
        <v>242486.86800000002</v>
      </c>
      <c r="AS50" s="107">
        <f>404144.78*0.4</f>
        <v>161657.91200000001</v>
      </c>
      <c r="AT50" s="95"/>
      <c r="AU50" s="95"/>
      <c r="AV50" s="95"/>
      <c r="AW50" s="95"/>
      <c r="AX50" s="95"/>
      <c r="AY50" s="95"/>
    </row>
    <row r="51" spans="1:51" ht="37.5" customHeight="1" x14ac:dyDescent="0.3">
      <c r="A51" s="23" t="s">
        <v>301</v>
      </c>
      <c r="B51" s="95" t="s">
        <v>37</v>
      </c>
      <c r="C51" s="95" t="s">
        <v>38</v>
      </c>
      <c r="D51" s="95">
        <v>4151.6000000000004</v>
      </c>
      <c r="E51" s="24">
        <f t="shared" si="2"/>
        <v>1401610.9200000002</v>
      </c>
      <c r="F51" s="101">
        <v>906162.68400000001</v>
      </c>
      <c r="G51" s="101">
        <v>388355.43600000005</v>
      </c>
      <c r="H51" s="95">
        <f>107092.8*0.6</f>
        <v>64255.68</v>
      </c>
      <c r="I51" s="95">
        <f>107092.8*0.4</f>
        <v>42837.120000000003</v>
      </c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</row>
    <row r="52" spans="1:51" ht="37.5" customHeight="1" x14ac:dyDescent="0.3">
      <c r="A52" s="23" t="s">
        <v>302</v>
      </c>
      <c r="B52" s="95" t="s">
        <v>27</v>
      </c>
      <c r="C52" s="95" t="s">
        <v>42</v>
      </c>
      <c r="D52" s="95">
        <v>11233.4</v>
      </c>
      <c r="E52" s="24">
        <f t="shared" si="2"/>
        <v>1894078.07</v>
      </c>
      <c r="F52" s="101">
        <v>906162.68400000001</v>
      </c>
      <c r="G52" s="101">
        <v>388355.43600000005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>
        <v>0</v>
      </c>
      <c r="AK52" s="95"/>
      <c r="AL52" s="95"/>
      <c r="AM52" s="95"/>
      <c r="AN52" s="95"/>
      <c r="AO52" s="95"/>
      <c r="AP52" s="95"/>
      <c r="AQ52" s="95"/>
      <c r="AR52" s="95">
        <f>599559.95*0.6</f>
        <v>359735.97</v>
      </c>
      <c r="AS52" s="95">
        <f>599559.95*0.4</f>
        <v>239823.97999999998</v>
      </c>
      <c r="AT52" s="95"/>
      <c r="AU52" s="95"/>
      <c r="AV52" s="95"/>
      <c r="AW52" s="95"/>
      <c r="AX52" s="95"/>
      <c r="AY52" s="95"/>
    </row>
    <row r="53" spans="1:51" ht="37.5" customHeight="1" x14ac:dyDescent="0.3">
      <c r="A53" s="23" t="s">
        <v>303</v>
      </c>
      <c r="B53" s="95" t="s">
        <v>43</v>
      </c>
      <c r="C53" s="95" t="s">
        <v>44</v>
      </c>
      <c r="D53" s="95">
        <v>235.9</v>
      </c>
      <c r="E53" s="24">
        <f t="shared" si="2"/>
        <v>599559.94999999995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>
        <v>0</v>
      </c>
      <c r="AK53" s="95"/>
      <c r="AL53" s="95"/>
      <c r="AM53" s="95"/>
      <c r="AN53" s="95"/>
      <c r="AO53" s="95"/>
      <c r="AP53" s="95"/>
      <c r="AQ53" s="95"/>
      <c r="AR53" s="107">
        <f>599559.95*0.6</f>
        <v>359735.97</v>
      </c>
      <c r="AS53" s="107">
        <f>599559.95*0.4</f>
        <v>239823.97999999998</v>
      </c>
      <c r="AT53" s="95"/>
      <c r="AU53" s="95"/>
      <c r="AV53" s="95"/>
      <c r="AW53" s="95"/>
      <c r="AX53" s="95"/>
      <c r="AY53" s="95"/>
    </row>
    <row r="54" spans="1:51" ht="37.5" customHeight="1" x14ac:dyDescent="0.3">
      <c r="A54" s="23" t="s">
        <v>304</v>
      </c>
      <c r="B54" s="95" t="s">
        <v>27</v>
      </c>
      <c r="C54" s="95" t="s">
        <v>59</v>
      </c>
      <c r="D54" s="95">
        <v>16237.4</v>
      </c>
      <c r="E54" s="24">
        <f t="shared" si="2"/>
        <v>14520843.59</v>
      </c>
      <c r="F54" s="95">
        <f>(10356164.16*0.6)/2</f>
        <v>3106849.2480000001</v>
      </c>
      <c r="G54" s="101">
        <f>(10356164.16*0.4)/2</f>
        <v>2071232.8320000002</v>
      </c>
      <c r="H54" s="95"/>
      <c r="I54" s="95"/>
      <c r="J54" s="95">
        <f>8271591.51*0.6</f>
        <v>4962954.9059999995</v>
      </c>
      <c r="K54" s="95">
        <f>8271591.51*0.4</f>
        <v>3308636.6040000003</v>
      </c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>
        <f>1071170*0.6</f>
        <v>642702</v>
      </c>
      <c r="AS54" s="95">
        <f>1071170*0.4</f>
        <v>428468</v>
      </c>
      <c r="AT54" s="95"/>
      <c r="AU54" s="95"/>
      <c r="AV54" s="95"/>
      <c r="AW54" s="95"/>
      <c r="AX54" s="95"/>
      <c r="AY54" s="95"/>
    </row>
    <row r="55" spans="1:51" ht="37.5" customHeight="1" x14ac:dyDescent="0.3">
      <c r="A55" s="23" t="s">
        <v>305</v>
      </c>
      <c r="B55" s="95" t="s">
        <v>60</v>
      </c>
      <c r="C55" s="95" t="s">
        <v>61</v>
      </c>
      <c r="D55" s="95">
        <v>3051</v>
      </c>
      <c r="E55" s="24">
        <f t="shared" si="2"/>
        <v>5711202.0800000001</v>
      </c>
      <c r="F55" s="101">
        <f>(10356164.16*0.6)/2</f>
        <v>3106849.2480000001</v>
      </c>
      <c r="G55" s="101">
        <f>(10356164.16*0.4)/2</f>
        <v>2071232.8320000002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>
        <f>533120*0.6</f>
        <v>319872</v>
      </c>
      <c r="AS55" s="95">
        <f>533120*0.4</f>
        <v>213248</v>
      </c>
      <c r="AT55" s="95"/>
      <c r="AU55" s="95"/>
      <c r="AV55" s="95"/>
      <c r="AW55" s="95"/>
      <c r="AX55" s="95"/>
      <c r="AY55" s="95"/>
    </row>
    <row r="56" spans="1:51" ht="37.5" customHeight="1" x14ac:dyDescent="0.3">
      <c r="A56" s="23" t="s">
        <v>306</v>
      </c>
      <c r="B56" s="95" t="s">
        <v>64</v>
      </c>
      <c r="C56" s="95" t="s">
        <v>65</v>
      </c>
      <c r="D56" s="95">
        <v>1779.1</v>
      </c>
      <c r="E56" s="24">
        <f t="shared" si="2"/>
        <v>0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</row>
    <row r="57" spans="1:51" ht="37.5" customHeight="1" x14ac:dyDescent="0.3">
      <c r="A57" s="23" t="s">
        <v>307</v>
      </c>
      <c r="B57" s="95" t="s">
        <v>37</v>
      </c>
      <c r="C57" s="95" t="s">
        <v>69</v>
      </c>
      <c r="D57" s="95">
        <v>912.3</v>
      </c>
      <c r="E57" s="24">
        <f t="shared" si="2"/>
        <v>0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>
        <v>0</v>
      </c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</row>
    <row r="58" spans="1:51" ht="37.5" customHeight="1" x14ac:dyDescent="0.3">
      <c r="A58" s="23" t="s">
        <v>308</v>
      </c>
      <c r="B58" s="95" t="s">
        <v>37</v>
      </c>
      <c r="C58" s="95" t="s">
        <v>70</v>
      </c>
      <c r="D58" s="95">
        <v>1610.7</v>
      </c>
      <c r="E58" s="24">
        <f t="shared" si="2"/>
        <v>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>
        <v>0</v>
      </c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</row>
    <row r="59" spans="1:51" ht="37.5" customHeight="1" x14ac:dyDescent="0.3">
      <c r="A59" s="23" t="s">
        <v>309</v>
      </c>
      <c r="B59" s="19" t="s">
        <v>71</v>
      </c>
      <c r="C59" s="19" t="s">
        <v>72</v>
      </c>
      <c r="D59" s="19">
        <v>18956.5</v>
      </c>
      <c r="E59" s="24">
        <f t="shared" si="2"/>
        <v>20367374.000000004</v>
      </c>
      <c r="F59" s="95">
        <f>562927.83*0.6</f>
        <v>337756.69799999997</v>
      </c>
      <c r="G59" s="95">
        <f>562927.83*0.4</f>
        <v>225171.13199999998</v>
      </c>
      <c r="H59" s="95"/>
      <c r="I59" s="95"/>
      <c r="J59" s="95">
        <f>12859563.05*0.6</f>
        <v>7715737.8300000001</v>
      </c>
      <c r="K59" s="95">
        <f>12859563.05*0.4</f>
        <v>5143825.2200000007</v>
      </c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>
        <f>(58548.27+214676.99)*0.6</f>
        <v>163935.15599999999</v>
      </c>
      <c r="W59" s="95">
        <f>(58548.27+214676.99)*0.4</f>
        <v>109290.10400000001</v>
      </c>
      <c r="X59" s="95"/>
      <c r="Y59" s="95"/>
      <c r="Z59" s="95"/>
      <c r="AA59" s="95"/>
      <c r="AB59" s="95"/>
      <c r="AC59" s="95"/>
      <c r="AD59" s="95"/>
      <c r="AE59" s="95"/>
      <c r="AF59" s="95">
        <f>(2035184.51+3179649.66)*0.6</f>
        <v>3128900.5019999999</v>
      </c>
      <c r="AG59" s="95">
        <f>(2035184.51+3179649.66)*0.4</f>
        <v>2085933.6680000001</v>
      </c>
      <c r="AH59" s="95"/>
      <c r="AI59" s="95"/>
      <c r="AJ59" s="95">
        <v>0</v>
      </c>
      <c r="AK59" s="95"/>
      <c r="AL59" s="95"/>
      <c r="AM59" s="95"/>
      <c r="AN59" s="95"/>
      <c r="AO59" s="95"/>
      <c r="AP59" s="95">
        <v>0</v>
      </c>
      <c r="AQ59" s="95"/>
      <c r="AR59" s="95">
        <f>(467976+988847.69)*0.6</f>
        <v>874094.21399999992</v>
      </c>
      <c r="AS59" s="95">
        <f>(467976+988847.69)*0.4</f>
        <v>582729.47600000002</v>
      </c>
      <c r="AT59" s="95"/>
      <c r="AU59" s="95"/>
      <c r="AV59" s="95"/>
      <c r="AW59" s="95"/>
      <c r="AX59" s="95"/>
      <c r="AY59" s="95"/>
    </row>
    <row r="60" spans="1:51" ht="37.5" customHeight="1" x14ac:dyDescent="0.3">
      <c r="A60" s="23" t="s">
        <v>310</v>
      </c>
      <c r="B60" s="19" t="s">
        <v>73</v>
      </c>
      <c r="C60" s="19" t="s">
        <v>74</v>
      </c>
      <c r="D60" s="19">
        <v>2378.5</v>
      </c>
      <c r="E60" s="24">
        <f t="shared" si="2"/>
        <v>4616327.1399999997</v>
      </c>
      <c r="F60" s="95">
        <f>75712.21*0.6</f>
        <v>45427.326000000001</v>
      </c>
      <c r="G60" s="95">
        <f>75712.21*0.4</f>
        <v>30284.884000000005</v>
      </c>
      <c r="H60" s="95"/>
      <c r="I60" s="95"/>
      <c r="J60" s="95">
        <f>3461328.81*0.6</f>
        <v>2076797.2859999998</v>
      </c>
      <c r="K60" s="95">
        <f>3461328.81*0.4</f>
        <v>1384531.5240000002</v>
      </c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>
        <f>35128.96*0.6</f>
        <v>21077.376</v>
      </c>
      <c r="W60" s="95">
        <f>35128.96*0.4</f>
        <v>14051.584000000001</v>
      </c>
      <c r="X60" s="95"/>
      <c r="Y60" s="95"/>
      <c r="Z60" s="95"/>
      <c r="AA60" s="95"/>
      <c r="AB60" s="95"/>
      <c r="AC60" s="95"/>
      <c r="AD60" s="95"/>
      <c r="AE60" s="95"/>
      <c r="AF60" s="95">
        <f>(273662.61+597898.55)*0.6</f>
        <v>522936.696</v>
      </c>
      <c r="AG60" s="95">
        <f>(273662.61+597898.55)*0.4</f>
        <v>348624.46400000004</v>
      </c>
      <c r="AH60" s="95"/>
      <c r="AI60" s="95"/>
      <c r="AJ60" s="95"/>
      <c r="AK60" s="95"/>
      <c r="AL60" s="95"/>
      <c r="AM60" s="95"/>
      <c r="AN60" s="95"/>
      <c r="AO60" s="95"/>
      <c r="AP60" s="95">
        <v>0</v>
      </c>
      <c r="AQ60" s="95"/>
      <c r="AR60" s="95">
        <f>172596*0.6</f>
        <v>103557.59999999999</v>
      </c>
      <c r="AS60" s="95">
        <f>172596*0.4</f>
        <v>69038.400000000009</v>
      </c>
      <c r="AT60" s="95"/>
      <c r="AU60" s="95"/>
      <c r="AV60" s="95"/>
      <c r="AW60" s="95"/>
      <c r="AX60" s="95"/>
      <c r="AY60" s="95"/>
    </row>
    <row r="61" spans="1:51" ht="37.5" customHeight="1" x14ac:dyDescent="0.3">
      <c r="A61" s="23" t="s">
        <v>311</v>
      </c>
      <c r="B61" s="19" t="s">
        <v>75</v>
      </c>
      <c r="C61" s="19" t="s">
        <v>76</v>
      </c>
      <c r="D61" s="19">
        <v>6733.6</v>
      </c>
      <c r="E61" s="24">
        <f t="shared" si="2"/>
        <v>12641042.520000001</v>
      </c>
      <c r="F61" s="95">
        <f>246767.81*0.6</f>
        <v>148060.68599999999</v>
      </c>
      <c r="G61" s="95">
        <f>246767.81*0.4</f>
        <v>98707.124000000011</v>
      </c>
      <c r="H61" s="95">
        <f>83294.4*0.6</f>
        <v>49976.639999999992</v>
      </c>
      <c r="I61" s="95">
        <f>83294.4*0.4</f>
        <v>33317.760000000002</v>
      </c>
      <c r="J61" s="95">
        <f>11241387.64*0.6</f>
        <v>6744832.5839999998</v>
      </c>
      <c r="K61" s="95">
        <f>11241387.64*0.4</f>
        <v>4496555.0560000008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>
        <f>(722924.51+271167.99)*0.6</f>
        <v>596455.5</v>
      </c>
      <c r="AG61" s="95">
        <f>(722924.51+271167.99)*0.4</f>
        <v>397637</v>
      </c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>
        <f>(58216.8+17283.37)*0.6</f>
        <v>45300.101999999999</v>
      </c>
      <c r="AS61" s="95">
        <f>(58216.8+17283.37)*0.4</f>
        <v>30200.067999999999</v>
      </c>
      <c r="AT61" s="95"/>
      <c r="AU61" s="95"/>
      <c r="AV61" s="95"/>
      <c r="AW61" s="95"/>
      <c r="AX61" s="95"/>
      <c r="AY61" s="95"/>
    </row>
    <row r="62" spans="1:51" ht="37.5" customHeight="1" x14ac:dyDescent="0.3">
      <c r="A62" s="23" t="s">
        <v>312</v>
      </c>
      <c r="B62" s="19" t="s">
        <v>77</v>
      </c>
      <c r="C62" s="19" t="s">
        <v>78</v>
      </c>
      <c r="D62" s="19">
        <v>1557</v>
      </c>
      <c r="E62" s="24">
        <f t="shared" si="2"/>
        <v>2041426.8499999999</v>
      </c>
      <c r="F62" s="95">
        <f>46241.68*0.6</f>
        <v>27745.007999999998</v>
      </c>
      <c r="G62" s="95">
        <f>46241.68*0.4</f>
        <v>18496.672000000002</v>
      </c>
      <c r="H62" s="95"/>
      <c r="I62" s="95"/>
      <c r="J62" s="95">
        <f>1156236.95*0.6</f>
        <v>693742.16999999993</v>
      </c>
      <c r="K62" s="95">
        <f>1156236.95*0.4</f>
        <v>462494.78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>
        <f>(167160.73+341151.38)*0.6</f>
        <v>304987.266</v>
      </c>
      <c r="AG62" s="95">
        <f>(167160.73+341151.38)*0.4</f>
        <v>203324.84400000001</v>
      </c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>
        <f>(88144.8+255691.31)*0.6</f>
        <v>206301.666</v>
      </c>
      <c r="AS62" s="95">
        <f>(55144.8+255691.31)*0.4</f>
        <v>124334.444</v>
      </c>
      <c r="AT62" s="95"/>
      <c r="AU62" s="95"/>
      <c r="AV62" s="95"/>
      <c r="AW62" s="95"/>
      <c r="AX62" s="95"/>
      <c r="AY62" s="95"/>
    </row>
    <row r="63" spans="1:51" ht="37.5" customHeight="1" x14ac:dyDescent="0.3">
      <c r="A63" s="23" t="s">
        <v>313</v>
      </c>
      <c r="B63" s="19" t="s">
        <v>79</v>
      </c>
      <c r="C63" s="19" t="s">
        <v>80</v>
      </c>
      <c r="D63" s="19">
        <v>5057.3</v>
      </c>
      <c r="E63" s="24">
        <f t="shared" si="2"/>
        <v>2262684.25</v>
      </c>
      <c r="F63" s="95">
        <f>150197.84*0.6</f>
        <v>90118.703999999998</v>
      </c>
      <c r="G63" s="95">
        <f>150197.84*0.4</f>
        <v>60079.135999999999</v>
      </c>
      <c r="H63" s="95"/>
      <c r="I63" s="95"/>
      <c r="J63" s="95">
        <f>97768.2*0.6</f>
        <v>58660.92</v>
      </c>
      <c r="K63" s="95">
        <f>97768.2*0.4</f>
        <v>39107.279999999999</v>
      </c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>
        <f>107338.5*0.6</f>
        <v>64403.1</v>
      </c>
      <c r="W63" s="95">
        <f>107338.5*0.4</f>
        <v>42935.4</v>
      </c>
      <c r="X63" s="95"/>
      <c r="Y63" s="95"/>
      <c r="Z63" s="95"/>
      <c r="AA63" s="95"/>
      <c r="AB63" s="95"/>
      <c r="AC63" s="95"/>
      <c r="AD63" s="95"/>
      <c r="AE63" s="95"/>
      <c r="AF63" s="95">
        <f>(542955.64+1028402.47)*0.6</f>
        <v>942814.86599999992</v>
      </c>
      <c r="AG63" s="95">
        <f>(542955.64+1028402.47)*0.4</f>
        <v>628543.24399999995</v>
      </c>
      <c r="AH63" s="95"/>
      <c r="AI63" s="95"/>
      <c r="AJ63" s="95">
        <v>0</v>
      </c>
      <c r="AK63" s="95"/>
      <c r="AL63" s="95"/>
      <c r="AM63" s="95"/>
      <c r="AN63" s="95"/>
      <c r="AO63" s="95"/>
      <c r="AP63" s="95"/>
      <c r="AQ63" s="95"/>
      <c r="AR63" s="95">
        <f>336021.6*0.6</f>
        <v>201612.96</v>
      </c>
      <c r="AS63" s="95">
        <f>336021.6*0.4</f>
        <v>134408.63999999998</v>
      </c>
      <c r="AT63" s="95"/>
      <c r="AU63" s="95"/>
      <c r="AV63" s="95"/>
      <c r="AW63" s="95"/>
      <c r="AX63" s="95"/>
      <c r="AY63" s="95"/>
    </row>
    <row r="64" spans="1:51" ht="37.5" customHeight="1" x14ac:dyDescent="0.3">
      <c r="A64" s="23" t="s">
        <v>517</v>
      </c>
      <c r="B64" s="19" t="s">
        <v>81</v>
      </c>
      <c r="C64" s="19" t="s">
        <v>82</v>
      </c>
      <c r="D64" s="19">
        <v>286.89999999999998</v>
      </c>
      <c r="E64" s="24">
        <f t="shared" si="2"/>
        <v>0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</row>
    <row r="65" spans="1:51" ht="37.5" customHeight="1" x14ac:dyDescent="0.3">
      <c r="A65" s="23" t="s">
        <v>520</v>
      </c>
      <c r="B65" s="19" t="s">
        <v>81</v>
      </c>
      <c r="C65" s="19" t="s">
        <v>83</v>
      </c>
      <c r="D65" s="19">
        <v>155.69999999999999</v>
      </c>
      <c r="E65" s="24">
        <f t="shared" si="2"/>
        <v>0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>
        <v>0</v>
      </c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</row>
    <row r="66" spans="1:51" ht="37.5" customHeight="1" x14ac:dyDescent="0.3">
      <c r="A66" s="23" t="s">
        <v>521</v>
      </c>
      <c r="B66" s="19" t="s">
        <v>81</v>
      </c>
      <c r="C66" s="19" t="s">
        <v>84</v>
      </c>
      <c r="D66" s="19">
        <v>1142.7</v>
      </c>
      <c r="E66" s="24">
        <f t="shared" si="2"/>
        <v>2399270.63</v>
      </c>
      <c r="F66" s="95"/>
      <c r="G66" s="95">
        <v>33937.29</v>
      </c>
      <c r="H66" s="95"/>
      <c r="I66" s="95"/>
      <c r="J66" s="95">
        <f>1692286.07*0.6</f>
        <v>1015371.642</v>
      </c>
      <c r="K66" s="95">
        <f>1692286.07*0.4</f>
        <v>676914.42800000007</v>
      </c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>
        <f>(218580.21+56596.66)*0.6</f>
        <v>165106.122</v>
      </c>
      <c r="W66" s="95">
        <f>(218580.21+56596.66)*0.4</f>
        <v>110070.74800000001</v>
      </c>
      <c r="X66" s="95"/>
      <c r="Y66" s="95"/>
      <c r="Z66" s="95"/>
      <c r="AA66" s="95"/>
      <c r="AB66" s="95"/>
      <c r="AC66" s="95"/>
      <c r="AD66" s="95"/>
      <c r="AE66" s="95"/>
      <c r="AF66" s="95">
        <f>59692.59*0.6</f>
        <v>35815.553999999996</v>
      </c>
      <c r="AG66" s="95">
        <f>59692.59*0.4</f>
        <v>23877.036</v>
      </c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>
        <f>(171145.2+167032.61)*0.6</f>
        <v>202906.68599999999</v>
      </c>
      <c r="AS66" s="95">
        <f>(171145.2+167032.61)*0.4</f>
        <v>135271.12400000001</v>
      </c>
      <c r="AT66" s="95"/>
      <c r="AU66" s="95"/>
      <c r="AV66" s="95"/>
      <c r="AW66" s="95"/>
      <c r="AX66" s="95"/>
      <c r="AY66" s="95"/>
    </row>
    <row r="67" spans="1:51" ht="37.5" customHeight="1" x14ac:dyDescent="0.3">
      <c r="A67" s="23" t="s">
        <v>522</v>
      </c>
      <c r="B67" s="19" t="s">
        <v>81</v>
      </c>
      <c r="C67" s="19" t="s">
        <v>85</v>
      </c>
      <c r="D67" s="19">
        <v>1186.4000000000001</v>
      </c>
      <c r="E67" s="24">
        <f t="shared" si="2"/>
        <v>5179690.67</v>
      </c>
      <c r="F67" s="95">
        <f>85560.47*0.6</f>
        <v>51336.281999999999</v>
      </c>
      <c r="G67" s="95">
        <f>85560.47*0.4</f>
        <v>34224.188000000002</v>
      </c>
      <c r="H67" s="95"/>
      <c r="I67" s="95"/>
      <c r="J67" s="95">
        <f>4407113.45*0.6</f>
        <v>2644268.0699999998</v>
      </c>
      <c r="K67" s="95">
        <f>4407113.45*0.4</f>
        <v>1762845.3800000001</v>
      </c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>
        <f>127329.88*0.6</f>
        <v>76397.928</v>
      </c>
      <c r="AG67" s="95">
        <f>127329.88*0.4</f>
        <v>50931.952000000005</v>
      </c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>
        <f>(178802.4+380884.47)*0.6</f>
        <v>335812.12199999997</v>
      </c>
      <c r="AS67" s="95">
        <f>(178802.4+380884.47)*0.4</f>
        <v>223874.74800000002</v>
      </c>
      <c r="AT67" s="95"/>
      <c r="AU67" s="95"/>
      <c r="AV67" s="95"/>
      <c r="AW67" s="95"/>
      <c r="AX67" s="95"/>
      <c r="AY67" s="95"/>
    </row>
    <row r="68" spans="1:51" ht="37.5" customHeight="1" x14ac:dyDescent="0.3">
      <c r="A68" s="23" t="s">
        <v>523</v>
      </c>
      <c r="B68" s="19" t="s">
        <v>81</v>
      </c>
      <c r="C68" s="19" t="s">
        <v>86</v>
      </c>
      <c r="D68" s="19">
        <v>122.7</v>
      </c>
      <c r="E68" s="24">
        <f t="shared" si="2"/>
        <v>7069.03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>
        <f>7069.03*0.6</f>
        <v>4241.4179999999997</v>
      </c>
      <c r="AG68" s="95">
        <f>7069.03*0.4</f>
        <v>2827.6120000000001</v>
      </c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</row>
    <row r="69" spans="1:51" ht="37.5" customHeight="1" x14ac:dyDescent="0.3">
      <c r="A69" s="23" t="s">
        <v>524</v>
      </c>
      <c r="B69" s="19" t="s">
        <v>60</v>
      </c>
      <c r="C69" s="19" t="s">
        <v>89</v>
      </c>
      <c r="D69" s="19">
        <v>11053.9</v>
      </c>
      <c r="E69" s="24">
        <f t="shared" si="2"/>
        <v>8909094.8071428575</v>
      </c>
      <c r="F69" s="95">
        <f>328292.15*0.6</f>
        <v>196975.29</v>
      </c>
      <c r="G69" s="95">
        <f>328292.15*0.4</f>
        <v>131316.86000000002</v>
      </c>
      <c r="H69" s="95">
        <f>(2028837.21*0.6)/7</f>
        <v>173900.33228571428</v>
      </c>
      <c r="I69" s="107">
        <f>(2028837.21*0.4)/7</f>
        <v>115933.55485714287</v>
      </c>
      <c r="J69" s="95">
        <f>(3603591.09+638426.35)*0.6</f>
        <v>2545210.4639999997</v>
      </c>
      <c r="K69" s="95">
        <f>(3603591.09+638426.35)*0.4</f>
        <v>1696806.9759999998</v>
      </c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>
        <f>(29274.14*0.6)/2</f>
        <v>8782.2420000000002</v>
      </c>
      <c r="W69" s="95">
        <f>(29274.14*0.4)/2</f>
        <v>5854.8280000000004</v>
      </c>
      <c r="X69" s="95"/>
      <c r="Y69" s="95"/>
      <c r="Z69" s="95"/>
      <c r="AA69" s="95"/>
      <c r="AB69" s="95"/>
      <c r="AC69" s="95"/>
      <c r="AD69" s="95"/>
      <c r="AE69" s="95"/>
      <c r="AF69" s="95">
        <f>(1186755.26+1706463.82)*0.6</f>
        <v>1735931.4480000001</v>
      </c>
      <c r="AG69" s="95">
        <f>(1186755.26+1706463.82)*0.4</f>
        <v>1157287.632</v>
      </c>
      <c r="AH69" s="95"/>
      <c r="AI69" s="95"/>
      <c r="AJ69" s="95">
        <v>0</v>
      </c>
      <c r="AK69" s="95"/>
      <c r="AL69" s="95"/>
      <c r="AM69" s="95"/>
      <c r="AN69" s="95">
        <v>0</v>
      </c>
      <c r="AO69" s="95"/>
      <c r="AP69" s="95"/>
      <c r="AQ69" s="95"/>
      <c r="AR69" s="95">
        <f>(252036+889059.18)*0.6</f>
        <v>684657.10800000012</v>
      </c>
      <c r="AS69" s="95">
        <f>(252036+889059.18)*0.4</f>
        <v>456438.0720000001</v>
      </c>
      <c r="AT69" s="95"/>
      <c r="AU69" s="95"/>
      <c r="AV69" s="95"/>
      <c r="AW69" s="95"/>
      <c r="AX69" s="95"/>
      <c r="AY69" s="95"/>
    </row>
    <row r="70" spans="1:51" ht="37.5" customHeight="1" x14ac:dyDescent="0.3">
      <c r="A70" s="23" t="s">
        <v>525</v>
      </c>
      <c r="B70" s="19" t="s">
        <v>90</v>
      </c>
      <c r="C70" s="19" t="s">
        <v>91</v>
      </c>
      <c r="D70" s="19">
        <v>17563.900000000001</v>
      </c>
      <c r="E70" s="24">
        <f t="shared" si="2"/>
        <v>4647460.9971428569</v>
      </c>
      <c r="F70" s="95">
        <f>521634.05*0.6</f>
        <v>312980.43</v>
      </c>
      <c r="G70" s="95">
        <f>521634.05*0.4</f>
        <v>208653.62</v>
      </c>
      <c r="H70" s="95">
        <f>H69</f>
        <v>173900.33228571428</v>
      </c>
      <c r="I70" s="107">
        <f t="shared" ref="I70:I75" si="3">(2028837.21*0.4)/7</f>
        <v>115933.55485714287</v>
      </c>
      <c r="J70" s="95">
        <f>1162139.47*0.6</f>
        <v>697283.68199999991</v>
      </c>
      <c r="K70" s="95">
        <f>1162139.47*0.4</f>
        <v>464855.788</v>
      </c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>
        <f>105386.89*0.7</f>
        <v>73770.822999999989</v>
      </c>
      <c r="W70" s="95">
        <f>105386.89*0.3</f>
        <v>31616.066999999999</v>
      </c>
      <c r="X70" s="95"/>
      <c r="Y70" s="95"/>
      <c r="Z70" s="95"/>
      <c r="AA70" s="95"/>
      <c r="AB70" s="95"/>
      <c r="AC70" s="95"/>
      <c r="AD70" s="95"/>
      <c r="AE70" s="95"/>
      <c r="AF70" s="95">
        <f>1885673.9*0.6</f>
        <v>1131404.3399999999</v>
      </c>
      <c r="AG70" s="95">
        <f>1885673.9*0.4</f>
        <v>754269.56</v>
      </c>
      <c r="AH70" s="95"/>
      <c r="AI70" s="95"/>
      <c r="AJ70" s="95">
        <v>0</v>
      </c>
      <c r="AK70" s="95"/>
      <c r="AL70" s="95"/>
      <c r="AM70" s="95"/>
      <c r="AN70" s="95"/>
      <c r="AO70" s="95"/>
      <c r="AP70" s="95"/>
      <c r="AQ70" s="95"/>
      <c r="AR70" s="95">
        <f>682792.8*0.6</f>
        <v>409675.68</v>
      </c>
      <c r="AS70" s="95">
        <f>682792.8*0.4</f>
        <v>273117.12000000005</v>
      </c>
      <c r="AT70" s="95"/>
      <c r="AU70" s="95"/>
      <c r="AV70" s="95"/>
      <c r="AW70" s="95"/>
      <c r="AX70" s="95"/>
      <c r="AY70" s="95"/>
    </row>
    <row r="71" spans="1:51" ht="37.5" customHeight="1" x14ac:dyDescent="0.3">
      <c r="A71" s="23" t="s">
        <v>526</v>
      </c>
      <c r="B71" s="19" t="s">
        <v>92</v>
      </c>
      <c r="C71" s="19" t="s">
        <v>93</v>
      </c>
      <c r="D71" s="19">
        <v>21448.3</v>
      </c>
      <c r="E71" s="24">
        <f t="shared" si="2"/>
        <v>10595174.057142857</v>
      </c>
      <c r="F71" s="95">
        <f>711890.19*0.6</f>
        <v>427134.11399999994</v>
      </c>
      <c r="G71" s="95">
        <f>711890.19*0.4</f>
        <v>284756.076</v>
      </c>
      <c r="H71" s="107">
        <f t="shared" ref="H71:H75" si="4">H70</f>
        <v>173900.33228571428</v>
      </c>
      <c r="I71" s="107">
        <f t="shared" si="3"/>
        <v>115933.55485714287</v>
      </c>
      <c r="J71" s="109">
        <f>3603591.09*0.6</f>
        <v>2162154.6539999996</v>
      </c>
      <c r="K71" s="109">
        <f>3603591.09*0.4</f>
        <v>1441436.436</v>
      </c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>
        <f>V69</f>
        <v>8782.2420000000002</v>
      </c>
      <c r="W71" s="111">
        <f>W69</f>
        <v>5854.8280000000004</v>
      </c>
      <c r="X71" s="95"/>
      <c r="Y71" s="95"/>
      <c r="Z71" s="95"/>
      <c r="AA71" s="95"/>
      <c r="AB71" s="95"/>
      <c r="AC71" s="95"/>
      <c r="AD71" s="95"/>
      <c r="AE71" s="95"/>
      <c r="AF71" s="95">
        <f>(2302706.09+1499906.77)*0.6</f>
        <v>2281567.716</v>
      </c>
      <c r="AG71" s="95">
        <f>(2302706.09+1499906.77)*0.4</f>
        <v>1521045.1440000001</v>
      </c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>
        <f>(576090+1596518.96)*0.6</f>
        <v>1303565.3759999999</v>
      </c>
      <c r="AS71" s="95">
        <f>(576090+1596518.96)*0.4</f>
        <v>869043.58400000003</v>
      </c>
      <c r="AT71" s="95"/>
      <c r="AU71" s="95"/>
      <c r="AV71" s="95"/>
      <c r="AW71" s="95"/>
      <c r="AX71" s="95"/>
      <c r="AY71" s="95"/>
    </row>
    <row r="72" spans="1:51" ht="37.5" customHeight="1" x14ac:dyDescent="0.3">
      <c r="A72" s="23" t="s">
        <v>527</v>
      </c>
      <c r="B72" s="19" t="s">
        <v>81</v>
      </c>
      <c r="C72" s="19" t="s">
        <v>96</v>
      </c>
      <c r="D72" s="19">
        <v>60.7</v>
      </c>
      <c r="E72" s="24">
        <f t="shared" si="2"/>
        <v>434435.53714285715</v>
      </c>
      <c r="F72" s="95"/>
      <c r="G72" s="95"/>
      <c r="H72" s="107">
        <f t="shared" si="4"/>
        <v>173900.33228571428</v>
      </c>
      <c r="I72" s="107">
        <f t="shared" si="3"/>
        <v>115933.55485714287</v>
      </c>
      <c r="J72" s="95">
        <f>136549.59*0.6</f>
        <v>81929.754000000001</v>
      </c>
      <c r="K72" s="95">
        <f>136549.59*0.4</f>
        <v>54619.836000000003</v>
      </c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>
        <f>8052.06*0.6</f>
        <v>4831.2359999999999</v>
      </c>
      <c r="AG72" s="95">
        <f>8052.06*0.4</f>
        <v>3220.8240000000005</v>
      </c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</row>
    <row r="73" spans="1:51" ht="37.5" customHeight="1" x14ac:dyDescent="0.3">
      <c r="A73" s="23" t="s">
        <v>528</v>
      </c>
      <c r="B73" s="19" t="s">
        <v>73</v>
      </c>
      <c r="C73" s="19" t="s">
        <v>97</v>
      </c>
      <c r="D73" s="19">
        <v>358.3</v>
      </c>
      <c r="E73" s="24">
        <f t="shared" si="2"/>
        <v>997899.7971428571</v>
      </c>
      <c r="F73" s="95">
        <f>15262.43</f>
        <v>15262.43</v>
      </c>
      <c r="G73" s="95"/>
      <c r="H73" s="107">
        <f t="shared" si="4"/>
        <v>173900.33228571428</v>
      </c>
      <c r="I73" s="107">
        <f t="shared" si="3"/>
        <v>115933.55485714287</v>
      </c>
      <c r="J73" s="95">
        <f>553368.01*0.6</f>
        <v>332020.80599999998</v>
      </c>
      <c r="K73" s="95">
        <f>553368.01*0.4</f>
        <v>221347.20400000003</v>
      </c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>
        <f>38467.37*0.6</f>
        <v>23080.422000000002</v>
      </c>
      <c r="AG73" s="95">
        <f>38467.37*0.4</f>
        <v>15386.948000000002</v>
      </c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>
        <f>(76377.7+24590.4)*0.6</f>
        <v>60580.86</v>
      </c>
      <c r="AS73" s="95">
        <f>(76377.7+24590.4)*0.4</f>
        <v>40387.240000000005</v>
      </c>
      <c r="AT73" s="95"/>
      <c r="AU73" s="95"/>
      <c r="AV73" s="95"/>
      <c r="AW73" s="95"/>
      <c r="AX73" s="95"/>
      <c r="AY73" s="95"/>
    </row>
    <row r="74" spans="1:51" ht="37.5" customHeight="1" x14ac:dyDescent="0.3">
      <c r="A74" s="23" t="s">
        <v>529</v>
      </c>
      <c r="B74" s="19" t="s">
        <v>98</v>
      </c>
      <c r="C74" s="19" t="s">
        <v>99</v>
      </c>
      <c r="D74" s="19">
        <v>196.6</v>
      </c>
      <c r="E74" s="24">
        <f t="shared" ref="E74:E81" si="5">SUM(F74:AU74)</f>
        <v>289833.88714285713</v>
      </c>
      <c r="F74" s="95"/>
      <c r="G74" s="95"/>
      <c r="H74" s="107">
        <f t="shared" si="4"/>
        <v>173900.33228571428</v>
      </c>
      <c r="I74" s="107">
        <f t="shared" si="3"/>
        <v>115933.55485714287</v>
      </c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</row>
    <row r="75" spans="1:51" ht="37.5" customHeight="1" x14ac:dyDescent="0.3">
      <c r="A75" s="23" t="s">
        <v>530</v>
      </c>
      <c r="B75" s="19" t="s">
        <v>81</v>
      </c>
      <c r="C75" s="19" t="s">
        <v>100</v>
      </c>
      <c r="D75" s="19">
        <v>54.4</v>
      </c>
      <c r="E75" s="24">
        <f t="shared" si="5"/>
        <v>289833.88714285713</v>
      </c>
      <c r="F75" s="95"/>
      <c r="G75" s="95"/>
      <c r="H75" s="107">
        <f t="shared" si="4"/>
        <v>173900.33228571428</v>
      </c>
      <c r="I75" s="107">
        <f t="shared" si="3"/>
        <v>115933.55485714287</v>
      </c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</row>
    <row r="76" spans="1:51" ht="56.25" customHeight="1" x14ac:dyDescent="0.3">
      <c r="A76" s="23" t="s">
        <v>531</v>
      </c>
      <c r="B76" s="19" t="s">
        <v>119</v>
      </c>
      <c r="C76" s="19" t="s">
        <v>120</v>
      </c>
      <c r="D76" s="19">
        <v>5741.2</v>
      </c>
      <c r="E76" s="24">
        <f t="shared" si="5"/>
        <v>2690902.0300000003</v>
      </c>
      <c r="F76" s="95">
        <f>166018.61*0.6</f>
        <v>99611.165999999983</v>
      </c>
      <c r="G76" s="95">
        <f>166018.61*0.4</f>
        <v>66407.444000000003</v>
      </c>
      <c r="H76" s="19">
        <f>140410.56*0.6</f>
        <v>84246.335999999996</v>
      </c>
      <c r="I76" s="95">
        <f>140410.56*0.4</f>
        <v>56164.224000000002</v>
      </c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>
        <f>(600243.35+731644.6)*0.6</f>
        <v>799132.7699999999</v>
      </c>
      <c r="AG76" s="95">
        <f>(600243.35+731644.6)*0.4</f>
        <v>532755.18000000005</v>
      </c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>
        <f>(259630.8+294076.8+498877.31)*0.6</f>
        <v>631550.94599999988</v>
      </c>
      <c r="AS76" s="95">
        <f>(259630.8+294076.8+498877.31)*0.4</f>
        <v>421033.96399999998</v>
      </c>
      <c r="AT76" s="95"/>
      <c r="AU76" s="95"/>
      <c r="AV76" s="95"/>
      <c r="AW76" s="95"/>
      <c r="AX76" s="95"/>
      <c r="AY76" s="95"/>
    </row>
    <row r="77" spans="1:51" ht="37.5" customHeight="1" x14ac:dyDescent="0.3">
      <c r="A77" s="23" t="s">
        <v>532</v>
      </c>
      <c r="B77" s="19" t="s">
        <v>128</v>
      </c>
      <c r="C77" s="19" t="s">
        <v>129</v>
      </c>
      <c r="D77" s="19">
        <v>3106.9</v>
      </c>
      <c r="E77" s="24">
        <f t="shared" si="5"/>
        <v>4226276.3600000003</v>
      </c>
      <c r="F77" s="95">
        <f>1294520.52*0.6</f>
        <v>776712.31200000003</v>
      </c>
      <c r="G77" s="109">
        <f>1294520.52*0.4</f>
        <v>517808.20800000004</v>
      </c>
      <c r="H77" s="19">
        <f>72466.13*0.6</f>
        <v>43479.678</v>
      </c>
      <c r="I77" s="95">
        <f>72466.13*0.4</f>
        <v>28986.452000000005</v>
      </c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>
        <f>25370.92+138900</f>
        <v>164270.91999999998</v>
      </c>
      <c r="X77" s="95"/>
      <c r="Y77" s="95"/>
      <c r="Z77" s="95"/>
      <c r="AA77" s="95"/>
      <c r="AB77" s="95"/>
      <c r="AC77" s="95"/>
      <c r="AD77" s="95"/>
      <c r="AE77" s="95"/>
      <c r="AF77" s="95">
        <f>(333569.92+2361448.87)*0.6</f>
        <v>1617011.274</v>
      </c>
      <c r="AG77" s="95">
        <f>(333569.92+2361448.87)*0.4</f>
        <v>1078007.5160000001</v>
      </c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</row>
    <row r="78" spans="1:51" ht="37.5" customHeight="1" x14ac:dyDescent="0.3">
      <c r="A78" s="23" t="s">
        <v>533</v>
      </c>
      <c r="B78" s="19" t="s">
        <v>130</v>
      </c>
      <c r="C78" s="19" t="s">
        <v>131</v>
      </c>
      <c r="D78" s="19">
        <v>18213.3</v>
      </c>
      <c r="E78" s="24">
        <f t="shared" si="5"/>
        <v>9406844.0199999996</v>
      </c>
      <c r="F78" s="95">
        <f>3883563.6*0.6</f>
        <v>2330138.16</v>
      </c>
      <c r="G78" s="95">
        <f>3883563.6*0.4</f>
        <v>1553425.4400000002</v>
      </c>
      <c r="H78" s="19">
        <f>230844.48*0.6</f>
        <v>138506.68799999999</v>
      </c>
      <c r="I78" s="95">
        <f>230844.48*0.4</f>
        <v>92337.792000000016</v>
      </c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>
        <f>138900*0.6</f>
        <v>83340</v>
      </c>
      <c r="W78" s="111">
        <f>138900*0.4</f>
        <v>55560</v>
      </c>
      <c r="X78" s="95"/>
      <c r="Y78" s="95"/>
      <c r="Z78" s="95"/>
      <c r="AA78" s="95"/>
      <c r="AB78" s="95"/>
      <c r="AC78" s="95"/>
      <c r="AD78" s="95"/>
      <c r="AE78" s="95"/>
      <c r="AF78" s="95">
        <f>(1992390.51+1852934.12)*0.6</f>
        <v>2307194.7779999999</v>
      </c>
      <c r="AG78" s="95">
        <f>(1992390.51+1852934.12)*0.4</f>
        <v>1538129.852</v>
      </c>
      <c r="AH78" s="95"/>
      <c r="AI78" s="95"/>
      <c r="AJ78" s="95">
        <v>0</v>
      </c>
      <c r="AK78" s="95"/>
      <c r="AL78" s="95"/>
      <c r="AM78" s="95"/>
      <c r="AN78" s="95"/>
      <c r="AO78" s="95"/>
      <c r="AP78" s="95"/>
      <c r="AQ78" s="95"/>
      <c r="AR78" s="95">
        <f>(105570+431878.8+770762.51)*0.6</f>
        <v>784926.78599999996</v>
      </c>
      <c r="AS78" s="95">
        <f>(105570+431878.8+770762.51)*0.4</f>
        <v>523284.52400000003</v>
      </c>
      <c r="AT78" s="95"/>
      <c r="AU78" s="95"/>
      <c r="AV78" s="95"/>
      <c r="AW78" s="95"/>
      <c r="AX78" s="95"/>
      <c r="AY78" s="95"/>
    </row>
    <row r="79" spans="1:51" ht="37.5" customHeight="1" x14ac:dyDescent="0.3">
      <c r="A79" s="23" t="s">
        <v>534</v>
      </c>
      <c r="B79" s="19" t="s">
        <v>136</v>
      </c>
      <c r="C79" s="19" t="s">
        <v>137</v>
      </c>
      <c r="D79" s="19">
        <v>1318.7</v>
      </c>
      <c r="E79" s="24">
        <f t="shared" si="5"/>
        <v>0</v>
      </c>
      <c r="F79" s="95"/>
      <c r="G79" s="95"/>
      <c r="H79" s="19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</row>
    <row r="80" spans="1:51" ht="37.5" customHeight="1" x14ac:dyDescent="0.3">
      <c r="A80" s="23" t="s">
        <v>535</v>
      </c>
      <c r="B80" s="19" t="s">
        <v>142</v>
      </c>
      <c r="C80" s="19" t="s">
        <v>143</v>
      </c>
      <c r="D80" s="19">
        <v>1453.6</v>
      </c>
      <c r="E80" s="24">
        <f t="shared" si="5"/>
        <v>150531.6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>
        <f>150531.6*0.6</f>
        <v>90318.96</v>
      </c>
      <c r="AS80" s="95">
        <f>150531.6*0.4</f>
        <v>60212.640000000007</v>
      </c>
      <c r="AT80" s="95"/>
      <c r="AU80" s="95"/>
      <c r="AV80" s="95"/>
      <c r="AW80" s="95"/>
      <c r="AX80" s="95"/>
      <c r="AY80" s="95"/>
    </row>
    <row r="81" spans="1:51" ht="37.5" customHeight="1" x14ac:dyDescent="0.3">
      <c r="A81" s="23" t="s">
        <v>536</v>
      </c>
      <c r="B81" s="19" t="s">
        <v>144</v>
      </c>
      <c r="C81" s="19" t="s">
        <v>145</v>
      </c>
      <c r="D81" s="19">
        <v>6172.3</v>
      </c>
      <c r="E81" s="24">
        <f t="shared" si="5"/>
        <v>3399177.81</v>
      </c>
      <c r="F81" s="95">
        <f>(2589041.04+193128.06)*0.6</f>
        <v>1669301.46</v>
      </c>
      <c r="G81" s="95">
        <f>(2589041.04+193128.06)*0.4</f>
        <v>1112867.6400000001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>
        <f>(154177.11+138900)*0.6</f>
        <v>175846.26599999997</v>
      </c>
      <c r="W81" s="95">
        <f>(154177.11+138900)*0.4</f>
        <v>117230.844</v>
      </c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>
        <v>0</v>
      </c>
      <c r="AQ81" s="95"/>
      <c r="AR81" s="95"/>
      <c r="AS81" s="95">
        <v>323931.59999999998</v>
      </c>
      <c r="AT81" s="95"/>
      <c r="AU81" s="95"/>
      <c r="AV81" s="95"/>
      <c r="AW81" s="95"/>
      <c r="AX81" s="95"/>
      <c r="AY81" s="95"/>
    </row>
    <row r="82" spans="1:51" ht="37.5" customHeight="1" x14ac:dyDescent="0.3">
      <c r="A82" s="23" t="s">
        <v>537</v>
      </c>
      <c r="B82" s="19" t="s">
        <v>146</v>
      </c>
      <c r="C82" s="19" t="s">
        <v>147</v>
      </c>
      <c r="D82" s="19">
        <f>3618.1+54197.28</f>
        <v>57815.38</v>
      </c>
      <c r="E82" s="24">
        <f>SUM(F82:AU82)</f>
        <v>4532701.8549999995</v>
      </c>
      <c r="F82" s="101">
        <f>(7767123.12*0.6)/2+(107436.91*0.6)</f>
        <v>2394599.0819999999</v>
      </c>
      <c r="G82" s="101">
        <f>(7767123.12*0.4)/2+(107436.91*0.4)</f>
        <v>1596399.388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>
        <f>(132709.41*0.6)/2+(138900*0.6)/2</f>
        <v>81482.823000000004</v>
      </c>
      <c r="W82" s="95">
        <f>(132709.41*0.4)/2+(138900*0.4)/2</f>
        <v>54321.881999999998</v>
      </c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>
        <v>0</v>
      </c>
      <c r="AQ82" s="95"/>
      <c r="AR82" s="95">
        <f>(93273.6*0.6)+(312625.08*0.6)</f>
        <v>243539.20800000001</v>
      </c>
      <c r="AS82" s="95">
        <f>(93273.6*0.4)+(312625.08*0.4)</f>
        <v>162359.47200000001</v>
      </c>
      <c r="AT82" s="95"/>
      <c r="AU82" s="95"/>
      <c r="AV82" s="95"/>
      <c r="AW82" s="95"/>
      <c r="AX82" s="95"/>
      <c r="AY82" s="95"/>
    </row>
    <row r="83" spans="1:51" ht="37.5" customHeight="1" x14ac:dyDescent="0.3">
      <c r="A83" s="23" t="s">
        <v>538</v>
      </c>
      <c r="B83" s="19" t="s">
        <v>148</v>
      </c>
      <c r="C83" s="19" t="s">
        <v>149</v>
      </c>
      <c r="D83" s="19">
        <v>1556.1</v>
      </c>
      <c r="E83" s="24">
        <f t="shared" ref="E83:E89" si="6">SUM(F83:AU83)</f>
        <v>4469552.6950000003</v>
      </c>
      <c r="F83" s="101">
        <f>(7767123.12*0.6)/2+46214.95</f>
        <v>2376351.8859999999</v>
      </c>
      <c r="G83" s="101">
        <f>(7767123.12*0.4)/2</f>
        <v>1553424.6240000001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>
        <f>V82</f>
        <v>81482.823000000004</v>
      </c>
      <c r="W83" s="95">
        <f>W82</f>
        <v>54321.881999999998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>
        <v>0</v>
      </c>
      <c r="AQ83" s="95"/>
      <c r="AR83" s="95">
        <f>(91346.4*0.6)+(312625.08*0.6)</f>
        <v>242382.88800000001</v>
      </c>
      <c r="AS83" s="95">
        <f>(91346.4*0.4)+(312625.08*0.4)</f>
        <v>161588.592</v>
      </c>
      <c r="AT83" s="95"/>
      <c r="AU83" s="95"/>
      <c r="AV83" s="95"/>
      <c r="AW83" s="95"/>
      <c r="AX83" s="95"/>
      <c r="AY83" s="95"/>
    </row>
    <row r="84" spans="1:51" ht="56.25" customHeight="1" x14ac:dyDescent="0.3">
      <c r="A84" s="23" t="s">
        <v>539</v>
      </c>
      <c r="B84" s="19" t="s">
        <v>150</v>
      </c>
      <c r="C84" s="19" t="s">
        <v>151</v>
      </c>
      <c r="D84" s="19">
        <v>2615.5</v>
      </c>
      <c r="E84" s="24">
        <f t="shared" si="6"/>
        <v>2923543.18</v>
      </c>
      <c r="F84" s="101">
        <f>(2589041.04+77663.45)*0.6</f>
        <v>1600022.6940000001</v>
      </c>
      <c r="G84" s="101">
        <f>(2589041.04+77663.45)*0.4</f>
        <v>1066681.7960000001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>
        <f>(107004+149834.69)*0.6</f>
        <v>154103.21400000001</v>
      </c>
      <c r="AS84" s="95">
        <f>(107004+149834.69)*0.4</f>
        <v>102735.47600000001</v>
      </c>
      <c r="AT84" s="95"/>
      <c r="AU84" s="95">
        <v>0</v>
      </c>
      <c r="AV84" s="95"/>
      <c r="AW84" s="95"/>
      <c r="AX84" s="95"/>
      <c r="AY84" s="95"/>
    </row>
    <row r="85" spans="1:51" ht="37.5" customHeight="1" x14ac:dyDescent="0.3">
      <c r="A85" s="23" t="s">
        <v>540</v>
      </c>
      <c r="B85" s="95" t="s">
        <v>152</v>
      </c>
      <c r="C85" s="95" t="s">
        <v>153</v>
      </c>
      <c r="D85" s="19">
        <v>22228.9</v>
      </c>
      <c r="E85" s="24">
        <f t="shared" si="6"/>
        <v>11060688.73</v>
      </c>
      <c r="F85" s="95">
        <f>660180.88*0.6</f>
        <v>396108.52799999999</v>
      </c>
      <c r="G85" s="95">
        <f>660180.88*0.4</f>
        <v>264072.35200000001</v>
      </c>
      <c r="H85" s="95">
        <f>160401.22*0.6</f>
        <v>96240.732000000004</v>
      </c>
      <c r="I85" s="95">
        <f>160401.92*0.4</f>
        <v>64160.768000000011</v>
      </c>
      <c r="J85" s="95">
        <f>(6141374.82+290000)*0.6</f>
        <v>3858824.892</v>
      </c>
      <c r="K85" s="109">
        <f>(6141374.82+290000)*0.4</f>
        <v>2572549.9280000003</v>
      </c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>
        <f>279080.09*0.6</f>
        <v>167448.054</v>
      </c>
      <c r="W85" s="95">
        <f>279080.99*0.4</f>
        <v>111632.39600000001</v>
      </c>
      <c r="X85" s="95"/>
      <c r="Y85" s="95"/>
      <c r="Z85" s="95"/>
      <c r="AA85" s="95"/>
      <c r="AB85" s="95"/>
      <c r="AC85" s="95"/>
      <c r="AD85" s="95"/>
      <c r="AE85" s="95"/>
      <c r="AF85" s="95">
        <f>(2386511.9+1143139.18)*0.6</f>
        <v>2117790.648</v>
      </c>
      <c r="AG85" s="95">
        <f>(2386511.9+1143139.18)*0.4</f>
        <v>1411860.432</v>
      </c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</row>
    <row r="86" spans="1:51" ht="36" x14ac:dyDescent="0.3">
      <c r="A86" s="23" t="s">
        <v>541</v>
      </c>
      <c r="B86" s="95" t="s">
        <v>158</v>
      </c>
      <c r="C86" s="95" t="s">
        <v>159</v>
      </c>
      <c r="D86" s="95">
        <v>7998.2</v>
      </c>
      <c r="E86" s="24">
        <f t="shared" si="6"/>
        <v>7082762.5399999991</v>
      </c>
      <c r="F86" s="95">
        <f>(14239725.72*0.6)/4+(237540.26*0.6)</f>
        <v>2278483.014</v>
      </c>
      <c r="G86" s="101">
        <f>(14239725.72*0.4)/4+(237540.26*0.4)</f>
        <v>1518988.6760000002</v>
      </c>
      <c r="H86" s="95"/>
      <c r="I86" s="95"/>
      <c r="J86" s="95">
        <f>(1627744.07+72500)*0.6</f>
        <v>1020146.442</v>
      </c>
      <c r="K86" s="109">
        <f>(1627744.07+72500)*0.4</f>
        <v>680097.62800000003</v>
      </c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>
        <f>124902.98*0.6</f>
        <v>74941.788</v>
      </c>
      <c r="W86" s="95">
        <f>124902.98*0.4</f>
        <v>49961.192000000003</v>
      </c>
      <c r="X86" s="95"/>
      <c r="Y86" s="95"/>
      <c r="Z86" s="95"/>
      <c r="AA86" s="95"/>
      <c r="AB86" s="95"/>
      <c r="AC86" s="95"/>
      <c r="AD86" s="95"/>
      <c r="AE86" s="95"/>
      <c r="AF86" s="95">
        <f>(858381.6+335213.4)*0.6</f>
        <v>716157</v>
      </c>
      <c r="AG86" s="95">
        <f>(858381.6+335213.4)*0.4</f>
        <v>477438</v>
      </c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>
        <f>266548.8*0.6</f>
        <v>159929.28</v>
      </c>
      <c r="AS86" s="95">
        <f>266548.8*0.4</f>
        <v>106619.52</v>
      </c>
      <c r="AT86" s="95"/>
      <c r="AU86" s="95"/>
      <c r="AV86" s="95"/>
      <c r="AW86" s="95"/>
      <c r="AX86" s="95"/>
      <c r="AY86" s="95"/>
    </row>
    <row r="87" spans="1:51" ht="36" x14ac:dyDescent="0.3">
      <c r="A87" s="23" t="s">
        <v>542</v>
      </c>
      <c r="B87" s="95" t="s">
        <v>158</v>
      </c>
      <c r="C87" s="95" t="s">
        <v>160</v>
      </c>
      <c r="D87" s="95">
        <v>4101.8999999999996</v>
      </c>
      <c r="E87" s="24">
        <f t="shared" si="6"/>
        <v>5874110.8640000001</v>
      </c>
      <c r="F87" s="101">
        <f>(14239725.72*0.6)/4+(121823*0.6)</f>
        <v>2209052.6579999998</v>
      </c>
      <c r="G87" s="101">
        <f>(14239725.72*0.4)/4+(121823.21*0.4)</f>
        <v>1472701.8560000001</v>
      </c>
      <c r="H87" s="95"/>
      <c r="I87" s="95"/>
      <c r="J87" s="95">
        <f>(1203501.11+72500)*0.6</f>
        <v>765600.66600000008</v>
      </c>
      <c r="K87" s="95">
        <f>(1203501.11+72500)*0.4</f>
        <v>510400.44400000008</v>
      </c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>
        <f>(440383.16+273430.08)*0.6</f>
        <v>428287.94399999996</v>
      </c>
      <c r="AG87" s="95">
        <f>(440383.16+273430.08)*0.4</f>
        <v>285525.29600000003</v>
      </c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>
        <f>202542*0.6</f>
        <v>121525.2</v>
      </c>
      <c r="AS87" s="95">
        <f>202542*0.4</f>
        <v>81016.800000000003</v>
      </c>
      <c r="AT87" s="95"/>
      <c r="AU87" s="95"/>
      <c r="AV87" s="95"/>
      <c r="AW87" s="95"/>
      <c r="AX87" s="95"/>
      <c r="AY87" s="95"/>
    </row>
    <row r="88" spans="1:51" ht="36" x14ac:dyDescent="0.3">
      <c r="A88" s="23" t="s">
        <v>543</v>
      </c>
      <c r="B88" s="95" t="s">
        <v>165</v>
      </c>
      <c r="C88" s="95" t="s">
        <v>166</v>
      </c>
      <c r="D88" s="95">
        <v>10231.5</v>
      </c>
      <c r="E88" s="24">
        <f t="shared" si="6"/>
        <v>8369116.2500000009</v>
      </c>
      <c r="F88" s="101">
        <f>(14239725.72*0.6)/4+(303867.52*0.6)</f>
        <v>2318279.37</v>
      </c>
      <c r="G88" s="101">
        <f>(14239725.72*0.4)/4+(303867.52*0.4)</f>
        <v>1545519.58</v>
      </c>
      <c r="H88" s="95">
        <f>125655.55*0.6</f>
        <v>75393.33</v>
      </c>
      <c r="I88" s="95">
        <f>125655.55*0.4</f>
        <v>50262.22</v>
      </c>
      <c r="J88" s="95">
        <f>(2590458.64+72500)*0.6</f>
        <v>1597775.1840000001</v>
      </c>
      <c r="K88" s="109">
        <f>(2590458.64+72500)*0.4</f>
        <v>1065183.456</v>
      </c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>
        <f>138564.24*0.6</f>
        <v>83138.543999999994</v>
      </c>
      <c r="W88" s="95">
        <f>138564.24*0.4</f>
        <v>55425.695999999996</v>
      </c>
      <c r="X88" s="95"/>
      <c r="Y88" s="95"/>
      <c r="Z88" s="95"/>
      <c r="AA88" s="95"/>
      <c r="AB88" s="95"/>
      <c r="AC88" s="95"/>
      <c r="AD88" s="95"/>
      <c r="AE88" s="95"/>
      <c r="AF88" s="95">
        <f>(1100490.87+477648)*0.6</f>
        <v>946883.32200000004</v>
      </c>
      <c r="AG88" s="95">
        <f>(1100490.87+477648)*0.4</f>
        <v>631255.54800000007</v>
      </c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</row>
    <row r="89" spans="1:51" ht="36" x14ac:dyDescent="0.3">
      <c r="A89" s="23" t="s">
        <v>544</v>
      </c>
      <c r="B89" s="95" t="s">
        <v>167</v>
      </c>
      <c r="C89" s="95" t="s">
        <v>168</v>
      </c>
      <c r="D89" s="95">
        <v>2674.6</v>
      </c>
      <c r="E89" s="24">
        <f t="shared" si="6"/>
        <v>5784685.5419999994</v>
      </c>
      <c r="F89" s="101">
        <f>(14239725.72*0.6)/4+(79433.52*0.6)</f>
        <v>2183618.9700000002</v>
      </c>
      <c r="G89" s="101">
        <f>(14239725.72*0.4)/4+(79433.52*0.4)</f>
        <v>1455745.9800000002</v>
      </c>
      <c r="H89" s="95">
        <f>388746.86*0.6</f>
        <v>233248.11599999998</v>
      </c>
      <c r="I89" s="107">
        <f>388746.86*0.4</f>
        <v>155498.74400000001</v>
      </c>
      <c r="J89" s="95">
        <f>(1247845.17+72500)*0.6</f>
        <v>792207.10199999996</v>
      </c>
      <c r="K89" s="109">
        <f>499315.96+21750</f>
        <v>521065.96</v>
      </c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>
        <f>44887.01*0.6</f>
        <v>26932.206000000002</v>
      </c>
      <c r="W89" s="95">
        <f>44887.01*0.4</f>
        <v>17954.804</v>
      </c>
      <c r="X89" s="95"/>
      <c r="Y89" s="95"/>
      <c r="Z89" s="95"/>
      <c r="AA89" s="95"/>
      <c r="AB89" s="95"/>
      <c r="AC89" s="95"/>
      <c r="AD89" s="95"/>
      <c r="AE89" s="95"/>
      <c r="AF89" s="95">
        <f>(287147.13+111266.53)*0.6</f>
        <v>239048.196</v>
      </c>
      <c r="AG89" s="95">
        <f>(287147.13+111266.53)*0.4</f>
        <v>159365.46400000004</v>
      </c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</row>
    <row r="90" spans="1:51" x14ac:dyDescent="0.3">
      <c r="A90" s="105" t="s">
        <v>545</v>
      </c>
      <c r="B90" s="97" t="s">
        <v>315</v>
      </c>
      <c r="C90" s="95"/>
      <c r="D90" s="95">
        <f>SUM(D48:D89)</f>
        <v>286455.57999999996</v>
      </c>
      <c r="E90" s="24">
        <f>SUM(E48:E89)</f>
        <v>183934445.68599993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</row>
    <row r="91" spans="1:51" x14ac:dyDescent="0.3">
      <c r="A91" s="105"/>
      <c r="B91" s="97"/>
      <c r="C91" s="95"/>
      <c r="D91" s="99"/>
      <c r="E91" s="10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</row>
    <row r="92" spans="1:51" s="28" customFormat="1" ht="22.5" customHeight="1" x14ac:dyDescent="0.3">
      <c r="A92" s="142"/>
      <c r="B92" s="145" t="s">
        <v>179</v>
      </c>
      <c r="C92" s="26" t="s">
        <v>180</v>
      </c>
      <c r="D92" s="148"/>
      <c r="E92" s="149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</row>
    <row r="93" spans="1:51" s="28" customFormat="1" ht="22.5" customHeight="1" x14ac:dyDescent="0.3">
      <c r="A93" s="143"/>
      <c r="B93" s="146"/>
      <c r="C93" s="26" t="s">
        <v>3</v>
      </c>
      <c r="D93" s="148">
        <f>D46</f>
        <v>286455.57999999996</v>
      </c>
      <c r="E93" s="149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</row>
    <row r="94" spans="1:51" s="28" customFormat="1" ht="20.25" customHeight="1" x14ac:dyDescent="0.3">
      <c r="A94" s="144"/>
      <c r="B94" s="147"/>
      <c r="C94" s="27" t="s">
        <v>207</v>
      </c>
      <c r="D94" s="150">
        <f>E46+E90</f>
        <v>383930628.40310431</v>
      </c>
      <c r="E94" s="151"/>
      <c r="F94" s="27">
        <f>SUM(F4:F90)</f>
        <v>79135484.391771942</v>
      </c>
      <c r="G94" s="27">
        <f t="shared" ref="G94:AY94" si="7">SUM(G4:G90)</f>
        <v>40463567.084544525</v>
      </c>
      <c r="H94" s="27">
        <f t="shared" si="7"/>
        <v>3307888.2771895588</v>
      </c>
      <c r="I94" s="27">
        <f t="shared" si="7"/>
        <v>2604099.2502879421</v>
      </c>
      <c r="J94" s="27">
        <f t="shared" si="7"/>
        <v>54804988.887999997</v>
      </c>
      <c r="K94" s="27">
        <f t="shared" si="7"/>
        <v>49752538.307022288</v>
      </c>
      <c r="L94" s="27">
        <f t="shared" si="7"/>
        <v>137384.30252134131</v>
      </c>
      <c r="M94" s="27">
        <f t="shared" si="7"/>
        <v>718289.70993074263</v>
      </c>
      <c r="N94" s="27">
        <f t="shared" si="7"/>
        <v>0</v>
      </c>
      <c r="O94" s="27">
        <f t="shared" si="7"/>
        <v>577179.7752808989</v>
      </c>
      <c r="P94" s="27">
        <f t="shared" si="7"/>
        <v>0</v>
      </c>
      <c r="Q94" s="27">
        <f t="shared" si="7"/>
        <v>1344141.5094339624</v>
      </c>
      <c r="R94" s="27">
        <f t="shared" si="7"/>
        <v>0</v>
      </c>
      <c r="S94" s="27">
        <f t="shared" si="7"/>
        <v>943518.72727272718</v>
      </c>
      <c r="T94" s="27">
        <f t="shared" si="7"/>
        <v>2501311.9662738666</v>
      </c>
      <c r="U94" s="27">
        <f t="shared" si="7"/>
        <v>3101031.2340697804</v>
      </c>
      <c r="V94" s="27">
        <f t="shared" si="7"/>
        <v>1365799.1688978614</v>
      </c>
      <c r="W94" s="27">
        <f t="shared" si="7"/>
        <v>2348257.4378111796</v>
      </c>
      <c r="X94" s="27">
        <f t="shared" si="7"/>
        <v>751240.38461538474</v>
      </c>
      <c r="Y94" s="27">
        <f t="shared" si="7"/>
        <v>1087857.24</v>
      </c>
      <c r="Z94" s="27">
        <f t="shared" si="7"/>
        <v>153000</v>
      </c>
      <c r="AA94" s="27">
        <f t="shared" si="7"/>
        <v>703338.85</v>
      </c>
      <c r="AB94" s="27">
        <f t="shared" si="7"/>
        <v>288000</v>
      </c>
      <c r="AC94" s="27">
        <f t="shared" si="7"/>
        <v>0</v>
      </c>
      <c r="AD94" s="27">
        <f t="shared" si="7"/>
        <v>0</v>
      </c>
      <c r="AE94" s="27">
        <f t="shared" si="7"/>
        <v>271317.07317073172</v>
      </c>
      <c r="AF94" s="27">
        <f t="shared" si="7"/>
        <v>29868839.62991827</v>
      </c>
      <c r="AG94" s="27">
        <f t="shared" si="7"/>
        <v>18679548.392532703</v>
      </c>
      <c r="AH94" s="27">
        <f t="shared" si="7"/>
        <v>0</v>
      </c>
      <c r="AI94" s="27">
        <f t="shared" si="7"/>
        <v>246500.88378211603</v>
      </c>
      <c r="AJ94" s="27">
        <f t="shared" si="7"/>
        <v>24218388.030000001</v>
      </c>
      <c r="AK94" s="27">
        <f t="shared" si="7"/>
        <v>20378882.68</v>
      </c>
      <c r="AL94" s="27">
        <f t="shared" si="7"/>
        <v>0</v>
      </c>
      <c r="AM94" s="27">
        <f t="shared" si="7"/>
        <v>0</v>
      </c>
      <c r="AN94" s="27">
        <f t="shared" si="7"/>
        <v>0</v>
      </c>
      <c r="AO94" s="27">
        <f t="shared" si="7"/>
        <v>1351680.56</v>
      </c>
      <c r="AP94" s="27">
        <f t="shared" si="7"/>
        <v>0</v>
      </c>
      <c r="AQ94" s="27">
        <f t="shared" si="7"/>
        <v>569500</v>
      </c>
      <c r="AR94" s="27">
        <f t="shared" si="7"/>
        <v>16592929.899757778</v>
      </c>
      <c r="AS94" s="27">
        <f t="shared" si="7"/>
        <v>24030543.071341399</v>
      </c>
      <c r="AT94" s="27">
        <f t="shared" si="7"/>
        <v>643581.67767738132</v>
      </c>
      <c r="AU94" s="27">
        <f t="shared" si="7"/>
        <v>990000</v>
      </c>
      <c r="AV94" s="27">
        <f t="shared" si="7"/>
        <v>119000</v>
      </c>
      <c r="AW94" s="27">
        <f t="shared" si="7"/>
        <v>503830</v>
      </c>
      <c r="AX94" s="27">
        <f t="shared" si="7"/>
        <v>190000</v>
      </c>
      <c r="AY94" s="27">
        <f t="shared" si="7"/>
        <v>0</v>
      </c>
    </row>
    <row r="96" spans="1:51" ht="37.5" customHeight="1" x14ac:dyDescent="0.3">
      <c r="A96" s="29" t="s">
        <v>181</v>
      </c>
      <c r="B96" s="152" t="s">
        <v>182</v>
      </c>
      <c r="C96" s="152"/>
      <c r="D96" s="152"/>
      <c r="E96" s="100"/>
    </row>
    <row r="97" spans="1:9" ht="37.5" customHeight="1" x14ac:dyDescent="0.3">
      <c r="A97" s="29" t="s">
        <v>183</v>
      </c>
      <c r="B97" s="152" t="s">
        <v>184</v>
      </c>
      <c r="C97" s="152"/>
      <c r="D97" s="152"/>
      <c r="E97" s="100"/>
      <c r="G97" s="31"/>
      <c r="H97" s="31"/>
      <c r="I97" s="31"/>
    </row>
    <row r="102" spans="1:9" ht="25.2" x14ac:dyDescent="0.3">
      <c r="B102" s="20"/>
      <c r="C102" s="20"/>
      <c r="D102" s="20"/>
      <c r="E102" s="20"/>
    </row>
  </sheetData>
  <autoFilter ref="A1:AY94" xr:uid="{00000000-0009-0000-0000-000006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A1:A2"/>
    <mergeCell ref="B1:B2"/>
    <mergeCell ref="C1:C2"/>
    <mergeCell ref="D1:D2"/>
    <mergeCell ref="E1:E2"/>
    <mergeCell ref="AX1:AY1"/>
    <mergeCell ref="A92:A94"/>
    <mergeCell ref="B92:B94"/>
    <mergeCell ref="D92:E92"/>
    <mergeCell ref="D93:E93"/>
    <mergeCell ref="D94:E94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B96:D96"/>
    <mergeCell ref="B97:D97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AY84"/>
  <sheetViews>
    <sheetView zoomScale="70" zoomScaleNormal="70" workbookViewId="0">
      <pane ySplit="2" topLeftCell="A27" activePane="bottomLeft" state="frozen"/>
      <selection pane="bottomLeft" activeCell="E32" sqref="E32"/>
    </sheetView>
  </sheetViews>
  <sheetFormatPr defaultColWidth="9.109375" defaultRowHeight="18" x14ac:dyDescent="0.3"/>
  <cols>
    <col min="1" max="1" width="7" style="32" customWidth="1"/>
    <col min="2" max="2" width="38.44140625" style="21" customWidth="1"/>
    <col min="3" max="3" width="49.5546875" style="21" customWidth="1"/>
    <col min="4" max="4" width="23.6640625" style="21" customWidth="1"/>
    <col min="5" max="5" width="25.33203125" style="21" customWidth="1"/>
    <col min="6" max="6" width="19.6640625" style="21" customWidth="1"/>
    <col min="7" max="7" width="20.109375" style="21" customWidth="1"/>
    <col min="8" max="9" width="18.33203125" style="21" customWidth="1"/>
    <col min="10" max="11" width="20.109375" style="21" customWidth="1"/>
    <col min="12" max="13" width="16" style="21" customWidth="1"/>
    <col min="14" max="14" width="11.5546875" style="21" customWidth="1"/>
    <col min="15" max="15" width="18.33203125" style="21" customWidth="1"/>
    <col min="16" max="16" width="13.44140625" style="21" customWidth="1"/>
    <col min="17" max="17" width="18.33203125" style="21" customWidth="1"/>
    <col min="18" max="18" width="11.88671875" style="21" customWidth="1"/>
    <col min="19" max="19" width="16" style="21" customWidth="1"/>
    <col min="20" max="21" width="18.33203125" style="21" customWidth="1"/>
    <col min="22" max="22" width="16" style="21" customWidth="1"/>
    <col min="23" max="23" width="23" style="21" customWidth="1"/>
    <col min="24" max="25" width="18.33203125" style="21" customWidth="1"/>
    <col min="26" max="26" width="13.44140625" style="21" customWidth="1"/>
    <col min="27" max="27" width="18.33203125" style="21" customWidth="1"/>
    <col min="28" max="29" width="16" style="21" customWidth="1"/>
    <col min="30" max="30" width="29.5546875" style="21" customWidth="1"/>
    <col min="31" max="31" width="13.5546875" style="21" customWidth="1"/>
    <col min="32" max="32" width="27.33203125" style="21" customWidth="1"/>
    <col min="33" max="33" width="30" style="21" customWidth="1"/>
    <col min="34" max="34" width="42.33203125" style="21" customWidth="1"/>
    <col min="35" max="35" width="26.33203125" style="21" customWidth="1"/>
    <col min="36" max="36" width="20.5546875" style="21" customWidth="1"/>
    <col min="37" max="37" width="26.109375" style="21" customWidth="1"/>
    <col min="38" max="38" width="55.109375" style="21" customWidth="1"/>
    <col min="39" max="39" width="33.88671875" style="21" customWidth="1"/>
    <col min="40" max="40" width="31.33203125" style="21" customWidth="1"/>
    <col min="41" max="41" width="18.44140625" style="21" customWidth="1"/>
    <col min="42" max="42" width="15.6640625" style="21" customWidth="1"/>
    <col min="43" max="43" width="14.109375" style="21" customWidth="1"/>
    <col min="44" max="45" width="20.109375" style="21" customWidth="1"/>
    <col min="46" max="47" width="16" style="21" customWidth="1"/>
    <col min="48" max="48" width="16.6640625" style="21" customWidth="1"/>
    <col min="49" max="49" width="18.44140625" style="21" customWidth="1"/>
    <col min="50" max="50" width="16.33203125" style="21" customWidth="1"/>
    <col min="51" max="51" width="15" style="21" customWidth="1"/>
    <col min="52" max="16384" width="9.109375" style="21"/>
  </cols>
  <sheetData>
    <row r="1" spans="1:51" ht="37.5" customHeight="1" x14ac:dyDescent="0.3">
      <c r="A1" s="136" t="s">
        <v>0</v>
      </c>
      <c r="B1" s="138" t="s">
        <v>1</v>
      </c>
      <c r="C1" s="138" t="s">
        <v>2</v>
      </c>
      <c r="D1" s="138" t="s">
        <v>3</v>
      </c>
      <c r="E1" s="138" t="s">
        <v>208</v>
      </c>
      <c r="F1" s="135" t="s">
        <v>192</v>
      </c>
      <c r="G1" s="135"/>
      <c r="H1" s="135" t="s">
        <v>185</v>
      </c>
      <c r="I1" s="135"/>
      <c r="J1" s="135" t="s">
        <v>547</v>
      </c>
      <c r="K1" s="135"/>
      <c r="L1" s="140" t="s">
        <v>188</v>
      </c>
      <c r="M1" s="141"/>
      <c r="N1" s="140" t="s">
        <v>198</v>
      </c>
      <c r="O1" s="141"/>
      <c r="P1" s="135" t="s">
        <v>189</v>
      </c>
      <c r="Q1" s="135"/>
      <c r="R1" s="135" t="s">
        <v>202</v>
      </c>
      <c r="S1" s="135"/>
      <c r="T1" s="140" t="s">
        <v>190</v>
      </c>
      <c r="U1" s="141"/>
      <c r="V1" s="135" t="s">
        <v>201</v>
      </c>
      <c r="W1" s="135"/>
      <c r="X1" s="140" t="s">
        <v>191</v>
      </c>
      <c r="Y1" s="141"/>
      <c r="Z1" s="135" t="s">
        <v>193</v>
      </c>
      <c r="AA1" s="135"/>
      <c r="AB1" s="135" t="s">
        <v>194</v>
      </c>
      <c r="AC1" s="135"/>
      <c r="AD1" s="135" t="s">
        <v>195</v>
      </c>
      <c r="AE1" s="135"/>
      <c r="AF1" s="135" t="s">
        <v>292</v>
      </c>
      <c r="AG1" s="135"/>
      <c r="AH1" s="135" t="s">
        <v>206</v>
      </c>
      <c r="AI1" s="135"/>
      <c r="AJ1" s="135" t="s">
        <v>197</v>
      </c>
      <c r="AK1" s="135"/>
      <c r="AL1" s="135" t="s">
        <v>199</v>
      </c>
      <c r="AM1" s="135"/>
      <c r="AN1" s="135" t="s">
        <v>200</v>
      </c>
      <c r="AO1" s="135"/>
      <c r="AP1" s="140" t="s">
        <v>203</v>
      </c>
      <c r="AQ1" s="141"/>
      <c r="AR1" s="135" t="s">
        <v>204</v>
      </c>
      <c r="AS1" s="135"/>
      <c r="AT1" s="135" t="s">
        <v>205</v>
      </c>
      <c r="AU1" s="135"/>
      <c r="AV1" s="153" t="s">
        <v>290</v>
      </c>
      <c r="AW1" s="157"/>
      <c r="AX1" s="140" t="s">
        <v>289</v>
      </c>
      <c r="AY1" s="141"/>
    </row>
    <row r="2" spans="1:51" ht="18.75" customHeight="1" x14ac:dyDescent="0.3">
      <c r="A2" s="137"/>
      <c r="B2" s="139"/>
      <c r="C2" s="139"/>
      <c r="D2" s="139"/>
      <c r="E2" s="139"/>
      <c r="F2" s="95" t="s">
        <v>186</v>
      </c>
      <c r="G2" s="95" t="s">
        <v>187</v>
      </c>
      <c r="H2" s="95" t="s">
        <v>186</v>
      </c>
      <c r="I2" s="95" t="s">
        <v>187</v>
      </c>
      <c r="J2" s="95" t="s">
        <v>186</v>
      </c>
      <c r="K2" s="95" t="s">
        <v>187</v>
      </c>
      <c r="L2" s="95" t="s">
        <v>186</v>
      </c>
      <c r="M2" s="95" t="s">
        <v>187</v>
      </c>
      <c r="N2" s="95" t="s">
        <v>186</v>
      </c>
      <c r="O2" s="95" t="s">
        <v>187</v>
      </c>
      <c r="P2" s="95" t="s">
        <v>186</v>
      </c>
      <c r="Q2" s="95" t="s">
        <v>187</v>
      </c>
      <c r="R2" s="95" t="s">
        <v>186</v>
      </c>
      <c r="S2" s="95" t="s">
        <v>187</v>
      </c>
      <c r="T2" s="95" t="s">
        <v>186</v>
      </c>
      <c r="U2" s="95" t="s">
        <v>187</v>
      </c>
      <c r="V2" s="95" t="s">
        <v>186</v>
      </c>
      <c r="W2" s="95" t="s">
        <v>187</v>
      </c>
      <c r="X2" s="95" t="s">
        <v>186</v>
      </c>
      <c r="Y2" s="95" t="s">
        <v>187</v>
      </c>
      <c r="Z2" s="95" t="s">
        <v>186</v>
      </c>
      <c r="AA2" s="95" t="s">
        <v>187</v>
      </c>
      <c r="AB2" s="95" t="s">
        <v>186</v>
      </c>
      <c r="AC2" s="95" t="s">
        <v>187</v>
      </c>
      <c r="AD2" s="95" t="s">
        <v>186</v>
      </c>
      <c r="AE2" s="95" t="s">
        <v>187</v>
      </c>
      <c r="AF2" s="95" t="s">
        <v>186</v>
      </c>
      <c r="AG2" s="95" t="s">
        <v>187</v>
      </c>
      <c r="AH2" s="95" t="s">
        <v>186</v>
      </c>
      <c r="AI2" s="95" t="s">
        <v>187</v>
      </c>
      <c r="AJ2" s="95" t="s">
        <v>186</v>
      </c>
      <c r="AK2" s="95" t="s">
        <v>187</v>
      </c>
      <c r="AL2" s="95" t="s">
        <v>186</v>
      </c>
      <c r="AM2" s="95" t="s">
        <v>187</v>
      </c>
      <c r="AN2" s="95" t="s">
        <v>186</v>
      </c>
      <c r="AO2" s="95" t="s">
        <v>187</v>
      </c>
      <c r="AP2" s="95" t="s">
        <v>186</v>
      </c>
      <c r="AQ2" s="95" t="s">
        <v>187</v>
      </c>
      <c r="AR2" s="95" t="s">
        <v>186</v>
      </c>
      <c r="AS2" s="95" t="s">
        <v>187</v>
      </c>
      <c r="AT2" s="95" t="s">
        <v>186</v>
      </c>
      <c r="AU2" s="95" t="s">
        <v>187</v>
      </c>
      <c r="AV2" s="95" t="s">
        <v>186</v>
      </c>
      <c r="AW2" s="95" t="s">
        <v>187</v>
      </c>
      <c r="AX2" s="95" t="s">
        <v>186</v>
      </c>
      <c r="AY2" s="95" t="s">
        <v>187</v>
      </c>
    </row>
    <row r="3" spans="1:51" ht="18.75" customHeight="1" x14ac:dyDescent="0.3">
      <c r="A3" s="102"/>
      <c r="B3" s="104" t="s">
        <v>295</v>
      </c>
      <c r="C3" s="104"/>
      <c r="D3" s="104"/>
      <c r="E3" s="10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</row>
    <row r="4" spans="1:51" ht="37.5" customHeight="1" x14ac:dyDescent="0.3">
      <c r="A4" s="23" t="s">
        <v>298</v>
      </c>
      <c r="B4" s="95" t="s">
        <v>34</v>
      </c>
      <c r="C4" s="95" t="s">
        <v>35</v>
      </c>
      <c r="D4" s="95">
        <v>17.5</v>
      </c>
      <c r="E4" s="24">
        <f t="shared" ref="E4:E16" si="0">SUM(F4:AU4)</f>
        <v>1525.4488760220804</v>
      </c>
      <c r="F4" s="95">
        <v>0</v>
      </c>
      <c r="G4" s="95">
        <f>87.0789500394722+1184.16600879666+27.6225652681756</f>
        <v>1298.8675241043077</v>
      </c>
      <c r="H4" s="95">
        <v>97.412447084167141</v>
      </c>
      <c r="I4" s="95">
        <v>104.62096816839551</v>
      </c>
      <c r="J4" s="95"/>
      <c r="K4" s="95"/>
      <c r="L4" s="95">
        <v>0</v>
      </c>
      <c r="M4" s="95">
        <v>24.547936665210123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</row>
    <row r="5" spans="1:51" ht="37.5" customHeight="1" x14ac:dyDescent="0.3">
      <c r="A5" s="23" t="s">
        <v>299</v>
      </c>
      <c r="B5" s="95" t="s">
        <v>21</v>
      </c>
      <c r="C5" s="95" t="s">
        <v>36</v>
      </c>
      <c r="D5" s="95">
        <v>95</v>
      </c>
      <c r="E5" s="24">
        <f t="shared" si="0"/>
        <v>11553.735456847147</v>
      </c>
      <c r="F5" s="95">
        <v>0</v>
      </c>
      <c r="G5" s="95">
        <f>472.714300214278+6428.32976203902+149.951068598668</f>
        <v>7050.9951308519667</v>
      </c>
      <c r="H5" s="95">
        <v>528.81042702833588</v>
      </c>
      <c r="I5" s="95">
        <v>567.94239862843267</v>
      </c>
      <c r="J5" s="95"/>
      <c r="K5" s="95"/>
      <c r="L5" s="95">
        <v>0</v>
      </c>
      <c r="M5" s="95">
        <v>133.26022761114066</v>
      </c>
      <c r="N5" s="95"/>
      <c r="O5" s="95"/>
      <c r="P5" s="95"/>
      <c r="Q5" s="95"/>
      <c r="R5" s="95">
        <v>0</v>
      </c>
      <c r="S5" s="95">
        <v>3272.7272727272725</v>
      </c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</row>
    <row r="6" spans="1:51" ht="37.5" customHeight="1" x14ac:dyDescent="0.3">
      <c r="A6" s="23" t="s">
        <v>300</v>
      </c>
      <c r="B6" s="95" t="s">
        <v>39</v>
      </c>
      <c r="C6" s="95" t="s">
        <v>40</v>
      </c>
      <c r="D6" s="95">
        <v>101.1</v>
      </c>
      <c r="E6" s="24">
        <f t="shared" si="0"/>
        <v>17237.875186773555</v>
      </c>
      <c r="F6" s="95"/>
      <c r="G6" s="95"/>
      <c r="H6" s="95">
        <v>562.76562286910269</v>
      </c>
      <c r="I6" s="95">
        <v>604.41027896141622</v>
      </c>
      <c r="J6" s="95">
        <v>0</v>
      </c>
      <c r="K6" s="95">
        <v>6085.921884920167</v>
      </c>
      <c r="L6" s="95">
        <v>0</v>
      </c>
      <c r="M6" s="95">
        <v>141.81693696301389</v>
      </c>
      <c r="N6" s="95"/>
      <c r="O6" s="95"/>
      <c r="P6" s="95"/>
      <c r="Q6" s="95"/>
      <c r="R6" s="95">
        <v>0</v>
      </c>
      <c r="S6" s="95">
        <v>3272.7272727272725</v>
      </c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>
        <v>286.28467060272692</v>
      </c>
      <c r="AS6" s="95">
        <v>6283.9485197298563</v>
      </c>
      <c r="AT6" s="95"/>
      <c r="AU6" s="95"/>
      <c r="AV6" s="95"/>
      <c r="AW6" s="95"/>
      <c r="AX6" s="95"/>
      <c r="AY6" s="95"/>
    </row>
    <row r="7" spans="1:51" ht="37.5" customHeight="1" x14ac:dyDescent="0.3">
      <c r="A7" s="23" t="s">
        <v>301</v>
      </c>
      <c r="B7" s="95" t="s">
        <v>45</v>
      </c>
      <c r="C7" s="95" t="s">
        <v>46</v>
      </c>
      <c r="D7" s="95">
        <v>173.4</v>
      </c>
      <c r="E7" s="24">
        <f t="shared" si="0"/>
        <v>17342.924472839128</v>
      </c>
      <c r="F7" s="95">
        <v>0</v>
      </c>
      <c r="G7" s="95">
        <f>14824.1268019795+273.700161000095</f>
        <v>15097.826962979596</v>
      </c>
      <c r="H7" s="95">
        <v>965.2181899654048</v>
      </c>
      <c r="I7" s="95">
        <v>1036.6443360228448</v>
      </c>
      <c r="J7" s="95"/>
      <c r="K7" s="95"/>
      <c r="L7" s="95">
        <v>0</v>
      </c>
      <c r="M7" s="95">
        <v>243.23498387128203</v>
      </c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</row>
    <row r="8" spans="1:51" ht="18.75" customHeight="1" x14ac:dyDescent="0.3">
      <c r="A8" s="23" t="s">
        <v>302</v>
      </c>
      <c r="B8" s="95" t="s">
        <v>48</v>
      </c>
      <c r="C8" s="95" t="s">
        <v>49</v>
      </c>
      <c r="D8" s="95">
        <v>126.6</v>
      </c>
      <c r="E8" s="24">
        <f t="shared" si="0"/>
        <v>12662.135168751076</v>
      </c>
      <c r="F8" s="95">
        <v>0</v>
      </c>
      <c r="G8" s="95">
        <f>10823.1514021373+199.829529311488</f>
        <v>11022.980931448788</v>
      </c>
      <c r="H8" s="95">
        <v>704.70947433460333</v>
      </c>
      <c r="I8" s="95">
        <v>756.85797543536398</v>
      </c>
      <c r="J8" s="95"/>
      <c r="K8" s="95"/>
      <c r="L8" s="95">
        <v>0</v>
      </c>
      <c r="M8" s="95">
        <v>177.58678753232007</v>
      </c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</row>
    <row r="9" spans="1:51" ht="37.5" customHeight="1" x14ac:dyDescent="0.3">
      <c r="A9" s="23" t="s">
        <v>303</v>
      </c>
      <c r="B9" s="95" t="s">
        <v>48</v>
      </c>
      <c r="C9" s="95" t="s">
        <v>50</v>
      </c>
      <c r="D9" s="95">
        <v>71</v>
      </c>
      <c r="E9" s="24">
        <f t="shared" si="0"/>
        <v>7101.1974485096734</v>
      </c>
      <c r="F9" s="95">
        <v>0</v>
      </c>
      <c r="G9" s="95">
        <f>6069.85584164097+112.068693373741</f>
        <v>6181.9245350147103</v>
      </c>
      <c r="H9" s="95">
        <v>395.21621388433527</v>
      </c>
      <c r="I9" s="95">
        <v>424.46221371177609</v>
      </c>
      <c r="J9" s="95"/>
      <c r="K9" s="95"/>
      <c r="L9" s="95">
        <v>0</v>
      </c>
      <c r="M9" s="95">
        <v>99.594485898852497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</row>
    <row r="10" spans="1:51" ht="37.5" customHeight="1" x14ac:dyDescent="0.3">
      <c r="A10" s="23" t="s">
        <v>304</v>
      </c>
      <c r="B10" s="95" t="s">
        <v>48</v>
      </c>
      <c r="C10" s="95" t="s">
        <v>51</v>
      </c>
      <c r="D10" s="95">
        <v>34.700000000000003</v>
      </c>
      <c r="E10" s="24">
        <f t="shared" si="0"/>
        <v>3470.5852318772536</v>
      </c>
      <c r="F10" s="95">
        <v>0</v>
      </c>
      <c r="G10" s="95">
        <f>2966.53517894283+54.7716008460397</f>
        <v>3021.3067797888698</v>
      </c>
      <c r="H10" s="95">
        <v>193.15496650403429</v>
      </c>
      <c r="I10" s="95">
        <v>207.44843402533283</v>
      </c>
      <c r="J10" s="95"/>
      <c r="K10" s="95"/>
      <c r="L10" s="95">
        <v>0</v>
      </c>
      <c r="M10" s="95">
        <v>48.675051559016644</v>
      </c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</row>
    <row r="11" spans="1:51" ht="37.5" customHeight="1" x14ac:dyDescent="0.3">
      <c r="A11" s="23" t="s">
        <v>305</v>
      </c>
      <c r="B11" s="95" t="s">
        <v>48</v>
      </c>
      <c r="C11" s="95" t="s">
        <v>52</v>
      </c>
      <c r="D11" s="95">
        <v>97</v>
      </c>
      <c r="E11" s="24">
        <f t="shared" si="0"/>
        <v>9701.6359507808211</v>
      </c>
      <c r="F11" s="95">
        <v>0</v>
      </c>
      <c r="G11" s="95">
        <f>8292.61995266442+153.107933200745</f>
        <v>8445.7278858651644</v>
      </c>
      <c r="H11" s="95">
        <v>539.9432781236693</v>
      </c>
      <c r="I11" s="95">
        <v>579.89908070482079</v>
      </c>
      <c r="J11" s="95"/>
      <c r="K11" s="95"/>
      <c r="L11" s="95">
        <v>0</v>
      </c>
      <c r="M11" s="95">
        <v>136.06570608716467</v>
      </c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</row>
    <row r="12" spans="1:51" ht="37.5" customHeight="1" x14ac:dyDescent="0.3">
      <c r="A12" s="23" t="s">
        <v>306</v>
      </c>
      <c r="B12" s="95" t="s">
        <v>62</v>
      </c>
      <c r="C12" s="95" t="s">
        <v>63</v>
      </c>
      <c r="D12" s="95">
        <v>1467.1</v>
      </c>
      <c r="E12" s="24">
        <f t="shared" si="0"/>
        <v>3090151.6340127387</v>
      </c>
      <c r="F12" s="95">
        <v>0</v>
      </c>
      <c r="G12" s="95">
        <f>10865+2550000</f>
        <v>2560865</v>
      </c>
      <c r="H12" s="95"/>
      <c r="I12" s="95"/>
      <c r="J12" s="95"/>
      <c r="K12" s="95"/>
      <c r="L12" s="95"/>
      <c r="M12" s="95"/>
      <c r="N12" s="95"/>
      <c r="O12" s="95"/>
      <c r="P12" s="95">
        <v>0</v>
      </c>
      <c r="Q12" s="95">
        <v>25556.603773584906</v>
      </c>
      <c r="R12" s="95">
        <v>0</v>
      </c>
      <c r="S12" s="95">
        <v>6545.454545454545</v>
      </c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>
        <v>0</v>
      </c>
      <c r="AS12" s="95">
        <f>248721.13+248463.445693699</f>
        <v>497184.57569369901</v>
      </c>
      <c r="AT12" s="95"/>
      <c r="AU12" s="95"/>
      <c r="AV12" s="95"/>
      <c r="AW12" s="95"/>
      <c r="AX12" s="95"/>
      <c r="AY12" s="95"/>
    </row>
    <row r="13" spans="1:51" ht="37.5" customHeight="1" x14ac:dyDescent="0.3">
      <c r="A13" s="23" t="s">
        <v>307</v>
      </c>
      <c r="B13" s="95" t="s">
        <v>66</v>
      </c>
      <c r="C13" s="95" t="s">
        <v>67</v>
      </c>
      <c r="D13" s="95">
        <v>561.79999999999995</v>
      </c>
      <c r="E13" s="24">
        <f t="shared" si="0"/>
        <v>808751.88358930836</v>
      </c>
      <c r="F13" s="95">
        <v>0</v>
      </c>
      <c r="G13" s="95">
        <f>4160+637500</f>
        <v>641660</v>
      </c>
      <c r="H13" s="95"/>
      <c r="I13" s="95"/>
      <c r="J13" s="95"/>
      <c r="K13" s="95"/>
      <c r="L13" s="95">
        <v>0</v>
      </c>
      <c r="M13" s="95">
        <v>1179.281286867287</v>
      </c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>
        <v>0</v>
      </c>
      <c r="AS13" s="95">
        <f>70767.9197377077+95144.6825647333</f>
        <v>165912.60230244102</v>
      </c>
      <c r="AT13" s="95"/>
      <c r="AU13" s="95"/>
      <c r="AV13" s="95"/>
      <c r="AW13" s="95"/>
      <c r="AX13" s="95"/>
      <c r="AY13" s="95"/>
    </row>
    <row r="14" spans="1:51" ht="37.5" customHeight="1" x14ac:dyDescent="0.3">
      <c r="A14" s="23" t="s">
        <v>308</v>
      </c>
      <c r="B14" s="19" t="s">
        <v>34</v>
      </c>
      <c r="C14" s="19" t="s">
        <v>87</v>
      </c>
      <c r="D14" s="19">
        <v>52.6</v>
      </c>
      <c r="E14" s="24">
        <f t="shared" si="0"/>
        <v>936.17131174218707</v>
      </c>
      <c r="F14" s="95">
        <v>478.82514966246345</v>
      </c>
      <c r="G14" s="95">
        <v>0</v>
      </c>
      <c r="H14" s="95"/>
      <c r="I14" s="95"/>
      <c r="J14" s="95"/>
      <c r="K14" s="95"/>
      <c r="L14" s="95">
        <v>35.527709799909104</v>
      </c>
      <c r="M14" s="95">
        <v>26.645782349931828</v>
      </c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>
        <v>197.58633496494139</v>
      </c>
      <c r="AG14" s="95">
        <v>197.58633496494139</v>
      </c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</row>
    <row r="15" spans="1:51" ht="37.5" customHeight="1" x14ac:dyDescent="0.3">
      <c r="A15" s="23" t="s">
        <v>309</v>
      </c>
      <c r="B15" s="19" t="s">
        <v>34</v>
      </c>
      <c r="C15" s="19" t="s">
        <v>88</v>
      </c>
      <c r="D15" s="19">
        <v>54.9</v>
      </c>
      <c r="E15" s="24">
        <f t="shared" si="0"/>
        <v>146479.52814677978</v>
      </c>
      <c r="F15" s="95">
        <v>499.76237103553694</v>
      </c>
      <c r="G15" s="95">
        <v>0</v>
      </c>
      <c r="H15" s="95">
        <v>0</v>
      </c>
      <c r="I15" s="95">
        <v>68.793268981875869</v>
      </c>
      <c r="J15" s="95"/>
      <c r="K15" s="95"/>
      <c r="L15" s="95">
        <v>37.081202813973569</v>
      </c>
      <c r="M15" s="95">
        <v>27.810902110480175</v>
      </c>
      <c r="N15" s="95"/>
      <c r="O15" s="95"/>
      <c r="P15" s="95"/>
      <c r="Q15" s="95"/>
      <c r="R15" s="95"/>
      <c r="S15" s="95"/>
      <c r="T15" s="95"/>
      <c r="U15" s="95"/>
      <c r="V15" s="95">
        <v>0</v>
      </c>
      <c r="W15" s="95">
        <v>145433.62831858409</v>
      </c>
      <c r="X15" s="95"/>
      <c r="Y15" s="95"/>
      <c r="AB15" s="95"/>
      <c r="AC15" s="95"/>
      <c r="AD15" s="95"/>
      <c r="AE15" s="95"/>
      <c r="AF15" s="95">
        <v>206.22604162690649</v>
      </c>
      <c r="AG15" s="95">
        <v>206.22604162690649</v>
      </c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</row>
    <row r="16" spans="1:51" ht="37.5" customHeight="1" x14ac:dyDescent="0.3">
      <c r="A16" s="23" t="s">
        <v>310</v>
      </c>
      <c r="B16" s="19" t="s">
        <v>94</v>
      </c>
      <c r="C16" s="19" t="s">
        <v>95</v>
      </c>
      <c r="D16" s="19">
        <v>348.4</v>
      </c>
      <c r="E16" s="24">
        <f t="shared" si="0"/>
        <v>207531.61154151248</v>
      </c>
      <c r="F16" s="95"/>
      <c r="G16" s="95"/>
      <c r="H16" s="95">
        <v>0</v>
      </c>
      <c r="I16" s="95">
        <v>436.56784905802459</v>
      </c>
      <c r="J16" s="95"/>
      <c r="K16" s="95"/>
      <c r="L16" s="95">
        <v>235.32042004350438</v>
      </c>
      <c r="M16" s="95">
        <v>176.49031503262827</v>
      </c>
      <c r="N16" s="95"/>
      <c r="O16" s="95"/>
      <c r="P16" s="95"/>
      <c r="Q16" s="95"/>
      <c r="R16" s="95"/>
      <c r="S16" s="95"/>
      <c r="T16" s="95">
        <v>56867.04285780908</v>
      </c>
      <c r="U16" s="95">
        <v>104303.36093830156</v>
      </c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>
        <v>5208.9828632035233</v>
      </c>
      <c r="AG16" s="95">
        <v>5547.7961966696748</v>
      </c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>
        <f>13151.4364461007+11537.6865714074</f>
        <v>24689.1230175081</v>
      </c>
      <c r="AS16" s="95">
        <f>2669.34703719918+7397.5800466872</f>
        <v>10066.927083886379</v>
      </c>
      <c r="AT16" s="95"/>
      <c r="AU16" s="95"/>
      <c r="AV16" s="95"/>
      <c r="AW16" s="95"/>
      <c r="AX16" s="95"/>
      <c r="AY16" s="95"/>
    </row>
    <row r="17" spans="1:51" ht="37.5" customHeight="1" x14ac:dyDescent="0.3">
      <c r="A17" s="23" t="s">
        <v>311</v>
      </c>
      <c r="B17" s="19" t="s">
        <v>101</v>
      </c>
      <c r="C17" s="19" t="s">
        <v>102</v>
      </c>
      <c r="D17" s="19">
        <v>217</v>
      </c>
      <c r="E17" s="24">
        <f t="shared" ref="E17:E36" si="1">SUM(F17:AU17)</f>
        <v>2158.6853953324398</v>
      </c>
      <c r="F17" s="95"/>
      <c r="G17" s="95"/>
      <c r="H17" s="95">
        <v>0</v>
      </c>
      <c r="I17" s="95">
        <v>271.91510690468237</v>
      </c>
      <c r="J17" s="95"/>
      <c r="K17" s="95"/>
      <c r="L17" s="95">
        <v>146.56868871825617</v>
      </c>
      <c r="M17" s="95">
        <v>109.92651653869213</v>
      </c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>
        <v>815.13754158540451</v>
      </c>
      <c r="AG17" s="95">
        <v>815.13754158540451</v>
      </c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</row>
    <row r="18" spans="1:51" ht="37.5" customHeight="1" x14ac:dyDescent="0.3">
      <c r="A18" s="23" t="s">
        <v>312</v>
      </c>
      <c r="B18" s="19" t="s">
        <v>291</v>
      </c>
      <c r="C18" s="19" t="s">
        <v>103</v>
      </c>
      <c r="D18" s="19">
        <v>482.8</v>
      </c>
      <c r="E18" s="24">
        <f t="shared" si="1"/>
        <v>3559040.8831046554</v>
      </c>
      <c r="F18" s="95"/>
      <c r="G18" s="95">
        <v>2589041.4</v>
      </c>
      <c r="H18" s="95"/>
      <c r="I18" s="95">
        <f>4760+29093.54</f>
        <v>33853.54</v>
      </c>
      <c r="J18" s="95"/>
      <c r="K18" s="95">
        <v>894112</v>
      </c>
      <c r="L18" s="95">
        <f>1931/2</f>
        <v>965.5</v>
      </c>
      <c r="M18" s="95">
        <f>1931/2</f>
        <v>965.5</v>
      </c>
      <c r="N18" s="95"/>
      <c r="O18" s="95"/>
      <c r="P18" s="95"/>
      <c r="Q18" s="95"/>
      <c r="R18" s="95">
        <v>0</v>
      </c>
      <c r="S18" s="95">
        <v>3272.7272727272725</v>
      </c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>
        <v>7218.4182731190049</v>
      </c>
      <c r="AG18" s="95">
        <v>7687.9334206432814</v>
      </c>
      <c r="AH18" s="95"/>
      <c r="AI18" s="95"/>
      <c r="AJ18" s="95"/>
      <c r="AK18" s="95">
        <v>0</v>
      </c>
      <c r="AL18" s="95"/>
      <c r="AM18" s="95"/>
      <c r="AN18" s="95"/>
      <c r="AO18" s="95"/>
      <c r="AP18" s="95"/>
      <c r="AQ18" s="95"/>
      <c r="AR18" s="95">
        <v>18224.780471232545</v>
      </c>
      <c r="AS18" s="95">
        <v>3699.0836669338746</v>
      </c>
      <c r="AT18" s="95"/>
      <c r="AU18" s="95"/>
      <c r="AV18" s="95"/>
      <c r="AW18" s="95"/>
      <c r="AX18" s="95"/>
      <c r="AY18" s="95"/>
    </row>
    <row r="19" spans="1:51" ht="37.5" customHeight="1" x14ac:dyDescent="0.3">
      <c r="A19" s="23" t="s">
        <v>313</v>
      </c>
      <c r="B19" s="19" t="s">
        <v>109</v>
      </c>
      <c r="C19" s="19" t="s">
        <v>110</v>
      </c>
      <c r="D19" s="19">
        <v>6896.7</v>
      </c>
      <c r="E19" s="24">
        <f t="shared" si="1"/>
        <v>13391714.386508718</v>
      </c>
      <c r="F19" s="95"/>
      <c r="G19" s="95">
        <f>5178082.08+204790.94</f>
        <v>5382873.0200000005</v>
      </c>
      <c r="H19" s="19"/>
      <c r="I19" s="95">
        <v>83532.38</v>
      </c>
      <c r="J19" s="95"/>
      <c r="K19" s="95"/>
      <c r="L19" s="95">
        <f>27587/2</f>
        <v>13793.5</v>
      </c>
      <c r="M19" s="95">
        <f>27587/2</f>
        <v>13793.5</v>
      </c>
      <c r="N19" s="95">
        <v>0</v>
      </c>
      <c r="O19" s="95">
        <v>5325.8426966292136</v>
      </c>
      <c r="P19" s="95"/>
      <c r="Q19" s="95"/>
      <c r="R19" s="95">
        <v>0</v>
      </c>
      <c r="S19" s="95">
        <v>6545.454545454545</v>
      </c>
      <c r="T19" s="95">
        <v>76952.529032258055</v>
      </c>
      <c r="U19" s="95">
        <v>0</v>
      </c>
      <c r="V19" s="95">
        <v>0</v>
      </c>
      <c r="W19" s="95">
        <v>8814.1592920353978</v>
      </c>
      <c r="X19" s="95"/>
      <c r="Y19" s="95"/>
      <c r="Z19" s="95"/>
      <c r="AA19" s="95"/>
      <c r="AB19" s="95"/>
      <c r="AC19" s="95"/>
      <c r="AD19" s="95">
        <v>0</v>
      </c>
      <c r="AE19" s="95">
        <v>7536.5853658536589</v>
      </c>
      <c r="AF19" s="95">
        <v>1044065</v>
      </c>
      <c r="AG19" s="95">
        <v>1044065</v>
      </c>
      <c r="AH19" s="95"/>
      <c r="AI19" s="95"/>
      <c r="AJ19" s="95"/>
      <c r="AK19" s="95">
        <v>4545786</v>
      </c>
      <c r="AL19" s="95"/>
      <c r="AM19" s="95"/>
      <c r="AN19" s="95"/>
      <c r="AO19" s="95"/>
      <c r="AP19" s="95"/>
      <c r="AQ19" s="95"/>
      <c r="AR19" s="95">
        <f>260337.289718205+228392.545858282</f>
        <v>488729.83557648701</v>
      </c>
      <c r="AS19" s="95">
        <f>417935.18+251966.4</f>
        <v>669901.57999999996</v>
      </c>
      <c r="AT19" s="95"/>
      <c r="AU19" s="95"/>
      <c r="AV19" s="95"/>
      <c r="AW19" s="95"/>
      <c r="AX19" s="95"/>
      <c r="AY19" s="95"/>
    </row>
    <row r="20" spans="1:51" ht="37.5" customHeight="1" x14ac:dyDescent="0.3">
      <c r="A20" s="23" t="s">
        <v>517</v>
      </c>
      <c r="B20" s="19" t="s">
        <v>111</v>
      </c>
      <c r="C20" s="19" t="s">
        <v>112</v>
      </c>
      <c r="D20" s="19">
        <v>38.4</v>
      </c>
      <c r="E20" s="24">
        <f t="shared" si="1"/>
        <v>0</v>
      </c>
      <c r="F20" s="95"/>
      <c r="G20" s="95"/>
      <c r="H20" s="1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</row>
    <row r="21" spans="1:51" ht="37.5" customHeight="1" x14ac:dyDescent="0.3">
      <c r="A21" s="23" t="s">
        <v>520</v>
      </c>
      <c r="B21" s="19" t="s">
        <v>113</v>
      </c>
      <c r="C21" s="19" t="s">
        <v>114</v>
      </c>
      <c r="D21" s="19">
        <v>3455.5</v>
      </c>
      <c r="E21" s="24">
        <f t="shared" si="1"/>
        <v>17476282.200046379</v>
      </c>
      <c r="F21" s="95"/>
      <c r="G21" s="95">
        <f>2589041.04/2</f>
        <v>1294520.52</v>
      </c>
      <c r="H21" s="19">
        <v>0</v>
      </c>
      <c r="I21" s="95">
        <f>8330+64255.68</f>
        <v>72585.679999999993</v>
      </c>
      <c r="J21" s="95">
        <v>0</v>
      </c>
      <c r="K21" s="95">
        <f>(294000+359100+652935)-548535</f>
        <v>757500</v>
      </c>
      <c r="L21" s="95">
        <f>13822/2</f>
        <v>6911</v>
      </c>
      <c r="M21" s="95">
        <f>13822/2</f>
        <v>6911</v>
      </c>
      <c r="N21" s="95">
        <v>0</v>
      </c>
      <c r="O21" s="95">
        <f>396000/2</f>
        <v>198000</v>
      </c>
      <c r="P21" s="95"/>
      <c r="Q21" s="95"/>
      <c r="R21" s="95">
        <v>0</v>
      </c>
      <c r="S21" s="95">
        <v>3272.7272727272725</v>
      </c>
      <c r="T21" s="95">
        <v>76952.529032258055</v>
      </c>
      <c r="U21" s="95">
        <v>0</v>
      </c>
      <c r="V21" s="95"/>
      <c r="W21" s="95"/>
      <c r="X21" s="95"/>
      <c r="Y21" s="95"/>
      <c r="Z21" s="95">
        <v>0</v>
      </c>
      <c r="AA21" s="95">
        <v>1000000</v>
      </c>
      <c r="AB21" s="95"/>
      <c r="AC21" s="95"/>
      <c r="AD21" s="95"/>
      <c r="AE21" s="95"/>
      <c r="AF21" s="95">
        <v>522032</v>
      </c>
      <c r="AG21" s="95">
        <v>522032</v>
      </c>
      <c r="AH21" s="95"/>
      <c r="AI21" s="95"/>
      <c r="AJ21" s="95">
        <f>3777960+499701.6</f>
        <v>4277661.5999999996</v>
      </c>
      <c r="AK21" s="95">
        <f>4396581.6+2125660</f>
        <v>6522241.5999999996</v>
      </c>
      <c r="AL21" s="95"/>
      <c r="AM21" s="95"/>
      <c r="AN21" s="95"/>
      <c r="AO21" s="95"/>
      <c r="AP21" s="95">
        <v>0</v>
      </c>
      <c r="AQ21" s="95">
        <f>200000+490000+490000+490000</f>
        <v>1670000</v>
      </c>
      <c r="AR21" s="95">
        <v>130438.543741392</v>
      </c>
      <c r="AS21" s="95">
        <f>207157+208066</f>
        <v>415223</v>
      </c>
      <c r="AT21" s="95"/>
      <c r="AU21" s="95"/>
      <c r="AV21" s="95"/>
      <c r="AW21" s="95"/>
      <c r="AX21" s="95"/>
      <c r="AY21" s="95"/>
    </row>
    <row r="22" spans="1:51" ht="37.5" customHeight="1" x14ac:dyDescent="0.3">
      <c r="A22" s="23" t="s">
        <v>521</v>
      </c>
      <c r="B22" s="19" t="s">
        <v>115</v>
      </c>
      <c r="C22" s="19" t="s">
        <v>116</v>
      </c>
      <c r="D22" s="19">
        <v>2482.1</v>
      </c>
      <c r="E22" s="24">
        <f t="shared" si="1"/>
        <v>4070382.1986498618</v>
      </c>
      <c r="F22" s="95"/>
      <c r="G22" s="95">
        <f>2589041.04/2</f>
        <v>1294520.52</v>
      </c>
      <c r="H22" s="19">
        <v>0</v>
      </c>
      <c r="I22" s="95">
        <f>8330+64255.68</f>
        <v>72585.679999999993</v>
      </c>
      <c r="J22" s="95">
        <v>0</v>
      </c>
      <c r="K22" s="95">
        <v>548535</v>
      </c>
      <c r="L22" s="95">
        <f>9928/2</f>
        <v>4964</v>
      </c>
      <c r="M22" s="95">
        <f>9928/2</f>
        <v>4964</v>
      </c>
      <c r="N22" s="95">
        <v>0</v>
      </c>
      <c r="O22" s="95">
        <f>396000/2</f>
        <v>198000</v>
      </c>
      <c r="P22" s="95"/>
      <c r="Q22" s="95"/>
      <c r="R22" s="95">
        <v>0</v>
      </c>
      <c r="S22" s="95">
        <v>3272.7272727272725</v>
      </c>
      <c r="T22" s="95">
        <v>76952.529032258055</v>
      </c>
      <c r="U22" s="95">
        <v>0</v>
      </c>
      <c r="V22" s="95">
        <v>0</v>
      </c>
      <c r="W22" s="95">
        <v>66106.194690265489</v>
      </c>
      <c r="X22" s="95"/>
      <c r="Y22" s="95"/>
      <c r="Z22" s="95">
        <v>0</v>
      </c>
      <c r="AA22" s="95">
        <v>247500</v>
      </c>
      <c r="AB22" s="95"/>
      <c r="AC22" s="95"/>
      <c r="AD22" s="95"/>
      <c r="AE22" s="95"/>
      <c r="AF22" s="95">
        <v>522032</v>
      </c>
      <c r="AG22" s="95">
        <v>522032</v>
      </c>
      <c r="AH22" s="95"/>
      <c r="AI22" s="95"/>
      <c r="AJ22" s="95">
        <v>0</v>
      </c>
      <c r="AK22" s="95"/>
      <c r="AL22" s="95"/>
      <c r="AM22" s="95"/>
      <c r="AN22" s="95"/>
      <c r="AO22" s="95"/>
      <c r="AP22" s="95"/>
      <c r="AQ22" s="95"/>
      <c r="AR22" s="95">
        <v>93694.547654611219</v>
      </c>
      <c r="AS22" s="95">
        <f>207157+208066</f>
        <v>415223</v>
      </c>
      <c r="AT22" s="95"/>
      <c r="AU22" s="95"/>
      <c r="AV22" s="95"/>
      <c r="AW22" s="95"/>
      <c r="AX22" s="95"/>
      <c r="AY22" s="95"/>
    </row>
    <row r="23" spans="1:51" ht="37.5" customHeight="1" x14ac:dyDescent="0.3">
      <c r="A23" s="23" t="s">
        <v>522</v>
      </c>
      <c r="B23" s="19" t="s">
        <v>117</v>
      </c>
      <c r="C23" s="19" t="s">
        <v>118</v>
      </c>
      <c r="D23" s="19">
        <v>404.9</v>
      </c>
      <c r="E23" s="24">
        <f t="shared" si="1"/>
        <v>57589.244515489387</v>
      </c>
      <c r="F23" s="95">
        <v>54197.279999999999</v>
      </c>
      <c r="G23" s="95">
        <v>0</v>
      </c>
      <c r="H23" s="19">
        <v>0</v>
      </c>
      <c r="I23" s="95">
        <v>507.36602205394416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>
        <v>0</v>
      </c>
      <c r="AI23" s="95">
        <v>2884.5984934354437</v>
      </c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</row>
    <row r="24" spans="1:51" ht="37.5" customHeight="1" x14ac:dyDescent="0.3">
      <c r="A24" s="23" t="s">
        <v>523</v>
      </c>
      <c r="B24" s="19" t="s">
        <v>121</v>
      </c>
      <c r="C24" s="19" t="s">
        <v>122</v>
      </c>
      <c r="D24" s="19">
        <v>9.1999999999999993</v>
      </c>
      <c r="E24" s="24">
        <f t="shared" si="1"/>
        <v>91.52030247492371</v>
      </c>
      <c r="F24" s="95"/>
      <c r="G24" s="95"/>
      <c r="H24" s="19">
        <v>0</v>
      </c>
      <c r="I24" s="95">
        <v>11.52819808075151</v>
      </c>
      <c r="J24" s="95"/>
      <c r="K24" s="95"/>
      <c r="L24" s="95">
        <v>6.213972056257866</v>
      </c>
      <c r="M24" s="95">
        <v>4.6604790421933995</v>
      </c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>
        <v>34.558826647860464</v>
      </c>
      <c r="AG24" s="95">
        <v>34.558826647860464</v>
      </c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</row>
    <row r="25" spans="1:51" ht="37.5" customHeight="1" x14ac:dyDescent="0.3">
      <c r="A25" s="23" t="s">
        <v>524</v>
      </c>
      <c r="B25" s="19" t="s">
        <v>123</v>
      </c>
      <c r="C25" s="19" t="s">
        <v>124</v>
      </c>
      <c r="D25" s="19">
        <v>43</v>
      </c>
      <c r="E25" s="24">
        <f t="shared" si="1"/>
        <v>427.75793548062165</v>
      </c>
      <c r="F25" s="95"/>
      <c r="G25" s="95"/>
      <c r="H25" s="19">
        <v>0</v>
      </c>
      <c r="I25" s="95">
        <v>53.88179537742554</v>
      </c>
      <c r="J25" s="95"/>
      <c r="K25" s="95"/>
      <c r="L25" s="95">
        <v>29.04356504555307</v>
      </c>
      <c r="M25" s="95">
        <v>21.782673784164803</v>
      </c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>
        <v>161.52495063673913</v>
      </c>
      <c r="AG25" s="95">
        <v>161.52495063673913</v>
      </c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</row>
    <row r="26" spans="1:51" ht="37.5" customHeight="1" x14ac:dyDescent="0.3">
      <c r="A26" s="23" t="s">
        <v>525</v>
      </c>
      <c r="B26" s="19" t="s">
        <v>123</v>
      </c>
      <c r="C26" s="19" t="s">
        <v>125</v>
      </c>
      <c r="D26" s="19">
        <v>31.6</v>
      </c>
      <c r="E26" s="24">
        <f t="shared" si="1"/>
        <v>314.35234328343364</v>
      </c>
      <c r="F26" s="95"/>
      <c r="G26" s="95"/>
      <c r="H26" s="19">
        <v>0</v>
      </c>
      <c r="I26" s="95">
        <v>39.596854277363889</v>
      </c>
      <c r="J26" s="95"/>
      <c r="K26" s="95"/>
      <c r="L26" s="95">
        <v>21.34364314975528</v>
      </c>
      <c r="M26" s="95">
        <v>16.00773236231646</v>
      </c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>
        <v>118.70205674699901</v>
      </c>
      <c r="AG26" s="95">
        <v>118.70205674699901</v>
      </c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</row>
    <row r="27" spans="1:51" ht="37.5" customHeight="1" x14ac:dyDescent="0.3">
      <c r="A27" s="23" t="s">
        <v>526</v>
      </c>
      <c r="B27" s="19" t="s">
        <v>126</v>
      </c>
      <c r="C27" s="19" t="s">
        <v>127</v>
      </c>
      <c r="D27" s="19">
        <v>147.5</v>
      </c>
      <c r="E27" s="24">
        <f t="shared" si="1"/>
        <v>14416.167007478465</v>
      </c>
      <c r="F27" s="95"/>
      <c r="G27" s="95">
        <v>12948.857810190286</v>
      </c>
      <c r="H27" s="19">
        <v>0</v>
      </c>
      <c r="I27" s="95">
        <v>184.82708879465739</v>
      </c>
      <c r="J27" s="95"/>
      <c r="K27" s="95"/>
      <c r="L27" s="95">
        <v>99.626182423699476</v>
      </c>
      <c r="M27" s="95">
        <v>74.7196368177746</v>
      </c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>
        <v>554.06814462602381</v>
      </c>
      <c r="AG27" s="95">
        <v>554.06814462602381</v>
      </c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</row>
    <row r="28" spans="1:51" ht="56.25" customHeight="1" x14ac:dyDescent="0.3">
      <c r="A28" s="23" t="s">
        <v>527</v>
      </c>
      <c r="B28" s="19" t="s">
        <v>150</v>
      </c>
      <c r="C28" s="19" t="s">
        <v>151</v>
      </c>
      <c r="D28" s="19">
        <v>2615.5</v>
      </c>
      <c r="E28" s="24">
        <f t="shared" si="1"/>
        <v>30194159.740000002</v>
      </c>
      <c r="F28" s="95">
        <f>12945205.2+500000</f>
        <v>13445205.199999999</v>
      </c>
      <c r="G28" s="95">
        <f>1743000+79200+54049.2+94586.1</f>
        <v>1970835.3</v>
      </c>
      <c r="H28" s="95">
        <f>10300+569560</f>
        <v>579860</v>
      </c>
      <c r="I28" s="95">
        <v>30163</v>
      </c>
      <c r="J28" s="95">
        <v>150323.47</v>
      </c>
      <c r="K28" s="95">
        <v>226579</v>
      </c>
      <c r="L28" s="95"/>
      <c r="M28" s="95">
        <f>36538.86+53000+295116.59</f>
        <v>384655.45</v>
      </c>
      <c r="N28" s="95"/>
      <c r="O28" s="95"/>
      <c r="P28" s="95"/>
      <c r="Q28" s="95">
        <v>88000</v>
      </c>
      <c r="R28" s="95">
        <v>0</v>
      </c>
      <c r="S28" s="95"/>
      <c r="T28" s="95">
        <v>430392.75</v>
      </c>
      <c r="U28" s="95">
        <v>1069607.25</v>
      </c>
      <c r="V28" s="95"/>
      <c r="W28" s="95"/>
      <c r="X28" s="95"/>
      <c r="Y28" s="95"/>
      <c r="Z28" s="95">
        <v>153000</v>
      </c>
      <c r="AA28" s="95"/>
      <c r="AB28" s="95"/>
      <c r="AC28" s="95"/>
      <c r="AD28" s="95"/>
      <c r="AE28" s="95"/>
      <c r="AF28" s="95">
        <f>115000+25000</f>
        <v>140000</v>
      </c>
      <c r="AG28" s="95">
        <f>502739.38+25000</f>
        <v>527739.38</v>
      </c>
      <c r="AH28" s="95">
        <v>0</v>
      </c>
      <c r="AI28" s="95">
        <f>20157+7080</f>
        <v>27237</v>
      </c>
      <c r="AJ28" s="95"/>
      <c r="AK28" s="95">
        <v>7298464.2800000003</v>
      </c>
      <c r="AL28" s="95"/>
      <c r="AM28" s="95"/>
      <c r="AN28" s="95"/>
      <c r="AO28" s="95"/>
      <c r="AP28" s="95"/>
      <c r="AQ28" s="95"/>
      <c r="AR28" s="95">
        <f>149834.69+107004</f>
        <v>256838.69</v>
      </c>
      <c r="AS28" s="95">
        <f>3415258.97</f>
        <v>3415258.97</v>
      </c>
      <c r="AT28" s="95"/>
      <c r="AU28" s="95">
        <v>0</v>
      </c>
      <c r="AV28" s="95">
        <v>119000</v>
      </c>
      <c r="AW28" s="95">
        <v>78894</v>
      </c>
      <c r="AX28" s="95">
        <v>190000</v>
      </c>
      <c r="AY28" s="95"/>
    </row>
    <row r="29" spans="1:51" ht="37.5" customHeight="1" x14ac:dyDescent="0.3">
      <c r="A29" s="23" t="s">
        <v>528</v>
      </c>
      <c r="B29" s="95" t="s">
        <v>152</v>
      </c>
      <c r="C29" s="95" t="s">
        <v>153</v>
      </c>
      <c r="D29" s="19">
        <v>22228.9</v>
      </c>
      <c r="E29" s="24">
        <f t="shared" si="1"/>
        <v>31330115.977122445</v>
      </c>
      <c r="F29" s="95">
        <v>15534246.24</v>
      </c>
      <c r="G29" s="95"/>
      <c r="H29" s="95">
        <f>5950+109148.98</f>
        <v>115098.98</v>
      </c>
      <c r="I29" s="95">
        <v>46778.14</v>
      </c>
      <c r="J29" s="95">
        <v>5124440.68</v>
      </c>
      <c r="K29" s="95">
        <f>6024032-J29+290000</f>
        <v>1189591.3200000003</v>
      </c>
      <c r="L29" s="95">
        <v>0</v>
      </c>
      <c r="M29" s="95"/>
      <c r="N29" s="95"/>
      <c r="O29" s="95"/>
      <c r="P29" s="95"/>
      <c r="Q29" s="95"/>
      <c r="R29" s="95">
        <v>0</v>
      </c>
      <c r="S29" s="95">
        <v>32727.272727272728</v>
      </c>
      <c r="T29" s="95"/>
      <c r="U29" s="95"/>
      <c r="V29" s="95">
        <v>0</v>
      </c>
      <c r="W29" s="95">
        <v>354974.56912338495</v>
      </c>
      <c r="X29" s="95">
        <v>0</v>
      </c>
      <c r="Y29" s="95">
        <v>415752.78</v>
      </c>
      <c r="Z29" s="95"/>
      <c r="AA29" s="95"/>
      <c r="AB29" s="95"/>
      <c r="AC29" s="95"/>
      <c r="AD29" s="95">
        <v>0</v>
      </c>
      <c r="AE29" s="95">
        <v>7536.5853658536589</v>
      </c>
      <c r="AF29" s="95">
        <f>3005580+594432</f>
        <v>3600012</v>
      </c>
      <c r="AG29" s="95">
        <f>265127.57+265127.57+594432</f>
        <v>1124687.1400000001</v>
      </c>
      <c r="AH29" s="95">
        <v>0</v>
      </c>
      <c r="AI29" s="95">
        <v>92907.49883575234</v>
      </c>
      <c r="AJ29" s="95">
        <v>0</v>
      </c>
      <c r="AK29" s="95">
        <f>449434.8+461276.4</f>
        <v>910711.2</v>
      </c>
      <c r="AL29" s="95"/>
      <c r="AM29" s="95"/>
      <c r="AN29" s="95"/>
      <c r="AO29" s="95"/>
      <c r="AP29" s="95"/>
      <c r="AQ29" s="95"/>
      <c r="AR29" s="95">
        <v>0</v>
      </c>
      <c r="AS29" s="95">
        <f>11472.6670121583+257315.35+2511863.55405802</f>
        <v>2780651.5710701784</v>
      </c>
      <c r="AT29" s="95"/>
      <c r="AU29" s="95"/>
      <c r="AV29" s="95"/>
      <c r="AW29" s="95"/>
      <c r="AX29" s="95"/>
      <c r="AY29" s="95"/>
    </row>
    <row r="30" spans="1:51" ht="37.5" customHeight="1" x14ac:dyDescent="0.3">
      <c r="A30" s="23" t="s">
        <v>529</v>
      </c>
      <c r="B30" s="95" t="s">
        <v>154</v>
      </c>
      <c r="C30" s="95" t="s">
        <v>155</v>
      </c>
      <c r="D30" s="19">
        <v>481.3</v>
      </c>
      <c r="E30" s="24">
        <f t="shared" si="1"/>
        <v>132341.4</v>
      </c>
      <c r="F30" s="95"/>
      <c r="G30" s="95"/>
      <c r="H30" s="95"/>
      <c r="I30" s="95"/>
      <c r="J30" s="95"/>
      <c r="K30" s="95"/>
      <c r="L30" s="95">
        <v>0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>
        <v>65457</v>
      </c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>
        <v>66884.399999999994</v>
      </c>
      <c r="AT30" s="95"/>
      <c r="AU30" s="95"/>
      <c r="AV30" s="95"/>
      <c r="AW30" s="95"/>
      <c r="AX30" s="95"/>
      <c r="AY30" s="95"/>
    </row>
    <row r="31" spans="1:51" ht="37.5" customHeight="1" x14ac:dyDescent="0.3">
      <c r="A31" s="23" t="s">
        <v>530</v>
      </c>
      <c r="B31" s="95" t="s">
        <v>156</v>
      </c>
      <c r="C31" s="95" t="s">
        <v>157</v>
      </c>
      <c r="D31" s="19">
        <v>140.9</v>
      </c>
      <c r="E31" s="24">
        <f t="shared" si="1"/>
        <v>19162</v>
      </c>
      <c r="F31" s="95"/>
      <c r="G31" s="95"/>
      <c r="H31" s="95"/>
      <c r="I31" s="95"/>
      <c r="J31" s="95"/>
      <c r="K31" s="95"/>
      <c r="L31" s="95">
        <v>0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>
        <v>19162</v>
      </c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</row>
    <row r="32" spans="1:51" ht="36" x14ac:dyDescent="0.3">
      <c r="A32" s="23" t="s">
        <v>531</v>
      </c>
      <c r="B32" s="95" t="s">
        <v>161</v>
      </c>
      <c r="C32" s="95" t="s">
        <v>162</v>
      </c>
      <c r="D32" s="95">
        <v>489.2</v>
      </c>
      <c r="E32" s="24">
        <f t="shared" si="1"/>
        <v>100174.2</v>
      </c>
      <c r="F32" s="95"/>
      <c r="G32" s="95"/>
      <c r="H32" s="95"/>
      <c r="I32" s="95"/>
      <c r="J32" s="95"/>
      <c r="K32" s="95"/>
      <c r="L32" s="95">
        <v>0</v>
      </c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>
        <v>66531</v>
      </c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>
        <v>33643.199999999997</v>
      </c>
      <c r="AT32" s="95"/>
      <c r="AU32" s="95"/>
      <c r="AV32" s="95"/>
      <c r="AW32" s="95"/>
      <c r="AX32" s="95"/>
      <c r="AY32" s="95"/>
    </row>
    <row r="33" spans="1:51" ht="36" x14ac:dyDescent="0.3">
      <c r="A33" s="23" t="s">
        <v>532</v>
      </c>
      <c r="B33" s="95" t="s">
        <v>163</v>
      </c>
      <c r="C33" s="95" t="s">
        <v>164</v>
      </c>
      <c r="D33" s="95">
        <v>482.4</v>
      </c>
      <c r="E33" s="24">
        <f t="shared" si="1"/>
        <v>98847.2</v>
      </c>
      <c r="F33" s="95"/>
      <c r="G33" s="95"/>
      <c r="H33" s="95"/>
      <c r="I33" s="95"/>
      <c r="J33" s="95"/>
      <c r="K33" s="95"/>
      <c r="L33" s="95">
        <v>0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>
        <v>65606</v>
      </c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>
        <v>33241.199999999997</v>
      </c>
      <c r="AT33" s="95"/>
      <c r="AU33" s="95"/>
      <c r="AV33" s="95"/>
      <c r="AW33" s="95"/>
      <c r="AX33" s="95"/>
      <c r="AY33" s="95"/>
    </row>
    <row r="34" spans="1:51" ht="36" x14ac:dyDescent="0.3">
      <c r="A34" s="23" t="s">
        <v>533</v>
      </c>
      <c r="B34" s="95" t="s">
        <v>171</v>
      </c>
      <c r="C34" s="95" t="s">
        <v>172</v>
      </c>
      <c r="D34" s="95">
        <v>1759.2</v>
      </c>
      <c r="E34" s="24">
        <f t="shared" si="1"/>
        <v>239251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>
        <v>239251</v>
      </c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</row>
    <row r="35" spans="1:51" ht="36" x14ac:dyDescent="0.3">
      <c r="A35" s="23" t="s">
        <v>534</v>
      </c>
      <c r="B35" s="95" t="s">
        <v>173</v>
      </c>
      <c r="C35" s="95" t="s">
        <v>174</v>
      </c>
      <c r="D35" s="95">
        <v>110.3</v>
      </c>
      <c r="E35" s="24">
        <f t="shared" si="1"/>
        <v>15001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>
        <v>15001</v>
      </c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</row>
    <row r="36" spans="1:51" ht="18.75" customHeight="1" x14ac:dyDescent="0.3">
      <c r="A36" s="23" t="s">
        <v>535</v>
      </c>
      <c r="B36" s="95" t="s">
        <v>177</v>
      </c>
      <c r="C36" s="95" t="s">
        <v>178</v>
      </c>
      <c r="D36" s="95">
        <v>1762.7</v>
      </c>
      <c r="E36" s="24">
        <f t="shared" si="1"/>
        <v>7499994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>
        <v>7499994</v>
      </c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</row>
    <row r="37" spans="1:51" ht="18.75" customHeight="1" x14ac:dyDescent="0.3">
      <c r="A37" s="105"/>
      <c r="B37" s="103" t="s">
        <v>315</v>
      </c>
      <c r="C37" s="101"/>
      <c r="D37" s="24">
        <f>SUM(D4:D36)</f>
        <v>47480.2</v>
      </c>
      <c r="E37" s="106">
        <f>SUM(E4:E36)</f>
        <v>112535910.27932608</v>
      </c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</row>
    <row r="38" spans="1:51" ht="18.75" customHeight="1" x14ac:dyDescent="0.3">
      <c r="A38" s="105"/>
      <c r="B38" s="103" t="s">
        <v>296</v>
      </c>
      <c r="C38" s="101"/>
      <c r="D38" s="101"/>
      <c r="E38" s="106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</row>
    <row r="39" spans="1:51" ht="37.5" customHeight="1" x14ac:dyDescent="0.3">
      <c r="A39" s="23" t="s">
        <v>298</v>
      </c>
      <c r="B39" s="101" t="s">
        <v>34</v>
      </c>
      <c r="C39" s="101" t="s">
        <v>35</v>
      </c>
      <c r="D39" s="101">
        <v>17.5</v>
      </c>
      <c r="E39" s="24">
        <f t="shared" ref="E39:E51" si="2">SUM(F39:AU39)</f>
        <v>1107271.06</v>
      </c>
      <c r="F39" s="101"/>
      <c r="G39" s="101">
        <v>1107271.06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</row>
    <row r="40" spans="1:51" ht="37.5" customHeight="1" x14ac:dyDescent="0.3">
      <c r="A40" s="23" t="s">
        <v>299</v>
      </c>
      <c r="B40" s="101" t="s">
        <v>21</v>
      </c>
      <c r="C40" s="101" t="s">
        <v>36</v>
      </c>
      <c r="D40" s="101">
        <v>95</v>
      </c>
      <c r="E40" s="24">
        <f t="shared" si="2"/>
        <v>1107271.06</v>
      </c>
      <c r="F40" s="101"/>
      <c r="G40" s="101">
        <v>1107271.06</v>
      </c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</row>
    <row r="41" spans="1:51" ht="37.5" customHeight="1" x14ac:dyDescent="0.3">
      <c r="A41" s="23" t="s">
        <v>300</v>
      </c>
      <c r="B41" s="101" t="s">
        <v>39</v>
      </c>
      <c r="C41" s="101" t="s">
        <v>40</v>
      </c>
      <c r="D41" s="101">
        <v>101.1</v>
      </c>
      <c r="E41" s="24">
        <f t="shared" si="2"/>
        <v>59496</v>
      </c>
      <c r="F41" s="101"/>
      <c r="G41" s="101"/>
      <c r="H41" s="101"/>
      <c r="I41" s="101">
        <v>59496</v>
      </c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</row>
    <row r="42" spans="1:51" ht="37.5" customHeight="1" x14ac:dyDescent="0.3">
      <c r="A42" s="23" t="s">
        <v>301</v>
      </c>
      <c r="B42" s="101" t="s">
        <v>45</v>
      </c>
      <c r="C42" s="101" t="s">
        <v>46</v>
      </c>
      <c r="D42" s="101">
        <v>173.4</v>
      </c>
      <c r="E42" s="24">
        <f t="shared" si="2"/>
        <v>0</v>
      </c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</row>
    <row r="43" spans="1:51" ht="18.75" customHeight="1" x14ac:dyDescent="0.3">
      <c r="A43" s="23" t="s">
        <v>302</v>
      </c>
      <c r="B43" s="101" t="s">
        <v>48</v>
      </c>
      <c r="C43" s="101" t="s">
        <v>49</v>
      </c>
      <c r="D43" s="101">
        <v>126.6</v>
      </c>
      <c r="E43" s="24">
        <f t="shared" si="2"/>
        <v>0</v>
      </c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</row>
    <row r="44" spans="1:51" ht="37.5" customHeight="1" x14ac:dyDescent="0.3">
      <c r="A44" s="23" t="s">
        <v>303</v>
      </c>
      <c r="B44" s="101" t="s">
        <v>48</v>
      </c>
      <c r="C44" s="101" t="s">
        <v>50</v>
      </c>
      <c r="D44" s="101">
        <v>71</v>
      </c>
      <c r="E44" s="24">
        <f t="shared" si="2"/>
        <v>0</v>
      </c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</row>
    <row r="45" spans="1:51" ht="37.5" customHeight="1" x14ac:dyDescent="0.3">
      <c r="A45" s="23" t="s">
        <v>304</v>
      </c>
      <c r="B45" s="101" t="s">
        <v>48</v>
      </c>
      <c r="C45" s="101" t="s">
        <v>51</v>
      </c>
      <c r="D45" s="101">
        <v>34.700000000000003</v>
      </c>
      <c r="E45" s="24">
        <f t="shared" si="2"/>
        <v>0</v>
      </c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</row>
    <row r="46" spans="1:51" ht="37.5" customHeight="1" x14ac:dyDescent="0.3">
      <c r="A46" s="23" t="s">
        <v>305</v>
      </c>
      <c r="B46" s="101" t="s">
        <v>48</v>
      </c>
      <c r="C46" s="101" t="s">
        <v>52</v>
      </c>
      <c r="D46" s="101">
        <v>97</v>
      </c>
      <c r="E46" s="24">
        <f t="shared" si="2"/>
        <v>0</v>
      </c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</row>
    <row r="47" spans="1:51" ht="37.5" customHeight="1" x14ac:dyDescent="0.3">
      <c r="A47" s="23" t="s">
        <v>306</v>
      </c>
      <c r="B47" s="101" t="s">
        <v>62</v>
      </c>
      <c r="C47" s="101" t="s">
        <v>63</v>
      </c>
      <c r="D47" s="101">
        <v>1467.1</v>
      </c>
      <c r="E47" s="24">
        <f t="shared" si="2"/>
        <v>147080</v>
      </c>
      <c r="F47" s="101"/>
      <c r="G47" s="101">
        <f>147080</f>
        <v>147080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</row>
    <row r="48" spans="1:51" ht="37.5" customHeight="1" x14ac:dyDescent="0.3">
      <c r="A48" s="23" t="s">
        <v>307</v>
      </c>
      <c r="B48" s="101" t="s">
        <v>66</v>
      </c>
      <c r="C48" s="101" t="s">
        <v>67</v>
      </c>
      <c r="D48" s="101">
        <v>561.79999999999995</v>
      </c>
      <c r="E48" s="24">
        <f t="shared" si="2"/>
        <v>264170</v>
      </c>
      <c r="F48" s="101"/>
      <c r="G48" s="101">
        <v>264170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</row>
    <row r="49" spans="1:51" ht="37.5" customHeight="1" x14ac:dyDescent="0.3">
      <c r="A49" s="23" t="s">
        <v>308</v>
      </c>
      <c r="B49" s="19" t="s">
        <v>34</v>
      </c>
      <c r="C49" s="19" t="s">
        <v>87</v>
      </c>
      <c r="D49" s="19">
        <v>52.6</v>
      </c>
      <c r="E49" s="24">
        <f t="shared" si="2"/>
        <v>397774.29</v>
      </c>
      <c r="F49" s="101"/>
      <c r="G49" s="101"/>
      <c r="H49" s="101"/>
      <c r="I49" s="101"/>
      <c r="J49" s="101"/>
      <c r="K49" s="101">
        <f>85644.94+25256.79</f>
        <v>110901.73000000001</v>
      </c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>
        <f>93677.23+138900</f>
        <v>232577.22999999998</v>
      </c>
      <c r="X49" s="101"/>
      <c r="Y49" s="101"/>
      <c r="Z49" s="101"/>
      <c r="AA49" s="101"/>
      <c r="AB49" s="101"/>
      <c r="AC49" s="101"/>
      <c r="AD49" s="101"/>
      <c r="AE49" s="101"/>
      <c r="AF49" s="101">
        <f>12582.87/2</f>
        <v>6291.4350000000004</v>
      </c>
      <c r="AG49" s="101">
        <f>12582.87/2</f>
        <v>6291.4350000000004</v>
      </c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>
        <v>41712.46</v>
      </c>
      <c r="AT49" s="101"/>
      <c r="AU49" s="101"/>
      <c r="AV49" s="101"/>
      <c r="AW49" s="101"/>
      <c r="AX49" s="101"/>
      <c r="AY49" s="101"/>
    </row>
    <row r="50" spans="1:51" ht="37.5" customHeight="1" x14ac:dyDescent="0.3">
      <c r="A50" s="23" t="s">
        <v>309</v>
      </c>
      <c r="B50" s="19" t="s">
        <v>34</v>
      </c>
      <c r="C50" s="19" t="s">
        <v>88</v>
      </c>
      <c r="D50" s="19">
        <v>54.9</v>
      </c>
      <c r="E50" s="24">
        <f t="shared" si="2"/>
        <v>287483.05</v>
      </c>
      <c r="F50" s="101"/>
      <c r="G50" s="101"/>
      <c r="H50" s="101"/>
      <c r="I50" s="101"/>
      <c r="J50" s="101"/>
      <c r="K50" s="101">
        <f>78817.46+20286.9</f>
        <v>99104.360000000015</v>
      </c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>
        <v>138900</v>
      </c>
      <c r="X50" s="101"/>
      <c r="Y50" s="101"/>
      <c r="AB50" s="101"/>
      <c r="AC50" s="101"/>
      <c r="AD50" s="101"/>
      <c r="AE50" s="101"/>
      <c r="AF50" s="101">
        <f>12017.35/2</f>
        <v>6008.6750000000002</v>
      </c>
      <c r="AG50" s="101">
        <f>12017.35/2</f>
        <v>6008.6750000000002</v>
      </c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>
        <v>37461.339999999997</v>
      </c>
      <c r="AT50" s="101"/>
      <c r="AU50" s="101"/>
      <c r="AV50" s="101"/>
      <c r="AW50" s="101"/>
      <c r="AX50" s="101"/>
      <c r="AY50" s="101"/>
    </row>
    <row r="51" spans="1:51" ht="37.5" customHeight="1" x14ac:dyDescent="0.3">
      <c r="A51" s="23" t="s">
        <v>310</v>
      </c>
      <c r="B51" s="19" t="s">
        <v>94</v>
      </c>
      <c r="C51" s="19" t="s">
        <v>95</v>
      </c>
      <c r="D51" s="19">
        <v>348.4</v>
      </c>
      <c r="E51" s="24">
        <f t="shared" si="2"/>
        <v>884685.95000000007</v>
      </c>
      <c r="F51" s="101"/>
      <c r="G51" s="101"/>
      <c r="H51" s="101"/>
      <c r="I51" s="101"/>
      <c r="J51" s="101"/>
      <c r="K51" s="101">
        <v>847324.4</v>
      </c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>
        <v>37361.550000000003</v>
      </c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</row>
    <row r="52" spans="1:51" ht="37.5" customHeight="1" x14ac:dyDescent="0.3">
      <c r="A52" s="23" t="s">
        <v>311</v>
      </c>
      <c r="B52" s="19" t="s">
        <v>101</v>
      </c>
      <c r="C52" s="19" t="s">
        <v>102</v>
      </c>
      <c r="D52" s="19">
        <v>217</v>
      </c>
      <c r="E52" s="24">
        <f t="shared" ref="E52:E70" si="3">SUM(F52:AU52)</f>
        <v>126843.6</v>
      </c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>
        <v>126843.6</v>
      </c>
      <c r="AT52" s="101"/>
      <c r="AU52" s="101"/>
      <c r="AV52" s="101"/>
      <c r="AW52" s="101"/>
      <c r="AX52" s="101"/>
      <c r="AY52" s="101"/>
    </row>
    <row r="53" spans="1:51" ht="37.5" customHeight="1" x14ac:dyDescent="0.3">
      <c r="A53" s="23" t="s">
        <v>312</v>
      </c>
      <c r="B53" s="19" t="s">
        <v>291</v>
      </c>
      <c r="C53" s="19" t="s">
        <v>103</v>
      </c>
      <c r="D53" s="19">
        <v>482.8</v>
      </c>
      <c r="E53" s="24">
        <f t="shared" si="3"/>
        <v>3767643.1100000003</v>
      </c>
      <c r="F53" s="101"/>
      <c r="G53" s="101">
        <f>2589041.04+14338.78</f>
        <v>2603379.8199999998</v>
      </c>
      <c r="H53" s="101"/>
      <c r="I53" s="101">
        <v>110305.58</v>
      </c>
      <c r="J53" s="101"/>
      <c r="K53" s="101">
        <v>786708.12</v>
      </c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>
        <f>25370.92+13661.26+138900</f>
        <v>177932.18</v>
      </c>
      <c r="X53" s="101"/>
      <c r="Y53" s="101"/>
      <c r="Z53" s="101"/>
      <c r="AA53" s="101"/>
      <c r="AB53" s="101"/>
      <c r="AC53" s="101"/>
      <c r="AD53" s="101"/>
      <c r="AE53" s="101"/>
      <c r="AF53" s="101">
        <f>51962.61/2</f>
        <v>25981.305</v>
      </c>
      <c r="AG53" s="101">
        <f>51962.61/2</f>
        <v>25981.305</v>
      </c>
      <c r="AH53" s="101"/>
      <c r="AI53" s="101"/>
      <c r="AJ53" s="101"/>
      <c r="AK53" s="101">
        <v>0</v>
      </c>
      <c r="AL53" s="101"/>
      <c r="AM53" s="101"/>
      <c r="AN53" s="101"/>
      <c r="AO53" s="101"/>
      <c r="AP53" s="101"/>
      <c r="AQ53" s="101"/>
      <c r="AR53" s="101"/>
      <c r="AS53" s="101">
        <v>37354.800000000003</v>
      </c>
      <c r="AT53" s="101"/>
      <c r="AU53" s="101"/>
      <c r="AV53" s="101"/>
      <c r="AW53" s="101"/>
      <c r="AX53" s="101"/>
      <c r="AY53" s="101"/>
    </row>
    <row r="54" spans="1:51" ht="37.5" customHeight="1" x14ac:dyDescent="0.3">
      <c r="A54" s="23" t="s">
        <v>313</v>
      </c>
      <c r="B54" s="19" t="s">
        <v>109</v>
      </c>
      <c r="C54" s="19" t="s">
        <v>110</v>
      </c>
      <c r="D54" s="19">
        <v>6896.7</v>
      </c>
      <c r="E54" s="24">
        <f t="shared" si="3"/>
        <v>6837619.8899999997</v>
      </c>
      <c r="F54" s="101"/>
      <c r="G54" s="101">
        <v>5178082.08</v>
      </c>
      <c r="H54" s="19"/>
      <c r="I54" s="101">
        <v>87935.09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>
        <f>33177.35+138900</f>
        <v>172077.35</v>
      </c>
      <c r="X54" s="101"/>
      <c r="Y54" s="101"/>
      <c r="Z54" s="101"/>
      <c r="AA54" s="101"/>
      <c r="AB54" s="101"/>
      <c r="AC54" s="101"/>
      <c r="AD54" s="101"/>
      <c r="AE54" s="101"/>
      <c r="AF54" s="101">
        <f>729623.82/2</f>
        <v>364811.91</v>
      </c>
      <c r="AG54" s="101">
        <f>729623.82/2</f>
        <v>364811.91</v>
      </c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>
        <f>251966.4+417935.15</f>
        <v>669901.55000000005</v>
      </c>
      <c r="AT54" s="101"/>
      <c r="AU54" s="101"/>
      <c r="AV54" s="101"/>
      <c r="AW54" s="101"/>
      <c r="AX54" s="101"/>
      <c r="AY54" s="101"/>
    </row>
    <row r="55" spans="1:51" ht="37.5" customHeight="1" x14ac:dyDescent="0.3">
      <c r="A55" s="23" t="s">
        <v>517</v>
      </c>
      <c r="B55" s="19" t="s">
        <v>111</v>
      </c>
      <c r="C55" s="19" t="s">
        <v>112</v>
      </c>
      <c r="D55" s="19">
        <v>38.4</v>
      </c>
      <c r="E55" s="24">
        <f t="shared" si="3"/>
        <v>0</v>
      </c>
      <c r="F55" s="101"/>
      <c r="G55" s="101"/>
      <c r="H55" s="19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</row>
    <row r="56" spans="1:51" ht="37.5" customHeight="1" x14ac:dyDescent="0.3">
      <c r="A56" s="23" t="s">
        <v>520</v>
      </c>
      <c r="B56" s="19" t="s">
        <v>113</v>
      </c>
      <c r="C56" s="19" t="s">
        <v>114</v>
      </c>
      <c r="D56" s="19">
        <v>3455.5</v>
      </c>
      <c r="E56" s="24">
        <f t="shared" si="3"/>
        <v>2929558.3450000002</v>
      </c>
      <c r="F56" s="101"/>
      <c r="G56" s="101">
        <f>2589041.04/2+176353.94/2</f>
        <v>1382697.49</v>
      </c>
      <c r="H56" s="19"/>
      <c r="I56" s="101"/>
      <c r="J56" s="101"/>
      <c r="K56" s="101">
        <f>(294000+359100+652935)/2</f>
        <v>653017.5</v>
      </c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>
        <f>(80015.97+138900)/2</f>
        <v>109457.985</v>
      </c>
      <c r="X56" s="101"/>
      <c r="Y56" s="101"/>
      <c r="Z56" s="101"/>
      <c r="AA56" s="101"/>
      <c r="AB56" s="101"/>
      <c r="AC56" s="101"/>
      <c r="AD56" s="101"/>
      <c r="AE56" s="101"/>
      <c r="AF56" s="101">
        <f>371038.83/2</f>
        <v>185519.41500000001</v>
      </c>
      <c r="AG56" s="101">
        <f>371038.83/2</f>
        <v>185519.41500000001</v>
      </c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>
        <f>206190+207156.54</f>
        <v>413346.54000000004</v>
      </c>
      <c r="AT56" s="101"/>
      <c r="AU56" s="101"/>
      <c r="AV56" s="101"/>
      <c r="AW56" s="101"/>
      <c r="AX56" s="101"/>
      <c r="AY56" s="101"/>
    </row>
    <row r="57" spans="1:51" ht="37.5" customHeight="1" x14ac:dyDescent="0.3">
      <c r="A57" s="23" t="s">
        <v>521</v>
      </c>
      <c r="B57" s="19" t="s">
        <v>115</v>
      </c>
      <c r="C57" s="19" t="s">
        <v>116</v>
      </c>
      <c r="D57" s="19">
        <v>2482.1</v>
      </c>
      <c r="E57" s="24">
        <f t="shared" si="3"/>
        <v>2828741.3550000004</v>
      </c>
      <c r="F57" s="101"/>
      <c r="G57" s="101">
        <f>G56</f>
        <v>1382697.49</v>
      </c>
      <c r="H57" s="19"/>
      <c r="I57" s="101"/>
      <c r="J57" s="101"/>
      <c r="K57" s="101">
        <f>K56</f>
        <v>653017.5</v>
      </c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>
        <f>W56</f>
        <v>109457.985</v>
      </c>
      <c r="X57" s="101"/>
      <c r="Y57" s="101"/>
      <c r="Z57" s="101"/>
      <c r="AA57" s="101"/>
      <c r="AB57" s="101"/>
      <c r="AC57" s="101"/>
      <c r="AD57" s="101"/>
      <c r="AE57" s="101"/>
      <c r="AF57" s="101">
        <f>266469.44/2</f>
        <v>133234.72</v>
      </c>
      <c r="AG57" s="101">
        <f>266469.44/2</f>
        <v>133234.72</v>
      </c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>
        <f>209942.4+207156.54</f>
        <v>417098.94</v>
      </c>
      <c r="AT57" s="101"/>
      <c r="AU57" s="101"/>
      <c r="AV57" s="101"/>
      <c r="AW57" s="101"/>
      <c r="AX57" s="101"/>
      <c r="AY57" s="101"/>
    </row>
    <row r="58" spans="1:51" ht="37.5" customHeight="1" x14ac:dyDescent="0.3">
      <c r="A58" s="23" t="s">
        <v>522</v>
      </c>
      <c r="B58" s="19" t="s">
        <v>117</v>
      </c>
      <c r="C58" s="19" t="s">
        <v>118</v>
      </c>
      <c r="D58" s="19">
        <v>404.9</v>
      </c>
      <c r="E58" s="24">
        <f t="shared" si="3"/>
        <v>0</v>
      </c>
      <c r="F58" s="101"/>
      <c r="H58" s="19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</row>
    <row r="59" spans="1:51" ht="37.5" customHeight="1" x14ac:dyDescent="0.3">
      <c r="A59" s="23" t="s">
        <v>523</v>
      </c>
      <c r="B59" s="19" t="s">
        <v>121</v>
      </c>
      <c r="C59" s="19" t="s">
        <v>122</v>
      </c>
      <c r="D59" s="19">
        <v>9.1999999999999993</v>
      </c>
      <c r="E59" s="24">
        <f t="shared" si="3"/>
        <v>0</v>
      </c>
      <c r="F59" s="101"/>
      <c r="G59" s="101"/>
      <c r="H59" s="19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</row>
    <row r="60" spans="1:51" ht="37.5" customHeight="1" x14ac:dyDescent="0.3">
      <c r="A60" s="23" t="s">
        <v>524</v>
      </c>
      <c r="B60" s="19" t="s">
        <v>123</v>
      </c>
      <c r="C60" s="19" t="s">
        <v>124</v>
      </c>
      <c r="D60" s="19">
        <v>43</v>
      </c>
      <c r="E60" s="24">
        <f t="shared" si="3"/>
        <v>0</v>
      </c>
      <c r="F60" s="101"/>
      <c r="G60" s="101"/>
      <c r="H60" s="19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</row>
    <row r="61" spans="1:51" ht="37.5" customHeight="1" x14ac:dyDescent="0.3">
      <c r="A61" s="23" t="s">
        <v>525</v>
      </c>
      <c r="B61" s="19" t="s">
        <v>123</v>
      </c>
      <c r="C61" s="19" t="s">
        <v>125</v>
      </c>
      <c r="D61" s="19">
        <v>31.6</v>
      </c>
      <c r="E61" s="24">
        <f t="shared" si="3"/>
        <v>0</v>
      </c>
      <c r="F61" s="101"/>
      <c r="G61" s="101"/>
      <c r="H61" s="19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</row>
    <row r="62" spans="1:51" ht="37.5" customHeight="1" x14ac:dyDescent="0.3">
      <c r="A62" s="23" t="s">
        <v>526</v>
      </c>
      <c r="B62" s="19" t="s">
        <v>126</v>
      </c>
      <c r="C62" s="19" t="s">
        <v>127</v>
      </c>
      <c r="D62" s="19">
        <v>147.5</v>
      </c>
      <c r="E62" s="24">
        <f t="shared" si="3"/>
        <v>60459.539999999994</v>
      </c>
      <c r="F62" s="101"/>
      <c r="G62" s="101"/>
      <c r="H62" s="19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>
        <v>9758.0499999999993</v>
      </c>
      <c r="X62" s="101"/>
      <c r="Y62" s="101"/>
      <c r="Z62" s="101"/>
      <c r="AA62" s="101"/>
      <c r="AB62" s="101"/>
      <c r="AC62" s="101"/>
      <c r="AD62" s="101"/>
      <c r="AE62" s="101"/>
      <c r="AF62" s="101"/>
      <c r="AG62" s="101">
        <v>29972.69</v>
      </c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>
        <v>20728.8</v>
      </c>
      <c r="AT62" s="101"/>
      <c r="AU62" s="101"/>
      <c r="AV62" s="101"/>
      <c r="AW62" s="101"/>
      <c r="AX62" s="101"/>
      <c r="AY62" s="101"/>
    </row>
    <row r="63" spans="1:51" ht="37.5" customHeight="1" x14ac:dyDescent="0.3">
      <c r="A63" s="23" t="s">
        <v>527</v>
      </c>
      <c r="B63" s="101" t="s">
        <v>152</v>
      </c>
      <c r="C63" s="101" t="s">
        <v>153</v>
      </c>
      <c r="D63" s="19">
        <v>22228.9</v>
      </c>
      <c r="E63" s="24">
        <f t="shared" si="3"/>
        <v>0</v>
      </c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</row>
    <row r="64" spans="1:51" ht="37.5" customHeight="1" x14ac:dyDescent="0.3">
      <c r="A64" s="23" t="s">
        <v>528</v>
      </c>
      <c r="B64" s="101" t="s">
        <v>154</v>
      </c>
      <c r="C64" s="101" t="s">
        <v>155</v>
      </c>
      <c r="D64" s="19">
        <v>481.3</v>
      </c>
      <c r="E64" s="24">
        <f t="shared" si="3"/>
        <v>0</v>
      </c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</row>
    <row r="65" spans="1:51" ht="37.5" customHeight="1" x14ac:dyDescent="0.3">
      <c r="A65" s="23" t="s">
        <v>529</v>
      </c>
      <c r="B65" s="101" t="s">
        <v>156</v>
      </c>
      <c r="C65" s="101" t="s">
        <v>157</v>
      </c>
      <c r="D65" s="19">
        <v>140.9</v>
      </c>
      <c r="E65" s="24">
        <f t="shared" si="3"/>
        <v>0</v>
      </c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</row>
    <row r="66" spans="1:51" ht="36" x14ac:dyDescent="0.3">
      <c r="A66" s="23" t="s">
        <v>530</v>
      </c>
      <c r="B66" s="101" t="s">
        <v>161</v>
      </c>
      <c r="C66" s="101" t="s">
        <v>162</v>
      </c>
      <c r="D66" s="101">
        <v>489.2</v>
      </c>
      <c r="E66" s="24">
        <f t="shared" si="3"/>
        <v>33643.199999999997</v>
      </c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>
        <v>33643.199999999997</v>
      </c>
      <c r="AT66" s="101"/>
      <c r="AU66" s="101"/>
      <c r="AV66" s="101"/>
      <c r="AW66" s="101"/>
      <c r="AX66" s="101"/>
      <c r="AY66" s="101"/>
    </row>
    <row r="67" spans="1:51" ht="36" x14ac:dyDescent="0.3">
      <c r="A67" s="23" t="s">
        <v>531</v>
      </c>
      <c r="B67" s="101" t="s">
        <v>163</v>
      </c>
      <c r="C67" s="101" t="s">
        <v>164</v>
      </c>
      <c r="D67" s="101">
        <v>482.4</v>
      </c>
      <c r="E67" s="24">
        <f t="shared" si="3"/>
        <v>33241.199999999997</v>
      </c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>
        <v>33241.199999999997</v>
      </c>
      <c r="AT67" s="101"/>
      <c r="AU67" s="101"/>
      <c r="AV67" s="101"/>
      <c r="AW67" s="101"/>
      <c r="AX67" s="101"/>
      <c r="AY67" s="101"/>
    </row>
    <row r="68" spans="1:51" ht="36" x14ac:dyDescent="0.3">
      <c r="A68" s="23" t="s">
        <v>532</v>
      </c>
      <c r="B68" s="101" t="s">
        <v>171</v>
      </c>
      <c r="C68" s="101" t="s">
        <v>172</v>
      </c>
      <c r="D68" s="101">
        <v>1759.2</v>
      </c>
      <c r="E68" s="24">
        <f t="shared" si="3"/>
        <v>0</v>
      </c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</row>
    <row r="69" spans="1:51" ht="36" x14ac:dyDescent="0.3">
      <c r="A69" s="23" t="s">
        <v>533</v>
      </c>
      <c r="B69" s="101" t="s">
        <v>173</v>
      </c>
      <c r="C69" s="101" t="s">
        <v>174</v>
      </c>
      <c r="D69" s="101">
        <v>110.3</v>
      </c>
      <c r="E69" s="24">
        <f t="shared" si="3"/>
        <v>0</v>
      </c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</row>
    <row r="70" spans="1:51" ht="18.75" customHeight="1" x14ac:dyDescent="0.3">
      <c r="A70" s="23" t="s">
        <v>534</v>
      </c>
      <c r="B70" s="101" t="s">
        <v>177</v>
      </c>
      <c r="C70" s="101" t="s">
        <v>178</v>
      </c>
      <c r="D70" s="101">
        <v>1762.7</v>
      </c>
      <c r="E70" s="24">
        <f t="shared" si="3"/>
        <v>1294520.52</v>
      </c>
      <c r="F70" s="101"/>
      <c r="G70" s="101">
        <v>1294520.52</v>
      </c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</row>
    <row r="71" spans="1:51" ht="18.75" customHeight="1" x14ac:dyDescent="0.3">
      <c r="A71" s="105"/>
      <c r="B71" s="103" t="s">
        <v>315</v>
      </c>
      <c r="C71" s="101"/>
      <c r="D71" s="24">
        <f>SUM(D39:D70)</f>
        <v>44864.7</v>
      </c>
      <c r="E71" s="106">
        <f>SUM(E39:E70)</f>
        <v>22167502.169999998</v>
      </c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</row>
    <row r="72" spans="1:51" ht="18.75" customHeight="1" x14ac:dyDescent="0.3">
      <c r="A72" s="105"/>
      <c r="B72" s="103"/>
      <c r="C72" s="101"/>
      <c r="D72" s="101"/>
      <c r="E72" s="106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</row>
    <row r="73" spans="1:51" ht="18.75" customHeight="1" x14ac:dyDescent="0.3">
      <c r="A73" s="105"/>
      <c r="B73" s="108"/>
      <c r="C73" s="101"/>
      <c r="D73" s="101"/>
      <c r="E73" s="106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</row>
    <row r="74" spans="1:51" s="28" customFormat="1" ht="22.5" customHeight="1" x14ac:dyDescent="0.3">
      <c r="A74" s="142"/>
      <c r="B74" s="145" t="s">
        <v>179</v>
      </c>
      <c r="C74" s="26" t="s">
        <v>180</v>
      </c>
      <c r="D74" s="148"/>
      <c r="E74" s="149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</row>
    <row r="75" spans="1:51" s="28" customFormat="1" ht="22.5" customHeight="1" x14ac:dyDescent="0.3">
      <c r="A75" s="143"/>
      <c r="B75" s="146"/>
      <c r="C75" s="26" t="s">
        <v>3</v>
      </c>
      <c r="D75" s="148">
        <f>D37</f>
        <v>47480.2</v>
      </c>
      <c r="E75" s="149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</row>
    <row r="76" spans="1:51" s="28" customFormat="1" ht="20.25" customHeight="1" x14ac:dyDescent="0.3">
      <c r="A76" s="144"/>
      <c r="B76" s="147"/>
      <c r="C76" s="27" t="s">
        <v>207</v>
      </c>
      <c r="D76" s="150">
        <f>E37+E71</f>
        <v>134703412.44932607</v>
      </c>
      <c r="E76" s="151"/>
      <c r="F76" s="27">
        <f>SUM(F4:F71)</f>
        <v>29034627.307520695</v>
      </c>
      <c r="G76" s="27">
        <f t="shared" ref="G76:AY76" si="4">SUM(G4:G71)</f>
        <v>30266553.76756024</v>
      </c>
      <c r="H76" s="27">
        <f t="shared" si="4"/>
        <v>698946.21061979362</v>
      </c>
      <c r="I76" s="27">
        <f t="shared" si="4"/>
        <v>603091.8518691872</v>
      </c>
      <c r="J76" s="27">
        <f t="shared" si="4"/>
        <v>5274764.1499999994</v>
      </c>
      <c r="K76" s="27">
        <f t="shared" si="4"/>
        <v>6772476.8518849211</v>
      </c>
      <c r="L76" s="27">
        <f t="shared" si="4"/>
        <v>27244.725384050911</v>
      </c>
      <c r="M76" s="27">
        <f t="shared" si="4"/>
        <v>413931.55744109349</v>
      </c>
      <c r="N76" s="27">
        <f t="shared" si="4"/>
        <v>0</v>
      </c>
      <c r="O76" s="27">
        <f t="shared" si="4"/>
        <v>401325.84269662923</v>
      </c>
      <c r="P76" s="27">
        <f t="shared" si="4"/>
        <v>0</v>
      </c>
      <c r="Q76" s="27">
        <f t="shared" si="4"/>
        <v>113556.60377358491</v>
      </c>
      <c r="R76" s="27">
        <f t="shared" si="4"/>
        <v>0</v>
      </c>
      <c r="S76" s="27">
        <f t="shared" si="4"/>
        <v>62181.818181818177</v>
      </c>
      <c r="T76" s="27">
        <f t="shared" si="4"/>
        <v>718117.37995458324</v>
      </c>
      <c r="U76" s="27">
        <f t="shared" si="4"/>
        <v>1173910.6109383015</v>
      </c>
      <c r="V76" s="27">
        <f t="shared" si="4"/>
        <v>0</v>
      </c>
      <c r="W76" s="27">
        <f t="shared" si="4"/>
        <v>1525489.3314242703</v>
      </c>
      <c r="X76" s="27">
        <f t="shared" si="4"/>
        <v>0</v>
      </c>
      <c r="Y76" s="27">
        <f t="shared" si="4"/>
        <v>415752.78</v>
      </c>
      <c r="Z76" s="27">
        <f t="shared" si="4"/>
        <v>153000</v>
      </c>
      <c r="AA76" s="27">
        <f t="shared" si="4"/>
        <v>1247500</v>
      </c>
      <c r="AB76" s="27">
        <f t="shared" si="4"/>
        <v>0</v>
      </c>
      <c r="AC76" s="27">
        <f t="shared" si="4"/>
        <v>0</v>
      </c>
      <c r="AD76" s="27">
        <f t="shared" si="4"/>
        <v>0</v>
      </c>
      <c r="AE76" s="27">
        <f t="shared" si="4"/>
        <v>15073.170731707318</v>
      </c>
      <c r="AF76" s="27">
        <f t="shared" si="4"/>
        <v>7035511.6650331561</v>
      </c>
      <c r="AG76" s="27">
        <f t="shared" si="4"/>
        <v>4545060.7535141474</v>
      </c>
      <c r="AH76" s="27">
        <f t="shared" si="4"/>
        <v>0</v>
      </c>
      <c r="AI76" s="27">
        <f t="shared" si="4"/>
        <v>123029.09732918779</v>
      </c>
      <c r="AJ76" s="27">
        <f t="shared" si="4"/>
        <v>4277661.5999999996</v>
      </c>
      <c r="AK76" s="27">
        <f t="shared" si="4"/>
        <v>26777197.079999998</v>
      </c>
      <c r="AL76" s="27">
        <f t="shared" si="4"/>
        <v>0</v>
      </c>
      <c r="AM76" s="27">
        <f t="shared" si="4"/>
        <v>0</v>
      </c>
      <c r="AN76" s="27">
        <f t="shared" si="4"/>
        <v>0</v>
      </c>
      <c r="AO76" s="27">
        <f t="shared" si="4"/>
        <v>0</v>
      </c>
      <c r="AP76" s="27">
        <f t="shared" si="4"/>
        <v>0</v>
      </c>
      <c r="AQ76" s="27">
        <f t="shared" si="4"/>
        <v>1670000</v>
      </c>
      <c r="AR76" s="27">
        <f t="shared" si="4"/>
        <v>1012901.8051318335</v>
      </c>
      <c r="AS76" s="27">
        <f t="shared" si="4"/>
        <v>10344506.488336867</v>
      </c>
      <c r="AT76" s="27">
        <f t="shared" si="4"/>
        <v>0</v>
      </c>
      <c r="AU76" s="27">
        <f t="shared" si="4"/>
        <v>0</v>
      </c>
      <c r="AV76" s="27">
        <f t="shared" si="4"/>
        <v>119000</v>
      </c>
      <c r="AW76" s="27">
        <f t="shared" si="4"/>
        <v>78894</v>
      </c>
      <c r="AX76" s="27">
        <f t="shared" si="4"/>
        <v>190000</v>
      </c>
      <c r="AY76" s="27">
        <f t="shared" si="4"/>
        <v>0</v>
      </c>
    </row>
    <row r="78" spans="1:51" ht="37.5" customHeight="1" x14ac:dyDescent="0.3">
      <c r="A78" s="29" t="s">
        <v>181</v>
      </c>
      <c r="B78" s="152" t="s">
        <v>182</v>
      </c>
      <c r="C78" s="152"/>
      <c r="D78" s="152"/>
      <c r="E78" s="100"/>
    </row>
    <row r="79" spans="1:51" ht="37.5" customHeight="1" x14ac:dyDescent="0.3">
      <c r="A79" s="29" t="s">
        <v>183</v>
      </c>
      <c r="B79" s="152" t="s">
        <v>184</v>
      </c>
      <c r="C79" s="152"/>
      <c r="D79" s="152"/>
      <c r="E79" s="100"/>
      <c r="G79" s="31"/>
      <c r="H79" s="31"/>
      <c r="I79" s="31"/>
    </row>
    <row r="84" spans="2:5" ht="25.2" x14ac:dyDescent="0.3">
      <c r="B84" s="20"/>
      <c r="C84" s="20"/>
      <c r="D84" s="20"/>
      <c r="E84" s="20"/>
    </row>
  </sheetData>
  <autoFilter ref="A1:AY76" xr:uid="{00000000-0009-0000-0000-000007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A1:A2"/>
    <mergeCell ref="B1:B2"/>
    <mergeCell ref="C1:C2"/>
    <mergeCell ref="D1:D2"/>
    <mergeCell ref="E1:E2"/>
    <mergeCell ref="AX1:AY1"/>
    <mergeCell ref="A74:A76"/>
    <mergeCell ref="B74:B76"/>
    <mergeCell ref="D74:E74"/>
    <mergeCell ref="D75:E75"/>
    <mergeCell ref="D76:E76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B78:D78"/>
    <mergeCell ref="B79:D79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D91A-8169-4227-8678-8D372C8A297A}">
  <dimension ref="A1:B97"/>
  <sheetViews>
    <sheetView topLeftCell="A83" workbookViewId="0">
      <selection activeCell="B65" sqref="B65:B97"/>
    </sheetView>
  </sheetViews>
  <sheetFormatPr defaultColWidth="53.88671875" defaultRowHeight="14.4" x14ac:dyDescent="0.3"/>
  <cols>
    <col min="2" max="2" width="15.88671875" bestFit="1" customWidth="1"/>
  </cols>
  <sheetData>
    <row r="1" spans="1:2" ht="36" x14ac:dyDescent="0.3">
      <c r="A1" s="114" t="s">
        <v>5</v>
      </c>
      <c r="B1" t="s">
        <v>590</v>
      </c>
    </row>
    <row r="2" spans="1:2" ht="54" x14ac:dyDescent="0.3">
      <c r="A2" s="114" t="s">
        <v>10</v>
      </c>
      <c r="B2" t="s">
        <v>590</v>
      </c>
    </row>
    <row r="3" spans="1:2" ht="36" x14ac:dyDescent="0.3">
      <c r="A3" s="114" t="s">
        <v>12</v>
      </c>
      <c r="B3" t="s">
        <v>590</v>
      </c>
    </row>
    <row r="4" spans="1:2" ht="36" x14ac:dyDescent="0.3">
      <c r="A4" s="114" t="s">
        <v>26</v>
      </c>
      <c r="B4" t="s">
        <v>590</v>
      </c>
    </row>
    <row r="5" spans="1:2" ht="36" x14ac:dyDescent="0.3">
      <c r="A5" s="114" t="s">
        <v>56</v>
      </c>
      <c r="B5" t="s">
        <v>590</v>
      </c>
    </row>
    <row r="6" spans="1:2" ht="36" x14ac:dyDescent="0.3">
      <c r="A6" s="114" t="s">
        <v>58</v>
      </c>
      <c r="B6" t="s">
        <v>590</v>
      </c>
    </row>
    <row r="7" spans="1:2" ht="36" x14ac:dyDescent="0.3">
      <c r="A7" s="112" t="s">
        <v>12</v>
      </c>
      <c r="B7" t="s">
        <v>591</v>
      </c>
    </row>
    <row r="8" spans="1:2" ht="36" x14ac:dyDescent="0.3">
      <c r="A8" s="112" t="s">
        <v>31</v>
      </c>
      <c r="B8" t="s">
        <v>591</v>
      </c>
    </row>
    <row r="9" spans="1:2" ht="36" x14ac:dyDescent="0.3">
      <c r="A9" s="112" t="s">
        <v>41</v>
      </c>
      <c r="B9" t="s">
        <v>591</v>
      </c>
    </row>
    <row r="10" spans="1:2" ht="36" x14ac:dyDescent="0.3">
      <c r="A10" s="112" t="s">
        <v>47</v>
      </c>
      <c r="B10" t="s">
        <v>591</v>
      </c>
    </row>
    <row r="11" spans="1:2" ht="36" x14ac:dyDescent="0.3">
      <c r="A11" s="112" t="s">
        <v>54</v>
      </c>
      <c r="B11" t="s">
        <v>591</v>
      </c>
    </row>
    <row r="12" spans="1:2" ht="36" x14ac:dyDescent="0.3">
      <c r="A12" s="112" t="s">
        <v>56</v>
      </c>
      <c r="B12" t="s">
        <v>591</v>
      </c>
    </row>
    <row r="13" spans="1:2" ht="36" x14ac:dyDescent="0.3">
      <c r="A13" s="112" t="s">
        <v>58</v>
      </c>
      <c r="B13" t="s">
        <v>591</v>
      </c>
    </row>
    <row r="14" spans="1:2" ht="36" x14ac:dyDescent="0.3">
      <c r="A14" s="112" t="s">
        <v>68</v>
      </c>
      <c r="B14" t="s">
        <v>591</v>
      </c>
    </row>
    <row r="15" spans="1:2" ht="36" x14ac:dyDescent="0.3">
      <c r="A15" s="4" t="s">
        <v>105</v>
      </c>
      <c r="B15" t="s">
        <v>591</v>
      </c>
    </row>
    <row r="16" spans="1:2" ht="18" x14ac:dyDescent="0.3">
      <c r="A16" s="4" t="s">
        <v>107</v>
      </c>
      <c r="B16" t="s">
        <v>591</v>
      </c>
    </row>
    <row r="17" spans="1:2" ht="36" x14ac:dyDescent="0.3">
      <c r="A17" s="4" t="s">
        <v>133</v>
      </c>
      <c r="B17" t="s">
        <v>591</v>
      </c>
    </row>
    <row r="18" spans="1:2" ht="36" x14ac:dyDescent="0.3">
      <c r="A18" s="4" t="s">
        <v>135</v>
      </c>
      <c r="B18" t="s">
        <v>591</v>
      </c>
    </row>
    <row r="19" spans="1:2" ht="36" x14ac:dyDescent="0.3">
      <c r="A19" s="4" t="s">
        <v>139</v>
      </c>
      <c r="B19" t="s">
        <v>591</v>
      </c>
    </row>
    <row r="20" spans="1:2" ht="36" x14ac:dyDescent="0.3">
      <c r="A20" s="4" t="s">
        <v>141</v>
      </c>
      <c r="B20" t="s">
        <v>591</v>
      </c>
    </row>
    <row r="21" spans="1:2" ht="18" x14ac:dyDescent="0.3">
      <c r="A21" s="112" t="s">
        <v>170</v>
      </c>
      <c r="B21" t="s">
        <v>591</v>
      </c>
    </row>
    <row r="22" spans="1:2" ht="36" x14ac:dyDescent="0.3">
      <c r="A22" s="112" t="s">
        <v>176</v>
      </c>
      <c r="B22" t="s">
        <v>591</v>
      </c>
    </row>
    <row r="23" spans="1:2" ht="36" x14ac:dyDescent="0.3">
      <c r="A23" s="114" t="s">
        <v>28</v>
      </c>
      <c r="B23" t="s">
        <v>592</v>
      </c>
    </row>
    <row r="24" spans="1:2" ht="36" x14ac:dyDescent="0.3">
      <c r="A24" s="114" t="s">
        <v>29</v>
      </c>
      <c r="B24" t="s">
        <v>592</v>
      </c>
    </row>
    <row r="25" spans="1:2" ht="36" x14ac:dyDescent="0.3">
      <c r="A25" s="114" t="s">
        <v>33</v>
      </c>
      <c r="B25" t="s">
        <v>592</v>
      </c>
    </row>
    <row r="26" spans="1:2" ht="36" x14ac:dyDescent="0.3">
      <c r="A26" s="114" t="s">
        <v>38</v>
      </c>
      <c r="B26" t="s">
        <v>592</v>
      </c>
    </row>
    <row r="27" spans="1:2" ht="36" x14ac:dyDescent="0.3">
      <c r="A27" s="114" t="s">
        <v>42</v>
      </c>
      <c r="B27" t="s">
        <v>592</v>
      </c>
    </row>
    <row r="28" spans="1:2" ht="36" x14ac:dyDescent="0.3">
      <c r="A28" s="114" t="s">
        <v>44</v>
      </c>
      <c r="B28" t="s">
        <v>592</v>
      </c>
    </row>
    <row r="29" spans="1:2" ht="36" x14ac:dyDescent="0.3">
      <c r="A29" s="114" t="s">
        <v>59</v>
      </c>
      <c r="B29" t="s">
        <v>592</v>
      </c>
    </row>
    <row r="30" spans="1:2" ht="36" x14ac:dyDescent="0.3">
      <c r="A30" s="114" t="s">
        <v>61</v>
      </c>
      <c r="B30" t="s">
        <v>592</v>
      </c>
    </row>
    <row r="31" spans="1:2" ht="36" x14ac:dyDescent="0.3">
      <c r="A31" s="114" t="s">
        <v>65</v>
      </c>
      <c r="B31" t="s">
        <v>592</v>
      </c>
    </row>
    <row r="32" spans="1:2" ht="36" x14ac:dyDescent="0.3">
      <c r="A32" s="114" t="s">
        <v>69</v>
      </c>
      <c r="B32" t="s">
        <v>592</v>
      </c>
    </row>
    <row r="33" spans="1:2" ht="36" x14ac:dyDescent="0.3">
      <c r="A33" s="114" t="s">
        <v>70</v>
      </c>
      <c r="B33" t="s">
        <v>592</v>
      </c>
    </row>
    <row r="34" spans="1:2" ht="36" x14ac:dyDescent="0.3">
      <c r="A34" s="19" t="s">
        <v>72</v>
      </c>
      <c r="B34" t="s">
        <v>592</v>
      </c>
    </row>
    <row r="35" spans="1:2" ht="36" x14ac:dyDescent="0.3">
      <c r="A35" s="19" t="s">
        <v>74</v>
      </c>
      <c r="B35" t="s">
        <v>592</v>
      </c>
    </row>
    <row r="36" spans="1:2" ht="36" x14ac:dyDescent="0.3">
      <c r="A36" s="19" t="s">
        <v>76</v>
      </c>
      <c r="B36" t="s">
        <v>592</v>
      </c>
    </row>
    <row r="37" spans="1:2" ht="36" x14ac:dyDescent="0.3">
      <c r="A37" s="19" t="s">
        <v>78</v>
      </c>
      <c r="B37" t="s">
        <v>592</v>
      </c>
    </row>
    <row r="38" spans="1:2" ht="36" x14ac:dyDescent="0.3">
      <c r="A38" s="19" t="s">
        <v>80</v>
      </c>
      <c r="B38" t="s">
        <v>592</v>
      </c>
    </row>
    <row r="39" spans="1:2" ht="36" x14ac:dyDescent="0.3">
      <c r="A39" s="19" t="s">
        <v>82</v>
      </c>
      <c r="B39" t="s">
        <v>592</v>
      </c>
    </row>
    <row r="40" spans="1:2" ht="36" x14ac:dyDescent="0.3">
      <c r="A40" s="19" t="s">
        <v>83</v>
      </c>
      <c r="B40" t="s">
        <v>592</v>
      </c>
    </row>
    <row r="41" spans="1:2" ht="36" x14ac:dyDescent="0.3">
      <c r="A41" s="19" t="s">
        <v>84</v>
      </c>
      <c r="B41" t="s">
        <v>592</v>
      </c>
    </row>
    <row r="42" spans="1:2" ht="36" x14ac:dyDescent="0.3">
      <c r="A42" s="19" t="s">
        <v>85</v>
      </c>
      <c r="B42" t="s">
        <v>592</v>
      </c>
    </row>
    <row r="43" spans="1:2" ht="36" x14ac:dyDescent="0.3">
      <c r="A43" s="19" t="s">
        <v>86</v>
      </c>
      <c r="B43" t="s">
        <v>592</v>
      </c>
    </row>
    <row r="44" spans="1:2" ht="36" x14ac:dyDescent="0.3">
      <c r="A44" s="19" t="s">
        <v>89</v>
      </c>
      <c r="B44" t="s">
        <v>592</v>
      </c>
    </row>
    <row r="45" spans="1:2" ht="36" x14ac:dyDescent="0.3">
      <c r="A45" s="19" t="s">
        <v>91</v>
      </c>
      <c r="B45" t="s">
        <v>592</v>
      </c>
    </row>
    <row r="46" spans="1:2" ht="36" x14ac:dyDescent="0.3">
      <c r="A46" s="19" t="s">
        <v>93</v>
      </c>
      <c r="B46" t="s">
        <v>592</v>
      </c>
    </row>
    <row r="47" spans="1:2" ht="36" x14ac:dyDescent="0.3">
      <c r="A47" s="19" t="s">
        <v>96</v>
      </c>
      <c r="B47" t="s">
        <v>592</v>
      </c>
    </row>
    <row r="48" spans="1:2" ht="36" x14ac:dyDescent="0.3">
      <c r="A48" s="19" t="s">
        <v>97</v>
      </c>
      <c r="B48" t="s">
        <v>592</v>
      </c>
    </row>
    <row r="49" spans="1:2" ht="36" x14ac:dyDescent="0.3">
      <c r="A49" s="19" t="s">
        <v>99</v>
      </c>
      <c r="B49" t="s">
        <v>592</v>
      </c>
    </row>
    <row r="50" spans="1:2" ht="36" x14ac:dyDescent="0.3">
      <c r="A50" s="19" t="s">
        <v>100</v>
      </c>
      <c r="B50" t="s">
        <v>592</v>
      </c>
    </row>
    <row r="51" spans="1:2" ht="18" x14ac:dyDescent="0.3">
      <c r="A51" s="19" t="s">
        <v>120</v>
      </c>
      <c r="B51" t="s">
        <v>592</v>
      </c>
    </row>
    <row r="52" spans="1:2" ht="36" x14ac:dyDescent="0.3">
      <c r="A52" s="19" t="s">
        <v>129</v>
      </c>
      <c r="B52" t="s">
        <v>592</v>
      </c>
    </row>
    <row r="53" spans="1:2" ht="36" x14ac:dyDescent="0.3">
      <c r="A53" s="19" t="s">
        <v>131</v>
      </c>
      <c r="B53" t="s">
        <v>592</v>
      </c>
    </row>
    <row r="54" spans="1:2" ht="36" x14ac:dyDescent="0.3">
      <c r="A54" s="19" t="s">
        <v>137</v>
      </c>
      <c r="B54" t="s">
        <v>592</v>
      </c>
    </row>
    <row r="55" spans="1:2" ht="18" x14ac:dyDescent="0.3">
      <c r="A55" s="19" t="s">
        <v>143</v>
      </c>
      <c r="B55" t="s">
        <v>592</v>
      </c>
    </row>
    <row r="56" spans="1:2" ht="36" x14ac:dyDescent="0.3">
      <c r="A56" s="19" t="s">
        <v>145</v>
      </c>
      <c r="B56" t="s">
        <v>592</v>
      </c>
    </row>
    <row r="57" spans="1:2" ht="36" x14ac:dyDescent="0.3">
      <c r="A57" s="19" t="s">
        <v>147</v>
      </c>
      <c r="B57" t="s">
        <v>592</v>
      </c>
    </row>
    <row r="58" spans="1:2" ht="36" x14ac:dyDescent="0.3">
      <c r="A58" s="19" t="s">
        <v>149</v>
      </c>
      <c r="B58" t="s">
        <v>592</v>
      </c>
    </row>
    <row r="59" spans="1:2" ht="36" x14ac:dyDescent="0.3">
      <c r="A59" s="19" t="s">
        <v>151</v>
      </c>
      <c r="B59" t="s">
        <v>592</v>
      </c>
    </row>
    <row r="60" spans="1:2" ht="36" x14ac:dyDescent="0.3">
      <c r="A60" s="114" t="s">
        <v>153</v>
      </c>
      <c r="B60" t="s">
        <v>592</v>
      </c>
    </row>
    <row r="61" spans="1:2" ht="36" x14ac:dyDescent="0.3">
      <c r="A61" s="114" t="s">
        <v>159</v>
      </c>
      <c r="B61" t="s">
        <v>592</v>
      </c>
    </row>
    <row r="62" spans="1:2" ht="36" x14ac:dyDescent="0.3">
      <c r="A62" s="114" t="s">
        <v>160</v>
      </c>
      <c r="B62" t="s">
        <v>592</v>
      </c>
    </row>
    <row r="63" spans="1:2" ht="36" x14ac:dyDescent="0.3">
      <c r="A63" s="114" t="s">
        <v>166</v>
      </c>
      <c r="B63" t="s">
        <v>592</v>
      </c>
    </row>
    <row r="64" spans="1:2" ht="36" x14ac:dyDescent="0.3">
      <c r="A64" s="114" t="s">
        <v>168</v>
      </c>
      <c r="B64" t="s">
        <v>592</v>
      </c>
    </row>
    <row r="65" spans="1:2" ht="36" x14ac:dyDescent="0.3">
      <c r="A65" s="114" t="s">
        <v>35</v>
      </c>
      <c r="B65" t="s">
        <v>593</v>
      </c>
    </row>
    <row r="66" spans="1:2" ht="36" x14ac:dyDescent="0.3">
      <c r="A66" s="114" t="s">
        <v>36</v>
      </c>
      <c r="B66" t="s">
        <v>593</v>
      </c>
    </row>
    <row r="67" spans="1:2" ht="18" x14ac:dyDescent="0.3">
      <c r="A67" s="114" t="s">
        <v>40</v>
      </c>
      <c r="B67" t="s">
        <v>593</v>
      </c>
    </row>
    <row r="68" spans="1:2" ht="36" x14ac:dyDescent="0.3">
      <c r="A68" s="114" t="s">
        <v>46</v>
      </c>
      <c r="B68" t="s">
        <v>593</v>
      </c>
    </row>
    <row r="69" spans="1:2" ht="18" x14ac:dyDescent="0.3">
      <c r="A69" s="114" t="s">
        <v>49</v>
      </c>
      <c r="B69" t="s">
        <v>593</v>
      </c>
    </row>
    <row r="70" spans="1:2" ht="18" x14ac:dyDescent="0.3">
      <c r="A70" s="114" t="s">
        <v>50</v>
      </c>
      <c r="B70" t="s">
        <v>593</v>
      </c>
    </row>
    <row r="71" spans="1:2" ht="18" x14ac:dyDescent="0.3">
      <c r="A71" s="114" t="s">
        <v>51</v>
      </c>
      <c r="B71" t="s">
        <v>593</v>
      </c>
    </row>
    <row r="72" spans="1:2" ht="36" x14ac:dyDescent="0.3">
      <c r="A72" s="114" t="s">
        <v>52</v>
      </c>
      <c r="B72" t="s">
        <v>593</v>
      </c>
    </row>
    <row r="73" spans="1:2" ht="36" x14ac:dyDescent="0.3">
      <c r="A73" s="114" t="s">
        <v>63</v>
      </c>
      <c r="B73" t="s">
        <v>593</v>
      </c>
    </row>
    <row r="74" spans="1:2" ht="18" x14ac:dyDescent="0.3">
      <c r="A74" s="114" t="s">
        <v>67</v>
      </c>
      <c r="B74" t="s">
        <v>593</v>
      </c>
    </row>
    <row r="75" spans="1:2" ht="36" x14ac:dyDescent="0.3">
      <c r="A75" s="19" t="s">
        <v>87</v>
      </c>
      <c r="B75" t="s">
        <v>593</v>
      </c>
    </row>
    <row r="76" spans="1:2" ht="36" x14ac:dyDescent="0.3">
      <c r="A76" s="19" t="s">
        <v>88</v>
      </c>
      <c r="B76" t="s">
        <v>593</v>
      </c>
    </row>
    <row r="77" spans="1:2" ht="36" x14ac:dyDescent="0.3">
      <c r="A77" s="19" t="s">
        <v>95</v>
      </c>
      <c r="B77" t="s">
        <v>593</v>
      </c>
    </row>
    <row r="78" spans="1:2" ht="36" x14ac:dyDescent="0.3">
      <c r="A78" s="19" t="s">
        <v>102</v>
      </c>
      <c r="B78" t="s">
        <v>593</v>
      </c>
    </row>
    <row r="79" spans="1:2" ht="36" x14ac:dyDescent="0.3">
      <c r="A79" s="19" t="s">
        <v>103</v>
      </c>
      <c r="B79" t="s">
        <v>593</v>
      </c>
    </row>
    <row r="80" spans="1:2" ht="36" x14ac:dyDescent="0.3">
      <c r="A80" s="19" t="s">
        <v>110</v>
      </c>
      <c r="B80" t="s">
        <v>593</v>
      </c>
    </row>
    <row r="81" spans="1:2" ht="18" x14ac:dyDescent="0.3">
      <c r="A81" s="19" t="s">
        <v>112</v>
      </c>
      <c r="B81" t="s">
        <v>593</v>
      </c>
    </row>
    <row r="82" spans="1:2" ht="36" x14ac:dyDescent="0.3">
      <c r="A82" s="19" t="s">
        <v>114</v>
      </c>
      <c r="B82" t="s">
        <v>593</v>
      </c>
    </row>
    <row r="83" spans="1:2" ht="36" x14ac:dyDescent="0.3">
      <c r="A83" s="19" t="s">
        <v>116</v>
      </c>
      <c r="B83" t="s">
        <v>593</v>
      </c>
    </row>
    <row r="84" spans="1:2" ht="36" x14ac:dyDescent="0.3">
      <c r="A84" s="19" t="s">
        <v>118</v>
      </c>
      <c r="B84" t="s">
        <v>593</v>
      </c>
    </row>
    <row r="85" spans="1:2" ht="18" x14ac:dyDescent="0.3">
      <c r="A85" s="19" t="s">
        <v>122</v>
      </c>
      <c r="B85" t="s">
        <v>593</v>
      </c>
    </row>
    <row r="86" spans="1:2" ht="18" x14ac:dyDescent="0.3">
      <c r="A86" s="19" t="s">
        <v>124</v>
      </c>
      <c r="B86" t="s">
        <v>593</v>
      </c>
    </row>
    <row r="87" spans="1:2" ht="18" x14ac:dyDescent="0.3">
      <c r="A87" s="19" t="s">
        <v>125</v>
      </c>
      <c r="B87" t="s">
        <v>593</v>
      </c>
    </row>
    <row r="88" spans="1:2" ht="18" x14ac:dyDescent="0.3">
      <c r="A88" s="19" t="s">
        <v>127</v>
      </c>
      <c r="B88" t="s">
        <v>593</v>
      </c>
    </row>
    <row r="89" spans="1:2" ht="36" x14ac:dyDescent="0.3">
      <c r="A89" s="19" t="s">
        <v>151</v>
      </c>
      <c r="B89" t="s">
        <v>593</v>
      </c>
    </row>
    <row r="90" spans="1:2" ht="36" x14ac:dyDescent="0.3">
      <c r="A90" s="114" t="s">
        <v>153</v>
      </c>
      <c r="B90" t="s">
        <v>593</v>
      </c>
    </row>
    <row r="91" spans="1:2" ht="36" x14ac:dyDescent="0.3">
      <c r="A91" s="114" t="s">
        <v>155</v>
      </c>
      <c r="B91" t="s">
        <v>593</v>
      </c>
    </row>
    <row r="92" spans="1:2" ht="36" x14ac:dyDescent="0.3">
      <c r="A92" s="114" t="s">
        <v>157</v>
      </c>
      <c r="B92" t="s">
        <v>593</v>
      </c>
    </row>
    <row r="93" spans="1:2" ht="18" x14ac:dyDescent="0.3">
      <c r="A93" s="114" t="s">
        <v>162</v>
      </c>
      <c r="B93" t="s">
        <v>593</v>
      </c>
    </row>
    <row r="94" spans="1:2" ht="18" x14ac:dyDescent="0.3">
      <c r="A94" s="114" t="s">
        <v>164</v>
      </c>
      <c r="B94" t="s">
        <v>593</v>
      </c>
    </row>
    <row r="95" spans="1:2" ht="36" x14ac:dyDescent="0.3">
      <c r="A95" s="114" t="s">
        <v>172</v>
      </c>
      <c r="B95" t="s">
        <v>593</v>
      </c>
    </row>
    <row r="96" spans="1:2" ht="18" x14ac:dyDescent="0.3">
      <c r="A96" s="114" t="s">
        <v>174</v>
      </c>
      <c r="B96" t="s">
        <v>593</v>
      </c>
    </row>
    <row r="97" spans="1:2" ht="18" x14ac:dyDescent="0.3">
      <c r="A97" s="114" t="s">
        <v>178</v>
      </c>
      <c r="B97" t="s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208D-0B9B-4AD6-B8A2-E03D0A478F2D}">
  <dimension ref="A1:I2380"/>
  <sheetViews>
    <sheetView tabSelected="1" zoomScale="85" zoomScaleNormal="85" workbookViewId="0">
      <selection activeCell="G1" sqref="G1"/>
    </sheetView>
  </sheetViews>
  <sheetFormatPr defaultColWidth="11.4414062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589</v>
      </c>
      <c r="F1" t="s">
        <v>594</v>
      </c>
      <c r="G1" t="s">
        <v>634</v>
      </c>
      <c r="H1" t="s">
        <v>635</v>
      </c>
      <c r="I1" t="s">
        <v>636</v>
      </c>
    </row>
    <row r="2" spans="1:9" hidden="1" x14ac:dyDescent="0.3">
      <c r="A2">
        <v>1</v>
      </c>
      <c r="B2" s="168" t="s">
        <v>4</v>
      </c>
      <c r="C2" s="168" t="s">
        <v>5</v>
      </c>
      <c r="D2">
        <v>896.1</v>
      </c>
      <c r="E2">
        <v>2020</v>
      </c>
      <c r="F2" s="168" t="s">
        <v>590</v>
      </c>
      <c r="G2" s="168" t="s">
        <v>607</v>
      </c>
      <c r="H2" s="168" t="s">
        <v>608</v>
      </c>
      <c r="I2">
        <v>0</v>
      </c>
    </row>
    <row r="3" spans="1:9" hidden="1" x14ac:dyDescent="0.3">
      <c r="A3">
        <v>1</v>
      </c>
      <c r="B3" s="168" t="s">
        <v>4</v>
      </c>
      <c r="C3" s="168" t="s">
        <v>5</v>
      </c>
      <c r="D3">
        <v>896.1</v>
      </c>
      <c r="E3">
        <v>2020</v>
      </c>
      <c r="F3" s="168" t="s">
        <v>590</v>
      </c>
      <c r="G3" s="168" t="s">
        <v>607</v>
      </c>
      <c r="H3" s="168" t="s">
        <v>609</v>
      </c>
      <c r="I3">
        <v>535097.6291738305</v>
      </c>
    </row>
    <row r="4" spans="1:9" hidden="1" x14ac:dyDescent="0.3">
      <c r="A4">
        <v>2</v>
      </c>
      <c r="B4" s="168" t="s">
        <v>6</v>
      </c>
      <c r="C4" s="168" t="s">
        <v>5</v>
      </c>
      <c r="D4">
        <v>189</v>
      </c>
      <c r="E4">
        <v>2020</v>
      </c>
      <c r="F4" s="168" t="s">
        <v>590</v>
      </c>
      <c r="G4" s="168" t="s">
        <v>607</v>
      </c>
      <c r="H4" s="168" t="s">
        <v>608</v>
      </c>
      <c r="I4">
        <v>0</v>
      </c>
    </row>
    <row r="5" spans="1:9" hidden="1" x14ac:dyDescent="0.3">
      <c r="A5">
        <v>2</v>
      </c>
      <c r="B5" s="168" t="s">
        <v>6</v>
      </c>
      <c r="C5" s="168" t="s">
        <v>5</v>
      </c>
      <c r="D5">
        <v>189</v>
      </c>
      <c r="E5">
        <v>2020</v>
      </c>
      <c r="F5" s="168" t="s">
        <v>590</v>
      </c>
      <c r="G5" s="168" t="s">
        <v>607</v>
      </c>
      <c r="H5" s="168" t="s">
        <v>609</v>
      </c>
      <c r="I5">
        <v>112859.5602207945</v>
      </c>
    </row>
    <row r="6" spans="1:9" hidden="1" x14ac:dyDescent="0.3">
      <c r="A6">
        <v>3</v>
      </c>
      <c r="B6" s="168" t="s">
        <v>7</v>
      </c>
      <c r="C6" s="168" t="s">
        <v>5</v>
      </c>
      <c r="D6">
        <v>20</v>
      </c>
      <c r="E6">
        <v>2020</v>
      </c>
      <c r="F6" s="168" t="s">
        <v>590</v>
      </c>
      <c r="G6" s="168" t="s">
        <v>607</v>
      </c>
      <c r="H6" s="168" t="s">
        <v>608</v>
      </c>
      <c r="I6">
        <v>0</v>
      </c>
    </row>
    <row r="7" spans="1:9" hidden="1" x14ac:dyDescent="0.3">
      <c r="A7">
        <v>3</v>
      </c>
      <c r="B7" s="168" t="s">
        <v>7</v>
      </c>
      <c r="C7" s="168" t="s">
        <v>5</v>
      </c>
      <c r="D7">
        <v>20</v>
      </c>
      <c r="E7">
        <v>2020</v>
      </c>
      <c r="F7" s="168" t="s">
        <v>590</v>
      </c>
      <c r="G7" s="168" t="s">
        <v>607</v>
      </c>
      <c r="H7" s="168" t="s">
        <v>609</v>
      </c>
      <c r="I7">
        <v>11942.81060537508</v>
      </c>
    </row>
    <row r="8" spans="1:9" hidden="1" x14ac:dyDescent="0.3">
      <c r="A8">
        <v>4</v>
      </c>
      <c r="B8" s="168" t="s">
        <v>8</v>
      </c>
      <c r="C8" s="168" t="s">
        <v>5</v>
      </c>
      <c r="D8">
        <v>243</v>
      </c>
      <c r="E8">
        <v>2020</v>
      </c>
      <c r="F8" s="168" t="s">
        <v>590</v>
      </c>
      <c r="G8" s="168" t="s">
        <v>610</v>
      </c>
      <c r="H8" s="168" t="s">
        <v>608</v>
      </c>
      <c r="I8">
        <v>0</v>
      </c>
    </row>
    <row r="9" spans="1:9" hidden="1" x14ac:dyDescent="0.3">
      <c r="A9">
        <v>4</v>
      </c>
      <c r="B9" s="168" t="s">
        <v>8</v>
      </c>
      <c r="C9" s="168" t="s">
        <v>5</v>
      </c>
      <c r="D9">
        <v>243</v>
      </c>
      <c r="E9">
        <v>2020</v>
      </c>
      <c r="F9" s="168" t="s">
        <v>590</v>
      </c>
      <c r="G9" s="168" t="s">
        <v>610</v>
      </c>
      <c r="H9" s="168" t="s">
        <v>609</v>
      </c>
      <c r="I9">
        <v>6545.454545454545</v>
      </c>
    </row>
    <row r="10" spans="1:9" hidden="1" x14ac:dyDescent="0.3">
      <c r="A10">
        <v>4</v>
      </c>
      <c r="B10" s="168" t="s">
        <v>8</v>
      </c>
      <c r="C10" s="168" t="s">
        <v>5</v>
      </c>
      <c r="D10">
        <v>243</v>
      </c>
      <c r="E10">
        <v>2020</v>
      </c>
      <c r="F10" s="168" t="s">
        <v>590</v>
      </c>
      <c r="G10" s="168" t="s">
        <v>611</v>
      </c>
      <c r="H10" s="168" t="s">
        <v>608</v>
      </c>
      <c r="I10">
        <v>0</v>
      </c>
    </row>
    <row r="11" spans="1:9" hidden="1" x14ac:dyDescent="0.3">
      <c r="A11">
        <v>4</v>
      </c>
      <c r="B11" s="168" t="s">
        <v>8</v>
      </c>
      <c r="C11" s="168" t="s">
        <v>5</v>
      </c>
      <c r="D11">
        <v>243</v>
      </c>
      <c r="E11">
        <v>2020</v>
      </c>
      <c r="F11" s="168" t="s">
        <v>590</v>
      </c>
      <c r="G11" s="168" t="s">
        <v>611</v>
      </c>
      <c r="H11" s="168" t="s">
        <v>609</v>
      </c>
      <c r="I11">
        <v>1015.6383004596636</v>
      </c>
    </row>
    <row r="12" spans="1:9" hidden="1" x14ac:dyDescent="0.3">
      <c r="A12">
        <v>5</v>
      </c>
      <c r="B12" s="168" t="s">
        <v>9</v>
      </c>
      <c r="C12" s="168" t="s">
        <v>10</v>
      </c>
      <c r="D12">
        <v>7098.7</v>
      </c>
      <c r="E12">
        <v>2020</v>
      </c>
      <c r="F12" s="168" t="s">
        <v>590</v>
      </c>
      <c r="G12" s="168" t="s">
        <v>612</v>
      </c>
      <c r="H12" s="168" t="s">
        <v>608</v>
      </c>
      <c r="I12">
        <v>0</v>
      </c>
    </row>
    <row r="13" spans="1:9" hidden="1" x14ac:dyDescent="0.3">
      <c r="A13">
        <v>5</v>
      </c>
      <c r="B13" s="168" t="s">
        <v>9</v>
      </c>
      <c r="C13" s="168" t="s">
        <v>10</v>
      </c>
      <c r="D13">
        <v>7098.7</v>
      </c>
      <c r="E13">
        <v>2020</v>
      </c>
      <c r="F13" s="168" t="s">
        <v>590</v>
      </c>
      <c r="G13" s="168" t="s">
        <v>612</v>
      </c>
      <c r="H13" s="168" t="s">
        <v>609</v>
      </c>
      <c r="I13">
        <v>13594.866730341048</v>
      </c>
    </row>
    <row r="14" spans="1:9" hidden="1" x14ac:dyDescent="0.3">
      <c r="A14">
        <v>5</v>
      </c>
      <c r="B14" s="168" t="s">
        <v>9</v>
      </c>
      <c r="C14" s="168" t="s">
        <v>10</v>
      </c>
      <c r="D14">
        <v>7098.7</v>
      </c>
      <c r="E14">
        <v>2020</v>
      </c>
      <c r="F14" s="168" t="s">
        <v>590</v>
      </c>
      <c r="G14" s="168" t="s">
        <v>611</v>
      </c>
      <c r="H14" s="168" t="s">
        <v>608</v>
      </c>
      <c r="I14">
        <v>0</v>
      </c>
    </row>
    <row r="15" spans="1:9" hidden="1" x14ac:dyDescent="0.3">
      <c r="A15">
        <v>5</v>
      </c>
      <c r="B15" s="168" t="s">
        <v>9</v>
      </c>
      <c r="C15" s="168" t="s">
        <v>10</v>
      </c>
      <c r="D15">
        <v>7098.7</v>
      </c>
      <c r="E15">
        <v>2020</v>
      </c>
      <c r="F15" s="168" t="s">
        <v>590</v>
      </c>
      <c r="G15" s="168" t="s">
        <v>611</v>
      </c>
      <c r="H15" s="168" t="s">
        <v>609</v>
      </c>
      <c r="I15">
        <v>2969.0865668145902</v>
      </c>
    </row>
    <row r="16" spans="1:9" hidden="1" x14ac:dyDescent="0.3">
      <c r="A16">
        <v>5</v>
      </c>
      <c r="B16" s="168" t="s">
        <v>9</v>
      </c>
      <c r="C16" s="168" t="s">
        <v>10</v>
      </c>
      <c r="D16">
        <v>7098.7</v>
      </c>
      <c r="E16">
        <v>2020</v>
      </c>
      <c r="F16" s="168" t="s">
        <v>590</v>
      </c>
      <c r="G16" s="168" t="s">
        <v>613</v>
      </c>
      <c r="H16" s="168" t="s">
        <v>608</v>
      </c>
      <c r="I16">
        <v>235082.01970278387</v>
      </c>
    </row>
    <row r="17" spans="1:9" hidden="1" x14ac:dyDescent="0.3">
      <c r="A17">
        <v>5</v>
      </c>
      <c r="B17" s="168" t="s">
        <v>9</v>
      </c>
      <c r="C17" s="168" t="s">
        <v>10</v>
      </c>
      <c r="D17">
        <v>7098.7</v>
      </c>
      <c r="E17">
        <v>2020</v>
      </c>
      <c r="F17" s="168" t="s">
        <v>590</v>
      </c>
      <c r="G17" s="168" t="s">
        <v>613</v>
      </c>
      <c r="H17" s="168" t="s">
        <v>609</v>
      </c>
      <c r="I17">
        <v>150726.75510166027</v>
      </c>
    </row>
    <row r="18" spans="1:9" hidden="1" x14ac:dyDescent="0.3">
      <c r="A18">
        <v>6</v>
      </c>
      <c r="B18" s="168" t="s">
        <v>11</v>
      </c>
      <c r="C18" s="168" t="s">
        <v>12</v>
      </c>
      <c r="D18">
        <v>1070.3</v>
      </c>
      <c r="E18">
        <v>2020</v>
      </c>
      <c r="F18" s="168" t="s">
        <v>590</v>
      </c>
      <c r="G18" s="168" t="s">
        <v>612</v>
      </c>
      <c r="H18" s="168" t="s">
        <v>608</v>
      </c>
      <c r="I18">
        <v>0</v>
      </c>
    </row>
    <row r="19" spans="1:9" hidden="1" x14ac:dyDescent="0.3">
      <c r="A19">
        <v>6</v>
      </c>
      <c r="B19" s="168" t="s">
        <v>11</v>
      </c>
      <c r="C19" s="168" t="s">
        <v>12</v>
      </c>
      <c r="D19">
        <v>1070.3</v>
      </c>
      <c r="E19">
        <v>2020</v>
      </c>
      <c r="F19" s="168" t="s">
        <v>590</v>
      </c>
      <c r="G19" s="168" t="s">
        <v>612</v>
      </c>
      <c r="H19" s="168" t="s">
        <v>609</v>
      </c>
      <c r="I19">
        <v>2049.7535973465597</v>
      </c>
    </row>
    <row r="20" spans="1:9" hidden="1" x14ac:dyDescent="0.3">
      <c r="A20">
        <v>6</v>
      </c>
      <c r="B20" s="168" t="s">
        <v>11</v>
      </c>
      <c r="C20" s="168" t="s">
        <v>12</v>
      </c>
      <c r="D20">
        <v>1070.3</v>
      </c>
      <c r="E20">
        <v>2020</v>
      </c>
      <c r="F20" s="168" t="s">
        <v>590</v>
      </c>
      <c r="G20" s="168" t="s">
        <v>611</v>
      </c>
      <c r="H20" s="168" t="s">
        <v>608</v>
      </c>
      <c r="I20">
        <v>0</v>
      </c>
    </row>
    <row r="21" spans="1:9" hidden="1" x14ac:dyDescent="0.3">
      <c r="A21">
        <v>6</v>
      </c>
      <c r="B21" s="168" t="s">
        <v>11</v>
      </c>
      <c r="C21" s="168" t="s">
        <v>12</v>
      </c>
      <c r="D21">
        <v>1070.3</v>
      </c>
      <c r="E21">
        <v>2020</v>
      </c>
      <c r="F21" s="168" t="s">
        <v>590</v>
      </c>
      <c r="G21" s="168" t="s">
        <v>611</v>
      </c>
      <c r="H21" s="168" t="s">
        <v>609</v>
      </c>
      <c r="I21">
        <v>447.66131157277471</v>
      </c>
    </row>
    <row r="22" spans="1:9" hidden="1" x14ac:dyDescent="0.3">
      <c r="A22">
        <v>6</v>
      </c>
      <c r="B22" s="168" t="s">
        <v>11</v>
      </c>
      <c r="C22" s="168" t="s">
        <v>12</v>
      </c>
      <c r="D22">
        <v>1070.3</v>
      </c>
      <c r="E22">
        <v>2020</v>
      </c>
      <c r="F22" s="168" t="s">
        <v>590</v>
      </c>
      <c r="G22" s="168" t="s">
        <v>613</v>
      </c>
      <c r="H22" s="168" t="s">
        <v>608</v>
      </c>
      <c r="I22">
        <v>35444.276513712313</v>
      </c>
    </row>
    <row r="23" spans="1:9" hidden="1" x14ac:dyDescent="0.3">
      <c r="A23">
        <v>6</v>
      </c>
      <c r="B23" s="168" t="s">
        <v>11</v>
      </c>
      <c r="C23" s="168" t="s">
        <v>12</v>
      </c>
      <c r="D23">
        <v>1070.3</v>
      </c>
      <c r="E23">
        <v>2020</v>
      </c>
      <c r="F23" s="168" t="s">
        <v>590</v>
      </c>
      <c r="G23" s="168" t="s">
        <v>613</v>
      </c>
      <c r="H23" s="168" t="s">
        <v>609</v>
      </c>
      <c r="I23">
        <v>22725.688645147278</v>
      </c>
    </row>
    <row r="24" spans="1:9" hidden="1" x14ac:dyDescent="0.3">
      <c r="A24">
        <v>7</v>
      </c>
      <c r="B24" s="168" t="s">
        <v>13</v>
      </c>
      <c r="C24" s="168" t="s">
        <v>12</v>
      </c>
      <c r="D24">
        <v>1076.9000000000001</v>
      </c>
      <c r="E24">
        <v>2020</v>
      </c>
      <c r="F24" s="168" t="s">
        <v>590</v>
      </c>
      <c r="G24" s="168" t="s">
        <v>612</v>
      </c>
      <c r="H24" s="168" t="s">
        <v>608</v>
      </c>
      <c r="I24">
        <v>0</v>
      </c>
    </row>
    <row r="25" spans="1:9" hidden="1" x14ac:dyDescent="0.3">
      <c r="A25">
        <v>7</v>
      </c>
      <c r="B25" s="168" t="s">
        <v>13</v>
      </c>
      <c r="C25" s="168" t="s">
        <v>12</v>
      </c>
      <c r="D25">
        <v>1076.9000000000001</v>
      </c>
      <c r="E25">
        <v>2020</v>
      </c>
      <c r="F25" s="168" t="s">
        <v>590</v>
      </c>
      <c r="G25" s="168" t="s">
        <v>612</v>
      </c>
      <c r="H25" s="168" t="s">
        <v>609</v>
      </c>
      <c r="I25">
        <v>2062.3933934247507</v>
      </c>
    </row>
    <row r="26" spans="1:9" hidden="1" x14ac:dyDescent="0.3">
      <c r="A26">
        <v>7</v>
      </c>
      <c r="B26" s="168" t="s">
        <v>13</v>
      </c>
      <c r="C26" s="168" t="s">
        <v>12</v>
      </c>
      <c r="D26">
        <v>1076.9000000000001</v>
      </c>
      <c r="E26">
        <v>2020</v>
      </c>
      <c r="F26" s="168" t="s">
        <v>590</v>
      </c>
      <c r="G26" s="168" t="s">
        <v>611</v>
      </c>
      <c r="H26" s="168" t="s">
        <v>608</v>
      </c>
      <c r="I26">
        <v>0</v>
      </c>
    </row>
    <row r="27" spans="1:9" hidden="1" x14ac:dyDescent="0.3">
      <c r="A27">
        <v>7</v>
      </c>
      <c r="B27" s="168" t="s">
        <v>13</v>
      </c>
      <c r="C27" s="168" t="s">
        <v>12</v>
      </c>
      <c r="D27">
        <v>1076.9000000000001</v>
      </c>
      <c r="E27">
        <v>2020</v>
      </c>
      <c r="F27" s="168" t="s">
        <v>590</v>
      </c>
      <c r="G27" s="168" t="s">
        <v>611</v>
      </c>
      <c r="H27" s="168" t="s">
        <v>609</v>
      </c>
      <c r="I27">
        <v>450.42181298021222</v>
      </c>
    </row>
    <row r="28" spans="1:9" hidden="1" x14ac:dyDescent="0.3">
      <c r="A28">
        <v>7</v>
      </c>
      <c r="B28" s="168" t="s">
        <v>13</v>
      </c>
      <c r="C28" s="168" t="s">
        <v>12</v>
      </c>
      <c r="D28">
        <v>1076.9000000000001</v>
      </c>
      <c r="E28">
        <v>2020</v>
      </c>
      <c r="F28" s="168" t="s">
        <v>590</v>
      </c>
      <c r="G28" s="168" t="s">
        <v>613</v>
      </c>
      <c r="H28" s="168" t="s">
        <v>608</v>
      </c>
      <c r="I28">
        <v>35662.843480908901</v>
      </c>
    </row>
    <row r="29" spans="1:9" hidden="1" x14ac:dyDescent="0.3">
      <c r="A29">
        <v>7</v>
      </c>
      <c r="B29" s="168" t="s">
        <v>13</v>
      </c>
      <c r="C29" s="168" t="s">
        <v>12</v>
      </c>
      <c r="D29">
        <v>1076.9000000000001</v>
      </c>
      <c r="E29">
        <v>2020</v>
      </c>
      <c r="F29" s="168" t="s">
        <v>590</v>
      </c>
      <c r="G29" s="168" t="s">
        <v>613</v>
      </c>
      <c r="H29" s="168" t="s">
        <v>609</v>
      </c>
      <c r="I29">
        <v>22865.826499074192</v>
      </c>
    </row>
    <row r="30" spans="1:9" hidden="1" x14ac:dyDescent="0.3">
      <c r="A30">
        <v>8</v>
      </c>
      <c r="B30" s="168" t="s">
        <v>14</v>
      </c>
      <c r="C30" s="168" t="s">
        <v>12</v>
      </c>
      <c r="D30">
        <v>1909.4</v>
      </c>
      <c r="E30">
        <v>2020</v>
      </c>
      <c r="F30" s="168" t="s">
        <v>590</v>
      </c>
      <c r="G30" s="168" t="s">
        <v>612</v>
      </c>
      <c r="H30" s="168" t="s">
        <v>608</v>
      </c>
      <c r="I30">
        <v>0</v>
      </c>
    </row>
    <row r="31" spans="1:9" hidden="1" x14ac:dyDescent="0.3">
      <c r="A31">
        <v>8</v>
      </c>
      <c r="B31" s="168" t="s">
        <v>14</v>
      </c>
      <c r="C31" s="168" t="s">
        <v>12</v>
      </c>
      <c r="D31">
        <v>1909.4</v>
      </c>
      <c r="E31">
        <v>2020</v>
      </c>
      <c r="F31" s="168" t="s">
        <v>590</v>
      </c>
      <c r="G31" s="168" t="s">
        <v>612</v>
      </c>
      <c r="H31" s="168" t="s">
        <v>609</v>
      </c>
      <c r="I31">
        <v>3656.7313078328712</v>
      </c>
    </row>
    <row r="32" spans="1:9" hidden="1" x14ac:dyDescent="0.3">
      <c r="A32">
        <v>8</v>
      </c>
      <c r="B32" s="168" t="s">
        <v>14</v>
      </c>
      <c r="C32" s="168" t="s">
        <v>12</v>
      </c>
      <c r="D32">
        <v>1909.4</v>
      </c>
      <c r="E32">
        <v>2020</v>
      </c>
      <c r="F32" s="168" t="s">
        <v>590</v>
      </c>
      <c r="G32" s="168" t="s">
        <v>611</v>
      </c>
      <c r="H32" s="168" t="s">
        <v>608</v>
      </c>
      <c r="I32">
        <v>0</v>
      </c>
    </row>
    <row r="33" spans="1:9" hidden="1" x14ac:dyDescent="0.3">
      <c r="A33">
        <v>8</v>
      </c>
      <c r="B33" s="168" t="s">
        <v>14</v>
      </c>
      <c r="C33" s="168" t="s">
        <v>12</v>
      </c>
      <c r="D33">
        <v>1909.4</v>
      </c>
      <c r="E33">
        <v>2020</v>
      </c>
      <c r="F33" s="168" t="s">
        <v>590</v>
      </c>
      <c r="G33" s="168" t="s">
        <v>611</v>
      </c>
      <c r="H33" s="168" t="s">
        <v>609</v>
      </c>
      <c r="I33">
        <v>798.62142232743736</v>
      </c>
    </row>
    <row r="34" spans="1:9" hidden="1" x14ac:dyDescent="0.3">
      <c r="A34">
        <v>8</v>
      </c>
      <c r="B34" s="168" t="s">
        <v>14</v>
      </c>
      <c r="C34" s="168" t="s">
        <v>12</v>
      </c>
      <c r="D34">
        <v>1909.4</v>
      </c>
      <c r="E34">
        <v>2020</v>
      </c>
      <c r="F34" s="168" t="s">
        <v>590</v>
      </c>
      <c r="G34" s="168" t="s">
        <v>613</v>
      </c>
      <c r="H34" s="168" t="s">
        <v>608</v>
      </c>
      <c r="I34">
        <v>63232.085934114075</v>
      </c>
    </row>
    <row r="35" spans="1:9" hidden="1" x14ac:dyDescent="0.3">
      <c r="A35">
        <v>8</v>
      </c>
      <c r="B35" s="168" t="s">
        <v>14</v>
      </c>
      <c r="C35" s="168" t="s">
        <v>12</v>
      </c>
      <c r="D35">
        <v>1909.4</v>
      </c>
      <c r="E35">
        <v>2020</v>
      </c>
      <c r="F35" s="168" t="s">
        <v>590</v>
      </c>
      <c r="G35" s="168" t="s">
        <v>613</v>
      </c>
      <c r="H35" s="168" t="s">
        <v>609</v>
      </c>
      <c r="I35">
        <v>40542.30580121855</v>
      </c>
    </row>
    <row r="36" spans="1:9" hidden="1" x14ac:dyDescent="0.3">
      <c r="A36">
        <v>9</v>
      </c>
      <c r="B36" s="168" t="s">
        <v>15</v>
      </c>
      <c r="C36" s="168" t="s">
        <v>10</v>
      </c>
      <c r="D36">
        <v>161.19999999999999</v>
      </c>
      <c r="E36">
        <v>2020</v>
      </c>
      <c r="F36" s="168" t="s">
        <v>590</v>
      </c>
      <c r="G36" s="168" t="s">
        <v>612</v>
      </c>
      <c r="H36" s="168" t="s">
        <v>608</v>
      </c>
      <c r="I36">
        <v>0</v>
      </c>
    </row>
    <row r="37" spans="1:9" hidden="1" x14ac:dyDescent="0.3">
      <c r="A37">
        <v>9</v>
      </c>
      <c r="B37" s="168" t="s">
        <v>15</v>
      </c>
      <c r="C37" s="168" t="s">
        <v>10</v>
      </c>
      <c r="D37">
        <v>161.19999999999999</v>
      </c>
      <c r="E37">
        <v>2020</v>
      </c>
      <c r="F37" s="168" t="s">
        <v>590</v>
      </c>
      <c r="G37" s="168" t="s">
        <v>612</v>
      </c>
      <c r="H37" s="168" t="s">
        <v>609</v>
      </c>
      <c r="I37">
        <v>308.71744360671346</v>
      </c>
    </row>
    <row r="38" spans="1:9" hidden="1" x14ac:dyDescent="0.3">
      <c r="A38">
        <v>9</v>
      </c>
      <c r="B38" s="168" t="s">
        <v>15</v>
      </c>
      <c r="C38" s="168" t="s">
        <v>10</v>
      </c>
      <c r="D38">
        <v>161.19999999999999</v>
      </c>
      <c r="E38">
        <v>2020</v>
      </c>
      <c r="F38" s="168" t="s">
        <v>590</v>
      </c>
      <c r="G38" s="168" t="s">
        <v>611</v>
      </c>
      <c r="H38" s="168" t="s">
        <v>608</v>
      </c>
      <c r="I38">
        <v>0</v>
      </c>
    </row>
    <row r="39" spans="1:9" hidden="1" x14ac:dyDescent="0.3">
      <c r="A39">
        <v>9</v>
      </c>
      <c r="B39" s="168" t="s">
        <v>15</v>
      </c>
      <c r="C39" s="168" t="s">
        <v>10</v>
      </c>
      <c r="D39">
        <v>161.19999999999999</v>
      </c>
      <c r="E39">
        <v>2020</v>
      </c>
      <c r="F39" s="168" t="s">
        <v>590</v>
      </c>
      <c r="G39" s="168" t="s">
        <v>611</v>
      </c>
      <c r="H39" s="168" t="s">
        <v>609</v>
      </c>
      <c r="I39">
        <v>67.423155587714916</v>
      </c>
    </row>
    <row r="40" spans="1:9" hidden="1" x14ac:dyDescent="0.3">
      <c r="A40">
        <v>9</v>
      </c>
      <c r="B40" s="168" t="s">
        <v>15</v>
      </c>
      <c r="C40" s="168" t="s">
        <v>10</v>
      </c>
      <c r="D40">
        <v>161.19999999999999</v>
      </c>
      <c r="E40">
        <v>2020</v>
      </c>
      <c r="F40" s="168" t="s">
        <v>590</v>
      </c>
      <c r="G40" s="168" t="s">
        <v>613</v>
      </c>
      <c r="H40" s="168" t="s">
        <v>608</v>
      </c>
      <c r="I40">
        <v>5338.3325927407495</v>
      </c>
    </row>
    <row r="41" spans="1:9" hidden="1" x14ac:dyDescent="0.3">
      <c r="A41">
        <v>9</v>
      </c>
      <c r="B41" s="168" t="s">
        <v>15</v>
      </c>
      <c r="C41" s="168" t="s">
        <v>10</v>
      </c>
      <c r="D41">
        <v>161.19999999999999</v>
      </c>
      <c r="E41">
        <v>2020</v>
      </c>
      <c r="F41" s="168" t="s">
        <v>590</v>
      </c>
      <c r="G41" s="168" t="s">
        <v>613</v>
      </c>
      <c r="H41" s="168" t="s">
        <v>609</v>
      </c>
      <c r="I41">
        <v>3422.7609171239287</v>
      </c>
    </row>
    <row r="42" spans="1:9" hidden="1" x14ac:dyDescent="0.3">
      <c r="A42">
        <v>10</v>
      </c>
      <c r="B42" s="168" t="s">
        <v>16</v>
      </c>
      <c r="C42" s="168" t="s">
        <v>10</v>
      </c>
      <c r="D42">
        <v>32.200000000000003</v>
      </c>
      <c r="E42">
        <v>2020</v>
      </c>
      <c r="F42" s="168" t="s">
        <v>590</v>
      </c>
      <c r="G42" s="168" t="s">
        <v>612</v>
      </c>
      <c r="H42" s="168" t="s">
        <v>608</v>
      </c>
      <c r="I42">
        <v>0</v>
      </c>
    </row>
    <row r="43" spans="1:9" hidden="1" x14ac:dyDescent="0.3">
      <c r="A43">
        <v>10</v>
      </c>
      <c r="B43" s="168" t="s">
        <v>16</v>
      </c>
      <c r="C43" s="168" t="s">
        <v>10</v>
      </c>
      <c r="D43">
        <v>32.200000000000003</v>
      </c>
      <c r="E43">
        <v>2020</v>
      </c>
      <c r="F43" s="168" t="s">
        <v>590</v>
      </c>
      <c r="G43" s="168" t="s">
        <v>612</v>
      </c>
      <c r="H43" s="168" t="s">
        <v>609</v>
      </c>
      <c r="I43">
        <v>61.666883896626395</v>
      </c>
    </row>
    <row r="44" spans="1:9" hidden="1" x14ac:dyDescent="0.3">
      <c r="A44">
        <v>10</v>
      </c>
      <c r="B44" s="168" t="s">
        <v>16</v>
      </c>
      <c r="C44" s="168" t="s">
        <v>10</v>
      </c>
      <c r="D44">
        <v>32.200000000000003</v>
      </c>
      <c r="E44">
        <v>2020</v>
      </c>
      <c r="F44" s="168" t="s">
        <v>590</v>
      </c>
      <c r="G44" s="168" t="s">
        <v>611</v>
      </c>
      <c r="H44" s="168" t="s">
        <v>608</v>
      </c>
      <c r="I44">
        <v>0</v>
      </c>
    </row>
    <row r="45" spans="1:9" hidden="1" x14ac:dyDescent="0.3">
      <c r="A45">
        <v>10</v>
      </c>
      <c r="B45" s="168" t="s">
        <v>16</v>
      </c>
      <c r="C45" s="168" t="s">
        <v>10</v>
      </c>
      <c r="D45">
        <v>32.200000000000003</v>
      </c>
      <c r="E45">
        <v>2020</v>
      </c>
      <c r="F45" s="168" t="s">
        <v>590</v>
      </c>
      <c r="G45" s="168" t="s">
        <v>611</v>
      </c>
      <c r="H45" s="168" t="s">
        <v>609</v>
      </c>
      <c r="I45">
        <v>13.46790080598276</v>
      </c>
    </row>
    <row r="46" spans="1:9" hidden="1" x14ac:dyDescent="0.3">
      <c r="A46">
        <v>10</v>
      </c>
      <c r="B46" s="168" t="s">
        <v>16</v>
      </c>
      <c r="C46" s="168" t="s">
        <v>10</v>
      </c>
      <c r="D46">
        <v>32.200000000000003</v>
      </c>
      <c r="E46">
        <v>2020</v>
      </c>
      <c r="F46" s="168" t="s">
        <v>590</v>
      </c>
      <c r="G46" s="168" t="s">
        <v>613</v>
      </c>
      <c r="H46" s="168" t="s">
        <v>608</v>
      </c>
      <c r="I46">
        <v>1066.3418702621102</v>
      </c>
    </row>
    <row r="47" spans="1:9" hidden="1" x14ac:dyDescent="0.3">
      <c r="A47">
        <v>10</v>
      </c>
      <c r="B47" s="168" t="s">
        <v>16</v>
      </c>
      <c r="C47" s="168" t="s">
        <v>10</v>
      </c>
      <c r="D47">
        <v>32.200000000000003</v>
      </c>
      <c r="E47">
        <v>2020</v>
      </c>
      <c r="F47" s="168" t="s">
        <v>590</v>
      </c>
      <c r="G47" s="168" t="s">
        <v>613</v>
      </c>
      <c r="H47" s="168" t="s">
        <v>609</v>
      </c>
      <c r="I47">
        <v>683.70286309795608</v>
      </c>
    </row>
    <row r="48" spans="1:9" hidden="1" x14ac:dyDescent="0.3">
      <c r="A48">
        <v>11</v>
      </c>
      <c r="B48" s="168" t="s">
        <v>17</v>
      </c>
      <c r="C48" s="168" t="s">
        <v>12</v>
      </c>
      <c r="D48">
        <v>67.099999999999994</v>
      </c>
      <c r="E48">
        <v>2020</v>
      </c>
      <c r="F48" s="168" t="s">
        <v>590</v>
      </c>
      <c r="G48" s="168" t="s">
        <v>612</v>
      </c>
      <c r="H48" s="168" t="s">
        <v>608</v>
      </c>
      <c r="I48">
        <v>0</v>
      </c>
    </row>
    <row r="49" spans="1:9" hidden="1" x14ac:dyDescent="0.3">
      <c r="A49">
        <v>11</v>
      </c>
      <c r="B49" s="168" t="s">
        <v>17</v>
      </c>
      <c r="C49" s="168" t="s">
        <v>12</v>
      </c>
      <c r="D49">
        <v>67.099999999999994</v>
      </c>
      <c r="E49">
        <v>2020</v>
      </c>
      <c r="F49" s="168" t="s">
        <v>590</v>
      </c>
      <c r="G49" s="168" t="s">
        <v>612</v>
      </c>
      <c r="H49" s="168" t="s">
        <v>609</v>
      </c>
      <c r="I49">
        <v>128.50459346160343</v>
      </c>
    </row>
    <row r="50" spans="1:9" hidden="1" x14ac:dyDescent="0.3">
      <c r="A50">
        <v>11</v>
      </c>
      <c r="B50" s="168" t="s">
        <v>17</v>
      </c>
      <c r="C50" s="168" t="s">
        <v>12</v>
      </c>
      <c r="D50">
        <v>67.099999999999994</v>
      </c>
      <c r="E50">
        <v>2020</v>
      </c>
      <c r="F50" s="168" t="s">
        <v>590</v>
      </c>
      <c r="G50" s="168" t="s">
        <v>611</v>
      </c>
      <c r="H50" s="168" t="s">
        <v>608</v>
      </c>
      <c r="I50">
        <v>0</v>
      </c>
    </row>
    <row r="51" spans="1:9" hidden="1" x14ac:dyDescent="0.3">
      <c r="A51">
        <v>11</v>
      </c>
      <c r="B51" s="168" t="s">
        <v>17</v>
      </c>
      <c r="C51" s="168" t="s">
        <v>12</v>
      </c>
      <c r="D51">
        <v>67.099999999999994</v>
      </c>
      <c r="E51">
        <v>2020</v>
      </c>
      <c r="F51" s="168" t="s">
        <v>590</v>
      </c>
      <c r="G51" s="168" t="s">
        <v>611</v>
      </c>
      <c r="H51" s="168" t="s">
        <v>609</v>
      </c>
      <c r="I51">
        <v>28.06509764228084</v>
      </c>
    </row>
    <row r="52" spans="1:9" hidden="1" x14ac:dyDescent="0.3">
      <c r="A52">
        <v>11</v>
      </c>
      <c r="B52" s="168" t="s">
        <v>17</v>
      </c>
      <c r="C52" s="168" t="s">
        <v>12</v>
      </c>
      <c r="D52">
        <v>67.099999999999994</v>
      </c>
      <c r="E52">
        <v>2020</v>
      </c>
      <c r="F52" s="168" t="s">
        <v>590</v>
      </c>
      <c r="G52" s="168" t="s">
        <v>613</v>
      </c>
      <c r="H52" s="168" t="s">
        <v>608</v>
      </c>
      <c r="I52">
        <v>2222.0974998319125</v>
      </c>
    </row>
    <row r="53" spans="1:9" hidden="1" x14ac:dyDescent="0.3">
      <c r="A53">
        <v>11</v>
      </c>
      <c r="B53" s="168" t="s">
        <v>17</v>
      </c>
      <c r="C53" s="168" t="s">
        <v>12</v>
      </c>
      <c r="D53">
        <v>67.099999999999994</v>
      </c>
      <c r="E53">
        <v>2020</v>
      </c>
      <c r="F53" s="168" t="s">
        <v>590</v>
      </c>
      <c r="G53" s="168" t="s">
        <v>613</v>
      </c>
      <c r="H53" s="168" t="s">
        <v>609</v>
      </c>
      <c r="I53">
        <v>1424.7348482569207</v>
      </c>
    </row>
    <row r="54" spans="1:9" hidden="1" x14ac:dyDescent="0.3">
      <c r="A54">
        <v>12</v>
      </c>
      <c r="B54" s="168" t="s">
        <v>18</v>
      </c>
      <c r="C54" s="168" t="s">
        <v>12</v>
      </c>
      <c r="D54">
        <v>43.9</v>
      </c>
      <c r="E54">
        <v>2020</v>
      </c>
      <c r="F54" s="168" t="s">
        <v>590</v>
      </c>
      <c r="G54" s="168" t="s">
        <v>612</v>
      </c>
      <c r="H54" s="168" t="s">
        <v>608</v>
      </c>
      <c r="I54">
        <v>0</v>
      </c>
    </row>
    <row r="55" spans="1:9" hidden="1" x14ac:dyDescent="0.3">
      <c r="A55">
        <v>12</v>
      </c>
      <c r="B55" s="168" t="s">
        <v>18</v>
      </c>
      <c r="C55" s="168" t="s">
        <v>12</v>
      </c>
      <c r="D55">
        <v>43.9</v>
      </c>
      <c r="E55">
        <v>2020</v>
      </c>
      <c r="F55" s="168" t="s">
        <v>590</v>
      </c>
      <c r="G55" s="168" t="s">
        <v>612</v>
      </c>
      <c r="H55" s="168" t="s">
        <v>609</v>
      </c>
      <c r="I55">
        <v>84.07379512614591</v>
      </c>
    </row>
    <row r="56" spans="1:9" hidden="1" x14ac:dyDescent="0.3">
      <c r="A56">
        <v>12</v>
      </c>
      <c r="B56" s="168" t="s">
        <v>18</v>
      </c>
      <c r="C56" s="168" t="s">
        <v>12</v>
      </c>
      <c r="D56">
        <v>43.9</v>
      </c>
      <c r="E56">
        <v>2020</v>
      </c>
      <c r="F56" s="168" t="s">
        <v>590</v>
      </c>
      <c r="G56" s="168" t="s">
        <v>611</v>
      </c>
      <c r="H56" s="168" t="s">
        <v>608</v>
      </c>
      <c r="I56">
        <v>0</v>
      </c>
    </row>
    <row r="57" spans="1:9" hidden="1" x14ac:dyDescent="0.3">
      <c r="A57">
        <v>12</v>
      </c>
      <c r="B57" s="168" t="s">
        <v>18</v>
      </c>
      <c r="C57" s="168" t="s">
        <v>12</v>
      </c>
      <c r="D57">
        <v>43.9</v>
      </c>
      <c r="E57">
        <v>2020</v>
      </c>
      <c r="F57" s="168" t="s">
        <v>590</v>
      </c>
      <c r="G57" s="168" t="s">
        <v>611</v>
      </c>
      <c r="H57" s="168" t="s">
        <v>609</v>
      </c>
      <c r="I57">
        <v>18.361516937349165</v>
      </c>
    </row>
    <row r="58" spans="1:9" hidden="1" x14ac:dyDescent="0.3">
      <c r="A58">
        <v>12</v>
      </c>
      <c r="B58" s="168" t="s">
        <v>18</v>
      </c>
      <c r="C58" s="168" t="s">
        <v>12</v>
      </c>
      <c r="D58">
        <v>43.9</v>
      </c>
      <c r="E58">
        <v>2020</v>
      </c>
      <c r="F58" s="168" t="s">
        <v>590</v>
      </c>
      <c r="G58" s="168" t="s">
        <v>613</v>
      </c>
      <c r="H58" s="168" t="s">
        <v>608</v>
      </c>
      <c r="I58">
        <v>1453.8014939287775</v>
      </c>
    </row>
    <row r="59" spans="1:9" hidden="1" x14ac:dyDescent="0.3">
      <c r="A59">
        <v>12</v>
      </c>
      <c r="B59" s="168" t="s">
        <v>18</v>
      </c>
      <c r="C59" s="168" t="s">
        <v>12</v>
      </c>
      <c r="D59">
        <v>43.9</v>
      </c>
      <c r="E59">
        <v>2020</v>
      </c>
      <c r="F59" s="168" t="s">
        <v>590</v>
      </c>
      <c r="G59" s="168" t="s">
        <v>613</v>
      </c>
      <c r="H59" s="168" t="s">
        <v>609</v>
      </c>
      <c r="I59">
        <v>932.12905869566066</v>
      </c>
    </row>
    <row r="60" spans="1:9" hidden="1" x14ac:dyDescent="0.3">
      <c r="A60">
        <v>13</v>
      </c>
      <c r="B60" s="168" t="s">
        <v>19</v>
      </c>
      <c r="C60" s="168" t="s">
        <v>10</v>
      </c>
      <c r="D60">
        <v>93.8</v>
      </c>
      <c r="E60">
        <v>2020</v>
      </c>
      <c r="F60" s="168" t="s">
        <v>590</v>
      </c>
      <c r="G60" s="168" t="s">
        <v>612</v>
      </c>
      <c r="H60" s="168" t="s">
        <v>608</v>
      </c>
      <c r="I60">
        <v>0</v>
      </c>
    </row>
    <row r="61" spans="1:9" hidden="1" x14ac:dyDescent="0.3">
      <c r="A61">
        <v>13</v>
      </c>
      <c r="B61" s="168" t="s">
        <v>19</v>
      </c>
      <c r="C61" s="168" t="s">
        <v>10</v>
      </c>
      <c r="D61">
        <v>93.8</v>
      </c>
      <c r="E61">
        <v>2020</v>
      </c>
      <c r="F61" s="168" t="s">
        <v>590</v>
      </c>
      <c r="G61" s="168" t="s">
        <v>612</v>
      </c>
      <c r="H61" s="168" t="s">
        <v>609</v>
      </c>
      <c r="I61">
        <v>179.63831395973773</v>
      </c>
    </row>
    <row r="62" spans="1:9" hidden="1" x14ac:dyDescent="0.3">
      <c r="A62">
        <v>13</v>
      </c>
      <c r="B62" s="168" t="s">
        <v>19</v>
      </c>
      <c r="C62" s="168" t="s">
        <v>10</v>
      </c>
      <c r="D62">
        <v>93.8</v>
      </c>
      <c r="E62">
        <v>2020</v>
      </c>
      <c r="F62" s="168" t="s">
        <v>590</v>
      </c>
      <c r="G62" s="168" t="s">
        <v>614</v>
      </c>
      <c r="H62" s="168" t="s">
        <v>608</v>
      </c>
      <c r="I62">
        <v>0</v>
      </c>
    </row>
    <row r="63" spans="1:9" hidden="1" x14ac:dyDescent="0.3">
      <c r="A63">
        <v>13</v>
      </c>
      <c r="B63" s="168" t="s">
        <v>19</v>
      </c>
      <c r="C63" s="168" t="s">
        <v>10</v>
      </c>
      <c r="D63">
        <v>93.8</v>
      </c>
      <c r="E63">
        <v>2020</v>
      </c>
      <c r="F63" s="168" t="s">
        <v>590</v>
      </c>
      <c r="G63" s="168" t="s">
        <v>614</v>
      </c>
      <c r="H63" s="168" t="s">
        <v>609</v>
      </c>
      <c r="I63">
        <v>277200</v>
      </c>
    </row>
    <row r="64" spans="1:9" hidden="1" x14ac:dyDescent="0.3">
      <c r="A64">
        <v>13</v>
      </c>
      <c r="B64" s="168" t="s">
        <v>19</v>
      </c>
      <c r="C64" s="168" t="s">
        <v>10</v>
      </c>
      <c r="D64">
        <v>93.8</v>
      </c>
      <c r="E64">
        <v>2020</v>
      </c>
      <c r="F64" s="168" t="s">
        <v>590</v>
      </c>
      <c r="G64" s="168" t="s">
        <v>611</v>
      </c>
      <c r="H64" s="168" t="s">
        <v>608</v>
      </c>
      <c r="I64">
        <v>0</v>
      </c>
    </row>
    <row r="65" spans="1:9" hidden="1" x14ac:dyDescent="0.3">
      <c r="A65">
        <v>13</v>
      </c>
      <c r="B65" s="168" t="s">
        <v>19</v>
      </c>
      <c r="C65" s="168" t="s">
        <v>10</v>
      </c>
      <c r="D65">
        <v>93.8</v>
      </c>
      <c r="E65">
        <v>2020</v>
      </c>
      <c r="F65" s="168" t="s">
        <v>590</v>
      </c>
      <c r="G65" s="168" t="s">
        <v>611</v>
      </c>
      <c r="H65" s="168" t="s">
        <v>609</v>
      </c>
      <c r="I65">
        <v>39.232580608732384</v>
      </c>
    </row>
    <row r="66" spans="1:9" hidden="1" x14ac:dyDescent="0.3">
      <c r="A66">
        <v>13</v>
      </c>
      <c r="B66" s="168" t="s">
        <v>19</v>
      </c>
      <c r="C66" s="168" t="s">
        <v>10</v>
      </c>
      <c r="D66">
        <v>93.8</v>
      </c>
      <c r="E66">
        <v>2020</v>
      </c>
      <c r="F66" s="168" t="s">
        <v>590</v>
      </c>
      <c r="G66" s="168" t="s">
        <v>613</v>
      </c>
      <c r="H66" s="168" t="s">
        <v>608</v>
      </c>
      <c r="I66">
        <v>3106.3002307635384</v>
      </c>
    </row>
    <row r="67" spans="1:9" hidden="1" x14ac:dyDescent="0.3">
      <c r="A67">
        <v>13</v>
      </c>
      <c r="B67" s="168" t="s">
        <v>19</v>
      </c>
      <c r="C67" s="168" t="s">
        <v>10</v>
      </c>
      <c r="D67">
        <v>93.8</v>
      </c>
      <c r="E67">
        <v>2020</v>
      </c>
      <c r="F67" s="168" t="s">
        <v>590</v>
      </c>
      <c r="G67" s="168" t="s">
        <v>613</v>
      </c>
      <c r="H67" s="168" t="s">
        <v>609</v>
      </c>
      <c r="I67">
        <v>1991.656166415785</v>
      </c>
    </row>
    <row r="68" spans="1:9" hidden="1" x14ac:dyDescent="0.3">
      <c r="A68">
        <v>14</v>
      </c>
      <c r="B68" s="168" t="s">
        <v>20</v>
      </c>
      <c r="C68" s="168" t="s">
        <v>10</v>
      </c>
      <c r="D68">
        <v>53.7</v>
      </c>
      <c r="E68">
        <v>2020</v>
      </c>
      <c r="F68" s="168" t="s">
        <v>590</v>
      </c>
      <c r="G68" s="168" t="s">
        <v>612</v>
      </c>
      <c r="H68" s="168" t="s">
        <v>608</v>
      </c>
      <c r="I68">
        <v>0</v>
      </c>
    </row>
    <row r="69" spans="1:9" hidden="1" x14ac:dyDescent="0.3">
      <c r="A69">
        <v>14</v>
      </c>
      <c r="B69" s="168" t="s">
        <v>20</v>
      </c>
      <c r="C69" s="168" t="s">
        <v>10</v>
      </c>
      <c r="D69">
        <v>53.7</v>
      </c>
      <c r="E69">
        <v>2020</v>
      </c>
      <c r="F69" s="168" t="s">
        <v>590</v>
      </c>
      <c r="G69" s="168" t="s">
        <v>612</v>
      </c>
      <c r="H69" s="168" t="s">
        <v>609</v>
      </c>
      <c r="I69">
        <v>102.84197718164091</v>
      </c>
    </row>
    <row r="70" spans="1:9" hidden="1" x14ac:dyDescent="0.3">
      <c r="A70">
        <v>14</v>
      </c>
      <c r="B70" s="168" t="s">
        <v>20</v>
      </c>
      <c r="C70" s="168" t="s">
        <v>10</v>
      </c>
      <c r="D70">
        <v>53.7</v>
      </c>
      <c r="E70">
        <v>2020</v>
      </c>
      <c r="F70" s="168" t="s">
        <v>590</v>
      </c>
      <c r="G70" s="168" t="s">
        <v>611</v>
      </c>
      <c r="H70" s="168" t="s">
        <v>608</v>
      </c>
      <c r="I70">
        <v>0</v>
      </c>
    </row>
    <row r="71" spans="1:9" hidden="1" x14ac:dyDescent="0.3">
      <c r="A71">
        <v>14</v>
      </c>
      <c r="B71" s="168" t="s">
        <v>20</v>
      </c>
      <c r="C71" s="168" t="s">
        <v>10</v>
      </c>
      <c r="D71">
        <v>53.7</v>
      </c>
      <c r="E71">
        <v>2020</v>
      </c>
      <c r="F71" s="168" t="s">
        <v>590</v>
      </c>
      <c r="G71" s="168" t="s">
        <v>611</v>
      </c>
      <c r="H71" s="168" t="s">
        <v>609</v>
      </c>
      <c r="I71">
        <v>22.460443269604788</v>
      </c>
    </row>
    <row r="72" spans="1:9" hidden="1" x14ac:dyDescent="0.3">
      <c r="A72">
        <v>14</v>
      </c>
      <c r="B72" s="168" t="s">
        <v>20</v>
      </c>
      <c r="C72" s="168" t="s">
        <v>10</v>
      </c>
      <c r="D72">
        <v>53.7</v>
      </c>
      <c r="E72">
        <v>2020</v>
      </c>
      <c r="F72" s="168" t="s">
        <v>590</v>
      </c>
      <c r="G72" s="168" t="s">
        <v>613</v>
      </c>
      <c r="H72" s="168" t="s">
        <v>608</v>
      </c>
      <c r="I72">
        <v>1778.3403240085502</v>
      </c>
    </row>
    <row r="73" spans="1:9" hidden="1" x14ac:dyDescent="0.3">
      <c r="A73">
        <v>14</v>
      </c>
      <c r="B73" s="168" t="s">
        <v>20</v>
      </c>
      <c r="C73" s="168" t="s">
        <v>10</v>
      </c>
      <c r="D73">
        <v>53.7</v>
      </c>
      <c r="E73">
        <v>2020</v>
      </c>
      <c r="F73" s="168" t="s">
        <v>590</v>
      </c>
      <c r="G73" s="168" t="s">
        <v>613</v>
      </c>
      <c r="H73" s="168" t="s">
        <v>609</v>
      </c>
      <c r="I73">
        <v>1140.2125387689516</v>
      </c>
    </row>
    <row r="74" spans="1:9" hidden="1" x14ac:dyDescent="0.3">
      <c r="A74">
        <v>15</v>
      </c>
      <c r="B74" s="168" t="s">
        <v>21</v>
      </c>
      <c r="C74" s="168" t="s">
        <v>12</v>
      </c>
      <c r="D74">
        <v>454.3</v>
      </c>
      <c r="E74">
        <v>2020</v>
      </c>
      <c r="F74" s="168" t="s">
        <v>590</v>
      </c>
      <c r="G74" s="168" t="s">
        <v>612</v>
      </c>
      <c r="H74" s="168" t="s">
        <v>608</v>
      </c>
      <c r="I74">
        <v>0</v>
      </c>
    </row>
    <row r="75" spans="1:9" hidden="1" x14ac:dyDescent="0.3">
      <c r="A75">
        <v>15</v>
      </c>
      <c r="B75" s="168" t="s">
        <v>21</v>
      </c>
      <c r="C75" s="168" t="s">
        <v>12</v>
      </c>
      <c r="D75">
        <v>454.3</v>
      </c>
      <c r="E75">
        <v>2020</v>
      </c>
      <c r="F75" s="168" t="s">
        <v>590</v>
      </c>
      <c r="G75" s="168" t="s">
        <v>612</v>
      </c>
      <c r="H75" s="168" t="s">
        <v>609</v>
      </c>
      <c r="I75">
        <v>870.03929671544631</v>
      </c>
    </row>
    <row r="76" spans="1:9" hidden="1" x14ac:dyDescent="0.3">
      <c r="A76">
        <v>15</v>
      </c>
      <c r="B76" s="168" t="s">
        <v>21</v>
      </c>
      <c r="C76" s="168" t="s">
        <v>12</v>
      </c>
      <c r="D76">
        <v>454.3</v>
      </c>
      <c r="E76">
        <v>2020</v>
      </c>
      <c r="F76" s="168" t="s">
        <v>590</v>
      </c>
      <c r="G76" s="168" t="s">
        <v>611</v>
      </c>
      <c r="H76" s="168" t="s">
        <v>608</v>
      </c>
      <c r="I76">
        <v>0</v>
      </c>
    </row>
    <row r="77" spans="1:9" hidden="1" x14ac:dyDescent="0.3">
      <c r="A77">
        <v>15</v>
      </c>
      <c r="B77" s="168" t="s">
        <v>21</v>
      </c>
      <c r="C77" s="168" t="s">
        <v>12</v>
      </c>
      <c r="D77">
        <v>454.3</v>
      </c>
      <c r="E77">
        <v>2020</v>
      </c>
      <c r="F77" s="168" t="s">
        <v>590</v>
      </c>
      <c r="G77" s="168" t="s">
        <v>611</v>
      </c>
      <c r="H77" s="168" t="s">
        <v>609</v>
      </c>
      <c r="I77">
        <v>190.01451354527848</v>
      </c>
    </row>
    <row r="78" spans="1:9" hidden="1" x14ac:dyDescent="0.3">
      <c r="A78">
        <v>15</v>
      </c>
      <c r="B78" s="168" t="s">
        <v>21</v>
      </c>
      <c r="C78" s="168" t="s">
        <v>12</v>
      </c>
      <c r="D78">
        <v>454.3</v>
      </c>
      <c r="E78">
        <v>2020</v>
      </c>
      <c r="F78" s="168" t="s">
        <v>590</v>
      </c>
      <c r="G78" s="168" t="s">
        <v>613</v>
      </c>
      <c r="H78" s="168" t="s">
        <v>608</v>
      </c>
      <c r="I78">
        <v>15044.692908698033</v>
      </c>
    </row>
    <row r="79" spans="1:9" hidden="1" x14ac:dyDescent="0.3">
      <c r="A79">
        <v>15</v>
      </c>
      <c r="B79" s="168" t="s">
        <v>21</v>
      </c>
      <c r="C79" s="168" t="s">
        <v>12</v>
      </c>
      <c r="D79">
        <v>454.3</v>
      </c>
      <c r="E79">
        <v>2020</v>
      </c>
      <c r="F79" s="168" t="s">
        <v>590</v>
      </c>
      <c r="G79" s="168" t="s">
        <v>613</v>
      </c>
      <c r="H79" s="168" t="s">
        <v>609</v>
      </c>
      <c r="I79">
        <v>9646.1556119689885</v>
      </c>
    </row>
    <row r="80" spans="1:9" hidden="1" x14ac:dyDescent="0.3">
      <c r="A80">
        <v>16</v>
      </c>
      <c r="B80" s="168" t="s">
        <v>22</v>
      </c>
      <c r="C80" s="168" t="s">
        <v>10</v>
      </c>
      <c r="D80">
        <v>91</v>
      </c>
      <c r="E80">
        <v>2020</v>
      </c>
      <c r="F80" s="168" t="s">
        <v>590</v>
      </c>
      <c r="G80" s="168" t="s">
        <v>612</v>
      </c>
      <c r="H80" s="168" t="s">
        <v>608</v>
      </c>
      <c r="I80">
        <v>0</v>
      </c>
    </row>
    <row r="81" spans="1:9" hidden="1" x14ac:dyDescent="0.3">
      <c r="A81">
        <v>16</v>
      </c>
      <c r="B81" s="168" t="s">
        <v>22</v>
      </c>
      <c r="C81" s="168" t="s">
        <v>10</v>
      </c>
      <c r="D81">
        <v>91</v>
      </c>
      <c r="E81">
        <v>2020</v>
      </c>
      <c r="F81" s="168" t="s">
        <v>590</v>
      </c>
      <c r="G81" s="168" t="s">
        <v>612</v>
      </c>
      <c r="H81" s="168" t="s">
        <v>609</v>
      </c>
      <c r="I81">
        <v>174.27597622959632</v>
      </c>
    </row>
    <row r="82" spans="1:9" hidden="1" x14ac:dyDescent="0.3">
      <c r="A82">
        <v>16</v>
      </c>
      <c r="B82" s="168" t="s">
        <v>22</v>
      </c>
      <c r="C82" s="168" t="s">
        <v>10</v>
      </c>
      <c r="D82">
        <v>91</v>
      </c>
      <c r="E82">
        <v>2020</v>
      </c>
      <c r="F82" s="168" t="s">
        <v>590</v>
      </c>
      <c r="G82" s="168" t="s">
        <v>611</v>
      </c>
      <c r="H82" s="168" t="s">
        <v>608</v>
      </c>
      <c r="I82">
        <v>0</v>
      </c>
    </row>
    <row r="83" spans="1:9" hidden="1" x14ac:dyDescent="0.3">
      <c r="A83">
        <v>16</v>
      </c>
      <c r="B83" s="168" t="s">
        <v>22</v>
      </c>
      <c r="C83" s="168" t="s">
        <v>10</v>
      </c>
      <c r="D83">
        <v>91</v>
      </c>
      <c r="E83">
        <v>2020</v>
      </c>
      <c r="F83" s="168" t="s">
        <v>590</v>
      </c>
      <c r="G83" s="168" t="s">
        <v>611</v>
      </c>
      <c r="H83" s="168" t="s">
        <v>609</v>
      </c>
      <c r="I83">
        <v>38.061458799516487</v>
      </c>
    </row>
    <row r="84" spans="1:9" hidden="1" x14ac:dyDescent="0.3">
      <c r="A84">
        <v>16</v>
      </c>
      <c r="B84" s="168" t="s">
        <v>22</v>
      </c>
      <c r="C84" s="168" t="s">
        <v>10</v>
      </c>
      <c r="D84">
        <v>91</v>
      </c>
      <c r="E84">
        <v>2020</v>
      </c>
      <c r="F84" s="168" t="s">
        <v>590</v>
      </c>
      <c r="G84" s="168" t="s">
        <v>613</v>
      </c>
      <c r="H84" s="168" t="s">
        <v>608</v>
      </c>
      <c r="I84">
        <v>3013.5748507407461</v>
      </c>
    </row>
    <row r="85" spans="1:9" hidden="1" x14ac:dyDescent="0.3">
      <c r="A85">
        <v>16</v>
      </c>
      <c r="B85" s="168" t="s">
        <v>22</v>
      </c>
      <c r="C85" s="168" t="s">
        <v>10</v>
      </c>
      <c r="D85">
        <v>91</v>
      </c>
      <c r="E85">
        <v>2020</v>
      </c>
      <c r="F85" s="168" t="s">
        <v>590</v>
      </c>
      <c r="G85" s="168" t="s">
        <v>613</v>
      </c>
      <c r="H85" s="168" t="s">
        <v>609</v>
      </c>
      <c r="I85">
        <v>1932.2037435377019</v>
      </c>
    </row>
    <row r="86" spans="1:9" hidden="1" x14ac:dyDescent="0.3">
      <c r="A86">
        <v>17</v>
      </c>
      <c r="B86" s="168" t="s">
        <v>23</v>
      </c>
      <c r="C86" s="168" t="s">
        <v>12</v>
      </c>
      <c r="D86">
        <v>420.5</v>
      </c>
      <c r="E86">
        <v>2020</v>
      </c>
      <c r="F86" s="168" t="s">
        <v>590</v>
      </c>
      <c r="G86" s="168" t="s">
        <v>612</v>
      </c>
      <c r="H86" s="168" t="s">
        <v>608</v>
      </c>
      <c r="I86">
        <v>0</v>
      </c>
    </row>
    <row r="87" spans="1:9" hidden="1" x14ac:dyDescent="0.3">
      <c r="A87">
        <v>17</v>
      </c>
      <c r="B87" s="168" t="s">
        <v>23</v>
      </c>
      <c r="C87" s="168" t="s">
        <v>12</v>
      </c>
      <c r="D87">
        <v>420.5</v>
      </c>
      <c r="E87">
        <v>2020</v>
      </c>
      <c r="F87" s="168" t="s">
        <v>590</v>
      </c>
      <c r="G87" s="168" t="s">
        <v>612</v>
      </c>
      <c r="H87" s="168" t="s">
        <v>609</v>
      </c>
      <c r="I87">
        <v>805.30821983016756</v>
      </c>
    </row>
    <row r="88" spans="1:9" hidden="1" x14ac:dyDescent="0.3">
      <c r="A88">
        <v>17</v>
      </c>
      <c r="B88" s="168" t="s">
        <v>23</v>
      </c>
      <c r="C88" s="168" t="s">
        <v>12</v>
      </c>
      <c r="D88">
        <v>420.5</v>
      </c>
      <c r="E88">
        <v>2020</v>
      </c>
      <c r="F88" s="168" t="s">
        <v>590</v>
      </c>
      <c r="G88" s="168" t="s">
        <v>614</v>
      </c>
      <c r="H88" s="168" t="s">
        <v>608</v>
      </c>
      <c r="I88">
        <v>0</v>
      </c>
    </row>
    <row r="89" spans="1:9" hidden="1" x14ac:dyDescent="0.3">
      <c r="A89">
        <v>17</v>
      </c>
      <c r="B89" s="168" t="s">
        <v>23</v>
      </c>
      <c r="C89" s="168" t="s">
        <v>12</v>
      </c>
      <c r="D89">
        <v>420.5</v>
      </c>
      <c r="E89">
        <v>2020</v>
      </c>
      <c r="F89" s="168" t="s">
        <v>590</v>
      </c>
      <c r="G89" s="168" t="s">
        <v>614</v>
      </c>
      <c r="H89" s="168" t="s">
        <v>609</v>
      </c>
      <c r="I89">
        <v>30000</v>
      </c>
    </row>
    <row r="90" spans="1:9" hidden="1" x14ac:dyDescent="0.3">
      <c r="A90">
        <v>17</v>
      </c>
      <c r="B90" s="168" t="s">
        <v>23</v>
      </c>
      <c r="C90" s="168" t="s">
        <v>12</v>
      </c>
      <c r="D90">
        <v>420.5</v>
      </c>
      <c r="E90">
        <v>2020</v>
      </c>
      <c r="F90" s="168" t="s">
        <v>590</v>
      </c>
      <c r="G90" s="168" t="s">
        <v>611</v>
      </c>
      <c r="H90" s="168" t="s">
        <v>608</v>
      </c>
      <c r="I90">
        <v>0</v>
      </c>
    </row>
    <row r="91" spans="1:9" hidden="1" x14ac:dyDescent="0.3">
      <c r="A91">
        <v>17</v>
      </c>
      <c r="B91" s="168" t="s">
        <v>23</v>
      </c>
      <c r="C91" s="168" t="s">
        <v>12</v>
      </c>
      <c r="D91">
        <v>420.5</v>
      </c>
      <c r="E91">
        <v>2020</v>
      </c>
      <c r="F91" s="168" t="s">
        <v>590</v>
      </c>
      <c r="G91" s="168" t="s">
        <v>611</v>
      </c>
      <c r="H91" s="168" t="s">
        <v>609</v>
      </c>
      <c r="I91">
        <v>175.87740027688665</v>
      </c>
    </row>
    <row r="92" spans="1:9" hidden="1" x14ac:dyDescent="0.3">
      <c r="A92">
        <v>17</v>
      </c>
      <c r="B92" s="168" t="s">
        <v>23</v>
      </c>
      <c r="C92" s="168" t="s">
        <v>12</v>
      </c>
      <c r="D92">
        <v>420.5</v>
      </c>
      <c r="E92">
        <v>2020</v>
      </c>
      <c r="F92" s="168" t="s">
        <v>590</v>
      </c>
      <c r="G92" s="168" t="s">
        <v>613</v>
      </c>
      <c r="H92" s="168" t="s">
        <v>608</v>
      </c>
      <c r="I92">
        <v>13925.365106994328</v>
      </c>
    </row>
    <row r="93" spans="1:9" hidden="1" x14ac:dyDescent="0.3">
      <c r="A93">
        <v>17</v>
      </c>
      <c r="B93" s="168" t="s">
        <v>23</v>
      </c>
      <c r="C93" s="168" t="s">
        <v>12</v>
      </c>
      <c r="D93">
        <v>420.5</v>
      </c>
      <c r="E93">
        <v>2020</v>
      </c>
      <c r="F93" s="168" t="s">
        <v>590</v>
      </c>
      <c r="G93" s="168" t="s">
        <v>613</v>
      </c>
      <c r="H93" s="168" t="s">
        <v>609</v>
      </c>
      <c r="I93">
        <v>8928.4799357978427</v>
      </c>
    </row>
    <row r="94" spans="1:9" hidden="1" x14ac:dyDescent="0.3">
      <c r="A94">
        <v>18</v>
      </c>
      <c r="B94" s="168" t="s">
        <v>24</v>
      </c>
      <c r="C94" s="168" t="s">
        <v>10</v>
      </c>
      <c r="D94">
        <v>9.8000000000000007</v>
      </c>
      <c r="E94">
        <v>2020</v>
      </c>
      <c r="F94" s="168" t="s">
        <v>590</v>
      </c>
      <c r="G94" s="168" t="s">
        <v>612</v>
      </c>
      <c r="H94" s="168" t="s">
        <v>608</v>
      </c>
      <c r="I94">
        <v>0</v>
      </c>
    </row>
    <row r="95" spans="1:9" hidden="1" x14ac:dyDescent="0.3">
      <c r="A95">
        <v>18</v>
      </c>
      <c r="B95" s="168" t="s">
        <v>24</v>
      </c>
      <c r="C95" s="168" t="s">
        <v>10</v>
      </c>
      <c r="D95">
        <v>9.8000000000000007</v>
      </c>
      <c r="E95">
        <v>2020</v>
      </c>
      <c r="F95" s="168" t="s">
        <v>590</v>
      </c>
      <c r="G95" s="168" t="s">
        <v>612</v>
      </c>
      <c r="H95" s="168" t="s">
        <v>609</v>
      </c>
      <c r="I95">
        <v>18.768182055494989</v>
      </c>
    </row>
    <row r="96" spans="1:9" hidden="1" x14ac:dyDescent="0.3">
      <c r="A96">
        <v>18</v>
      </c>
      <c r="B96" s="168" t="s">
        <v>24</v>
      </c>
      <c r="C96" s="168" t="s">
        <v>10</v>
      </c>
      <c r="D96">
        <v>9.8000000000000007</v>
      </c>
      <c r="E96">
        <v>2020</v>
      </c>
      <c r="F96" s="168" t="s">
        <v>590</v>
      </c>
      <c r="G96" s="168" t="s">
        <v>615</v>
      </c>
      <c r="H96" s="168" t="s">
        <v>608</v>
      </c>
      <c r="I96">
        <v>0</v>
      </c>
    </row>
    <row r="97" spans="1:9" hidden="1" x14ac:dyDescent="0.3">
      <c r="A97">
        <v>18</v>
      </c>
      <c r="B97" s="168" t="s">
        <v>24</v>
      </c>
      <c r="C97" s="168" t="s">
        <v>10</v>
      </c>
      <c r="D97">
        <v>9.8000000000000007</v>
      </c>
      <c r="E97">
        <v>2020</v>
      </c>
      <c r="F97" s="168" t="s">
        <v>590</v>
      </c>
      <c r="G97" s="168" t="s">
        <v>615</v>
      </c>
      <c r="H97" s="168" t="s">
        <v>609</v>
      </c>
      <c r="I97">
        <v>15073.170731707318</v>
      </c>
    </row>
    <row r="98" spans="1:9" hidden="1" x14ac:dyDescent="0.3">
      <c r="A98">
        <v>18</v>
      </c>
      <c r="B98" s="168" t="s">
        <v>24</v>
      </c>
      <c r="C98" s="168" t="s">
        <v>10</v>
      </c>
      <c r="D98">
        <v>9.8000000000000007</v>
      </c>
      <c r="E98">
        <v>2020</v>
      </c>
      <c r="F98" s="168" t="s">
        <v>590</v>
      </c>
      <c r="G98" s="168" t="s">
        <v>611</v>
      </c>
      <c r="H98" s="168" t="s">
        <v>608</v>
      </c>
      <c r="I98">
        <v>0</v>
      </c>
    </row>
    <row r="99" spans="1:9" hidden="1" x14ac:dyDescent="0.3">
      <c r="A99">
        <v>18</v>
      </c>
      <c r="B99" s="168" t="s">
        <v>24</v>
      </c>
      <c r="C99" s="168" t="s">
        <v>10</v>
      </c>
      <c r="D99">
        <v>9.8000000000000007</v>
      </c>
      <c r="E99">
        <v>2020</v>
      </c>
      <c r="F99" s="168" t="s">
        <v>590</v>
      </c>
      <c r="G99" s="168" t="s">
        <v>611</v>
      </c>
      <c r="H99" s="168" t="s">
        <v>609</v>
      </c>
      <c r="I99">
        <v>4.0989263322556226</v>
      </c>
    </row>
    <row r="100" spans="1:9" hidden="1" x14ac:dyDescent="0.3">
      <c r="A100">
        <v>18</v>
      </c>
      <c r="B100" s="168" t="s">
        <v>24</v>
      </c>
      <c r="C100" s="168" t="s">
        <v>10</v>
      </c>
      <c r="D100">
        <v>9.8000000000000007</v>
      </c>
      <c r="E100">
        <v>2020</v>
      </c>
      <c r="F100" s="168" t="s">
        <v>590</v>
      </c>
      <c r="G100" s="168" t="s">
        <v>613</v>
      </c>
      <c r="H100" s="168" t="s">
        <v>608</v>
      </c>
      <c r="I100">
        <v>324.53883007977265</v>
      </c>
    </row>
    <row r="101" spans="1:9" hidden="1" x14ac:dyDescent="0.3">
      <c r="A101">
        <v>18</v>
      </c>
      <c r="B101" s="168" t="s">
        <v>24</v>
      </c>
      <c r="C101" s="168" t="s">
        <v>10</v>
      </c>
      <c r="D101">
        <v>9.8000000000000007</v>
      </c>
      <c r="E101">
        <v>2020</v>
      </c>
      <c r="F101" s="168" t="s">
        <v>590</v>
      </c>
      <c r="G101" s="168" t="s">
        <v>613</v>
      </c>
      <c r="H101" s="168" t="s">
        <v>609</v>
      </c>
      <c r="I101">
        <v>208.08348007329099</v>
      </c>
    </row>
    <row r="102" spans="1:9" hidden="1" x14ac:dyDescent="0.3">
      <c r="A102">
        <v>19</v>
      </c>
      <c r="B102" s="168" t="s">
        <v>25</v>
      </c>
      <c r="C102" s="168" t="s">
        <v>26</v>
      </c>
      <c r="D102">
        <v>441.8</v>
      </c>
      <c r="E102">
        <v>2020</v>
      </c>
      <c r="F102" s="168" t="s">
        <v>590</v>
      </c>
      <c r="G102" s="168" t="s">
        <v>612</v>
      </c>
      <c r="H102" s="168" t="s">
        <v>608</v>
      </c>
      <c r="I102">
        <v>0</v>
      </c>
    </row>
    <row r="103" spans="1:9" hidden="1" x14ac:dyDescent="0.3">
      <c r="A103">
        <v>19</v>
      </c>
      <c r="B103" s="168" t="s">
        <v>25</v>
      </c>
      <c r="C103" s="168" t="s">
        <v>26</v>
      </c>
      <c r="D103">
        <v>441.8</v>
      </c>
      <c r="E103">
        <v>2020</v>
      </c>
      <c r="F103" s="168" t="s">
        <v>590</v>
      </c>
      <c r="G103" s="168" t="s">
        <v>612</v>
      </c>
      <c r="H103" s="168" t="s">
        <v>609</v>
      </c>
      <c r="I103">
        <v>846.10028899160056</v>
      </c>
    </row>
    <row r="104" spans="1:9" hidden="1" x14ac:dyDescent="0.3">
      <c r="A104">
        <v>19</v>
      </c>
      <c r="B104" s="168" t="s">
        <v>25</v>
      </c>
      <c r="C104" s="168" t="s">
        <v>26</v>
      </c>
      <c r="D104">
        <v>441.8</v>
      </c>
      <c r="E104">
        <v>2020</v>
      </c>
      <c r="F104" s="168" t="s">
        <v>590</v>
      </c>
      <c r="G104" s="168" t="s">
        <v>611</v>
      </c>
      <c r="H104" s="168" t="s">
        <v>608</v>
      </c>
      <c r="I104">
        <v>0</v>
      </c>
    </row>
    <row r="105" spans="1:9" hidden="1" x14ac:dyDescent="0.3">
      <c r="A105">
        <v>19</v>
      </c>
      <c r="B105" s="168" t="s">
        <v>25</v>
      </c>
      <c r="C105" s="168" t="s">
        <v>26</v>
      </c>
      <c r="D105">
        <v>441.8</v>
      </c>
      <c r="E105">
        <v>2020</v>
      </c>
      <c r="F105" s="168" t="s">
        <v>590</v>
      </c>
      <c r="G105" s="168" t="s">
        <v>611</v>
      </c>
      <c r="H105" s="168" t="s">
        <v>609</v>
      </c>
      <c r="I105">
        <v>184.78629118270754</v>
      </c>
    </row>
    <row r="106" spans="1:9" hidden="1" x14ac:dyDescent="0.3">
      <c r="A106">
        <v>19</v>
      </c>
      <c r="B106" s="168" t="s">
        <v>25</v>
      </c>
      <c r="C106" s="168" t="s">
        <v>26</v>
      </c>
      <c r="D106">
        <v>441.8</v>
      </c>
      <c r="E106">
        <v>2020</v>
      </c>
      <c r="F106" s="168" t="s">
        <v>590</v>
      </c>
      <c r="G106" s="168" t="s">
        <v>613</v>
      </c>
      <c r="H106" s="168" t="s">
        <v>608</v>
      </c>
      <c r="I106">
        <v>14630.740319310567</v>
      </c>
    </row>
    <row r="107" spans="1:9" hidden="1" x14ac:dyDescent="0.3">
      <c r="A107">
        <v>19</v>
      </c>
      <c r="B107" s="168" t="s">
        <v>25</v>
      </c>
      <c r="C107" s="168" t="s">
        <v>26</v>
      </c>
      <c r="D107">
        <v>441.8</v>
      </c>
      <c r="E107">
        <v>2020</v>
      </c>
      <c r="F107" s="168" t="s">
        <v>590</v>
      </c>
      <c r="G107" s="168" t="s">
        <v>613</v>
      </c>
      <c r="H107" s="168" t="s">
        <v>609</v>
      </c>
      <c r="I107">
        <v>9380.7430098346886</v>
      </c>
    </row>
    <row r="108" spans="1:9" x14ac:dyDescent="0.3">
      <c r="A108">
        <v>20</v>
      </c>
      <c r="B108" s="168" t="s">
        <v>27</v>
      </c>
      <c r="C108" s="168" t="s">
        <v>28</v>
      </c>
      <c r="D108">
        <v>4528.3999999999996</v>
      </c>
      <c r="E108">
        <v>2020</v>
      </c>
      <c r="F108" s="168" t="s">
        <v>592</v>
      </c>
      <c r="G108" s="168" t="s">
        <v>607</v>
      </c>
      <c r="H108" s="168" t="s">
        <v>608</v>
      </c>
      <c r="I108">
        <v>73451.22121333034</v>
      </c>
    </row>
    <row r="109" spans="1:9" x14ac:dyDescent="0.3">
      <c r="A109">
        <v>20</v>
      </c>
      <c r="B109" s="168" t="s">
        <v>27</v>
      </c>
      <c r="C109" s="168" t="s">
        <v>28</v>
      </c>
      <c r="D109">
        <v>4528.3999999999996</v>
      </c>
      <c r="E109">
        <v>2020</v>
      </c>
      <c r="F109" s="168" t="s">
        <v>592</v>
      </c>
      <c r="G109" s="168" t="s">
        <v>607</v>
      </c>
      <c r="H109" s="168" t="s">
        <v>609</v>
      </c>
      <c r="I109">
        <v>543724.50077737519</v>
      </c>
    </row>
    <row r="110" spans="1:9" x14ac:dyDescent="0.3">
      <c r="A110">
        <v>20</v>
      </c>
      <c r="B110" s="168" t="s">
        <v>27</v>
      </c>
      <c r="C110" s="168" t="s">
        <v>28</v>
      </c>
      <c r="D110">
        <v>4528.3999999999996</v>
      </c>
      <c r="E110">
        <v>2020</v>
      </c>
      <c r="F110" s="168" t="s">
        <v>592</v>
      </c>
      <c r="G110" s="168" t="s">
        <v>612</v>
      </c>
      <c r="H110" s="168" t="s">
        <v>608</v>
      </c>
      <c r="I110">
        <v>25207.001450053856</v>
      </c>
    </row>
    <row r="111" spans="1:9" x14ac:dyDescent="0.3">
      <c r="A111">
        <v>20</v>
      </c>
      <c r="B111" s="168" t="s">
        <v>27</v>
      </c>
      <c r="C111" s="168" t="s">
        <v>28</v>
      </c>
      <c r="D111">
        <v>4528.3999999999996</v>
      </c>
      <c r="E111">
        <v>2020</v>
      </c>
      <c r="F111" s="168" t="s">
        <v>592</v>
      </c>
      <c r="G111" s="168" t="s">
        <v>612</v>
      </c>
      <c r="H111" s="168" t="s">
        <v>609</v>
      </c>
      <c r="I111">
        <v>27072.319557357841</v>
      </c>
    </row>
    <row r="112" spans="1:9" x14ac:dyDescent="0.3">
      <c r="A112">
        <v>20</v>
      </c>
      <c r="B112" s="168" t="s">
        <v>27</v>
      </c>
      <c r="C112" s="168" t="s">
        <v>28</v>
      </c>
      <c r="D112">
        <v>4528.3999999999996</v>
      </c>
      <c r="E112">
        <v>2020</v>
      </c>
      <c r="F112" s="168" t="s">
        <v>592</v>
      </c>
      <c r="G112" s="168" t="s">
        <v>616</v>
      </c>
      <c r="H112" s="168" t="s">
        <v>608</v>
      </c>
      <c r="I112">
        <v>0</v>
      </c>
    </row>
    <row r="113" spans="1:9" x14ac:dyDescent="0.3">
      <c r="A113">
        <v>20</v>
      </c>
      <c r="B113" s="168" t="s">
        <v>27</v>
      </c>
      <c r="C113" s="168" t="s">
        <v>28</v>
      </c>
      <c r="D113">
        <v>4528.3999999999996</v>
      </c>
      <c r="E113">
        <v>2020</v>
      </c>
      <c r="F113" s="168" t="s">
        <v>592</v>
      </c>
      <c r="G113" s="168" t="s">
        <v>616</v>
      </c>
      <c r="H113" s="168" t="s">
        <v>609</v>
      </c>
      <c r="I113">
        <v>2980.1011310491226</v>
      </c>
    </row>
    <row r="114" spans="1:9" x14ac:dyDescent="0.3">
      <c r="A114">
        <v>20</v>
      </c>
      <c r="B114" s="168" t="s">
        <v>27</v>
      </c>
      <c r="C114" s="168" t="s">
        <v>28</v>
      </c>
      <c r="D114">
        <v>4528.3999999999996</v>
      </c>
      <c r="E114">
        <v>2020</v>
      </c>
      <c r="F114" s="168" t="s">
        <v>592</v>
      </c>
      <c r="G114" s="168" t="s">
        <v>617</v>
      </c>
      <c r="H114" s="168" t="s">
        <v>608</v>
      </c>
      <c r="I114">
        <v>0</v>
      </c>
    </row>
    <row r="115" spans="1:9" x14ac:dyDescent="0.3">
      <c r="A115">
        <v>20</v>
      </c>
      <c r="B115" s="168" t="s">
        <v>27</v>
      </c>
      <c r="C115" s="168" t="s">
        <v>28</v>
      </c>
      <c r="D115">
        <v>4528.3999999999996</v>
      </c>
      <c r="E115">
        <v>2020</v>
      </c>
      <c r="F115" s="168" t="s">
        <v>592</v>
      </c>
      <c r="G115" s="168" t="s">
        <v>617</v>
      </c>
      <c r="H115" s="168" t="s">
        <v>609</v>
      </c>
      <c r="I115">
        <v>11426.144365413569</v>
      </c>
    </row>
    <row r="116" spans="1:9" x14ac:dyDescent="0.3">
      <c r="A116">
        <v>20</v>
      </c>
      <c r="B116" s="168" t="s">
        <v>27</v>
      </c>
      <c r="C116" s="168" t="s">
        <v>28</v>
      </c>
      <c r="D116">
        <v>4528.3999999999996</v>
      </c>
      <c r="E116">
        <v>2020</v>
      </c>
      <c r="F116" s="168" t="s">
        <v>592</v>
      </c>
      <c r="G116" s="168" t="s">
        <v>618</v>
      </c>
      <c r="H116" s="168" t="s">
        <v>608</v>
      </c>
      <c r="I116">
        <v>0</v>
      </c>
    </row>
    <row r="117" spans="1:9" x14ac:dyDescent="0.3">
      <c r="A117">
        <v>20</v>
      </c>
      <c r="B117" s="168" t="s">
        <v>27</v>
      </c>
      <c r="C117" s="168" t="s">
        <v>28</v>
      </c>
      <c r="D117">
        <v>4528.3999999999996</v>
      </c>
      <c r="E117">
        <v>2020</v>
      </c>
      <c r="F117" s="168" t="s">
        <v>592</v>
      </c>
      <c r="G117" s="168" t="s">
        <v>618</v>
      </c>
      <c r="H117" s="168" t="s">
        <v>609</v>
      </c>
      <c r="I117">
        <v>41000</v>
      </c>
    </row>
    <row r="118" spans="1:9" x14ac:dyDescent="0.3">
      <c r="A118">
        <v>20</v>
      </c>
      <c r="B118" s="168" t="s">
        <v>27</v>
      </c>
      <c r="C118" s="168" t="s">
        <v>28</v>
      </c>
      <c r="D118">
        <v>4528.3999999999996</v>
      </c>
      <c r="E118">
        <v>2020</v>
      </c>
      <c r="F118" s="168" t="s">
        <v>592</v>
      </c>
      <c r="G118" s="168" t="s">
        <v>619</v>
      </c>
      <c r="H118" s="168" t="s">
        <v>608</v>
      </c>
      <c r="I118">
        <v>0</v>
      </c>
    </row>
    <row r="119" spans="1:9" x14ac:dyDescent="0.3">
      <c r="A119">
        <v>20</v>
      </c>
      <c r="B119" s="168" t="s">
        <v>27</v>
      </c>
      <c r="C119" s="168" t="s">
        <v>28</v>
      </c>
      <c r="D119">
        <v>4528.3999999999996</v>
      </c>
      <c r="E119">
        <v>2020</v>
      </c>
      <c r="F119" s="168" t="s">
        <v>592</v>
      </c>
      <c r="G119" s="168" t="s">
        <v>619</v>
      </c>
      <c r="H119" s="168" t="s">
        <v>609</v>
      </c>
      <c r="I119">
        <v>16000</v>
      </c>
    </row>
    <row r="120" spans="1:9" x14ac:dyDescent="0.3">
      <c r="A120">
        <v>20</v>
      </c>
      <c r="B120" s="168" t="s">
        <v>27</v>
      </c>
      <c r="C120" s="168" t="s">
        <v>28</v>
      </c>
      <c r="D120">
        <v>4528.3999999999996</v>
      </c>
      <c r="E120">
        <v>2020</v>
      </c>
      <c r="F120" s="168" t="s">
        <v>592</v>
      </c>
      <c r="G120" s="168" t="s">
        <v>610</v>
      </c>
      <c r="H120" s="168" t="s">
        <v>608</v>
      </c>
      <c r="I120">
        <v>0</v>
      </c>
    </row>
    <row r="121" spans="1:9" x14ac:dyDescent="0.3">
      <c r="A121">
        <v>20</v>
      </c>
      <c r="B121" s="168" t="s">
        <v>27</v>
      </c>
      <c r="C121" s="168" t="s">
        <v>28</v>
      </c>
      <c r="D121">
        <v>4528.3999999999996</v>
      </c>
      <c r="E121">
        <v>2020</v>
      </c>
      <c r="F121" s="168" t="s">
        <v>592</v>
      </c>
      <c r="G121" s="168" t="s">
        <v>610</v>
      </c>
      <c r="H121" s="168" t="s">
        <v>609</v>
      </c>
      <c r="I121">
        <v>6545.454545454545</v>
      </c>
    </row>
    <row r="122" spans="1:9" x14ac:dyDescent="0.3">
      <c r="A122">
        <v>20</v>
      </c>
      <c r="B122" s="168" t="s">
        <v>27</v>
      </c>
      <c r="C122" s="168" t="s">
        <v>28</v>
      </c>
      <c r="D122">
        <v>4528.3999999999996</v>
      </c>
      <c r="E122">
        <v>2020</v>
      </c>
      <c r="F122" s="168" t="s">
        <v>592</v>
      </c>
      <c r="G122" s="168" t="s">
        <v>620</v>
      </c>
      <c r="H122" s="168" t="s">
        <v>608</v>
      </c>
      <c r="I122">
        <v>20379.761552049386</v>
      </c>
    </row>
    <row r="123" spans="1:9" x14ac:dyDescent="0.3">
      <c r="A123">
        <v>20</v>
      </c>
      <c r="B123" s="168" t="s">
        <v>27</v>
      </c>
      <c r="C123" s="168" t="s">
        <v>28</v>
      </c>
      <c r="D123">
        <v>4528.3999999999996</v>
      </c>
      <c r="E123">
        <v>2020</v>
      </c>
      <c r="F123" s="168" t="s">
        <v>592</v>
      </c>
      <c r="G123" s="168" t="s">
        <v>620</v>
      </c>
      <c r="H123" s="168" t="s">
        <v>609</v>
      </c>
      <c r="I123">
        <v>2207.8075014720166</v>
      </c>
    </row>
    <row r="124" spans="1:9" x14ac:dyDescent="0.3">
      <c r="A124">
        <v>20</v>
      </c>
      <c r="B124" s="168" t="s">
        <v>27</v>
      </c>
      <c r="C124" s="168" t="s">
        <v>28</v>
      </c>
      <c r="D124">
        <v>4528.3999999999996</v>
      </c>
      <c r="E124">
        <v>2020</v>
      </c>
      <c r="F124" s="168" t="s">
        <v>592</v>
      </c>
      <c r="G124" s="168" t="s">
        <v>633</v>
      </c>
      <c r="H124" s="168" t="s">
        <v>608</v>
      </c>
      <c r="I124">
        <v>24515.383921320943</v>
      </c>
    </row>
    <row r="125" spans="1:9" x14ac:dyDescent="0.3">
      <c r="A125">
        <v>20</v>
      </c>
      <c r="B125" s="168" t="s">
        <v>27</v>
      </c>
      <c r="C125" s="168" t="s">
        <v>28</v>
      </c>
      <c r="D125">
        <v>4528.3999999999996</v>
      </c>
      <c r="E125">
        <v>2020</v>
      </c>
      <c r="F125" s="168" t="s">
        <v>592</v>
      </c>
      <c r="G125" s="168" t="s">
        <v>633</v>
      </c>
      <c r="H125" s="168" t="s">
        <v>609</v>
      </c>
      <c r="I125">
        <v>11810.956371103519</v>
      </c>
    </row>
    <row r="126" spans="1:9" x14ac:dyDescent="0.3">
      <c r="A126">
        <v>20</v>
      </c>
      <c r="B126" s="168" t="s">
        <v>27</v>
      </c>
      <c r="C126" s="168" t="s">
        <v>28</v>
      </c>
      <c r="D126">
        <v>4528.3999999999996</v>
      </c>
      <c r="E126">
        <v>2020</v>
      </c>
      <c r="F126" s="168" t="s">
        <v>592</v>
      </c>
      <c r="G126" s="168" t="s">
        <v>611</v>
      </c>
      <c r="H126" s="168" t="s">
        <v>608</v>
      </c>
      <c r="I126">
        <v>0</v>
      </c>
    </row>
    <row r="127" spans="1:9" x14ac:dyDescent="0.3">
      <c r="A127">
        <v>20</v>
      </c>
      <c r="B127" s="168" t="s">
        <v>27</v>
      </c>
      <c r="C127" s="168" t="s">
        <v>28</v>
      </c>
      <c r="D127">
        <v>4528.3999999999996</v>
      </c>
      <c r="E127">
        <v>2020</v>
      </c>
      <c r="F127" s="168" t="s">
        <v>592</v>
      </c>
      <c r="G127" s="168" t="s">
        <v>611</v>
      </c>
      <c r="H127" s="168" t="s">
        <v>609</v>
      </c>
      <c r="I127">
        <v>7010</v>
      </c>
    </row>
    <row r="128" spans="1:9" x14ac:dyDescent="0.3">
      <c r="A128">
        <v>20</v>
      </c>
      <c r="B128" s="168" t="s">
        <v>27</v>
      </c>
      <c r="C128" s="168" t="s">
        <v>28</v>
      </c>
      <c r="D128">
        <v>4528.3999999999996</v>
      </c>
      <c r="E128">
        <v>2020</v>
      </c>
      <c r="F128" s="168" t="s">
        <v>592</v>
      </c>
      <c r="G128" s="168" t="s">
        <v>621</v>
      </c>
      <c r="H128" s="168" t="s">
        <v>608</v>
      </c>
      <c r="I128">
        <v>0</v>
      </c>
    </row>
    <row r="129" spans="1:9" x14ac:dyDescent="0.3">
      <c r="A129">
        <v>20</v>
      </c>
      <c r="B129" s="168" t="s">
        <v>27</v>
      </c>
      <c r="C129" s="168" t="s">
        <v>28</v>
      </c>
      <c r="D129">
        <v>4528.3999999999996</v>
      </c>
      <c r="E129">
        <v>2020</v>
      </c>
      <c r="F129" s="168" t="s">
        <v>592</v>
      </c>
      <c r="G129" s="168" t="s">
        <v>621</v>
      </c>
      <c r="H129" s="168" t="s">
        <v>609</v>
      </c>
      <c r="I129">
        <v>460983.03281321691</v>
      </c>
    </row>
    <row r="130" spans="1:9" x14ac:dyDescent="0.3">
      <c r="A130">
        <v>20</v>
      </c>
      <c r="B130" s="168" t="s">
        <v>27</v>
      </c>
      <c r="C130" s="168" t="s">
        <v>28</v>
      </c>
      <c r="D130">
        <v>4528.3999999999996</v>
      </c>
      <c r="E130">
        <v>2020</v>
      </c>
      <c r="F130" s="168" t="s">
        <v>592</v>
      </c>
      <c r="G130" s="168" t="s">
        <v>613</v>
      </c>
      <c r="H130" s="168" t="s">
        <v>608</v>
      </c>
      <c r="I130">
        <v>12823.061348737769</v>
      </c>
    </row>
    <row r="131" spans="1:9" x14ac:dyDescent="0.3">
      <c r="A131">
        <v>20</v>
      </c>
      <c r="B131" s="168" t="s">
        <v>27</v>
      </c>
      <c r="C131" s="168" t="s">
        <v>28</v>
      </c>
      <c r="D131">
        <v>4528.3999999999996</v>
      </c>
      <c r="E131">
        <v>2020</v>
      </c>
      <c r="F131" s="168" t="s">
        <v>592</v>
      </c>
      <c r="G131" s="168" t="s">
        <v>613</v>
      </c>
      <c r="H131" s="168" t="s">
        <v>609</v>
      </c>
      <c r="I131">
        <v>281466.19660479401</v>
      </c>
    </row>
    <row r="132" spans="1:9" x14ac:dyDescent="0.3">
      <c r="A132">
        <v>20</v>
      </c>
      <c r="B132" s="168" t="s">
        <v>27</v>
      </c>
      <c r="C132" s="168" t="s">
        <v>28</v>
      </c>
      <c r="D132">
        <v>4528.3999999999996</v>
      </c>
      <c r="E132">
        <v>2020</v>
      </c>
      <c r="F132" s="168" t="s">
        <v>592</v>
      </c>
      <c r="G132" s="168" t="s">
        <v>622</v>
      </c>
      <c r="H132" s="168" t="s">
        <v>608</v>
      </c>
      <c r="I132">
        <v>50483.343475403446</v>
      </c>
    </row>
    <row r="133" spans="1:9" x14ac:dyDescent="0.3">
      <c r="A133">
        <v>20</v>
      </c>
      <c r="B133" s="168" t="s">
        <v>27</v>
      </c>
      <c r="C133" s="168" t="s">
        <v>28</v>
      </c>
      <c r="D133">
        <v>4528.3999999999996</v>
      </c>
      <c r="E133">
        <v>2020</v>
      </c>
      <c r="F133" s="168" t="s">
        <v>592</v>
      </c>
      <c r="G133" s="168" t="s">
        <v>622</v>
      </c>
      <c r="H133" s="168" t="s">
        <v>609</v>
      </c>
      <c r="I133">
        <v>0</v>
      </c>
    </row>
    <row r="134" spans="1:9" x14ac:dyDescent="0.3">
      <c r="A134">
        <v>21</v>
      </c>
      <c r="B134" s="168" t="s">
        <v>27</v>
      </c>
      <c r="C134" s="168" t="s">
        <v>29</v>
      </c>
      <c r="D134">
        <v>4779.7</v>
      </c>
      <c r="E134">
        <v>2020</v>
      </c>
      <c r="F134" s="168" t="s">
        <v>592</v>
      </c>
      <c r="G134" s="168" t="s">
        <v>607</v>
      </c>
      <c r="H134" s="168" t="s">
        <v>608</v>
      </c>
      <c r="I134">
        <v>77527.339023353736</v>
      </c>
    </row>
    <row r="135" spans="1:9" x14ac:dyDescent="0.3">
      <c r="A135">
        <v>21</v>
      </c>
      <c r="B135" s="168" t="s">
        <v>27</v>
      </c>
      <c r="C135" s="168" t="s">
        <v>29</v>
      </c>
      <c r="D135">
        <v>4779.7</v>
      </c>
      <c r="E135">
        <v>2020</v>
      </c>
      <c r="F135" s="168" t="s">
        <v>592</v>
      </c>
      <c r="G135" s="168" t="s">
        <v>607</v>
      </c>
      <c r="H135" s="168" t="s">
        <v>609</v>
      </c>
      <c r="I135">
        <v>573898.06473933824</v>
      </c>
    </row>
    <row r="136" spans="1:9" x14ac:dyDescent="0.3">
      <c r="A136">
        <v>21</v>
      </c>
      <c r="B136" s="168" t="s">
        <v>27</v>
      </c>
      <c r="C136" s="168" t="s">
        <v>29</v>
      </c>
      <c r="D136">
        <v>4779.7</v>
      </c>
      <c r="E136">
        <v>2020</v>
      </c>
      <c r="F136" s="168" t="s">
        <v>592</v>
      </c>
      <c r="G136" s="168" t="s">
        <v>612</v>
      </c>
      <c r="H136" s="168" t="s">
        <v>608</v>
      </c>
      <c r="I136">
        <v>26605.844190182495</v>
      </c>
    </row>
    <row r="137" spans="1:9" x14ac:dyDescent="0.3">
      <c r="A137">
        <v>21</v>
      </c>
      <c r="B137" s="168" t="s">
        <v>27</v>
      </c>
      <c r="C137" s="168" t="s">
        <v>29</v>
      </c>
      <c r="D137">
        <v>4779.7</v>
      </c>
      <c r="E137">
        <v>2020</v>
      </c>
      <c r="F137" s="168" t="s">
        <v>592</v>
      </c>
      <c r="G137" s="168" t="s">
        <v>612</v>
      </c>
      <c r="H137" s="168" t="s">
        <v>609</v>
      </c>
      <c r="I137">
        <v>28574.676660256002</v>
      </c>
    </row>
    <row r="138" spans="1:9" x14ac:dyDescent="0.3">
      <c r="A138">
        <v>21</v>
      </c>
      <c r="B138" s="168" t="s">
        <v>27</v>
      </c>
      <c r="C138" s="168" t="s">
        <v>29</v>
      </c>
      <c r="D138">
        <v>4779.7</v>
      </c>
      <c r="E138">
        <v>2020</v>
      </c>
      <c r="F138" s="168" t="s">
        <v>592</v>
      </c>
      <c r="G138" s="168" t="s">
        <v>617</v>
      </c>
      <c r="H138" s="168" t="s">
        <v>608</v>
      </c>
      <c r="I138">
        <v>0</v>
      </c>
    </row>
    <row r="139" spans="1:9" x14ac:dyDescent="0.3">
      <c r="A139">
        <v>21</v>
      </c>
      <c r="B139" s="168" t="s">
        <v>27</v>
      </c>
      <c r="C139" s="168" t="s">
        <v>29</v>
      </c>
      <c r="D139">
        <v>4779.7</v>
      </c>
      <c r="E139">
        <v>2020</v>
      </c>
      <c r="F139" s="168" t="s">
        <v>592</v>
      </c>
      <c r="G139" s="168" t="s">
        <v>617</v>
      </c>
      <c r="H139" s="168" t="s">
        <v>609</v>
      </c>
      <c r="I139">
        <v>6704.6727359259885</v>
      </c>
    </row>
    <row r="140" spans="1:9" x14ac:dyDescent="0.3">
      <c r="A140">
        <v>21</v>
      </c>
      <c r="B140" s="168" t="s">
        <v>27</v>
      </c>
      <c r="C140" s="168" t="s">
        <v>29</v>
      </c>
      <c r="D140">
        <v>4779.7</v>
      </c>
      <c r="E140">
        <v>2020</v>
      </c>
      <c r="F140" s="168" t="s">
        <v>592</v>
      </c>
      <c r="G140" s="168" t="s">
        <v>610</v>
      </c>
      <c r="H140" s="168" t="s">
        <v>608</v>
      </c>
      <c r="I140">
        <v>0</v>
      </c>
    </row>
    <row r="141" spans="1:9" x14ac:dyDescent="0.3">
      <c r="A141">
        <v>21</v>
      </c>
      <c r="B141" s="168" t="s">
        <v>27</v>
      </c>
      <c r="C141" s="168" t="s">
        <v>29</v>
      </c>
      <c r="D141">
        <v>4779.7</v>
      </c>
      <c r="E141">
        <v>2020</v>
      </c>
      <c r="F141" s="168" t="s">
        <v>592</v>
      </c>
      <c r="G141" s="168" t="s">
        <v>610</v>
      </c>
      <c r="H141" s="168" t="s">
        <v>609</v>
      </c>
      <c r="I141">
        <v>3272.7272727272725</v>
      </c>
    </row>
    <row r="142" spans="1:9" x14ac:dyDescent="0.3">
      <c r="A142">
        <v>21</v>
      </c>
      <c r="B142" s="168" t="s">
        <v>27</v>
      </c>
      <c r="C142" s="168" t="s">
        <v>29</v>
      </c>
      <c r="D142">
        <v>4779.7</v>
      </c>
      <c r="E142">
        <v>2020</v>
      </c>
      <c r="F142" s="168" t="s">
        <v>592</v>
      </c>
      <c r="G142" s="168" t="s">
        <v>620</v>
      </c>
      <c r="H142" s="168" t="s">
        <v>608</v>
      </c>
      <c r="I142">
        <v>21510.720406839158</v>
      </c>
    </row>
    <row r="143" spans="1:9" x14ac:dyDescent="0.3">
      <c r="A143">
        <v>21</v>
      </c>
      <c r="B143" s="168" t="s">
        <v>27</v>
      </c>
      <c r="C143" s="168" t="s">
        <v>29</v>
      </c>
      <c r="D143">
        <v>4779.7</v>
      </c>
      <c r="E143">
        <v>2020</v>
      </c>
      <c r="F143" s="168" t="s">
        <v>592</v>
      </c>
      <c r="G143" s="168" t="s">
        <v>620</v>
      </c>
      <c r="H143" s="168" t="s">
        <v>609</v>
      </c>
      <c r="I143">
        <v>2330.3280440742424</v>
      </c>
    </row>
    <row r="144" spans="1:9" x14ac:dyDescent="0.3">
      <c r="A144">
        <v>21</v>
      </c>
      <c r="B144" s="168" t="s">
        <v>27</v>
      </c>
      <c r="C144" s="168" t="s">
        <v>29</v>
      </c>
      <c r="D144">
        <v>4779.7</v>
      </c>
      <c r="E144">
        <v>2020</v>
      </c>
      <c r="F144" s="168" t="s">
        <v>592</v>
      </c>
      <c r="G144" s="168" t="s">
        <v>633</v>
      </c>
      <c r="H144" s="168" t="s">
        <v>608</v>
      </c>
      <c r="I144">
        <v>0</v>
      </c>
    </row>
    <row r="145" spans="1:9" x14ac:dyDescent="0.3">
      <c r="A145">
        <v>21</v>
      </c>
      <c r="B145" s="168" t="s">
        <v>27</v>
      </c>
      <c r="C145" s="168" t="s">
        <v>29</v>
      </c>
      <c r="D145">
        <v>4779.7</v>
      </c>
      <c r="E145">
        <v>2020</v>
      </c>
      <c r="F145" s="168" t="s">
        <v>592</v>
      </c>
      <c r="G145" s="168" t="s">
        <v>633</v>
      </c>
      <c r="H145" s="168" t="s">
        <v>609</v>
      </c>
      <c r="I145">
        <v>12466.396114955282</v>
      </c>
    </row>
    <row r="146" spans="1:9" x14ac:dyDescent="0.3">
      <c r="A146">
        <v>21</v>
      </c>
      <c r="B146" s="168" t="s">
        <v>27</v>
      </c>
      <c r="C146" s="168" t="s">
        <v>29</v>
      </c>
      <c r="D146">
        <v>4779.7</v>
      </c>
      <c r="E146">
        <v>2020</v>
      </c>
      <c r="F146" s="168" t="s">
        <v>592</v>
      </c>
      <c r="G146" s="168" t="s">
        <v>611</v>
      </c>
      <c r="H146" s="168" t="s">
        <v>608</v>
      </c>
      <c r="I146">
        <v>0</v>
      </c>
    </row>
    <row r="147" spans="1:9" x14ac:dyDescent="0.3">
      <c r="A147">
        <v>21</v>
      </c>
      <c r="B147" s="168" t="s">
        <v>27</v>
      </c>
      <c r="C147" s="168" t="s">
        <v>29</v>
      </c>
      <c r="D147">
        <v>4779.7</v>
      </c>
      <c r="E147">
        <v>2020</v>
      </c>
      <c r="F147" s="168" t="s">
        <v>592</v>
      </c>
      <c r="G147" s="168" t="s">
        <v>611</v>
      </c>
      <c r="H147" s="168" t="s">
        <v>609</v>
      </c>
      <c r="I147">
        <v>7010</v>
      </c>
    </row>
    <row r="148" spans="1:9" x14ac:dyDescent="0.3">
      <c r="A148">
        <v>21</v>
      </c>
      <c r="B148" s="168" t="s">
        <v>27</v>
      </c>
      <c r="C148" s="168" t="s">
        <v>29</v>
      </c>
      <c r="D148">
        <v>4779.7</v>
      </c>
      <c r="E148">
        <v>2020</v>
      </c>
      <c r="F148" s="168" t="s">
        <v>592</v>
      </c>
      <c r="G148" s="168" t="s">
        <v>613</v>
      </c>
      <c r="H148" s="168" t="s">
        <v>608</v>
      </c>
      <c r="I148">
        <v>13534.667063104391</v>
      </c>
    </row>
    <row r="149" spans="1:9" x14ac:dyDescent="0.3">
      <c r="A149">
        <v>21</v>
      </c>
      <c r="B149" s="168" t="s">
        <v>27</v>
      </c>
      <c r="C149" s="168" t="s">
        <v>29</v>
      </c>
      <c r="D149">
        <v>4779.7</v>
      </c>
      <c r="E149">
        <v>2020</v>
      </c>
      <c r="F149" s="168" t="s">
        <v>592</v>
      </c>
      <c r="G149" s="168" t="s">
        <v>613</v>
      </c>
      <c r="H149" s="168" t="s">
        <v>609</v>
      </c>
      <c r="I149">
        <v>297085.9420351414</v>
      </c>
    </row>
    <row r="150" spans="1:9" x14ac:dyDescent="0.3">
      <c r="A150">
        <v>21</v>
      </c>
      <c r="B150" s="168" t="s">
        <v>27</v>
      </c>
      <c r="C150" s="168" t="s">
        <v>29</v>
      </c>
      <c r="D150">
        <v>4779.7</v>
      </c>
      <c r="E150">
        <v>2020</v>
      </c>
      <c r="F150" s="168" t="s">
        <v>592</v>
      </c>
      <c r="G150" s="168" t="s">
        <v>622</v>
      </c>
      <c r="H150" s="168" t="s">
        <v>608</v>
      </c>
      <c r="I150">
        <v>53284.876956405322</v>
      </c>
    </row>
    <row r="151" spans="1:9" x14ac:dyDescent="0.3">
      <c r="A151">
        <v>21</v>
      </c>
      <c r="B151" s="168" t="s">
        <v>27</v>
      </c>
      <c r="C151" s="168" t="s">
        <v>29</v>
      </c>
      <c r="D151">
        <v>4779.7</v>
      </c>
      <c r="E151">
        <v>2020</v>
      </c>
      <c r="F151" s="168" t="s">
        <v>592</v>
      </c>
      <c r="G151" s="168" t="s">
        <v>622</v>
      </c>
      <c r="H151" s="168" t="s">
        <v>609</v>
      </c>
      <c r="I151">
        <v>0</v>
      </c>
    </row>
    <row r="152" spans="1:9" hidden="1" x14ac:dyDescent="0.3">
      <c r="A152">
        <v>22</v>
      </c>
      <c r="B152" s="168" t="s">
        <v>30</v>
      </c>
      <c r="C152" s="168" t="s">
        <v>31</v>
      </c>
      <c r="D152">
        <v>3918.8</v>
      </c>
      <c r="E152">
        <v>2020</v>
      </c>
      <c r="F152" s="168" t="s">
        <v>591</v>
      </c>
      <c r="G152" s="168" t="s">
        <v>607</v>
      </c>
      <c r="H152" s="168" t="s">
        <v>608</v>
      </c>
      <c r="I152">
        <v>63563.432049023708</v>
      </c>
    </row>
    <row r="153" spans="1:9" hidden="1" x14ac:dyDescent="0.3">
      <c r="A153">
        <v>22</v>
      </c>
      <c r="B153" s="168" t="s">
        <v>30</v>
      </c>
      <c r="C153" s="168" t="s">
        <v>31</v>
      </c>
      <c r="D153">
        <v>3918.8</v>
      </c>
      <c r="E153">
        <v>2020</v>
      </c>
      <c r="F153" s="168" t="s">
        <v>591</v>
      </c>
      <c r="G153" s="168" t="s">
        <v>607</v>
      </c>
      <c r="H153" s="168" t="s">
        <v>609</v>
      </c>
      <c r="I153">
        <v>470529.89436586323</v>
      </c>
    </row>
    <row r="154" spans="1:9" hidden="1" x14ac:dyDescent="0.3">
      <c r="A154">
        <v>22</v>
      </c>
      <c r="B154" s="168" t="s">
        <v>30</v>
      </c>
      <c r="C154" s="168" t="s">
        <v>31</v>
      </c>
      <c r="D154">
        <v>3918.8</v>
      </c>
      <c r="E154">
        <v>2020</v>
      </c>
      <c r="F154" s="168" t="s">
        <v>591</v>
      </c>
      <c r="G154" s="168" t="s">
        <v>612</v>
      </c>
      <c r="H154" s="168" t="s">
        <v>608</v>
      </c>
      <c r="I154">
        <v>21813.708436196241</v>
      </c>
    </row>
    <row r="155" spans="1:9" hidden="1" x14ac:dyDescent="0.3">
      <c r="A155">
        <v>22</v>
      </c>
      <c r="B155" s="168" t="s">
        <v>30</v>
      </c>
      <c r="C155" s="168" t="s">
        <v>31</v>
      </c>
      <c r="D155">
        <v>3918.8</v>
      </c>
      <c r="E155">
        <v>2020</v>
      </c>
      <c r="F155" s="168" t="s">
        <v>591</v>
      </c>
      <c r="G155" s="168" t="s">
        <v>612</v>
      </c>
      <c r="H155" s="168" t="s">
        <v>609</v>
      </c>
      <c r="I155">
        <v>23427.922860474762</v>
      </c>
    </row>
    <row r="156" spans="1:9" hidden="1" x14ac:dyDescent="0.3">
      <c r="A156">
        <v>22</v>
      </c>
      <c r="B156" s="168" t="s">
        <v>30</v>
      </c>
      <c r="C156" s="168" t="s">
        <v>31</v>
      </c>
      <c r="D156">
        <v>3918.8</v>
      </c>
      <c r="E156">
        <v>2020</v>
      </c>
      <c r="F156" s="168" t="s">
        <v>591</v>
      </c>
      <c r="G156" s="168" t="s">
        <v>616</v>
      </c>
      <c r="H156" s="168" t="s">
        <v>608</v>
      </c>
      <c r="I156">
        <v>0</v>
      </c>
    </row>
    <row r="157" spans="1:9" hidden="1" x14ac:dyDescent="0.3">
      <c r="A157">
        <v>22</v>
      </c>
      <c r="B157" s="168" t="s">
        <v>30</v>
      </c>
      <c r="C157" s="168" t="s">
        <v>31</v>
      </c>
      <c r="D157">
        <v>3918.8</v>
      </c>
      <c r="E157">
        <v>2020</v>
      </c>
      <c r="F157" s="168" t="s">
        <v>591</v>
      </c>
      <c r="G157" s="168" t="s">
        <v>616</v>
      </c>
      <c r="H157" s="168" t="s">
        <v>609</v>
      </c>
      <c r="I157">
        <v>29031.243490663041</v>
      </c>
    </row>
    <row r="158" spans="1:9" hidden="1" x14ac:dyDescent="0.3">
      <c r="A158">
        <v>22</v>
      </c>
      <c r="B158" s="168" t="s">
        <v>30</v>
      </c>
      <c r="C158" s="168" t="s">
        <v>31</v>
      </c>
      <c r="D158">
        <v>3918.8</v>
      </c>
      <c r="E158">
        <v>2020</v>
      </c>
      <c r="F158" s="168" t="s">
        <v>591</v>
      </c>
      <c r="G158" s="168" t="s">
        <v>617</v>
      </c>
      <c r="H158" s="168" t="s">
        <v>608</v>
      </c>
      <c r="I158">
        <v>0</v>
      </c>
    </row>
    <row r="159" spans="1:9" hidden="1" x14ac:dyDescent="0.3">
      <c r="A159">
        <v>22</v>
      </c>
      <c r="B159" s="168" t="s">
        <v>30</v>
      </c>
      <c r="C159" s="168" t="s">
        <v>31</v>
      </c>
      <c r="D159">
        <v>3918.8</v>
      </c>
      <c r="E159">
        <v>2020</v>
      </c>
      <c r="F159" s="168" t="s">
        <v>591</v>
      </c>
      <c r="G159" s="168" t="s">
        <v>617</v>
      </c>
      <c r="H159" s="168" t="s">
        <v>609</v>
      </c>
      <c r="I159">
        <v>5497.0545259214532</v>
      </c>
    </row>
    <row r="160" spans="1:9" hidden="1" x14ac:dyDescent="0.3">
      <c r="A160">
        <v>22</v>
      </c>
      <c r="B160" s="168" t="s">
        <v>30</v>
      </c>
      <c r="C160" s="168" t="s">
        <v>31</v>
      </c>
      <c r="D160">
        <v>3918.8</v>
      </c>
      <c r="E160">
        <v>2020</v>
      </c>
      <c r="F160" s="168" t="s">
        <v>591</v>
      </c>
      <c r="G160" s="168" t="s">
        <v>610</v>
      </c>
      <c r="H160" s="168" t="s">
        <v>608</v>
      </c>
      <c r="I160">
        <v>0</v>
      </c>
    </row>
    <row r="161" spans="1:9" hidden="1" x14ac:dyDescent="0.3">
      <c r="A161">
        <v>22</v>
      </c>
      <c r="B161" s="168" t="s">
        <v>30</v>
      </c>
      <c r="C161" s="168" t="s">
        <v>31</v>
      </c>
      <c r="D161">
        <v>3918.8</v>
      </c>
      <c r="E161">
        <v>2020</v>
      </c>
      <c r="F161" s="168" t="s">
        <v>591</v>
      </c>
      <c r="G161" s="168" t="s">
        <v>610</v>
      </c>
      <c r="H161" s="168" t="s">
        <v>609</v>
      </c>
      <c r="I161">
        <v>6545.454545454545</v>
      </c>
    </row>
    <row r="162" spans="1:9" hidden="1" x14ac:dyDescent="0.3">
      <c r="A162">
        <v>22</v>
      </c>
      <c r="B162" s="168" t="s">
        <v>30</v>
      </c>
      <c r="C162" s="168" t="s">
        <v>31</v>
      </c>
      <c r="D162">
        <v>3918.8</v>
      </c>
      <c r="E162">
        <v>2020</v>
      </c>
      <c r="F162" s="168" t="s">
        <v>591</v>
      </c>
      <c r="G162" s="168" t="s">
        <v>633</v>
      </c>
      <c r="H162" s="168" t="s">
        <v>608</v>
      </c>
      <c r="I162">
        <v>0</v>
      </c>
    </row>
    <row r="163" spans="1:9" hidden="1" x14ac:dyDescent="0.3">
      <c r="A163">
        <v>22</v>
      </c>
      <c r="B163" s="168" t="s">
        <v>30</v>
      </c>
      <c r="C163" s="168" t="s">
        <v>31</v>
      </c>
      <c r="D163">
        <v>3918.8</v>
      </c>
      <c r="E163">
        <v>2020</v>
      </c>
      <c r="F163" s="168" t="s">
        <v>591</v>
      </c>
      <c r="G163" s="168" t="s">
        <v>633</v>
      </c>
      <c r="H163" s="168" t="s">
        <v>609</v>
      </c>
      <c r="I163">
        <v>10220.999873483011</v>
      </c>
    </row>
    <row r="164" spans="1:9" hidden="1" x14ac:dyDescent="0.3">
      <c r="A164">
        <v>22</v>
      </c>
      <c r="B164" s="168" t="s">
        <v>30</v>
      </c>
      <c r="C164" s="168" t="s">
        <v>31</v>
      </c>
      <c r="D164">
        <v>3918.8</v>
      </c>
      <c r="E164">
        <v>2020</v>
      </c>
      <c r="F164" s="168" t="s">
        <v>591</v>
      </c>
      <c r="G164" s="168" t="s">
        <v>623</v>
      </c>
      <c r="H164" s="168" t="s">
        <v>608</v>
      </c>
      <c r="I164">
        <v>81466.7</v>
      </c>
    </row>
    <row r="165" spans="1:9" hidden="1" x14ac:dyDescent="0.3">
      <c r="A165">
        <v>22</v>
      </c>
      <c r="B165" s="168" t="s">
        <v>30</v>
      </c>
      <c r="C165" s="168" t="s">
        <v>31</v>
      </c>
      <c r="D165">
        <v>3918.8</v>
      </c>
      <c r="E165">
        <v>2020</v>
      </c>
      <c r="F165" s="168" t="s">
        <v>591</v>
      </c>
      <c r="G165" s="168" t="s">
        <v>623</v>
      </c>
      <c r="H165" s="168" t="s">
        <v>609</v>
      </c>
      <c r="I165">
        <v>16293.34</v>
      </c>
    </row>
    <row r="166" spans="1:9" hidden="1" x14ac:dyDescent="0.3">
      <c r="A166">
        <v>22</v>
      </c>
      <c r="B166" s="168" t="s">
        <v>30</v>
      </c>
      <c r="C166" s="168" t="s">
        <v>31</v>
      </c>
      <c r="D166">
        <v>3918.8</v>
      </c>
      <c r="E166">
        <v>2020</v>
      </c>
      <c r="F166" s="168" t="s">
        <v>591</v>
      </c>
      <c r="G166" s="168" t="s">
        <v>613</v>
      </c>
      <c r="H166" s="168" t="s">
        <v>608</v>
      </c>
      <c r="I166">
        <v>11096.858231038243</v>
      </c>
    </row>
    <row r="167" spans="1:9" hidden="1" x14ac:dyDescent="0.3">
      <c r="A167">
        <v>22</v>
      </c>
      <c r="B167" s="168" t="s">
        <v>30</v>
      </c>
      <c r="C167" s="168" t="s">
        <v>31</v>
      </c>
      <c r="D167">
        <v>3918.8</v>
      </c>
      <c r="E167">
        <v>2020</v>
      </c>
      <c r="F167" s="168" t="s">
        <v>591</v>
      </c>
      <c r="G167" s="168" t="s">
        <v>613</v>
      </c>
      <c r="H167" s="168" t="s">
        <v>609</v>
      </c>
      <c r="I167">
        <v>243576.03817128943</v>
      </c>
    </row>
    <row r="168" spans="1:9" x14ac:dyDescent="0.3">
      <c r="A168">
        <v>23</v>
      </c>
      <c r="B168" s="168" t="s">
        <v>32</v>
      </c>
      <c r="C168" s="168" t="s">
        <v>33</v>
      </c>
      <c r="D168">
        <v>4394.6000000000004</v>
      </c>
      <c r="E168">
        <v>2020</v>
      </c>
      <c r="F168" s="168" t="s">
        <v>592</v>
      </c>
      <c r="G168" s="168" t="s">
        <v>607</v>
      </c>
      <c r="H168" s="168" t="s">
        <v>608</v>
      </c>
      <c r="I168">
        <v>71280.968276676431</v>
      </c>
    </row>
    <row r="169" spans="1:9" x14ac:dyDescent="0.3">
      <c r="A169">
        <v>23</v>
      </c>
      <c r="B169" s="168" t="s">
        <v>32</v>
      </c>
      <c r="C169" s="168" t="s">
        <v>33</v>
      </c>
      <c r="D169">
        <v>4394.6000000000004</v>
      </c>
      <c r="E169">
        <v>2020</v>
      </c>
      <c r="F169" s="168" t="s">
        <v>592</v>
      </c>
      <c r="G169" s="168" t="s">
        <v>607</v>
      </c>
      <c r="H169" s="168" t="s">
        <v>609</v>
      </c>
      <c r="I169">
        <v>527659.14917327359</v>
      </c>
    </row>
    <row r="170" spans="1:9" x14ac:dyDescent="0.3">
      <c r="A170">
        <v>23</v>
      </c>
      <c r="B170" s="168" t="s">
        <v>32</v>
      </c>
      <c r="C170" s="168" t="s">
        <v>33</v>
      </c>
      <c r="D170">
        <v>4394.6000000000004</v>
      </c>
      <c r="E170">
        <v>2020</v>
      </c>
      <c r="F170" s="168" t="s">
        <v>592</v>
      </c>
      <c r="G170" s="168" t="s">
        <v>612</v>
      </c>
      <c r="H170" s="168" t="s">
        <v>608</v>
      </c>
      <c r="I170">
        <v>24462.213711776054</v>
      </c>
    </row>
    <row r="171" spans="1:9" x14ac:dyDescent="0.3">
      <c r="A171">
        <v>23</v>
      </c>
      <c r="B171" s="168" t="s">
        <v>32</v>
      </c>
      <c r="C171" s="168" t="s">
        <v>33</v>
      </c>
      <c r="D171">
        <v>4394.6000000000004</v>
      </c>
      <c r="E171">
        <v>2020</v>
      </c>
      <c r="F171" s="168" t="s">
        <v>592</v>
      </c>
      <c r="G171" s="168" t="s">
        <v>612</v>
      </c>
      <c r="H171" s="168" t="s">
        <v>609</v>
      </c>
      <c r="I171">
        <v>26272.417526447483</v>
      </c>
    </row>
    <row r="172" spans="1:9" x14ac:dyDescent="0.3">
      <c r="A172">
        <v>23</v>
      </c>
      <c r="B172" s="168" t="s">
        <v>32</v>
      </c>
      <c r="C172" s="168" t="s">
        <v>33</v>
      </c>
      <c r="D172">
        <v>4394.6000000000004</v>
      </c>
      <c r="E172">
        <v>2020</v>
      </c>
      <c r="F172" s="168" t="s">
        <v>592</v>
      </c>
      <c r="G172" s="168" t="s">
        <v>616</v>
      </c>
      <c r="H172" s="168" t="s">
        <v>608</v>
      </c>
      <c r="I172">
        <v>0</v>
      </c>
    </row>
    <row r="173" spans="1:9" x14ac:dyDescent="0.3">
      <c r="A173">
        <v>23</v>
      </c>
      <c r="B173" s="168" t="s">
        <v>32</v>
      </c>
      <c r="C173" s="168" t="s">
        <v>33</v>
      </c>
      <c r="D173">
        <v>4394.6000000000004</v>
      </c>
      <c r="E173">
        <v>2020</v>
      </c>
      <c r="F173" s="168" t="s">
        <v>592</v>
      </c>
      <c r="G173" s="168" t="s">
        <v>616</v>
      </c>
      <c r="H173" s="168" t="s">
        <v>609</v>
      </c>
      <c r="I173">
        <v>29471.110816279146</v>
      </c>
    </row>
    <row r="174" spans="1:9" x14ac:dyDescent="0.3">
      <c r="A174">
        <v>23</v>
      </c>
      <c r="B174" s="168" t="s">
        <v>32</v>
      </c>
      <c r="C174" s="168" t="s">
        <v>33</v>
      </c>
      <c r="D174">
        <v>4394.6000000000004</v>
      </c>
      <c r="E174">
        <v>2020</v>
      </c>
      <c r="F174" s="168" t="s">
        <v>592</v>
      </c>
      <c r="G174" s="168" t="s">
        <v>617</v>
      </c>
      <c r="H174" s="168" t="s">
        <v>608</v>
      </c>
      <c r="I174">
        <v>0</v>
      </c>
    </row>
    <row r="175" spans="1:9" x14ac:dyDescent="0.3">
      <c r="A175">
        <v>23</v>
      </c>
      <c r="B175" s="168" t="s">
        <v>32</v>
      </c>
      <c r="C175" s="168" t="s">
        <v>33</v>
      </c>
      <c r="D175">
        <v>4394.6000000000004</v>
      </c>
      <c r="E175">
        <v>2020</v>
      </c>
      <c r="F175" s="168" t="s">
        <v>592</v>
      </c>
      <c r="G175" s="168" t="s">
        <v>617</v>
      </c>
      <c r="H175" s="168" t="s">
        <v>609</v>
      </c>
      <c r="I175">
        <v>10075.947855367569</v>
      </c>
    </row>
    <row r="176" spans="1:9" x14ac:dyDescent="0.3">
      <c r="A176">
        <v>23</v>
      </c>
      <c r="B176" s="168" t="s">
        <v>32</v>
      </c>
      <c r="C176" s="168" t="s">
        <v>33</v>
      </c>
      <c r="D176">
        <v>4394.6000000000004</v>
      </c>
      <c r="E176">
        <v>2020</v>
      </c>
      <c r="F176" s="168" t="s">
        <v>592</v>
      </c>
      <c r="G176" s="168" t="s">
        <v>610</v>
      </c>
      <c r="H176" s="168" t="s">
        <v>608</v>
      </c>
      <c r="I176">
        <v>0</v>
      </c>
    </row>
    <row r="177" spans="1:9" x14ac:dyDescent="0.3">
      <c r="A177">
        <v>23</v>
      </c>
      <c r="B177" s="168" t="s">
        <v>32</v>
      </c>
      <c r="C177" s="168" t="s">
        <v>33</v>
      </c>
      <c r="D177">
        <v>4394.6000000000004</v>
      </c>
      <c r="E177">
        <v>2020</v>
      </c>
      <c r="F177" s="168" t="s">
        <v>592</v>
      </c>
      <c r="G177" s="168" t="s">
        <v>610</v>
      </c>
      <c r="H177" s="168" t="s">
        <v>609</v>
      </c>
      <c r="I177">
        <v>3272.7272727272725</v>
      </c>
    </row>
    <row r="178" spans="1:9" x14ac:dyDescent="0.3">
      <c r="A178">
        <v>23</v>
      </c>
      <c r="B178" s="168" t="s">
        <v>32</v>
      </c>
      <c r="C178" s="168" t="s">
        <v>33</v>
      </c>
      <c r="D178">
        <v>4394.6000000000004</v>
      </c>
      <c r="E178">
        <v>2020</v>
      </c>
      <c r="F178" s="168" t="s">
        <v>592</v>
      </c>
      <c r="G178" s="168" t="s">
        <v>633</v>
      </c>
      <c r="H178" s="168" t="s">
        <v>608</v>
      </c>
      <c r="I178">
        <v>0</v>
      </c>
    </row>
    <row r="179" spans="1:9" x14ac:dyDescent="0.3">
      <c r="A179">
        <v>23</v>
      </c>
      <c r="B179" s="168" t="s">
        <v>32</v>
      </c>
      <c r="C179" s="168" t="s">
        <v>33</v>
      </c>
      <c r="D179">
        <v>4394.6000000000004</v>
      </c>
      <c r="E179">
        <v>2020</v>
      </c>
      <c r="F179" s="168" t="s">
        <v>592</v>
      </c>
      <c r="G179" s="168" t="s">
        <v>633</v>
      </c>
      <c r="H179" s="168" t="s">
        <v>609</v>
      </c>
      <c r="I179">
        <v>11461.97969888957</v>
      </c>
    </row>
    <row r="180" spans="1:9" x14ac:dyDescent="0.3">
      <c r="A180">
        <v>23</v>
      </c>
      <c r="B180" s="168" t="s">
        <v>32</v>
      </c>
      <c r="C180" s="168" t="s">
        <v>33</v>
      </c>
      <c r="D180">
        <v>4394.6000000000004</v>
      </c>
      <c r="E180">
        <v>2020</v>
      </c>
      <c r="F180" s="168" t="s">
        <v>592</v>
      </c>
      <c r="G180" s="168" t="s">
        <v>613</v>
      </c>
      <c r="H180" s="168" t="s">
        <v>608</v>
      </c>
      <c r="I180">
        <v>12444.180152628524</v>
      </c>
    </row>
    <row r="181" spans="1:9" x14ac:dyDescent="0.3">
      <c r="A181">
        <v>23</v>
      </c>
      <c r="B181" s="168" t="s">
        <v>32</v>
      </c>
      <c r="C181" s="168" t="s">
        <v>33</v>
      </c>
      <c r="D181">
        <v>4394.6000000000004</v>
      </c>
      <c r="E181">
        <v>2020</v>
      </c>
      <c r="F181" s="168" t="s">
        <v>592</v>
      </c>
      <c r="G181" s="168" t="s">
        <v>613</v>
      </c>
      <c r="H181" s="168" t="s">
        <v>609</v>
      </c>
      <c r="I181">
        <v>273149.7543501961</v>
      </c>
    </row>
    <row r="182" spans="1:9" hidden="1" x14ac:dyDescent="0.3">
      <c r="A182">
        <v>24</v>
      </c>
      <c r="B182" s="168" t="s">
        <v>34</v>
      </c>
      <c r="C182" s="168" t="s">
        <v>35</v>
      </c>
      <c r="D182">
        <v>17.5</v>
      </c>
      <c r="E182">
        <v>2020</v>
      </c>
      <c r="F182" s="168" t="s">
        <v>593</v>
      </c>
      <c r="G182" s="168" t="s">
        <v>607</v>
      </c>
      <c r="H182" s="168" t="s">
        <v>608</v>
      </c>
      <c r="I182">
        <v>0</v>
      </c>
    </row>
    <row r="183" spans="1:9" hidden="1" x14ac:dyDescent="0.3">
      <c r="A183">
        <v>24</v>
      </c>
      <c r="B183" s="168" t="s">
        <v>34</v>
      </c>
      <c r="C183" s="168" t="s">
        <v>35</v>
      </c>
      <c r="D183">
        <v>17.5</v>
      </c>
      <c r="E183">
        <v>2020</v>
      </c>
      <c r="F183" s="168" t="s">
        <v>593</v>
      </c>
      <c r="G183" s="168" t="s">
        <v>607</v>
      </c>
      <c r="H183" s="168" t="s">
        <v>609</v>
      </c>
      <c r="I183">
        <v>1298.8675241043077</v>
      </c>
    </row>
    <row r="184" spans="1:9" hidden="1" x14ac:dyDescent="0.3">
      <c r="A184">
        <v>24</v>
      </c>
      <c r="B184" s="168" t="s">
        <v>34</v>
      </c>
      <c r="C184" s="168" t="s">
        <v>35</v>
      </c>
      <c r="D184">
        <v>17.5</v>
      </c>
      <c r="E184">
        <v>2020</v>
      </c>
      <c r="F184" s="168" t="s">
        <v>593</v>
      </c>
      <c r="G184" s="168" t="s">
        <v>612</v>
      </c>
      <c r="H184" s="168" t="s">
        <v>608</v>
      </c>
      <c r="I184">
        <v>97.412447084167141</v>
      </c>
    </row>
    <row r="185" spans="1:9" hidden="1" x14ac:dyDescent="0.3">
      <c r="A185">
        <v>24</v>
      </c>
      <c r="B185" s="168" t="s">
        <v>34</v>
      </c>
      <c r="C185" s="168" t="s">
        <v>35</v>
      </c>
      <c r="D185">
        <v>17.5</v>
      </c>
      <c r="E185">
        <v>2020</v>
      </c>
      <c r="F185" s="168" t="s">
        <v>593</v>
      </c>
      <c r="G185" s="168" t="s">
        <v>612</v>
      </c>
      <c r="H185" s="168" t="s">
        <v>609</v>
      </c>
      <c r="I185">
        <v>104.62096816839551</v>
      </c>
    </row>
    <row r="186" spans="1:9" hidden="1" x14ac:dyDescent="0.3">
      <c r="A186">
        <v>24</v>
      </c>
      <c r="B186" s="168" t="s">
        <v>34</v>
      </c>
      <c r="C186" s="168" t="s">
        <v>35</v>
      </c>
      <c r="D186">
        <v>17.5</v>
      </c>
      <c r="E186">
        <v>2020</v>
      </c>
      <c r="F186" s="168" t="s">
        <v>593</v>
      </c>
      <c r="G186" s="168" t="s">
        <v>617</v>
      </c>
      <c r="H186" s="168" t="s">
        <v>608</v>
      </c>
      <c r="I186">
        <v>0</v>
      </c>
    </row>
    <row r="187" spans="1:9" hidden="1" x14ac:dyDescent="0.3">
      <c r="A187">
        <v>24</v>
      </c>
      <c r="B187" s="168" t="s">
        <v>34</v>
      </c>
      <c r="C187" s="168" t="s">
        <v>35</v>
      </c>
      <c r="D187">
        <v>17.5</v>
      </c>
      <c r="E187">
        <v>2020</v>
      </c>
      <c r="F187" s="168" t="s">
        <v>593</v>
      </c>
      <c r="G187" s="168" t="s">
        <v>617</v>
      </c>
      <c r="H187" s="168" t="s">
        <v>609</v>
      </c>
      <c r="I187">
        <v>24.547936665210123</v>
      </c>
    </row>
    <row r="188" spans="1:9" hidden="1" x14ac:dyDescent="0.3">
      <c r="A188">
        <v>25</v>
      </c>
      <c r="B188" s="168" t="s">
        <v>21</v>
      </c>
      <c r="C188" s="168" t="s">
        <v>36</v>
      </c>
      <c r="D188">
        <v>95</v>
      </c>
      <c r="E188">
        <v>2020</v>
      </c>
      <c r="F188" s="168" t="s">
        <v>593</v>
      </c>
      <c r="G188" s="168" t="s">
        <v>607</v>
      </c>
      <c r="H188" s="168" t="s">
        <v>608</v>
      </c>
      <c r="I188">
        <v>0</v>
      </c>
    </row>
    <row r="189" spans="1:9" hidden="1" x14ac:dyDescent="0.3">
      <c r="A189">
        <v>25</v>
      </c>
      <c r="B189" s="168" t="s">
        <v>21</v>
      </c>
      <c r="C189" s="168" t="s">
        <v>36</v>
      </c>
      <c r="D189">
        <v>95</v>
      </c>
      <c r="E189">
        <v>2020</v>
      </c>
      <c r="F189" s="168" t="s">
        <v>593</v>
      </c>
      <c r="G189" s="168" t="s">
        <v>607</v>
      </c>
      <c r="H189" s="168" t="s">
        <v>609</v>
      </c>
      <c r="I189">
        <v>7050.9951308519667</v>
      </c>
    </row>
    <row r="190" spans="1:9" hidden="1" x14ac:dyDescent="0.3">
      <c r="A190">
        <v>25</v>
      </c>
      <c r="B190" s="168" t="s">
        <v>21</v>
      </c>
      <c r="C190" s="168" t="s">
        <v>36</v>
      </c>
      <c r="D190">
        <v>95</v>
      </c>
      <c r="E190">
        <v>2020</v>
      </c>
      <c r="F190" s="168" t="s">
        <v>593</v>
      </c>
      <c r="G190" s="168" t="s">
        <v>612</v>
      </c>
      <c r="H190" s="168" t="s">
        <v>608</v>
      </c>
      <c r="I190">
        <v>528.81042702833588</v>
      </c>
    </row>
    <row r="191" spans="1:9" hidden="1" x14ac:dyDescent="0.3">
      <c r="A191">
        <v>25</v>
      </c>
      <c r="B191" s="168" t="s">
        <v>21</v>
      </c>
      <c r="C191" s="168" t="s">
        <v>36</v>
      </c>
      <c r="D191">
        <v>95</v>
      </c>
      <c r="E191">
        <v>2020</v>
      </c>
      <c r="F191" s="168" t="s">
        <v>593</v>
      </c>
      <c r="G191" s="168" t="s">
        <v>612</v>
      </c>
      <c r="H191" s="168" t="s">
        <v>609</v>
      </c>
      <c r="I191">
        <v>567.94239862843267</v>
      </c>
    </row>
    <row r="192" spans="1:9" hidden="1" x14ac:dyDescent="0.3">
      <c r="A192">
        <v>25</v>
      </c>
      <c r="B192" s="168" t="s">
        <v>21</v>
      </c>
      <c r="C192" s="168" t="s">
        <v>36</v>
      </c>
      <c r="D192">
        <v>95</v>
      </c>
      <c r="E192">
        <v>2020</v>
      </c>
      <c r="F192" s="168" t="s">
        <v>593</v>
      </c>
      <c r="G192" s="168" t="s">
        <v>617</v>
      </c>
      <c r="H192" s="168" t="s">
        <v>608</v>
      </c>
      <c r="I192">
        <v>0</v>
      </c>
    </row>
    <row r="193" spans="1:9" hidden="1" x14ac:dyDescent="0.3">
      <c r="A193">
        <v>25</v>
      </c>
      <c r="B193" s="168" t="s">
        <v>21</v>
      </c>
      <c r="C193" s="168" t="s">
        <v>36</v>
      </c>
      <c r="D193">
        <v>95</v>
      </c>
      <c r="E193">
        <v>2020</v>
      </c>
      <c r="F193" s="168" t="s">
        <v>593</v>
      </c>
      <c r="G193" s="168" t="s">
        <v>617</v>
      </c>
      <c r="H193" s="168" t="s">
        <v>609</v>
      </c>
      <c r="I193">
        <v>133.26022761114066</v>
      </c>
    </row>
    <row r="194" spans="1:9" hidden="1" x14ac:dyDescent="0.3">
      <c r="A194">
        <v>25</v>
      </c>
      <c r="B194" s="168" t="s">
        <v>21</v>
      </c>
      <c r="C194" s="168" t="s">
        <v>36</v>
      </c>
      <c r="D194">
        <v>95</v>
      </c>
      <c r="E194">
        <v>2020</v>
      </c>
      <c r="F194" s="168" t="s">
        <v>593</v>
      </c>
      <c r="G194" s="168" t="s">
        <v>610</v>
      </c>
      <c r="H194" s="168" t="s">
        <v>608</v>
      </c>
      <c r="I194">
        <v>0</v>
      </c>
    </row>
    <row r="195" spans="1:9" hidden="1" x14ac:dyDescent="0.3">
      <c r="A195">
        <v>25</v>
      </c>
      <c r="B195" s="168" t="s">
        <v>21</v>
      </c>
      <c r="C195" s="168" t="s">
        <v>36</v>
      </c>
      <c r="D195">
        <v>95</v>
      </c>
      <c r="E195">
        <v>2020</v>
      </c>
      <c r="F195" s="168" t="s">
        <v>593</v>
      </c>
      <c r="G195" s="168" t="s">
        <v>610</v>
      </c>
      <c r="H195" s="168" t="s">
        <v>609</v>
      </c>
      <c r="I195">
        <v>3272.7272727272725</v>
      </c>
    </row>
    <row r="196" spans="1:9" x14ac:dyDescent="0.3">
      <c r="A196">
        <v>26</v>
      </c>
      <c r="B196" s="168" t="s">
        <v>37</v>
      </c>
      <c r="C196" s="168" t="s">
        <v>38</v>
      </c>
      <c r="D196">
        <v>4151.6000000000004</v>
      </c>
      <c r="E196">
        <v>2020</v>
      </c>
      <c r="F196" s="168" t="s">
        <v>592</v>
      </c>
      <c r="G196" s="168" t="s">
        <v>612</v>
      </c>
      <c r="H196" s="168" t="s">
        <v>608</v>
      </c>
      <c r="I196">
        <v>23109.572303693047</v>
      </c>
    </row>
    <row r="197" spans="1:9" x14ac:dyDescent="0.3">
      <c r="A197">
        <v>26</v>
      </c>
      <c r="B197" s="168" t="s">
        <v>37</v>
      </c>
      <c r="C197" s="168" t="s">
        <v>38</v>
      </c>
      <c r="D197">
        <v>4151.6000000000004</v>
      </c>
      <c r="E197">
        <v>2020</v>
      </c>
      <c r="F197" s="168" t="s">
        <v>592</v>
      </c>
      <c r="G197" s="168" t="s">
        <v>612</v>
      </c>
      <c r="H197" s="168" t="s">
        <v>609</v>
      </c>
      <c r="I197">
        <v>24819.680654166332</v>
      </c>
    </row>
    <row r="198" spans="1:9" x14ac:dyDescent="0.3">
      <c r="A198">
        <v>26</v>
      </c>
      <c r="B198" s="168" t="s">
        <v>37</v>
      </c>
      <c r="C198" s="168" t="s">
        <v>38</v>
      </c>
      <c r="D198">
        <v>4151.6000000000004</v>
      </c>
      <c r="E198">
        <v>2020</v>
      </c>
      <c r="F198" s="168" t="s">
        <v>592</v>
      </c>
      <c r="G198" s="168" t="s">
        <v>616</v>
      </c>
      <c r="H198" s="168" t="s">
        <v>608</v>
      </c>
      <c r="I198">
        <v>0</v>
      </c>
    </row>
    <row r="199" spans="1:9" x14ac:dyDescent="0.3">
      <c r="A199">
        <v>26</v>
      </c>
      <c r="B199" s="168" t="s">
        <v>37</v>
      </c>
      <c r="C199" s="168" t="s">
        <v>38</v>
      </c>
      <c r="D199">
        <v>4151.6000000000004</v>
      </c>
      <c r="E199">
        <v>2020</v>
      </c>
      <c r="F199" s="168" t="s">
        <v>592</v>
      </c>
      <c r="G199" s="168" t="s">
        <v>616</v>
      </c>
      <c r="H199" s="168" t="s">
        <v>609</v>
      </c>
      <c r="I199">
        <v>249914.07811507981</v>
      </c>
    </row>
    <row r="200" spans="1:9" x14ac:dyDescent="0.3">
      <c r="A200">
        <v>26</v>
      </c>
      <c r="B200" s="168" t="s">
        <v>37</v>
      </c>
      <c r="C200" s="168" t="s">
        <v>38</v>
      </c>
      <c r="D200">
        <v>4151.6000000000004</v>
      </c>
      <c r="E200">
        <v>2020</v>
      </c>
      <c r="F200" s="168" t="s">
        <v>592</v>
      </c>
      <c r="G200" s="168" t="s">
        <v>617</v>
      </c>
      <c r="H200" s="168" t="s">
        <v>608</v>
      </c>
      <c r="I200">
        <v>0</v>
      </c>
    </row>
    <row r="201" spans="1:9" x14ac:dyDescent="0.3">
      <c r="A201">
        <v>26</v>
      </c>
      <c r="B201" s="168" t="s">
        <v>37</v>
      </c>
      <c r="C201" s="168" t="s">
        <v>38</v>
      </c>
      <c r="D201">
        <v>4151.6000000000004</v>
      </c>
      <c r="E201">
        <v>2020</v>
      </c>
      <c r="F201" s="168" t="s">
        <v>592</v>
      </c>
      <c r="G201" s="168" t="s">
        <v>617</v>
      </c>
      <c r="H201" s="168" t="s">
        <v>609</v>
      </c>
      <c r="I201">
        <v>5823.6122205306483</v>
      </c>
    </row>
    <row r="202" spans="1:9" x14ac:dyDescent="0.3">
      <c r="A202">
        <v>26</v>
      </c>
      <c r="B202" s="168" t="s">
        <v>37</v>
      </c>
      <c r="C202" s="168" t="s">
        <v>38</v>
      </c>
      <c r="D202">
        <v>4151.6000000000004</v>
      </c>
      <c r="E202">
        <v>2020</v>
      </c>
      <c r="F202" s="168" t="s">
        <v>592</v>
      </c>
      <c r="G202" s="168" t="s">
        <v>610</v>
      </c>
      <c r="H202" s="168" t="s">
        <v>608</v>
      </c>
      <c r="I202">
        <v>0</v>
      </c>
    </row>
    <row r="203" spans="1:9" x14ac:dyDescent="0.3">
      <c r="A203">
        <v>26</v>
      </c>
      <c r="B203" s="168" t="s">
        <v>37</v>
      </c>
      <c r="C203" s="168" t="s">
        <v>38</v>
      </c>
      <c r="D203">
        <v>4151.6000000000004</v>
      </c>
      <c r="E203">
        <v>2020</v>
      </c>
      <c r="F203" s="168" t="s">
        <v>592</v>
      </c>
      <c r="G203" s="168" t="s">
        <v>610</v>
      </c>
      <c r="H203" s="168" t="s">
        <v>609</v>
      </c>
      <c r="I203">
        <v>3272.7272727272725</v>
      </c>
    </row>
    <row r="204" spans="1:9" x14ac:dyDescent="0.3">
      <c r="A204">
        <v>26</v>
      </c>
      <c r="B204" s="168" t="s">
        <v>37</v>
      </c>
      <c r="C204" s="168" t="s">
        <v>38</v>
      </c>
      <c r="D204">
        <v>4151.6000000000004</v>
      </c>
      <c r="E204">
        <v>2020</v>
      </c>
      <c r="F204" s="168" t="s">
        <v>592</v>
      </c>
      <c r="G204" s="168" t="s">
        <v>620</v>
      </c>
      <c r="H204" s="168" t="s">
        <v>608</v>
      </c>
      <c r="I204">
        <v>18683.998334839733</v>
      </c>
    </row>
    <row r="205" spans="1:9" x14ac:dyDescent="0.3">
      <c r="A205">
        <v>26</v>
      </c>
      <c r="B205" s="168" t="s">
        <v>37</v>
      </c>
      <c r="C205" s="168" t="s">
        <v>38</v>
      </c>
      <c r="D205">
        <v>4151.6000000000004</v>
      </c>
      <c r="E205">
        <v>2020</v>
      </c>
      <c r="F205" s="168" t="s">
        <v>592</v>
      </c>
      <c r="G205" s="168" t="s">
        <v>620</v>
      </c>
      <c r="H205" s="168" t="s">
        <v>609</v>
      </c>
      <c r="I205">
        <v>2024.0998196076375</v>
      </c>
    </row>
    <row r="206" spans="1:9" x14ac:dyDescent="0.3">
      <c r="A206">
        <v>26</v>
      </c>
      <c r="B206" s="168" t="s">
        <v>37</v>
      </c>
      <c r="C206" s="168" t="s">
        <v>38</v>
      </c>
      <c r="D206">
        <v>4151.6000000000004</v>
      </c>
      <c r="E206">
        <v>2020</v>
      </c>
      <c r="F206" s="168" t="s">
        <v>592</v>
      </c>
      <c r="G206" s="168" t="s">
        <v>613</v>
      </c>
      <c r="H206" s="168" t="s">
        <v>608</v>
      </c>
      <c r="I206">
        <v>11756.077531891999</v>
      </c>
    </row>
    <row r="207" spans="1:9" x14ac:dyDescent="0.3">
      <c r="A207">
        <v>26</v>
      </c>
      <c r="B207" s="168" t="s">
        <v>37</v>
      </c>
      <c r="C207" s="168" t="s">
        <v>38</v>
      </c>
      <c r="D207">
        <v>4151.6000000000004</v>
      </c>
      <c r="E207">
        <v>2020</v>
      </c>
      <c r="F207" s="168" t="s">
        <v>592</v>
      </c>
      <c r="G207" s="168" t="s">
        <v>613</v>
      </c>
      <c r="H207" s="168" t="s">
        <v>609</v>
      </c>
      <c r="I207">
        <v>258045.90182502937</v>
      </c>
    </row>
    <row r="208" spans="1:9" hidden="1" x14ac:dyDescent="0.3">
      <c r="A208">
        <v>27</v>
      </c>
      <c r="B208" s="168" t="s">
        <v>39</v>
      </c>
      <c r="C208" s="168" t="s">
        <v>40</v>
      </c>
      <c r="D208">
        <v>101.1</v>
      </c>
      <c r="E208">
        <v>2020</v>
      </c>
      <c r="F208" s="168" t="s">
        <v>593</v>
      </c>
      <c r="G208" s="168" t="s">
        <v>612</v>
      </c>
      <c r="H208" s="168" t="s">
        <v>608</v>
      </c>
      <c r="I208">
        <v>562.76562286910269</v>
      </c>
    </row>
    <row r="209" spans="1:9" hidden="1" x14ac:dyDescent="0.3">
      <c r="A209">
        <v>27</v>
      </c>
      <c r="B209" s="168" t="s">
        <v>39</v>
      </c>
      <c r="C209" s="168" t="s">
        <v>40</v>
      </c>
      <c r="D209">
        <v>101.1</v>
      </c>
      <c r="E209">
        <v>2020</v>
      </c>
      <c r="F209" s="168" t="s">
        <v>593</v>
      </c>
      <c r="G209" s="168" t="s">
        <v>612</v>
      </c>
      <c r="H209" s="168" t="s">
        <v>609</v>
      </c>
      <c r="I209">
        <v>604.41027896141622</v>
      </c>
    </row>
    <row r="210" spans="1:9" hidden="1" x14ac:dyDescent="0.3">
      <c r="A210">
        <v>27</v>
      </c>
      <c r="B210" s="168" t="s">
        <v>39</v>
      </c>
      <c r="C210" s="168" t="s">
        <v>40</v>
      </c>
      <c r="D210">
        <v>101.1</v>
      </c>
      <c r="E210">
        <v>2020</v>
      </c>
      <c r="F210" s="168" t="s">
        <v>593</v>
      </c>
      <c r="G210" s="168" t="s">
        <v>616</v>
      </c>
      <c r="H210" s="168" t="s">
        <v>608</v>
      </c>
      <c r="I210">
        <v>0</v>
      </c>
    </row>
    <row r="211" spans="1:9" hidden="1" x14ac:dyDescent="0.3">
      <c r="A211">
        <v>27</v>
      </c>
      <c r="B211" s="168" t="s">
        <v>39</v>
      </c>
      <c r="C211" s="168" t="s">
        <v>40</v>
      </c>
      <c r="D211">
        <v>101.1</v>
      </c>
      <c r="E211">
        <v>2020</v>
      </c>
      <c r="F211" s="168" t="s">
        <v>593</v>
      </c>
      <c r="G211" s="168" t="s">
        <v>616</v>
      </c>
      <c r="H211" s="168" t="s">
        <v>609</v>
      </c>
      <c r="I211">
        <v>6085.921884920167</v>
      </c>
    </row>
    <row r="212" spans="1:9" hidden="1" x14ac:dyDescent="0.3">
      <c r="A212">
        <v>27</v>
      </c>
      <c r="B212" s="168" t="s">
        <v>39</v>
      </c>
      <c r="C212" s="168" t="s">
        <v>40</v>
      </c>
      <c r="D212">
        <v>101.1</v>
      </c>
      <c r="E212">
        <v>2020</v>
      </c>
      <c r="F212" s="168" t="s">
        <v>593</v>
      </c>
      <c r="G212" s="168" t="s">
        <v>617</v>
      </c>
      <c r="H212" s="168" t="s">
        <v>608</v>
      </c>
      <c r="I212">
        <v>0</v>
      </c>
    </row>
    <row r="213" spans="1:9" hidden="1" x14ac:dyDescent="0.3">
      <c r="A213">
        <v>27</v>
      </c>
      <c r="B213" s="168" t="s">
        <v>39</v>
      </c>
      <c r="C213" s="168" t="s">
        <v>40</v>
      </c>
      <c r="D213">
        <v>101.1</v>
      </c>
      <c r="E213">
        <v>2020</v>
      </c>
      <c r="F213" s="168" t="s">
        <v>593</v>
      </c>
      <c r="G213" s="168" t="s">
        <v>617</v>
      </c>
      <c r="H213" s="168" t="s">
        <v>609</v>
      </c>
      <c r="I213">
        <v>141.81693696301389</v>
      </c>
    </row>
    <row r="214" spans="1:9" hidden="1" x14ac:dyDescent="0.3">
      <c r="A214">
        <v>27</v>
      </c>
      <c r="B214" s="168" t="s">
        <v>39</v>
      </c>
      <c r="C214" s="168" t="s">
        <v>40</v>
      </c>
      <c r="D214">
        <v>101.1</v>
      </c>
      <c r="E214">
        <v>2020</v>
      </c>
      <c r="F214" s="168" t="s">
        <v>593</v>
      </c>
      <c r="G214" s="168" t="s">
        <v>610</v>
      </c>
      <c r="H214" s="168" t="s">
        <v>608</v>
      </c>
      <c r="I214">
        <v>0</v>
      </c>
    </row>
    <row r="215" spans="1:9" hidden="1" x14ac:dyDescent="0.3">
      <c r="A215">
        <v>27</v>
      </c>
      <c r="B215" s="168" t="s">
        <v>39</v>
      </c>
      <c r="C215" s="168" t="s">
        <v>40</v>
      </c>
      <c r="D215">
        <v>101.1</v>
      </c>
      <c r="E215">
        <v>2020</v>
      </c>
      <c r="F215" s="168" t="s">
        <v>593</v>
      </c>
      <c r="G215" s="168" t="s">
        <v>610</v>
      </c>
      <c r="H215" s="168" t="s">
        <v>609</v>
      </c>
      <c r="I215">
        <v>3272.7272727272725</v>
      </c>
    </row>
    <row r="216" spans="1:9" hidden="1" x14ac:dyDescent="0.3">
      <c r="A216">
        <v>27</v>
      </c>
      <c r="B216" s="168" t="s">
        <v>39</v>
      </c>
      <c r="C216" s="168" t="s">
        <v>40</v>
      </c>
      <c r="D216">
        <v>101.1</v>
      </c>
      <c r="E216">
        <v>2020</v>
      </c>
      <c r="F216" s="168" t="s">
        <v>593</v>
      </c>
      <c r="G216" s="168" t="s">
        <v>613</v>
      </c>
      <c r="H216" s="168" t="s">
        <v>608</v>
      </c>
      <c r="I216">
        <v>286.28467060272692</v>
      </c>
    </row>
    <row r="217" spans="1:9" hidden="1" x14ac:dyDescent="0.3">
      <c r="A217">
        <v>27</v>
      </c>
      <c r="B217" s="168" t="s">
        <v>39</v>
      </c>
      <c r="C217" s="168" t="s">
        <v>40</v>
      </c>
      <c r="D217">
        <v>101.1</v>
      </c>
      <c r="E217">
        <v>2020</v>
      </c>
      <c r="F217" s="168" t="s">
        <v>593</v>
      </c>
      <c r="G217" s="168" t="s">
        <v>613</v>
      </c>
      <c r="H217" s="168" t="s">
        <v>609</v>
      </c>
      <c r="I217">
        <v>6283.9485197298563</v>
      </c>
    </row>
    <row r="218" spans="1:9" hidden="1" x14ac:dyDescent="0.3">
      <c r="A218">
        <v>28</v>
      </c>
      <c r="B218" s="168" t="s">
        <v>30</v>
      </c>
      <c r="C218" s="168" t="s">
        <v>41</v>
      </c>
      <c r="D218">
        <v>1239.3</v>
      </c>
      <c r="E218">
        <v>2020</v>
      </c>
      <c r="F218" s="168" t="s">
        <v>591</v>
      </c>
      <c r="G218" s="168" t="s">
        <v>607</v>
      </c>
      <c r="H218" s="168" t="s">
        <v>608</v>
      </c>
      <c r="I218">
        <v>286709.27330930368</v>
      </c>
    </row>
    <row r="219" spans="1:9" hidden="1" x14ac:dyDescent="0.3">
      <c r="A219">
        <v>28</v>
      </c>
      <c r="B219" s="168" t="s">
        <v>30</v>
      </c>
      <c r="C219" s="168" t="s">
        <v>41</v>
      </c>
      <c r="D219">
        <v>1239.3</v>
      </c>
      <c r="E219">
        <v>2020</v>
      </c>
      <c r="F219" s="168" t="s">
        <v>591</v>
      </c>
      <c r="G219" s="168" t="s">
        <v>607</v>
      </c>
      <c r="H219" s="168" t="s">
        <v>609</v>
      </c>
      <c r="I219">
        <v>151629.11263867869</v>
      </c>
    </row>
    <row r="220" spans="1:9" hidden="1" x14ac:dyDescent="0.3">
      <c r="A220">
        <v>28</v>
      </c>
      <c r="B220" s="168" t="s">
        <v>30</v>
      </c>
      <c r="C220" s="168" t="s">
        <v>41</v>
      </c>
      <c r="D220">
        <v>1239.3</v>
      </c>
      <c r="E220">
        <v>2020</v>
      </c>
      <c r="F220" s="168" t="s">
        <v>591</v>
      </c>
      <c r="G220" s="168" t="s">
        <v>612</v>
      </c>
      <c r="H220" s="168" t="s">
        <v>608</v>
      </c>
      <c r="I220">
        <v>94323.37</v>
      </c>
    </row>
    <row r="221" spans="1:9" hidden="1" x14ac:dyDescent="0.3">
      <c r="A221">
        <v>28</v>
      </c>
      <c r="B221" s="168" t="s">
        <v>30</v>
      </c>
      <c r="C221" s="168" t="s">
        <v>41</v>
      </c>
      <c r="D221">
        <v>1239.3</v>
      </c>
      <c r="E221">
        <v>2020</v>
      </c>
      <c r="F221" s="168" t="s">
        <v>591</v>
      </c>
      <c r="G221" s="168" t="s">
        <v>612</v>
      </c>
      <c r="H221" s="168" t="s">
        <v>609</v>
      </c>
      <c r="I221">
        <v>0</v>
      </c>
    </row>
    <row r="222" spans="1:9" hidden="1" x14ac:dyDescent="0.3">
      <c r="A222">
        <v>28</v>
      </c>
      <c r="B222" s="168" t="s">
        <v>30</v>
      </c>
      <c r="C222" s="168" t="s">
        <v>41</v>
      </c>
      <c r="D222">
        <v>1239.3</v>
      </c>
      <c r="E222">
        <v>2020</v>
      </c>
      <c r="F222" s="168" t="s">
        <v>591</v>
      </c>
      <c r="G222" s="168" t="s">
        <v>617</v>
      </c>
      <c r="H222" s="168" t="s">
        <v>608</v>
      </c>
      <c r="I222">
        <v>7450</v>
      </c>
    </row>
    <row r="223" spans="1:9" hidden="1" x14ac:dyDescent="0.3">
      <c r="A223">
        <v>28</v>
      </c>
      <c r="B223" s="168" t="s">
        <v>30</v>
      </c>
      <c r="C223" s="168" t="s">
        <v>41</v>
      </c>
      <c r="D223">
        <v>1239.3</v>
      </c>
      <c r="E223">
        <v>2020</v>
      </c>
      <c r="F223" s="168" t="s">
        <v>591</v>
      </c>
      <c r="G223" s="168" t="s">
        <v>617</v>
      </c>
      <c r="H223" s="168" t="s">
        <v>609</v>
      </c>
      <c r="I223">
        <v>2660</v>
      </c>
    </row>
    <row r="224" spans="1:9" hidden="1" x14ac:dyDescent="0.3">
      <c r="A224">
        <v>28</v>
      </c>
      <c r="B224" s="168" t="s">
        <v>30</v>
      </c>
      <c r="C224" s="168" t="s">
        <v>41</v>
      </c>
      <c r="D224">
        <v>1239.3</v>
      </c>
      <c r="E224">
        <v>2020</v>
      </c>
      <c r="F224" s="168" t="s">
        <v>591</v>
      </c>
      <c r="G224" s="168" t="s">
        <v>618</v>
      </c>
      <c r="H224" s="168" t="s">
        <v>608</v>
      </c>
      <c r="I224">
        <v>0</v>
      </c>
    </row>
    <row r="225" spans="1:9" hidden="1" x14ac:dyDescent="0.3">
      <c r="A225">
        <v>28</v>
      </c>
      <c r="B225" s="168" t="s">
        <v>30</v>
      </c>
      <c r="C225" s="168" t="s">
        <v>41</v>
      </c>
      <c r="D225">
        <v>1239.3</v>
      </c>
      <c r="E225">
        <v>2020</v>
      </c>
      <c r="F225" s="168" t="s">
        <v>591</v>
      </c>
      <c r="G225" s="168" t="s">
        <v>618</v>
      </c>
      <c r="H225" s="168" t="s">
        <v>609</v>
      </c>
      <c r="I225">
        <v>60000</v>
      </c>
    </row>
    <row r="226" spans="1:9" hidden="1" x14ac:dyDescent="0.3">
      <c r="A226">
        <v>28</v>
      </c>
      <c r="B226" s="168" t="s">
        <v>30</v>
      </c>
      <c r="C226" s="168" t="s">
        <v>41</v>
      </c>
      <c r="D226">
        <v>1239.3</v>
      </c>
      <c r="E226">
        <v>2020</v>
      </c>
      <c r="F226" s="168" t="s">
        <v>591</v>
      </c>
      <c r="G226" s="168" t="s">
        <v>610</v>
      </c>
      <c r="H226" s="168" t="s">
        <v>608</v>
      </c>
      <c r="I226">
        <v>0</v>
      </c>
    </row>
    <row r="227" spans="1:9" hidden="1" x14ac:dyDescent="0.3">
      <c r="A227">
        <v>28</v>
      </c>
      <c r="B227" s="168" t="s">
        <v>30</v>
      </c>
      <c r="C227" s="168" t="s">
        <v>41</v>
      </c>
      <c r="D227">
        <v>1239.3</v>
      </c>
      <c r="E227">
        <v>2020</v>
      </c>
      <c r="F227" s="168" t="s">
        <v>591</v>
      </c>
      <c r="G227" s="168" t="s">
        <v>610</v>
      </c>
      <c r="H227" s="168" t="s">
        <v>609</v>
      </c>
      <c r="I227">
        <v>3272.7272727272725</v>
      </c>
    </row>
    <row r="228" spans="1:9" hidden="1" x14ac:dyDescent="0.3">
      <c r="A228">
        <v>28</v>
      </c>
      <c r="B228" s="168" t="s">
        <v>30</v>
      </c>
      <c r="C228" s="168" t="s">
        <v>41</v>
      </c>
      <c r="D228">
        <v>1239.3</v>
      </c>
      <c r="E228">
        <v>2020</v>
      </c>
      <c r="F228" s="168" t="s">
        <v>591</v>
      </c>
      <c r="G228" s="168" t="s">
        <v>633</v>
      </c>
      <c r="H228" s="168" t="s">
        <v>608</v>
      </c>
      <c r="I228">
        <v>7081.0134501094772</v>
      </c>
    </row>
    <row r="229" spans="1:9" hidden="1" x14ac:dyDescent="0.3">
      <c r="A229">
        <v>28</v>
      </c>
      <c r="B229" s="168" t="s">
        <v>30</v>
      </c>
      <c r="C229" s="168" t="s">
        <v>41</v>
      </c>
      <c r="D229">
        <v>1239.3</v>
      </c>
      <c r="E229">
        <v>2020</v>
      </c>
      <c r="F229" s="168" t="s">
        <v>591</v>
      </c>
      <c r="G229" s="168" t="s">
        <v>633</v>
      </c>
      <c r="H229" s="168" t="s">
        <v>609</v>
      </c>
      <c r="I229">
        <v>3034.7200500469189</v>
      </c>
    </row>
    <row r="230" spans="1:9" hidden="1" x14ac:dyDescent="0.3">
      <c r="A230">
        <v>28</v>
      </c>
      <c r="B230" s="168" t="s">
        <v>30</v>
      </c>
      <c r="C230" s="168" t="s">
        <v>41</v>
      </c>
      <c r="D230">
        <v>1239.3</v>
      </c>
      <c r="E230">
        <v>2020</v>
      </c>
      <c r="F230" s="168" t="s">
        <v>591</v>
      </c>
      <c r="G230" s="168" t="s">
        <v>624</v>
      </c>
      <c r="H230" s="168" t="s">
        <v>608</v>
      </c>
      <c r="I230">
        <v>23184.267365174361</v>
      </c>
    </row>
    <row r="231" spans="1:9" hidden="1" x14ac:dyDescent="0.3">
      <c r="A231">
        <v>28</v>
      </c>
      <c r="B231" s="168" t="s">
        <v>30</v>
      </c>
      <c r="C231" s="168" t="s">
        <v>41</v>
      </c>
      <c r="D231">
        <v>1239.3</v>
      </c>
      <c r="E231">
        <v>2020</v>
      </c>
      <c r="F231" s="168" t="s">
        <v>591</v>
      </c>
      <c r="G231" s="168" t="s">
        <v>624</v>
      </c>
      <c r="H231" s="168" t="s">
        <v>609</v>
      </c>
      <c r="I231">
        <v>24389.466458643357</v>
      </c>
    </row>
    <row r="232" spans="1:9" hidden="1" x14ac:dyDescent="0.3">
      <c r="A232">
        <v>28</v>
      </c>
      <c r="B232" s="168" t="s">
        <v>30</v>
      </c>
      <c r="C232" s="168" t="s">
        <v>41</v>
      </c>
      <c r="D232">
        <v>1239.3</v>
      </c>
      <c r="E232">
        <v>2020</v>
      </c>
      <c r="F232" s="168" t="s">
        <v>591</v>
      </c>
      <c r="G232" s="168" t="s">
        <v>611</v>
      </c>
      <c r="H232" s="168" t="s">
        <v>608</v>
      </c>
      <c r="I232">
        <v>0</v>
      </c>
    </row>
    <row r="233" spans="1:9" hidden="1" x14ac:dyDescent="0.3">
      <c r="A233">
        <v>28</v>
      </c>
      <c r="B233" s="168" t="s">
        <v>30</v>
      </c>
      <c r="C233" s="168" t="s">
        <v>41</v>
      </c>
      <c r="D233">
        <v>1239.3</v>
      </c>
      <c r="E233">
        <v>2020</v>
      </c>
      <c r="F233" s="168" t="s">
        <v>591</v>
      </c>
      <c r="G233" s="168" t="s">
        <v>611</v>
      </c>
      <c r="H233" s="168" t="s">
        <v>609</v>
      </c>
      <c r="I233">
        <v>5179.7553323442844</v>
      </c>
    </row>
    <row r="234" spans="1:9" hidden="1" x14ac:dyDescent="0.3">
      <c r="A234">
        <v>28</v>
      </c>
      <c r="B234" s="168" t="s">
        <v>30</v>
      </c>
      <c r="C234" s="168" t="s">
        <v>41</v>
      </c>
      <c r="D234">
        <v>1239.3</v>
      </c>
      <c r="E234">
        <v>2020</v>
      </c>
      <c r="F234" s="168" t="s">
        <v>591</v>
      </c>
      <c r="G234" s="168" t="s">
        <v>613</v>
      </c>
      <c r="H234" s="168" t="s">
        <v>608</v>
      </c>
      <c r="I234">
        <v>87822.130182542503</v>
      </c>
    </row>
    <row r="235" spans="1:9" hidden="1" x14ac:dyDescent="0.3">
      <c r="A235">
        <v>28</v>
      </c>
      <c r="B235" s="168" t="s">
        <v>30</v>
      </c>
      <c r="C235" s="168" t="s">
        <v>41</v>
      </c>
      <c r="D235">
        <v>1239.3</v>
      </c>
      <c r="E235">
        <v>2020</v>
      </c>
      <c r="F235" s="168" t="s">
        <v>591</v>
      </c>
      <c r="G235" s="168" t="s">
        <v>613</v>
      </c>
      <c r="H235" s="168" t="s">
        <v>609</v>
      </c>
      <c r="I235">
        <v>35809.250100632562</v>
      </c>
    </row>
    <row r="236" spans="1:9" x14ac:dyDescent="0.3">
      <c r="A236">
        <v>29</v>
      </c>
      <c r="B236" s="168" t="s">
        <v>27</v>
      </c>
      <c r="C236" s="168" t="s">
        <v>42</v>
      </c>
      <c r="D236">
        <v>11233.4</v>
      </c>
      <c r="E236">
        <v>2020</v>
      </c>
      <c r="F236" s="168" t="s">
        <v>592</v>
      </c>
      <c r="G236" s="168" t="s">
        <v>607</v>
      </c>
      <c r="H236" s="168" t="s">
        <v>608</v>
      </c>
      <c r="I236">
        <v>182207.16994475399</v>
      </c>
    </row>
    <row r="237" spans="1:9" x14ac:dyDescent="0.3">
      <c r="A237">
        <v>29</v>
      </c>
      <c r="B237" s="168" t="s">
        <v>27</v>
      </c>
      <c r="C237" s="168" t="s">
        <v>42</v>
      </c>
      <c r="D237">
        <v>11233.4</v>
      </c>
      <c r="E237">
        <v>2020</v>
      </c>
      <c r="F237" s="168" t="s">
        <v>592</v>
      </c>
      <c r="G237" s="168" t="s">
        <v>607</v>
      </c>
      <c r="H237" s="168" t="s">
        <v>609</v>
      </c>
      <c r="I237">
        <v>1581367.1971666953</v>
      </c>
    </row>
    <row r="238" spans="1:9" x14ac:dyDescent="0.3">
      <c r="A238">
        <v>29</v>
      </c>
      <c r="B238" s="168" t="s">
        <v>27</v>
      </c>
      <c r="C238" s="168" t="s">
        <v>42</v>
      </c>
      <c r="D238">
        <v>11233.4</v>
      </c>
      <c r="E238">
        <v>2020</v>
      </c>
      <c r="F238" s="168" t="s">
        <v>592</v>
      </c>
      <c r="G238" s="168" t="s">
        <v>612</v>
      </c>
      <c r="H238" s="168" t="s">
        <v>608</v>
      </c>
      <c r="I238">
        <v>62529.884747159034</v>
      </c>
    </row>
    <row r="239" spans="1:9" x14ac:dyDescent="0.3">
      <c r="A239">
        <v>29</v>
      </c>
      <c r="B239" s="168" t="s">
        <v>27</v>
      </c>
      <c r="C239" s="168" t="s">
        <v>42</v>
      </c>
      <c r="D239">
        <v>11233.4</v>
      </c>
      <c r="E239">
        <v>2020</v>
      </c>
      <c r="F239" s="168" t="s">
        <v>592</v>
      </c>
      <c r="G239" s="168" t="s">
        <v>612</v>
      </c>
      <c r="H239" s="168" t="s">
        <v>609</v>
      </c>
      <c r="I239">
        <v>67157.096218448802</v>
      </c>
    </row>
    <row r="240" spans="1:9" x14ac:dyDescent="0.3">
      <c r="A240">
        <v>29</v>
      </c>
      <c r="B240" s="168" t="s">
        <v>27</v>
      </c>
      <c r="C240" s="168" t="s">
        <v>42</v>
      </c>
      <c r="D240">
        <v>11233.4</v>
      </c>
      <c r="E240">
        <v>2020</v>
      </c>
      <c r="F240" s="168" t="s">
        <v>592</v>
      </c>
      <c r="G240" s="168" t="s">
        <v>616</v>
      </c>
      <c r="H240" s="168" t="s">
        <v>608</v>
      </c>
      <c r="I240">
        <v>0</v>
      </c>
    </row>
    <row r="241" spans="1:9" x14ac:dyDescent="0.3">
      <c r="A241">
        <v>29</v>
      </c>
      <c r="B241" s="168" t="s">
        <v>27</v>
      </c>
      <c r="C241" s="168" t="s">
        <v>42</v>
      </c>
      <c r="D241">
        <v>11233.4</v>
      </c>
      <c r="E241">
        <v>2020</v>
      </c>
      <c r="F241" s="168" t="s">
        <v>592</v>
      </c>
      <c r="G241" s="168" t="s">
        <v>616</v>
      </c>
      <c r="H241" s="168" t="s">
        <v>609</v>
      </c>
      <c r="I241">
        <v>85643.74088692831</v>
      </c>
    </row>
    <row r="242" spans="1:9" x14ac:dyDescent="0.3">
      <c r="A242">
        <v>29</v>
      </c>
      <c r="B242" s="168" t="s">
        <v>27</v>
      </c>
      <c r="C242" s="168" t="s">
        <v>42</v>
      </c>
      <c r="D242">
        <v>11233.4</v>
      </c>
      <c r="E242">
        <v>2020</v>
      </c>
      <c r="F242" s="168" t="s">
        <v>592</v>
      </c>
      <c r="G242" s="168" t="s">
        <v>617</v>
      </c>
      <c r="H242" s="168" t="s">
        <v>608</v>
      </c>
      <c r="I242">
        <v>0</v>
      </c>
    </row>
    <row r="243" spans="1:9" x14ac:dyDescent="0.3">
      <c r="A243">
        <v>29</v>
      </c>
      <c r="B243" s="168" t="s">
        <v>27</v>
      </c>
      <c r="C243" s="168" t="s">
        <v>42</v>
      </c>
      <c r="D243">
        <v>11233.4</v>
      </c>
      <c r="E243">
        <v>2020</v>
      </c>
      <c r="F243" s="168" t="s">
        <v>592</v>
      </c>
      <c r="G243" s="168" t="s">
        <v>617</v>
      </c>
      <c r="H243" s="168" t="s">
        <v>609</v>
      </c>
      <c r="I243">
        <v>27379.340956284097</v>
      </c>
    </row>
    <row r="244" spans="1:9" x14ac:dyDescent="0.3">
      <c r="A244">
        <v>29</v>
      </c>
      <c r="B244" s="168" t="s">
        <v>27</v>
      </c>
      <c r="C244" s="168" t="s">
        <v>42</v>
      </c>
      <c r="D244">
        <v>11233.4</v>
      </c>
      <c r="E244">
        <v>2020</v>
      </c>
      <c r="F244" s="168" t="s">
        <v>592</v>
      </c>
      <c r="G244" s="168" t="s">
        <v>618</v>
      </c>
      <c r="H244" s="168" t="s">
        <v>608</v>
      </c>
      <c r="I244">
        <v>0</v>
      </c>
    </row>
    <row r="245" spans="1:9" x14ac:dyDescent="0.3">
      <c r="A245">
        <v>29</v>
      </c>
      <c r="B245" s="168" t="s">
        <v>27</v>
      </c>
      <c r="C245" s="168" t="s">
        <v>42</v>
      </c>
      <c r="D245">
        <v>11233.4</v>
      </c>
      <c r="E245">
        <v>2020</v>
      </c>
      <c r="F245" s="168" t="s">
        <v>592</v>
      </c>
      <c r="G245" s="168" t="s">
        <v>618</v>
      </c>
      <c r="H245" s="168" t="s">
        <v>609</v>
      </c>
      <c r="I245">
        <v>41000</v>
      </c>
    </row>
    <row r="246" spans="1:9" x14ac:dyDescent="0.3">
      <c r="A246">
        <v>29</v>
      </c>
      <c r="B246" s="168" t="s">
        <v>27</v>
      </c>
      <c r="C246" s="168" t="s">
        <v>42</v>
      </c>
      <c r="D246">
        <v>11233.4</v>
      </c>
      <c r="E246">
        <v>2020</v>
      </c>
      <c r="F246" s="168" t="s">
        <v>592</v>
      </c>
      <c r="G246" s="168" t="s">
        <v>610</v>
      </c>
      <c r="H246" s="168" t="s">
        <v>608</v>
      </c>
      <c r="I246">
        <v>0</v>
      </c>
    </row>
    <row r="247" spans="1:9" x14ac:dyDescent="0.3">
      <c r="A247">
        <v>29</v>
      </c>
      <c r="B247" s="168" t="s">
        <v>27</v>
      </c>
      <c r="C247" s="168" t="s">
        <v>42</v>
      </c>
      <c r="D247">
        <v>11233.4</v>
      </c>
      <c r="E247">
        <v>2020</v>
      </c>
      <c r="F247" s="168" t="s">
        <v>592</v>
      </c>
      <c r="G247" s="168" t="s">
        <v>610</v>
      </c>
      <c r="H247" s="168" t="s">
        <v>609</v>
      </c>
      <c r="I247">
        <v>6545.454545454545</v>
      </c>
    </row>
    <row r="248" spans="1:9" x14ac:dyDescent="0.3">
      <c r="A248">
        <v>29</v>
      </c>
      <c r="B248" s="168" t="s">
        <v>27</v>
      </c>
      <c r="C248" s="168" t="s">
        <v>42</v>
      </c>
      <c r="D248">
        <v>11233.4</v>
      </c>
      <c r="E248">
        <v>2020</v>
      </c>
      <c r="F248" s="168" t="s">
        <v>592</v>
      </c>
      <c r="G248" s="168" t="s">
        <v>620</v>
      </c>
      <c r="H248" s="168" t="s">
        <v>608</v>
      </c>
      <c r="I248">
        <v>50555.165934721219</v>
      </c>
    </row>
    <row r="249" spans="1:9" x14ac:dyDescent="0.3">
      <c r="A249">
        <v>29</v>
      </c>
      <c r="B249" s="168" t="s">
        <v>27</v>
      </c>
      <c r="C249" s="168" t="s">
        <v>42</v>
      </c>
      <c r="D249">
        <v>11233.4</v>
      </c>
      <c r="E249">
        <v>2020</v>
      </c>
      <c r="F249" s="168" t="s">
        <v>592</v>
      </c>
      <c r="G249" s="168" t="s">
        <v>620</v>
      </c>
      <c r="H249" s="168" t="s">
        <v>609</v>
      </c>
      <c r="I249">
        <v>5476.8096429281322</v>
      </c>
    </row>
    <row r="250" spans="1:9" x14ac:dyDescent="0.3">
      <c r="A250">
        <v>29</v>
      </c>
      <c r="B250" s="168" t="s">
        <v>27</v>
      </c>
      <c r="C250" s="168" t="s">
        <v>42</v>
      </c>
      <c r="D250">
        <v>11233.4</v>
      </c>
      <c r="E250">
        <v>2020</v>
      </c>
      <c r="F250" s="168" t="s">
        <v>592</v>
      </c>
      <c r="G250" s="168" t="s">
        <v>633</v>
      </c>
      <c r="H250" s="168" t="s">
        <v>608</v>
      </c>
      <c r="I250">
        <v>60814.219976540648</v>
      </c>
    </row>
    <row r="251" spans="1:9" x14ac:dyDescent="0.3">
      <c r="A251">
        <v>29</v>
      </c>
      <c r="B251" s="168" t="s">
        <v>27</v>
      </c>
      <c r="C251" s="168" t="s">
        <v>42</v>
      </c>
      <c r="D251">
        <v>11233.4</v>
      </c>
      <c r="E251">
        <v>2020</v>
      </c>
      <c r="F251" s="168" t="s">
        <v>592</v>
      </c>
      <c r="G251" s="168" t="s">
        <v>633</v>
      </c>
      <c r="H251" s="168" t="s">
        <v>609</v>
      </c>
      <c r="I251">
        <v>29298.912927116478</v>
      </c>
    </row>
    <row r="252" spans="1:9" x14ac:dyDescent="0.3">
      <c r="A252">
        <v>29</v>
      </c>
      <c r="B252" s="168" t="s">
        <v>27</v>
      </c>
      <c r="C252" s="168" t="s">
        <v>42</v>
      </c>
      <c r="D252">
        <v>11233.4</v>
      </c>
      <c r="E252">
        <v>2020</v>
      </c>
      <c r="F252" s="168" t="s">
        <v>592</v>
      </c>
      <c r="G252" s="168" t="s">
        <v>611</v>
      </c>
      <c r="H252" s="168" t="s">
        <v>608</v>
      </c>
      <c r="I252">
        <v>0</v>
      </c>
    </row>
    <row r="253" spans="1:9" x14ac:dyDescent="0.3">
      <c r="A253">
        <v>29</v>
      </c>
      <c r="B253" s="168" t="s">
        <v>27</v>
      </c>
      <c r="C253" s="168" t="s">
        <v>42</v>
      </c>
      <c r="D253">
        <v>11233.4</v>
      </c>
      <c r="E253">
        <v>2020</v>
      </c>
      <c r="F253" s="168" t="s">
        <v>592</v>
      </c>
      <c r="G253" s="168" t="s">
        <v>611</v>
      </c>
      <c r="H253" s="168" t="s">
        <v>609</v>
      </c>
      <c r="I253">
        <v>7010</v>
      </c>
    </row>
    <row r="254" spans="1:9" x14ac:dyDescent="0.3">
      <c r="A254">
        <v>29</v>
      </c>
      <c r="B254" s="168" t="s">
        <v>27</v>
      </c>
      <c r="C254" s="168" t="s">
        <v>42</v>
      </c>
      <c r="D254">
        <v>11233.4</v>
      </c>
      <c r="E254">
        <v>2020</v>
      </c>
      <c r="F254" s="168" t="s">
        <v>592</v>
      </c>
      <c r="G254" s="168" t="s">
        <v>621</v>
      </c>
      <c r="H254" s="168" t="s">
        <v>608</v>
      </c>
      <c r="I254">
        <v>0</v>
      </c>
    </row>
    <row r="255" spans="1:9" x14ac:dyDescent="0.3">
      <c r="A255">
        <v>29</v>
      </c>
      <c r="B255" s="168" t="s">
        <v>27</v>
      </c>
      <c r="C255" s="168" t="s">
        <v>42</v>
      </c>
      <c r="D255">
        <v>11233.4</v>
      </c>
      <c r="E255">
        <v>2020</v>
      </c>
      <c r="F255" s="168" t="s">
        <v>592</v>
      </c>
      <c r="G255" s="168" t="s">
        <v>621</v>
      </c>
      <c r="H255" s="168" t="s">
        <v>609</v>
      </c>
      <c r="I255">
        <v>1143540.0584762811</v>
      </c>
    </row>
    <row r="256" spans="1:9" x14ac:dyDescent="0.3">
      <c r="A256">
        <v>29</v>
      </c>
      <c r="B256" s="168" t="s">
        <v>27</v>
      </c>
      <c r="C256" s="168" t="s">
        <v>42</v>
      </c>
      <c r="D256">
        <v>11233.4</v>
      </c>
      <c r="E256">
        <v>2020</v>
      </c>
      <c r="F256" s="168" t="s">
        <v>592</v>
      </c>
      <c r="G256" s="168" t="s">
        <v>613</v>
      </c>
      <c r="H256" s="168" t="s">
        <v>608</v>
      </c>
      <c r="I256">
        <v>31809.596624615948</v>
      </c>
    </row>
    <row r="257" spans="1:9" x14ac:dyDescent="0.3">
      <c r="A257">
        <v>29</v>
      </c>
      <c r="B257" s="168" t="s">
        <v>27</v>
      </c>
      <c r="C257" s="168" t="s">
        <v>42</v>
      </c>
      <c r="D257">
        <v>11233.4</v>
      </c>
      <c r="E257">
        <v>2020</v>
      </c>
      <c r="F257" s="168" t="s">
        <v>592</v>
      </c>
      <c r="G257" s="168" t="s">
        <v>613</v>
      </c>
      <c r="H257" s="168" t="s">
        <v>609</v>
      </c>
      <c r="I257">
        <v>698220.64591032011</v>
      </c>
    </row>
    <row r="258" spans="1:9" x14ac:dyDescent="0.3">
      <c r="A258">
        <v>29</v>
      </c>
      <c r="B258" s="168" t="s">
        <v>27</v>
      </c>
      <c r="C258" s="168" t="s">
        <v>42</v>
      </c>
      <c r="D258">
        <v>11233.4</v>
      </c>
      <c r="E258">
        <v>2020</v>
      </c>
      <c r="F258" s="168" t="s">
        <v>592</v>
      </c>
      <c r="G258" s="168" t="s">
        <v>622</v>
      </c>
      <c r="H258" s="168" t="s">
        <v>608</v>
      </c>
      <c r="I258">
        <v>125231.77956819121</v>
      </c>
    </row>
    <row r="259" spans="1:9" x14ac:dyDescent="0.3">
      <c r="A259">
        <v>29</v>
      </c>
      <c r="B259" s="168" t="s">
        <v>27</v>
      </c>
      <c r="C259" s="168" t="s">
        <v>42</v>
      </c>
      <c r="D259">
        <v>11233.4</v>
      </c>
      <c r="E259">
        <v>2020</v>
      </c>
      <c r="F259" s="168" t="s">
        <v>592</v>
      </c>
      <c r="G259" s="168" t="s">
        <v>622</v>
      </c>
      <c r="H259" s="168" t="s">
        <v>609</v>
      </c>
      <c r="I259">
        <v>0</v>
      </c>
    </row>
    <row r="260" spans="1:9" x14ac:dyDescent="0.3">
      <c r="A260">
        <v>30</v>
      </c>
      <c r="B260" s="168" t="s">
        <v>43</v>
      </c>
      <c r="C260" s="168" t="s">
        <v>44</v>
      </c>
      <c r="D260">
        <v>235.9</v>
      </c>
      <c r="E260">
        <v>2020</v>
      </c>
      <c r="F260" s="168" t="s">
        <v>592</v>
      </c>
      <c r="G260" s="168" t="s">
        <v>607</v>
      </c>
      <c r="H260" s="168" t="s">
        <v>608</v>
      </c>
      <c r="I260">
        <v>0</v>
      </c>
    </row>
    <row r="261" spans="1:9" x14ac:dyDescent="0.3">
      <c r="A261">
        <v>30</v>
      </c>
      <c r="B261" s="168" t="s">
        <v>43</v>
      </c>
      <c r="C261" s="168" t="s">
        <v>44</v>
      </c>
      <c r="D261">
        <v>235.9</v>
      </c>
      <c r="E261">
        <v>2020</v>
      </c>
      <c r="F261" s="168" t="s">
        <v>592</v>
      </c>
      <c r="G261" s="168" t="s">
        <v>607</v>
      </c>
      <c r="H261" s="168" t="s">
        <v>609</v>
      </c>
      <c r="I261">
        <v>20539.661940985508</v>
      </c>
    </row>
    <row r="262" spans="1:9" x14ac:dyDescent="0.3">
      <c r="A262">
        <v>30</v>
      </c>
      <c r="B262" s="168" t="s">
        <v>43</v>
      </c>
      <c r="C262" s="168" t="s">
        <v>44</v>
      </c>
      <c r="D262">
        <v>235.9</v>
      </c>
      <c r="E262">
        <v>2020</v>
      </c>
      <c r="F262" s="168" t="s">
        <v>592</v>
      </c>
      <c r="G262" s="168" t="s">
        <v>612</v>
      </c>
      <c r="H262" s="168" t="s">
        <v>608</v>
      </c>
      <c r="I262">
        <v>1313.1197866945731</v>
      </c>
    </row>
    <row r="263" spans="1:9" x14ac:dyDescent="0.3">
      <c r="A263">
        <v>30</v>
      </c>
      <c r="B263" s="168" t="s">
        <v>43</v>
      </c>
      <c r="C263" s="168" t="s">
        <v>44</v>
      </c>
      <c r="D263">
        <v>235.9</v>
      </c>
      <c r="E263">
        <v>2020</v>
      </c>
      <c r="F263" s="168" t="s">
        <v>592</v>
      </c>
      <c r="G263" s="168" t="s">
        <v>612</v>
      </c>
      <c r="H263" s="168" t="s">
        <v>609</v>
      </c>
      <c r="I263">
        <v>1410.2906509099714</v>
      </c>
    </row>
    <row r="264" spans="1:9" x14ac:dyDescent="0.3">
      <c r="A264">
        <v>30</v>
      </c>
      <c r="B264" s="168" t="s">
        <v>43</v>
      </c>
      <c r="C264" s="168" t="s">
        <v>44</v>
      </c>
      <c r="D264">
        <v>235.9</v>
      </c>
      <c r="E264">
        <v>2020</v>
      </c>
      <c r="F264" s="168" t="s">
        <v>592</v>
      </c>
      <c r="G264" s="168" t="s">
        <v>617</v>
      </c>
      <c r="H264" s="168" t="s">
        <v>608</v>
      </c>
      <c r="I264">
        <v>0</v>
      </c>
    </row>
    <row r="265" spans="1:9" x14ac:dyDescent="0.3">
      <c r="A265">
        <v>30</v>
      </c>
      <c r="B265" s="168" t="s">
        <v>43</v>
      </c>
      <c r="C265" s="168" t="s">
        <v>44</v>
      </c>
      <c r="D265">
        <v>235.9</v>
      </c>
      <c r="E265">
        <v>2020</v>
      </c>
      <c r="F265" s="168" t="s">
        <v>592</v>
      </c>
      <c r="G265" s="168" t="s">
        <v>617</v>
      </c>
      <c r="H265" s="168" t="s">
        <v>609</v>
      </c>
      <c r="I265">
        <v>330.90618624703245</v>
      </c>
    </row>
    <row r="266" spans="1:9" x14ac:dyDescent="0.3">
      <c r="A266">
        <v>30</v>
      </c>
      <c r="B266" s="168" t="s">
        <v>43</v>
      </c>
      <c r="C266" s="168" t="s">
        <v>44</v>
      </c>
      <c r="D266">
        <v>235.9</v>
      </c>
      <c r="E266">
        <v>2020</v>
      </c>
      <c r="F266" s="168" t="s">
        <v>592</v>
      </c>
      <c r="G266" s="168" t="s">
        <v>610</v>
      </c>
      <c r="H266" s="168" t="s">
        <v>608</v>
      </c>
      <c r="I266">
        <v>0</v>
      </c>
    </row>
    <row r="267" spans="1:9" x14ac:dyDescent="0.3">
      <c r="A267">
        <v>30</v>
      </c>
      <c r="B267" s="168" t="s">
        <v>43</v>
      </c>
      <c r="C267" s="168" t="s">
        <v>44</v>
      </c>
      <c r="D267">
        <v>235.9</v>
      </c>
      <c r="E267">
        <v>2020</v>
      </c>
      <c r="F267" s="168" t="s">
        <v>592</v>
      </c>
      <c r="G267" s="168" t="s">
        <v>610</v>
      </c>
      <c r="H267" s="168" t="s">
        <v>609</v>
      </c>
      <c r="I267">
        <v>3272.7272727272725</v>
      </c>
    </row>
    <row r="268" spans="1:9" x14ac:dyDescent="0.3">
      <c r="A268">
        <v>30</v>
      </c>
      <c r="B268" s="168" t="s">
        <v>43</v>
      </c>
      <c r="C268" s="168" t="s">
        <v>44</v>
      </c>
      <c r="D268">
        <v>235.9</v>
      </c>
      <c r="E268">
        <v>2020</v>
      </c>
      <c r="F268" s="168" t="s">
        <v>592</v>
      </c>
      <c r="G268" s="168" t="s">
        <v>611</v>
      </c>
      <c r="H268" s="168" t="s">
        <v>608</v>
      </c>
      <c r="I268">
        <v>0</v>
      </c>
    </row>
    <row r="269" spans="1:9" x14ac:dyDescent="0.3">
      <c r="A269">
        <v>30</v>
      </c>
      <c r="B269" s="168" t="s">
        <v>43</v>
      </c>
      <c r="C269" s="168" t="s">
        <v>44</v>
      </c>
      <c r="D269">
        <v>235.9</v>
      </c>
      <c r="E269">
        <v>2020</v>
      </c>
      <c r="F269" s="168" t="s">
        <v>592</v>
      </c>
      <c r="G269" s="168" t="s">
        <v>611</v>
      </c>
      <c r="H269" s="168" t="s">
        <v>609</v>
      </c>
      <c r="I269">
        <v>7010</v>
      </c>
    </row>
    <row r="270" spans="1:9" x14ac:dyDescent="0.3">
      <c r="A270">
        <v>30</v>
      </c>
      <c r="B270" s="168" t="s">
        <v>43</v>
      </c>
      <c r="C270" s="168" t="s">
        <v>44</v>
      </c>
      <c r="D270">
        <v>235.9</v>
      </c>
      <c r="E270">
        <v>2020</v>
      </c>
      <c r="F270" s="168" t="s">
        <v>592</v>
      </c>
      <c r="G270" s="168" t="s">
        <v>621</v>
      </c>
      <c r="H270" s="168" t="s">
        <v>608</v>
      </c>
      <c r="I270">
        <v>0</v>
      </c>
    </row>
    <row r="271" spans="1:9" x14ac:dyDescent="0.3">
      <c r="A271">
        <v>30</v>
      </c>
      <c r="B271" s="168" t="s">
        <v>43</v>
      </c>
      <c r="C271" s="168" t="s">
        <v>44</v>
      </c>
      <c r="D271">
        <v>235.9</v>
      </c>
      <c r="E271">
        <v>2020</v>
      </c>
      <c r="F271" s="168" t="s">
        <v>592</v>
      </c>
      <c r="G271" s="168" t="s">
        <v>621</v>
      </c>
      <c r="H271" s="168" t="s">
        <v>609</v>
      </c>
      <c r="I271">
        <v>24014.198710502136</v>
      </c>
    </row>
    <row r="272" spans="1:9" x14ac:dyDescent="0.3">
      <c r="A272">
        <v>30</v>
      </c>
      <c r="B272" s="168" t="s">
        <v>43</v>
      </c>
      <c r="C272" s="168" t="s">
        <v>44</v>
      </c>
      <c r="D272">
        <v>235.9</v>
      </c>
      <c r="E272">
        <v>2020</v>
      </c>
      <c r="F272" s="168" t="s">
        <v>592</v>
      </c>
      <c r="G272" s="168" t="s">
        <v>613</v>
      </c>
      <c r="H272" s="168" t="s">
        <v>608</v>
      </c>
      <c r="I272">
        <v>667.99756473969614</v>
      </c>
    </row>
    <row r="273" spans="1:9" x14ac:dyDescent="0.3">
      <c r="A273">
        <v>30</v>
      </c>
      <c r="B273" s="168" t="s">
        <v>43</v>
      </c>
      <c r="C273" s="168" t="s">
        <v>44</v>
      </c>
      <c r="D273">
        <v>235.9</v>
      </c>
      <c r="E273">
        <v>2020</v>
      </c>
      <c r="F273" s="168" t="s">
        <v>592</v>
      </c>
      <c r="G273" s="168" t="s">
        <v>613</v>
      </c>
      <c r="H273" s="168" t="s">
        <v>609</v>
      </c>
      <c r="I273">
        <v>14662.546546036332</v>
      </c>
    </row>
    <row r="274" spans="1:9" hidden="1" x14ac:dyDescent="0.3">
      <c r="A274">
        <v>31</v>
      </c>
      <c r="B274" s="168" t="s">
        <v>45</v>
      </c>
      <c r="C274" s="168" t="s">
        <v>46</v>
      </c>
      <c r="D274">
        <v>173.4</v>
      </c>
      <c r="E274">
        <v>2020</v>
      </c>
      <c r="F274" s="168" t="s">
        <v>593</v>
      </c>
      <c r="G274" s="168" t="s">
        <v>607</v>
      </c>
      <c r="H274" s="168" t="s">
        <v>608</v>
      </c>
      <c r="I274">
        <v>0</v>
      </c>
    </row>
    <row r="275" spans="1:9" hidden="1" x14ac:dyDescent="0.3">
      <c r="A275">
        <v>31</v>
      </c>
      <c r="B275" s="168" t="s">
        <v>45</v>
      </c>
      <c r="C275" s="168" t="s">
        <v>46</v>
      </c>
      <c r="D275">
        <v>173.4</v>
      </c>
      <c r="E275">
        <v>2020</v>
      </c>
      <c r="F275" s="168" t="s">
        <v>593</v>
      </c>
      <c r="G275" s="168" t="s">
        <v>607</v>
      </c>
      <c r="H275" s="168" t="s">
        <v>609</v>
      </c>
      <c r="I275">
        <v>15097.826962979596</v>
      </c>
    </row>
    <row r="276" spans="1:9" hidden="1" x14ac:dyDescent="0.3">
      <c r="A276">
        <v>31</v>
      </c>
      <c r="B276" s="168" t="s">
        <v>45</v>
      </c>
      <c r="C276" s="168" t="s">
        <v>46</v>
      </c>
      <c r="D276">
        <v>173.4</v>
      </c>
      <c r="E276">
        <v>2020</v>
      </c>
      <c r="F276" s="168" t="s">
        <v>593</v>
      </c>
      <c r="G276" s="168" t="s">
        <v>612</v>
      </c>
      <c r="H276" s="168" t="s">
        <v>608</v>
      </c>
      <c r="I276">
        <v>965.2181899654048</v>
      </c>
    </row>
    <row r="277" spans="1:9" hidden="1" x14ac:dyDescent="0.3">
      <c r="A277">
        <v>31</v>
      </c>
      <c r="B277" s="168" t="s">
        <v>45</v>
      </c>
      <c r="C277" s="168" t="s">
        <v>46</v>
      </c>
      <c r="D277">
        <v>173.4</v>
      </c>
      <c r="E277">
        <v>2020</v>
      </c>
      <c r="F277" s="168" t="s">
        <v>593</v>
      </c>
      <c r="G277" s="168" t="s">
        <v>612</v>
      </c>
      <c r="H277" s="168" t="s">
        <v>609</v>
      </c>
      <c r="I277">
        <v>1036.6443360228448</v>
      </c>
    </row>
    <row r="278" spans="1:9" hidden="1" x14ac:dyDescent="0.3">
      <c r="A278">
        <v>31</v>
      </c>
      <c r="B278" s="168" t="s">
        <v>45</v>
      </c>
      <c r="C278" s="168" t="s">
        <v>46</v>
      </c>
      <c r="D278">
        <v>173.4</v>
      </c>
      <c r="E278">
        <v>2020</v>
      </c>
      <c r="F278" s="168" t="s">
        <v>593</v>
      </c>
      <c r="G278" s="168" t="s">
        <v>617</v>
      </c>
      <c r="H278" s="168" t="s">
        <v>608</v>
      </c>
      <c r="I278">
        <v>0</v>
      </c>
    </row>
    <row r="279" spans="1:9" hidden="1" x14ac:dyDescent="0.3">
      <c r="A279">
        <v>31</v>
      </c>
      <c r="B279" s="168" t="s">
        <v>45</v>
      </c>
      <c r="C279" s="168" t="s">
        <v>46</v>
      </c>
      <c r="D279">
        <v>173.4</v>
      </c>
      <c r="E279">
        <v>2020</v>
      </c>
      <c r="F279" s="168" t="s">
        <v>593</v>
      </c>
      <c r="G279" s="168" t="s">
        <v>617</v>
      </c>
      <c r="H279" s="168" t="s">
        <v>609</v>
      </c>
      <c r="I279">
        <v>243.23498387128203</v>
      </c>
    </row>
    <row r="280" spans="1:9" hidden="1" x14ac:dyDescent="0.3">
      <c r="A280">
        <v>32</v>
      </c>
      <c r="B280" s="168" t="s">
        <v>30</v>
      </c>
      <c r="C280" s="168" t="s">
        <v>47</v>
      </c>
      <c r="D280">
        <v>1971</v>
      </c>
      <c r="E280">
        <v>2020</v>
      </c>
      <c r="F280" s="168" t="s">
        <v>591</v>
      </c>
      <c r="G280" s="168" t="s">
        <v>607</v>
      </c>
      <c r="H280" s="168" t="s">
        <v>608</v>
      </c>
      <c r="I280">
        <v>31969.869492861519</v>
      </c>
    </row>
    <row r="281" spans="1:9" hidden="1" x14ac:dyDescent="0.3">
      <c r="A281">
        <v>32</v>
      </c>
      <c r="B281" s="168" t="s">
        <v>30</v>
      </c>
      <c r="C281" s="168" t="s">
        <v>47</v>
      </c>
      <c r="D281">
        <v>1971</v>
      </c>
      <c r="E281">
        <v>2020</v>
      </c>
      <c r="F281" s="168" t="s">
        <v>591</v>
      </c>
      <c r="G281" s="168" t="s">
        <v>607</v>
      </c>
      <c r="H281" s="168" t="s">
        <v>609</v>
      </c>
      <c r="I281">
        <v>350225.19208641688</v>
      </c>
    </row>
    <row r="282" spans="1:9" hidden="1" x14ac:dyDescent="0.3">
      <c r="A282">
        <v>32</v>
      </c>
      <c r="B282" s="168" t="s">
        <v>30</v>
      </c>
      <c r="C282" s="168" t="s">
        <v>47</v>
      </c>
      <c r="D282">
        <v>1971</v>
      </c>
      <c r="E282">
        <v>2020</v>
      </c>
      <c r="F282" s="168" t="s">
        <v>591</v>
      </c>
      <c r="G282" s="168" t="s">
        <v>612</v>
      </c>
      <c r="H282" s="168" t="s">
        <v>608</v>
      </c>
      <c r="I282">
        <v>10971.424754451054</v>
      </c>
    </row>
    <row r="283" spans="1:9" hidden="1" x14ac:dyDescent="0.3">
      <c r="A283">
        <v>32</v>
      </c>
      <c r="B283" s="168" t="s">
        <v>30</v>
      </c>
      <c r="C283" s="168" t="s">
        <v>47</v>
      </c>
      <c r="D283">
        <v>1971</v>
      </c>
      <c r="E283">
        <v>2020</v>
      </c>
      <c r="F283" s="168" t="s">
        <v>591</v>
      </c>
      <c r="G283" s="168" t="s">
        <v>612</v>
      </c>
      <c r="H283" s="168" t="s">
        <v>609</v>
      </c>
      <c r="I283">
        <v>11783.310186280432</v>
      </c>
    </row>
    <row r="284" spans="1:9" hidden="1" x14ac:dyDescent="0.3">
      <c r="A284">
        <v>32</v>
      </c>
      <c r="B284" s="168" t="s">
        <v>30</v>
      </c>
      <c r="C284" s="168" t="s">
        <v>47</v>
      </c>
      <c r="D284">
        <v>1971</v>
      </c>
      <c r="E284">
        <v>2020</v>
      </c>
      <c r="F284" s="168" t="s">
        <v>591</v>
      </c>
      <c r="G284" s="168" t="s">
        <v>616</v>
      </c>
      <c r="H284" s="168" t="s">
        <v>608</v>
      </c>
      <c r="I284">
        <v>0</v>
      </c>
    </row>
    <row r="285" spans="1:9" hidden="1" x14ac:dyDescent="0.3">
      <c r="A285">
        <v>32</v>
      </c>
      <c r="B285" s="168" t="s">
        <v>30</v>
      </c>
      <c r="C285" s="168" t="s">
        <v>47</v>
      </c>
      <c r="D285">
        <v>1971</v>
      </c>
      <c r="E285">
        <v>2020</v>
      </c>
      <c r="F285" s="168" t="s">
        <v>591</v>
      </c>
      <c r="G285" s="168" t="s">
        <v>616</v>
      </c>
      <c r="H285" s="168" t="s">
        <v>609</v>
      </c>
      <c r="I285">
        <v>8386.8036750804349</v>
      </c>
    </row>
    <row r="286" spans="1:9" hidden="1" x14ac:dyDescent="0.3">
      <c r="A286">
        <v>32</v>
      </c>
      <c r="B286" s="168" t="s">
        <v>30</v>
      </c>
      <c r="C286" s="168" t="s">
        <v>47</v>
      </c>
      <c r="D286">
        <v>1971</v>
      </c>
      <c r="E286">
        <v>2020</v>
      </c>
      <c r="F286" s="168" t="s">
        <v>591</v>
      </c>
      <c r="G286" s="168" t="s">
        <v>617</v>
      </c>
      <c r="H286" s="168" t="s">
        <v>608</v>
      </c>
      <c r="I286">
        <v>0</v>
      </c>
    </row>
    <row r="287" spans="1:9" hidden="1" x14ac:dyDescent="0.3">
      <c r="A287">
        <v>32</v>
      </c>
      <c r="B287" s="168" t="s">
        <v>30</v>
      </c>
      <c r="C287" s="168" t="s">
        <v>47</v>
      </c>
      <c r="D287">
        <v>1971</v>
      </c>
      <c r="E287">
        <v>2020</v>
      </c>
      <c r="F287" s="168" t="s">
        <v>591</v>
      </c>
      <c r="G287" s="168" t="s">
        <v>617</v>
      </c>
      <c r="H287" s="168" t="s">
        <v>609</v>
      </c>
      <c r="I287">
        <v>2764.7990381216655</v>
      </c>
    </row>
    <row r="288" spans="1:9" hidden="1" x14ac:dyDescent="0.3">
      <c r="A288">
        <v>32</v>
      </c>
      <c r="B288" s="168" t="s">
        <v>30</v>
      </c>
      <c r="C288" s="168" t="s">
        <v>47</v>
      </c>
      <c r="D288">
        <v>1971</v>
      </c>
      <c r="E288">
        <v>2020</v>
      </c>
      <c r="F288" s="168" t="s">
        <v>591</v>
      </c>
      <c r="G288" s="168" t="s">
        <v>610</v>
      </c>
      <c r="H288" s="168" t="s">
        <v>608</v>
      </c>
      <c r="I288">
        <v>0</v>
      </c>
    </row>
    <row r="289" spans="1:9" hidden="1" x14ac:dyDescent="0.3">
      <c r="A289">
        <v>32</v>
      </c>
      <c r="B289" s="168" t="s">
        <v>30</v>
      </c>
      <c r="C289" s="168" t="s">
        <v>47</v>
      </c>
      <c r="D289">
        <v>1971</v>
      </c>
      <c r="E289">
        <v>2020</v>
      </c>
      <c r="F289" s="168" t="s">
        <v>591</v>
      </c>
      <c r="G289" s="168" t="s">
        <v>610</v>
      </c>
      <c r="H289" s="168" t="s">
        <v>609</v>
      </c>
      <c r="I289">
        <v>6545.454545454545</v>
      </c>
    </row>
    <row r="290" spans="1:9" hidden="1" x14ac:dyDescent="0.3">
      <c r="A290">
        <v>32</v>
      </c>
      <c r="B290" s="168" t="s">
        <v>30</v>
      </c>
      <c r="C290" s="168" t="s">
        <v>47</v>
      </c>
      <c r="D290">
        <v>1971</v>
      </c>
      <c r="E290">
        <v>2020</v>
      </c>
      <c r="F290" s="168" t="s">
        <v>591</v>
      </c>
      <c r="G290" s="168" t="s">
        <v>620</v>
      </c>
      <c r="H290" s="168" t="s">
        <v>608</v>
      </c>
      <c r="I290">
        <v>8870.3537715505117</v>
      </c>
    </row>
    <row r="291" spans="1:9" hidden="1" x14ac:dyDescent="0.3">
      <c r="A291">
        <v>32</v>
      </c>
      <c r="B291" s="168" t="s">
        <v>30</v>
      </c>
      <c r="C291" s="168" t="s">
        <v>47</v>
      </c>
      <c r="D291">
        <v>1971</v>
      </c>
      <c r="E291">
        <v>2020</v>
      </c>
      <c r="F291" s="168" t="s">
        <v>591</v>
      </c>
      <c r="G291" s="168" t="s">
        <v>620</v>
      </c>
      <c r="H291" s="168" t="s">
        <v>609</v>
      </c>
      <c r="I291">
        <v>960.95499191797205</v>
      </c>
    </row>
    <row r="292" spans="1:9" hidden="1" x14ac:dyDescent="0.3">
      <c r="A292">
        <v>32</v>
      </c>
      <c r="B292" s="168" t="s">
        <v>30</v>
      </c>
      <c r="C292" s="168" t="s">
        <v>47</v>
      </c>
      <c r="D292">
        <v>1971</v>
      </c>
      <c r="E292">
        <v>2020</v>
      </c>
      <c r="F292" s="168" t="s">
        <v>591</v>
      </c>
      <c r="G292" s="168" t="s">
        <v>633</v>
      </c>
      <c r="H292" s="168" t="s">
        <v>608</v>
      </c>
      <c r="I292">
        <v>10670.396102138411</v>
      </c>
    </row>
    <row r="293" spans="1:9" hidden="1" x14ac:dyDescent="0.3">
      <c r="A293">
        <v>32</v>
      </c>
      <c r="B293" s="168" t="s">
        <v>30</v>
      </c>
      <c r="C293" s="168" t="s">
        <v>47</v>
      </c>
      <c r="D293">
        <v>1971</v>
      </c>
      <c r="E293">
        <v>2020</v>
      </c>
      <c r="F293" s="168" t="s">
        <v>591</v>
      </c>
      <c r="G293" s="168" t="s">
        <v>633</v>
      </c>
      <c r="H293" s="168" t="s">
        <v>609</v>
      </c>
      <c r="I293">
        <v>5140.7550144521329</v>
      </c>
    </row>
    <row r="294" spans="1:9" hidden="1" x14ac:dyDescent="0.3">
      <c r="A294">
        <v>32</v>
      </c>
      <c r="B294" s="168" t="s">
        <v>30</v>
      </c>
      <c r="C294" s="168" t="s">
        <v>47</v>
      </c>
      <c r="D294">
        <v>1971</v>
      </c>
      <c r="E294">
        <v>2020</v>
      </c>
      <c r="F294" s="168" t="s">
        <v>591</v>
      </c>
      <c r="G294" s="168" t="s">
        <v>613</v>
      </c>
      <c r="H294" s="168" t="s">
        <v>608</v>
      </c>
      <c r="I294">
        <v>5581.2768126407</v>
      </c>
    </row>
    <row r="295" spans="1:9" hidden="1" x14ac:dyDescent="0.3">
      <c r="A295">
        <v>32</v>
      </c>
      <c r="B295" s="168" t="s">
        <v>30</v>
      </c>
      <c r="C295" s="168" t="s">
        <v>47</v>
      </c>
      <c r="D295">
        <v>1971</v>
      </c>
      <c r="E295">
        <v>2020</v>
      </c>
      <c r="F295" s="168" t="s">
        <v>591</v>
      </c>
      <c r="G295" s="168" t="s">
        <v>613</v>
      </c>
      <c r="H295" s="168" t="s">
        <v>609</v>
      </c>
      <c r="I295">
        <v>122509.02603746337</v>
      </c>
    </row>
    <row r="296" spans="1:9" hidden="1" x14ac:dyDescent="0.3">
      <c r="A296">
        <v>33</v>
      </c>
      <c r="B296" s="168" t="s">
        <v>48</v>
      </c>
      <c r="C296" s="168" t="s">
        <v>49</v>
      </c>
      <c r="D296">
        <v>126.6</v>
      </c>
      <c r="E296">
        <v>2020</v>
      </c>
      <c r="F296" s="168" t="s">
        <v>593</v>
      </c>
      <c r="G296" s="168" t="s">
        <v>607</v>
      </c>
      <c r="H296" s="168" t="s">
        <v>608</v>
      </c>
      <c r="I296">
        <v>0</v>
      </c>
    </row>
    <row r="297" spans="1:9" hidden="1" x14ac:dyDescent="0.3">
      <c r="A297">
        <v>33</v>
      </c>
      <c r="B297" s="168" t="s">
        <v>48</v>
      </c>
      <c r="C297" s="168" t="s">
        <v>49</v>
      </c>
      <c r="D297">
        <v>126.6</v>
      </c>
      <c r="E297">
        <v>2020</v>
      </c>
      <c r="F297" s="168" t="s">
        <v>593</v>
      </c>
      <c r="G297" s="168" t="s">
        <v>607</v>
      </c>
      <c r="H297" s="168" t="s">
        <v>609</v>
      </c>
      <c r="I297">
        <v>11022.980931448788</v>
      </c>
    </row>
    <row r="298" spans="1:9" hidden="1" x14ac:dyDescent="0.3">
      <c r="A298">
        <v>33</v>
      </c>
      <c r="B298" s="168" t="s">
        <v>48</v>
      </c>
      <c r="C298" s="168" t="s">
        <v>49</v>
      </c>
      <c r="D298">
        <v>126.6</v>
      </c>
      <c r="E298">
        <v>2020</v>
      </c>
      <c r="F298" s="168" t="s">
        <v>593</v>
      </c>
      <c r="G298" s="168" t="s">
        <v>612</v>
      </c>
      <c r="H298" s="168" t="s">
        <v>608</v>
      </c>
      <c r="I298">
        <v>704.70947433460333</v>
      </c>
    </row>
    <row r="299" spans="1:9" hidden="1" x14ac:dyDescent="0.3">
      <c r="A299">
        <v>33</v>
      </c>
      <c r="B299" s="168" t="s">
        <v>48</v>
      </c>
      <c r="C299" s="168" t="s">
        <v>49</v>
      </c>
      <c r="D299">
        <v>126.6</v>
      </c>
      <c r="E299">
        <v>2020</v>
      </c>
      <c r="F299" s="168" t="s">
        <v>593</v>
      </c>
      <c r="G299" s="168" t="s">
        <v>612</v>
      </c>
      <c r="H299" s="168" t="s">
        <v>609</v>
      </c>
      <c r="I299">
        <v>756.85797543536398</v>
      </c>
    </row>
    <row r="300" spans="1:9" hidden="1" x14ac:dyDescent="0.3">
      <c r="A300">
        <v>33</v>
      </c>
      <c r="B300" s="168" t="s">
        <v>48</v>
      </c>
      <c r="C300" s="168" t="s">
        <v>49</v>
      </c>
      <c r="D300">
        <v>126.6</v>
      </c>
      <c r="E300">
        <v>2020</v>
      </c>
      <c r="F300" s="168" t="s">
        <v>593</v>
      </c>
      <c r="G300" s="168" t="s">
        <v>617</v>
      </c>
      <c r="H300" s="168" t="s">
        <v>608</v>
      </c>
      <c r="I300">
        <v>0</v>
      </c>
    </row>
    <row r="301" spans="1:9" hidden="1" x14ac:dyDescent="0.3">
      <c r="A301">
        <v>33</v>
      </c>
      <c r="B301" s="168" t="s">
        <v>48</v>
      </c>
      <c r="C301" s="168" t="s">
        <v>49</v>
      </c>
      <c r="D301">
        <v>126.6</v>
      </c>
      <c r="E301">
        <v>2020</v>
      </c>
      <c r="F301" s="168" t="s">
        <v>593</v>
      </c>
      <c r="G301" s="168" t="s">
        <v>617</v>
      </c>
      <c r="H301" s="168" t="s">
        <v>609</v>
      </c>
      <c r="I301">
        <v>177.58678753232007</v>
      </c>
    </row>
    <row r="302" spans="1:9" hidden="1" x14ac:dyDescent="0.3">
      <c r="A302">
        <v>34</v>
      </c>
      <c r="B302" s="168" t="s">
        <v>48</v>
      </c>
      <c r="C302" s="168" t="s">
        <v>50</v>
      </c>
      <c r="D302">
        <v>71</v>
      </c>
      <c r="E302">
        <v>2020</v>
      </c>
      <c r="F302" s="168" t="s">
        <v>593</v>
      </c>
      <c r="G302" s="168" t="s">
        <v>607</v>
      </c>
      <c r="H302" s="168" t="s">
        <v>608</v>
      </c>
      <c r="I302">
        <v>0</v>
      </c>
    </row>
    <row r="303" spans="1:9" hidden="1" x14ac:dyDescent="0.3">
      <c r="A303">
        <v>34</v>
      </c>
      <c r="B303" s="168" t="s">
        <v>48</v>
      </c>
      <c r="C303" s="168" t="s">
        <v>50</v>
      </c>
      <c r="D303">
        <v>71</v>
      </c>
      <c r="E303">
        <v>2020</v>
      </c>
      <c r="F303" s="168" t="s">
        <v>593</v>
      </c>
      <c r="G303" s="168" t="s">
        <v>607</v>
      </c>
      <c r="H303" s="168" t="s">
        <v>609</v>
      </c>
      <c r="I303">
        <v>6181.9245350147103</v>
      </c>
    </row>
    <row r="304" spans="1:9" hidden="1" x14ac:dyDescent="0.3">
      <c r="A304">
        <v>34</v>
      </c>
      <c r="B304" s="168" t="s">
        <v>48</v>
      </c>
      <c r="C304" s="168" t="s">
        <v>50</v>
      </c>
      <c r="D304">
        <v>71</v>
      </c>
      <c r="E304">
        <v>2020</v>
      </c>
      <c r="F304" s="168" t="s">
        <v>593</v>
      </c>
      <c r="G304" s="168" t="s">
        <v>612</v>
      </c>
      <c r="H304" s="168" t="s">
        <v>608</v>
      </c>
      <c r="I304">
        <v>395.21621388433527</v>
      </c>
    </row>
    <row r="305" spans="1:9" hidden="1" x14ac:dyDescent="0.3">
      <c r="A305">
        <v>34</v>
      </c>
      <c r="B305" s="168" t="s">
        <v>48</v>
      </c>
      <c r="C305" s="168" t="s">
        <v>50</v>
      </c>
      <c r="D305">
        <v>71</v>
      </c>
      <c r="E305">
        <v>2020</v>
      </c>
      <c r="F305" s="168" t="s">
        <v>593</v>
      </c>
      <c r="G305" s="168" t="s">
        <v>612</v>
      </c>
      <c r="H305" s="168" t="s">
        <v>609</v>
      </c>
      <c r="I305">
        <v>424.46221371177609</v>
      </c>
    </row>
    <row r="306" spans="1:9" hidden="1" x14ac:dyDescent="0.3">
      <c r="A306">
        <v>34</v>
      </c>
      <c r="B306" s="168" t="s">
        <v>48</v>
      </c>
      <c r="C306" s="168" t="s">
        <v>50</v>
      </c>
      <c r="D306">
        <v>71</v>
      </c>
      <c r="E306">
        <v>2020</v>
      </c>
      <c r="F306" s="168" t="s">
        <v>593</v>
      </c>
      <c r="G306" s="168" t="s">
        <v>617</v>
      </c>
      <c r="H306" s="168" t="s">
        <v>608</v>
      </c>
      <c r="I306">
        <v>0</v>
      </c>
    </row>
    <row r="307" spans="1:9" hidden="1" x14ac:dyDescent="0.3">
      <c r="A307">
        <v>34</v>
      </c>
      <c r="B307" s="168" t="s">
        <v>48</v>
      </c>
      <c r="C307" s="168" t="s">
        <v>50</v>
      </c>
      <c r="D307">
        <v>71</v>
      </c>
      <c r="E307">
        <v>2020</v>
      </c>
      <c r="F307" s="168" t="s">
        <v>593</v>
      </c>
      <c r="G307" s="168" t="s">
        <v>617</v>
      </c>
      <c r="H307" s="168" t="s">
        <v>609</v>
      </c>
      <c r="I307">
        <v>99.594485898852497</v>
      </c>
    </row>
    <row r="308" spans="1:9" hidden="1" x14ac:dyDescent="0.3">
      <c r="A308">
        <v>35</v>
      </c>
      <c r="B308" s="168" t="s">
        <v>48</v>
      </c>
      <c r="C308" s="168" t="s">
        <v>51</v>
      </c>
      <c r="D308">
        <v>34.700000000000003</v>
      </c>
      <c r="E308">
        <v>2020</v>
      </c>
      <c r="F308" s="168" t="s">
        <v>593</v>
      </c>
      <c r="G308" s="168" t="s">
        <v>607</v>
      </c>
      <c r="H308" s="168" t="s">
        <v>608</v>
      </c>
      <c r="I308">
        <v>0</v>
      </c>
    </row>
    <row r="309" spans="1:9" hidden="1" x14ac:dyDescent="0.3">
      <c r="A309">
        <v>35</v>
      </c>
      <c r="B309" s="168" t="s">
        <v>48</v>
      </c>
      <c r="C309" s="168" t="s">
        <v>51</v>
      </c>
      <c r="D309">
        <v>34.700000000000003</v>
      </c>
      <c r="E309">
        <v>2020</v>
      </c>
      <c r="F309" s="168" t="s">
        <v>593</v>
      </c>
      <c r="G309" s="168" t="s">
        <v>607</v>
      </c>
      <c r="H309" s="168" t="s">
        <v>609</v>
      </c>
      <c r="I309">
        <v>3021.3067797888698</v>
      </c>
    </row>
    <row r="310" spans="1:9" hidden="1" x14ac:dyDescent="0.3">
      <c r="A310">
        <v>35</v>
      </c>
      <c r="B310" s="168" t="s">
        <v>48</v>
      </c>
      <c r="C310" s="168" t="s">
        <v>51</v>
      </c>
      <c r="D310">
        <v>34.700000000000003</v>
      </c>
      <c r="E310">
        <v>2020</v>
      </c>
      <c r="F310" s="168" t="s">
        <v>593</v>
      </c>
      <c r="G310" s="168" t="s">
        <v>612</v>
      </c>
      <c r="H310" s="168" t="s">
        <v>608</v>
      </c>
      <c r="I310">
        <v>193.15496650403429</v>
      </c>
    </row>
    <row r="311" spans="1:9" hidden="1" x14ac:dyDescent="0.3">
      <c r="A311">
        <v>35</v>
      </c>
      <c r="B311" s="168" t="s">
        <v>48</v>
      </c>
      <c r="C311" s="168" t="s">
        <v>51</v>
      </c>
      <c r="D311">
        <v>34.700000000000003</v>
      </c>
      <c r="E311">
        <v>2020</v>
      </c>
      <c r="F311" s="168" t="s">
        <v>593</v>
      </c>
      <c r="G311" s="168" t="s">
        <v>612</v>
      </c>
      <c r="H311" s="168" t="s">
        <v>609</v>
      </c>
      <c r="I311">
        <v>207.44843402533283</v>
      </c>
    </row>
    <row r="312" spans="1:9" hidden="1" x14ac:dyDescent="0.3">
      <c r="A312">
        <v>35</v>
      </c>
      <c r="B312" s="168" t="s">
        <v>48</v>
      </c>
      <c r="C312" s="168" t="s">
        <v>51</v>
      </c>
      <c r="D312">
        <v>34.700000000000003</v>
      </c>
      <c r="E312">
        <v>2020</v>
      </c>
      <c r="F312" s="168" t="s">
        <v>593</v>
      </c>
      <c r="G312" s="168" t="s">
        <v>617</v>
      </c>
      <c r="H312" s="168" t="s">
        <v>608</v>
      </c>
      <c r="I312">
        <v>0</v>
      </c>
    </row>
    <row r="313" spans="1:9" hidden="1" x14ac:dyDescent="0.3">
      <c r="A313">
        <v>35</v>
      </c>
      <c r="B313" s="168" t="s">
        <v>48</v>
      </c>
      <c r="C313" s="168" t="s">
        <v>51</v>
      </c>
      <c r="D313">
        <v>34.700000000000003</v>
      </c>
      <c r="E313">
        <v>2020</v>
      </c>
      <c r="F313" s="168" t="s">
        <v>593</v>
      </c>
      <c r="G313" s="168" t="s">
        <v>617</v>
      </c>
      <c r="H313" s="168" t="s">
        <v>609</v>
      </c>
      <c r="I313">
        <v>48.675051559016644</v>
      </c>
    </row>
    <row r="314" spans="1:9" hidden="1" x14ac:dyDescent="0.3">
      <c r="A314">
        <v>36</v>
      </c>
      <c r="B314" s="168" t="s">
        <v>48</v>
      </c>
      <c r="C314" s="168" t="s">
        <v>52</v>
      </c>
      <c r="D314">
        <v>97</v>
      </c>
      <c r="E314">
        <v>2020</v>
      </c>
      <c r="F314" s="168" t="s">
        <v>593</v>
      </c>
      <c r="G314" s="168" t="s">
        <v>607</v>
      </c>
      <c r="H314" s="168" t="s">
        <v>608</v>
      </c>
      <c r="I314">
        <v>0</v>
      </c>
    </row>
    <row r="315" spans="1:9" hidden="1" x14ac:dyDescent="0.3">
      <c r="A315">
        <v>36</v>
      </c>
      <c r="B315" s="168" t="s">
        <v>48</v>
      </c>
      <c r="C315" s="168" t="s">
        <v>52</v>
      </c>
      <c r="D315">
        <v>97</v>
      </c>
      <c r="E315">
        <v>2020</v>
      </c>
      <c r="F315" s="168" t="s">
        <v>593</v>
      </c>
      <c r="G315" s="168" t="s">
        <v>607</v>
      </c>
      <c r="H315" s="168" t="s">
        <v>609</v>
      </c>
      <c r="I315">
        <v>8445.7278858651644</v>
      </c>
    </row>
    <row r="316" spans="1:9" hidden="1" x14ac:dyDescent="0.3">
      <c r="A316">
        <v>36</v>
      </c>
      <c r="B316" s="168" t="s">
        <v>48</v>
      </c>
      <c r="C316" s="168" t="s">
        <v>52</v>
      </c>
      <c r="D316">
        <v>97</v>
      </c>
      <c r="E316">
        <v>2020</v>
      </c>
      <c r="F316" s="168" t="s">
        <v>593</v>
      </c>
      <c r="G316" s="168" t="s">
        <v>612</v>
      </c>
      <c r="H316" s="168" t="s">
        <v>608</v>
      </c>
      <c r="I316">
        <v>539.9432781236693</v>
      </c>
    </row>
    <row r="317" spans="1:9" hidden="1" x14ac:dyDescent="0.3">
      <c r="A317">
        <v>36</v>
      </c>
      <c r="B317" s="168" t="s">
        <v>48</v>
      </c>
      <c r="C317" s="168" t="s">
        <v>52</v>
      </c>
      <c r="D317">
        <v>97</v>
      </c>
      <c r="E317">
        <v>2020</v>
      </c>
      <c r="F317" s="168" t="s">
        <v>593</v>
      </c>
      <c r="G317" s="168" t="s">
        <v>612</v>
      </c>
      <c r="H317" s="168" t="s">
        <v>609</v>
      </c>
      <c r="I317">
        <v>579.89908070482079</v>
      </c>
    </row>
    <row r="318" spans="1:9" hidden="1" x14ac:dyDescent="0.3">
      <c r="A318">
        <v>36</v>
      </c>
      <c r="B318" s="168" t="s">
        <v>48</v>
      </c>
      <c r="C318" s="168" t="s">
        <v>52</v>
      </c>
      <c r="D318">
        <v>97</v>
      </c>
      <c r="E318">
        <v>2020</v>
      </c>
      <c r="F318" s="168" t="s">
        <v>593</v>
      </c>
      <c r="G318" s="168" t="s">
        <v>617</v>
      </c>
      <c r="H318" s="168" t="s">
        <v>608</v>
      </c>
      <c r="I318">
        <v>0</v>
      </c>
    </row>
    <row r="319" spans="1:9" hidden="1" x14ac:dyDescent="0.3">
      <c r="A319">
        <v>36</v>
      </c>
      <c r="B319" s="168" t="s">
        <v>48</v>
      </c>
      <c r="C319" s="168" t="s">
        <v>52</v>
      </c>
      <c r="D319">
        <v>97</v>
      </c>
      <c r="E319">
        <v>2020</v>
      </c>
      <c r="F319" s="168" t="s">
        <v>593</v>
      </c>
      <c r="G319" s="168" t="s">
        <v>617</v>
      </c>
      <c r="H319" s="168" t="s">
        <v>609</v>
      </c>
      <c r="I319">
        <v>136.06570608716467</v>
      </c>
    </row>
    <row r="320" spans="1:9" hidden="1" x14ac:dyDescent="0.3">
      <c r="A320">
        <v>37</v>
      </c>
      <c r="B320" s="168" t="s">
        <v>53</v>
      </c>
      <c r="C320" s="168" t="s">
        <v>54</v>
      </c>
      <c r="D320">
        <v>971.9</v>
      </c>
      <c r="E320">
        <v>2020</v>
      </c>
      <c r="F320" s="168" t="s">
        <v>591</v>
      </c>
      <c r="G320" s="168" t="s">
        <v>607</v>
      </c>
      <c r="H320" s="168" t="s">
        <v>608</v>
      </c>
      <c r="I320">
        <v>456458.55670103087</v>
      </c>
    </row>
    <row r="321" spans="1:9" hidden="1" x14ac:dyDescent="0.3">
      <c r="A321">
        <v>37</v>
      </c>
      <c r="B321" s="168" t="s">
        <v>53</v>
      </c>
      <c r="C321" s="168" t="s">
        <v>54</v>
      </c>
      <c r="D321">
        <v>971.9</v>
      </c>
      <c r="E321">
        <v>2020</v>
      </c>
      <c r="F321" s="168" t="s">
        <v>591</v>
      </c>
      <c r="G321" s="168" t="s">
        <v>607</v>
      </c>
      <c r="H321" s="168" t="s">
        <v>609</v>
      </c>
      <c r="I321">
        <v>1237103.556701031</v>
      </c>
    </row>
    <row r="322" spans="1:9" hidden="1" x14ac:dyDescent="0.3">
      <c r="A322">
        <v>37</v>
      </c>
      <c r="B322" s="168" t="s">
        <v>53</v>
      </c>
      <c r="C322" s="168" t="s">
        <v>54</v>
      </c>
      <c r="D322">
        <v>971.9</v>
      </c>
      <c r="E322">
        <v>2020</v>
      </c>
      <c r="F322" s="168" t="s">
        <v>591</v>
      </c>
      <c r="G322" s="168" t="s">
        <v>616</v>
      </c>
      <c r="H322" s="168" t="s">
        <v>608</v>
      </c>
      <c r="I322">
        <v>86756.364167525506</v>
      </c>
    </row>
    <row r="323" spans="1:9" hidden="1" x14ac:dyDescent="0.3">
      <c r="A323">
        <v>37</v>
      </c>
      <c r="B323" s="168" t="s">
        <v>53</v>
      </c>
      <c r="C323" s="168" t="s">
        <v>54</v>
      </c>
      <c r="D323">
        <v>971.9</v>
      </c>
      <c r="E323">
        <v>2020</v>
      </c>
      <c r="F323" s="168" t="s">
        <v>591</v>
      </c>
      <c r="G323" s="168" t="s">
        <v>616</v>
      </c>
      <c r="H323" s="168" t="s">
        <v>609</v>
      </c>
      <c r="I323">
        <v>385256.36416752549</v>
      </c>
    </row>
    <row r="324" spans="1:9" hidden="1" x14ac:dyDescent="0.3">
      <c r="A324">
        <v>37</v>
      </c>
      <c r="B324" s="168" t="s">
        <v>53</v>
      </c>
      <c r="C324" s="168" t="s">
        <v>54</v>
      </c>
      <c r="D324">
        <v>971.9</v>
      </c>
      <c r="E324">
        <v>2020</v>
      </c>
      <c r="F324" s="168" t="s">
        <v>591</v>
      </c>
      <c r="G324" s="168" t="s">
        <v>617</v>
      </c>
      <c r="H324" s="168" t="s">
        <v>608</v>
      </c>
      <c r="I324">
        <v>5970</v>
      </c>
    </row>
    <row r="325" spans="1:9" hidden="1" x14ac:dyDescent="0.3">
      <c r="A325">
        <v>37</v>
      </c>
      <c r="B325" s="168" t="s">
        <v>53</v>
      </c>
      <c r="C325" s="168" t="s">
        <v>54</v>
      </c>
      <c r="D325">
        <v>971.9</v>
      </c>
      <c r="E325">
        <v>2020</v>
      </c>
      <c r="F325" s="168" t="s">
        <v>591</v>
      </c>
      <c r="G325" s="168" t="s">
        <v>617</v>
      </c>
      <c r="H325" s="168" t="s">
        <v>609</v>
      </c>
      <c r="I325">
        <v>2130</v>
      </c>
    </row>
    <row r="326" spans="1:9" hidden="1" x14ac:dyDescent="0.3">
      <c r="A326">
        <v>37</v>
      </c>
      <c r="B326" s="168" t="s">
        <v>53</v>
      </c>
      <c r="C326" s="168" t="s">
        <v>54</v>
      </c>
      <c r="D326">
        <v>971.9</v>
      </c>
      <c r="E326">
        <v>2020</v>
      </c>
      <c r="F326" s="168" t="s">
        <v>591</v>
      </c>
      <c r="G326" s="168" t="s">
        <v>610</v>
      </c>
      <c r="H326" s="168" t="s">
        <v>608</v>
      </c>
      <c r="I326">
        <v>0</v>
      </c>
    </row>
    <row r="327" spans="1:9" hidden="1" x14ac:dyDescent="0.3">
      <c r="A327">
        <v>37</v>
      </c>
      <c r="B327" s="168" t="s">
        <v>53</v>
      </c>
      <c r="C327" s="168" t="s">
        <v>54</v>
      </c>
      <c r="D327">
        <v>971.9</v>
      </c>
      <c r="E327">
        <v>2020</v>
      </c>
      <c r="F327" s="168" t="s">
        <v>591</v>
      </c>
      <c r="G327" s="168" t="s">
        <v>610</v>
      </c>
      <c r="H327" s="168" t="s">
        <v>609</v>
      </c>
      <c r="I327">
        <v>3272.7272727272725</v>
      </c>
    </row>
    <row r="328" spans="1:9" hidden="1" x14ac:dyDescent="0.3">
      <c r="A328">
        <v>37</v>
      </c>
      <c r="B328" s="168" t="s">
        <v>53</v>
      </c>
      <c r="C328" s="168" t="s">
        <v>54</v>
      </c>
      <c r="D328">
        <v>971.9</v>
      </c>
      <c r="E328">
        <v>2020</v>
      </c>
      <c r="F328" s="168" t="s">
        <v>591</v>
      </c>
      <c r="G328" s="168" t="s">
        <v>633</v>
      </c>
      <c r="H328" s="168" t="s">
        <v>608</v>
      </c>
      <c r="I328">
        <v>5110.4160150140751</v>
      </c>
    </row>
    <row r="329" spans="1:9" hidden="1" x14ac:dyDescent="0.3">
      <c r="A329">
        <v>37</v>
      </c>
      <c r="B329" s="168" t="s">
        <v>53</v>
      </c>
      <c r="C329" s="168" t="s">
        <v>54</v>
      </c>
      <c r="D329">
        <v>971.9</v>
      </c>
      <c r="E329">
        <v>2020</v>
      </c>
      <c r="F329" s="168" t="s">
        <v>591</v>
      </c>
      <c r="G329" s="168" t="s">
        <v>633</v>
      </c>
      <c r="H329" s="168" t="s">
        <v>609</v>
      </c>
      <c r="I329">
        <v>2190.1782921488893</v>
      </c>
    </row>
    <row r="330" spans="1:9" hidden="1" x14ac:dyDescent="0.3">
      <c r="A330">
        <v>37</v>
      </c>
      <c r="B330" s="168" t="s">
        <v>53</v>
      </c>
      <c r="C330" s="168" t="s">
        <v>54</v>
      </c>
      <c r="D330">
        <v>971.9</v>
      </c>
      <c r="E330">
        <v>2020</v>
      </c>
      <c r="F330" s="168" t="s">
        <v>591</v>
      </c>
      <c r="G330" s="168" t="s">
        <v>624</v>
      </c>
      <c r="H330" s="168" t="s">
        <v>608</v>
      </c>
      <c r="I330">
        <v>18181.868354888189</v>
      </c>
    </row>
    <row r="331" spans="1:9" hidden="1" x14ac:dyDescent="0.3">
      <c r="A331">
        <v>37</v>
      </c>
      <c r="B331" s="168" t="s">
        <v>53</v>
      </c>
      <c r="C331" s="168" t="s">
        <v>54</v>
      </c>
      <c r="D331">
        <v>971.9</v>
      </c>
      <c r="E331">
        <v>2020</v>
      </c>
      <c r="F331" s="168" t="s">
        <v>591</v>
      </c>
      <c r="G331" s="168" t="s">
        <v>624</v>
      </c>
      <c r="H331" s="168" t="s">
        <v>609</v>
      </c>
      <c r="I331">
        <v>189305.02529747071</v>
      </c>
    </row>
    <row r="332" spans="1:9" hidden="1" x14ac:dyDescent="0.3">
      <c r="A332">
        <v>37</v>
      </c>
      <c r="B332" s="168" t="s">
        <v>53</v>
      </c>
      <c r="C332" s="168" t="s">
        <v>54</v>
      </c>
      <c r="D332">
        <v>971.9</v>
      </c>
      <c r="E332">
        <v>2020</v>
      </c>
      <c r="F332" s="168" t="s">
        <v>591</v>
      </c>
      <c r="G332" s="168" t="s">
        <v>611</v>
      </c>
      <c r="H332" s="168" t="s">
        <v>608</v>
      </c>
      <c r="I332">
        <v>0</v>
      </c>
    </row>
    <row r="333" spans="1:9" hidden="1" x14ac:dyDescent="0.3">
      <c r="A333">
        <v>37</v>
      </c>
      <c r="B333" s="168" t="s">
        <v>53</v>
      </c>
      <c r="C333" s="168" t="s">
        <v>54</v>
      </c>
      <c r="D333">
        <v>971.9</v>
      </c>
      <c r="E333">
        <v>2020</v>
      </c>
      <c r="F333" s="168" t="s">
        <v>591</v>
      </c>
      <c r="G333" s="168" t="s">
        <v>611</v>
      </c>
      <c r="H333" s="168" t="s">
        <v>609</v>
      </c>
      <c r="I333">
        <v>4062.1352436903176</v>
      </c>
    </row>
    <row r="334" spans="1:9" hidden="1" x14ac:dyDescent="0.3">
      <c r="A334">
        <v>37</v>
      </c>
      <c r="B334" s="168" t="s">
        <v>53</v>
      </c>
      <c r="C334" s="168" t="s">
        <v>54</v>
      </c>
      <c r="D334">
        <v>971.9</v>
      </c>
      <c r="E334">
        <v>2020</v>
      </c>
      <c r="F334" s="168" t="s">
        <v>591</v>
      </c>
      <c r="G334" s="168" t="s">
        <v>613</v>
      </c>
      <c r="H334" s="168" t="s">
        <v>608</v>
      </c>
      <c r="I334">
        <v>68873.0156736973</v>
      </c>
    </row>
    <row r="335" spans="1:9" hidden="1" x14ac:dyDescent="0.3">
      <c r="A335">
        <v>37</v>
      </c>
      <c r="B335" s="168" t="s">
        <v>53</v>
      </c>
      <c r="C335" s="168" t="s">
        <v>54</v>
      </c>
      <c r="D335">
        <v>971.9</v>
      </c>
      <c r="E335">
        <v>2020</v>
      </c>
      <c r="F335" s="168" t="s">
        <v>591</v>
      </c>
      <c r="G335" s="168" t="s">
        <v>613</v>
      </c>
      <c r="H335" s="168" t="s">
        <v>609</v>
      </c>
      <c r="I335">
        <v>28082.79687953266</v>
      </c>
    </row>
    <row r="336" spans="1:9" hidden="1" x14ac:dyDescent="0.3">
      <c r="A336">
        <v>39</v>
      </c>
      <c r="B336" s="168" t="s">
        <v>57</v>
      </c>
      <c r="C336" s="168" t="s">
        <v>58</v>
      </c>
      <c r="D336">
        <v>676.6</v>
      </c>
      <c r="E336">
        <v>2020</v>
      </c>
      <c r="F336" s="168" t="s">
        <v>590</v>
      </c>
      <c r="G336" s="168" t="s">
        <v>607</v>
      </c>
      <c r="H336" s="168" t="s">
        <v>608</v>
      </c>
      <c r="I336">
        <v>2057.319587628866</v>
      </c>
    </row>
    <row r="337" spans="1:9" hidden="1" x14ac:dyDescent="0.3">
      <c r="A337">
        <v>39</v>
      </c>
      <c r="B337" s="168" t="s">
        <v>57</v>
      </c>
      <c r="C337" s="168" t="s">
        <v>58</v>
      </c>
      <c r="D337">
        <v>676.6</v>
      </c>
      <c r="E337">
        <v>2020</v>
      </c>
      <c r="F337" s="168" t="s">
        <v>590</v>
      </c>
      <c r="G337" s="168" t="s">
        <v>607</v>
      </c>
      <c r="H337" s="168" t="s">
        <v>609</v>
      </c>
      <c r="I337">
        <v>2057.319587628866</v>
      </c>
    </row>
    <row r="338" spans="1:9" hidden="1" x14ac:dyDescent="0.3">
      <c r="A338">
        <v>39</v>
      </c>
      <c r="B338" s="168" t="s">
        <v>57</v>
      </c>
      <c r="C338" s="168" t="s">
        <v>58</v>
      </c>
      <c r="D338">
        <v>676.6</v>
      </c>
      <c r="E338">
        <v>2020</v>
      </c>
      <c r="F338" s="168" t="s">
        <v>590</v>
      </c>
      <c r="G338" s="168" t="s">
        <v>612</v>
      </c>
      <c r="H338" s="168" t="s">
        <v>608</v>
      </c>
      <c r="I338">
        <v>0</v>
      </c>
    </row>
    <row r="339" spans="1:9" hidden="1" x14ac:dyDescent="0.3">
      <c r="A339">
        <v>39</v>
      </c>
      <c r="B339" s="168" t="s">
        <v>57</v>
      </c>
      <c r="C339" s="168" t="s">
        <v>58</v>
      </c>
      <c r="D339">
        <v>676.6</v>
      </c>
      <c r="E339">
        <v>2020</v>
      </c>
      <c r="F339" s="168" t="s">
        <v>590</v>
      </c>
      <c r="G339" s="168" t="s">
        <v>612</v>
      </c>
      <c r="H339" s="168" t="s">
        <v>609</v>
      </c>
      <c r="I339">
        <v>33378.82</v>
      </c>
    </row>
    <row r="340" spans="1:9" hidden="1" x14ac:dyDescent="0.3">
      <c r="A340">
        <v>39</v>
      </c>
      <c r="B340" s="168" t="s">
        <v>57</v>
      </c>
      <c r="C340" s="168" t="s">
        <v>58</v>
      </c>
      <c r="D340">
        <v>676.6</v>
      </c>
      <c r="E340">
        <v>2020</v>
      </c>
      <c r="F340" s="168" t="s">
        <v>590</v>
      </c>
      <c r="G340" s="168" t="s">
        <v>617</v>
      </c>
      <c r="H340" s="168" t="s">
        <v>608</v>
      </c>
      <c r="I340">
        <v>3478</v>
      </c>
    </row>
    <row r="341" spans="1:9" hidden="1" x14ac:dyDescent="0.3">
      <c r="A341">
        <v>39</v>
      </c>
      <c r="B341" s="168" t="s">
        <v>57</v>
      </c>
      <c r="C341" s="168" t="s">
        <v>58</v>
      </c>
      <c r="D341">
        <v>676.6</v>
      </c>
      <c r="E341">
        <v>2020</v>
      </c>
      <c r="F341" s="168" t="s">
        <v>590</v>
      </c>
      <c r="G341" s="168" t="s">
        <v>617</v>
      </c>
      <c r="H341" s="168" t="s">
        <v>609</v>
      </c>
      <c r="I341">
        <v>1240</v>
      </c>
    </row>
    <row r="342" spans="1:9" hidden="1" x14ac:dyDescent="0.3">
      <c r="A342">
        <v>39</v>
      </c>
      <c r="B342" s="168" t="s">
        <v>57</v>
      </c>
      <c r="C342" s="168" t="s">
        <v>58</v>
      </c>
      <c r="D342">
        <v>676.6</v>
      </c>
      <c r="E342">
        <v>2020</v>
      </c>
      <c r="F342" s="168" t="s">
        <v>590</v>
      </c>
      <c r="G342" s="168" t="s">
        <v>610</v>
      </c>
      <c r="H342" s="168" t="s">
        <v>608</v>
      </c>
      <c r="I342">
        <v>0</v>
      </c>
    </row>
    <row r="343" spans="1:9" hidden="1" x14ac:dyDescent="0.3">
      <c r="A343">
        <v>39</v>
      </c>
      <c r="B343" s="168" t="s">
        <v>57</v>
      </c>
      <c r="C343" s="168" t="s">
        <v>58</v>
      </c>
      <c r="D343">
        <v>676.6</v>
      </c>
      <c r="E343">
        <v>2020</v>
      </c>
      <c r="F343" s="168" t="s">
        <v>590</v>
      </c>
      <c r="G343" s="168" t="s">
        <v>610</v>
      </c>
      <c r="H343" s="168" t="s">
        <v>609</v>
      </c>
      <c r="I343">
        <v>3272.7272727272725</v>
      </c>
    </row>
    <row r="344" spans="1:9" hidden="1" x14ac:dyDescent="0.3">
      <c r="A344">
        <v>39</v>
      </c>
      <c r="B344" s="168" t="s">
        <v>57</v>
      </c>
      <c r="C344" s="168" t="s">
        <v>58</v>
      </c>
      <c r="D344">
        <v>676.6</v>
      </c>
      <c r="E344">
        <v>2020</v>
      </c>
      <c r="F344" s="168" t="s">
        <v>590</v>
      </c>
      <c r="G344" s="168" t="s">
        <v>633</v>
      </c>
      <c r="H344" s="168" t="s">
        <v>608</v>
      </c>
      <c r="I344">
        <v>1655.3018454801379</v>
      </c>
    </row>
    <row r="345" spans="1:9" hidden="1" x14ac:dyDescent="0.3">
      <c r="A345">
        <v>39</v>
      </c>
      <c r="B345" s="168" t="s">
        <v>57</v>
      </c>
      <c r="C345" s="168" t="s">
        <v>58</v>
      </c>
      <c r="D345">
        <v>676.6</v>
      </c>
      <c r="E345">
        <v>2020</v>
      </c>
      <c r="F345" s="168" t="s">
        <v>590</v>
      </c>
      <c r="G345" s="168" t="s">
        <v>633</v>
      </c>
      <c r="H345" s="168" t="s">
        <v>609</v>
      </c>
      <c r="I345">
        <v>709.41507663434481</v>
      </c>
    </row>
    <row r="346" spans="1:9" hidden="1" x14ac:dyDescent="0.3">
      <c r="A346">
        <v>39</v>
      </c>
      <c r="B346" s="168" t="s">
        <v>57</v>
      </c>
      <c r="C346" s="168" t="s">
        <v>58</v>
      </c>
      <c r="D346">
        <v>676.6</v>
      </c>
      <c r="E346">
        <v>2020</v>
      </c>
      <c r="F346" s="168" t="s">
        <v>590</v>
      </c>
      <c r="G346" s="168" t="s">
        <v>624</v>
      </c>
      <c r="H346" s="168" t="s">
        <v>608</v>
      </c>
      <c r="I346">
        <v>2541.5763162980902</v>
      </c>
    </row>
    <row r="347" spans="1:9" hidden="1" x14ac:dyDescent="0.3">
      <c r="A347">
        <v>39</v>
      </c>
      <c r="B347" s="168" t="s">
        <v>57</v>
      </c>
      <c r="C347" s="168" t="s">
        <v>58</v>
      </c>
      <c r="D347">
        <v>676.6</v>
      </c>
      <c r="E347">
        <v>2020</v>
      </c>
      <c r="F347" s="168" t="s">
        <v>590</v>
      </c>
      <c r="G347" s="168" t="s">
        <v>624</v>
      </c>
      <c r="H347" s="168" t="s">
        <v>609</v>
      </c>
      <c r="I347">
        <v>2541.5763162980902</v>
      </c>
    </row>
    <row r="348" spans="1:9" hidden="1" x14ac:dyDescent="0.3">
      <c r="A348">
        <v>39</v>
      </c>
      <c r="B348" s="168" t="s">
        <v>57</v>
      </c>
      <c r="C348" s="168" t="s">
        <v>58</v>
      </c>
      <c r="D348">
        <v>676.6</v>
      </c>
      <c r="E348">
        <v>2020</v>
      </c>
      <c r="F348" s="168" t="s">
        <v>590</v>
      </c>
      <c r="G348" s="168" t="s">
        <v>611</v>
      </c>
      <c r="H348" s="168" t="s">
        <v>608</v>
      </c>
      <c r="I348">
        <v>0</v>
      </c>
    </row>
    <row r="349" spans="1:9" hidden="1" x14ac:dyDescent="0.3">
      <c r="A349">
        <v>39</v>
      </c>
      <c r="B349" s="168" t="s">
        <v>57</v>
      </c>
      <c r="C349" s="168" t="s">
        <v>58</v>
      </c>
      <c r="D349">
        <v>676.6</v>
      </c>
      <c r="E349">
        <v>2020</v>
      </c>
      <c r="F349" s="168" t="s">
        <v>590</v>
      </c>
      <c r="G349" s="168" t="s">
        <v>611</v>
      </c>
      <c r="H349" s="168" t="s">
        <v>609</v>
      </c>
      <c r="I349">
        <v>2827.9048316502403</v>
      </c>
    </row>
    <row r="350" spans="1:9" hidden="1" x14ac:dyDescent="0.3">
      <c r="A350">
        <v>39</v>
      </c>
      <c r="B350" s="168" t="s">
        <v>57</v>
      </c>
      <c r="C350" s="168" t="s">
        <v>58</v>
      </c>
      <c r="D350">
        <v>676.6</v>
      </c>
      <c r="E350">
        <v>2020</v>
      </c>
      <c r="F350" s="168" t="s">
        <v>590</v>
      </c>
      <c r="G350" s="168" t="s">
        <v>613</v>
      </c>
      <c r="H350" s="168" t="s">
        <v>608</v>
      </c>
      <c r="I350">
        <v>22406.425758364716</v>
      </c>
    </row>
    <row r="351" spans="1:9" hidden="1" x14ac:dyDescent="0.3">
      <c r="A351">
        <v>39</v>
      </c>
      <c r="B351" s="168" t="s">
        <v>57</v>
      </c>
      <c r="C351" s="168" t="s">
        <v>58</v>
      </c>
      <c r="D351">
        <v>676.6</v>
      </c>
      <c r="E351">
        <v>2020</v>
      </c>
      <c r="F351" s="168" t="s">
        <v>590</v>
      </c>
      <c r="G351" s="168" t="s">
        <v>613</v>
      </c>
      <c r="H351" s="168" t="s">
        <v>609</v>
      </c>
      <c r="I351">
        <v>14366.253328325376</v>
      </c>
    </row>
    <row r="352" spans="1:9" x14ac:dyDescent="0.3">
      <c r="A352">
        <v>40</v>
      </c>
      <c r="B352" s="168" t="s">
        <v>27</v>
      </c>
      <c r="C352" s="168" t="s">
        <v>59</v>
      </c>
      <c r="D352">
        <v>16237.4</v>
      </c>
      <c r="E352">
        <v>2020</v>
      </c>
      <c r="F352" s="168" t="s">
        <v>592</v>
      </c>
      <c r="G352" s="168" t="s">
        <v>607</v>
      </c>
      <c r="H352" s="168" t="s">
        <v>608</v>
      </c>
      <c r="I352">
        <v>0</v>
      </c>
    </row>
    <row r="353" spans="1:9" x14ac:dyDescent="0.3">
      <c r="A353">
        <v>40</v>
      </c>
      <c r="B353" s="168" t="s">
        <v>27</v>
      </c>
      <c r="C353" s="168" t="s">
        <v>59</v>
      </c>
      <c r="D353">
        <v>16237.4</v>
      </c>
      <c r="E353">
        <v>2020</v>
      </c>
      <c r="F353" s="168" t="s">
        <v>592</v>
      </c>
      <c r="G353" s="168" t="s">
        <v>607</v>
      </c>
      <c r="H353" s="168" t="s">
        <v>609</v>
      </c>
      <c r="I353">
        <v>2827661.4400000004</v>
      </c>
    </row>
    <row r="354" spans="1:9" x14ac:dyDescent="0.3">
      <c r="A354">
        <v>40</v>
      </c>
      <c r="B354" s="168" t="s">
        <v>27</v>
      </c>
      <c r="C354" s="168" t="s">
        <v>59</v>
      </c>
      <c r="D354">
        <v>16237.4</v>
      </c>
      <c r="E354">
        <v>2020</v>
      </c>
      <c r="F354" s="168" t="s">
        <v>592</v>
      </c>
      <c r="G354" s="168" t="s">
        <v>616</v>
      </c>
      <c r="H354" s="168" t="s">
        <v>608</v>
      </c>
      <c r="I354">
        <v>0</v>
      </c>
    </row>
    <row r="355" spans="1:9" x14ac:dyDescent="0.3">
      <c r="A355">
        <v>40</v>
      </c>
      <c r="B355" s="168" t="s">
        <v>27</v>
      </c>
      <c r="C355" s="168" t="s">
        <v>59</v>
      </c>
      <c r="D355">
        <v>16237.4</v>
      </c>
      <c r="E355">
        <v>2020</v>
      </c>
      <c r="F355" s="168" t="s">
        <v>592</v>
      </c>
      <c r="G355" s="168" t="s">
        <v>616</v>
      </c>
      <c r="H355" s="168" t="s">
        <v>609</v>
      </c>
      <c r="I355">
        <v>6331462.9580164403</v>
      </c>
    </row>
    <row r="356" spans="1:9" x14ac:dyDescent="0.3">
      <c r="A356">
        <v>40</v>
      </c>
      <c r="B356" s="168" t="s">
        <v>27</v>
      </c>
      <c r="C356" s="168" t="s">
        <v>59</v>
      </c>
      <c r="D356">
        <v>16237.4</v>
      </c>
      <c r="E356">
        <v>2020</v>
      </c>
      <c r="F356" s="168" t="s">
        <v>592</v>
      </c>
      <c r="G356" s="168" t="s">
        <v>617</v>
      </c>
      <c r="H356" s="168" t="s">
        <v>608</v>
      </c>
      <c r="I356">
        <v>0</v>
      </c>
    </row>
    <row r="357" spans="1:9" x14ac:dyDescent="0.3">
      <c r="A357">
        <v>40</v>
      </c>
      <c r="B357" s="168" t="s">
        <v>27</v>
      </c>
      <c r="C357" s="168" t="s">
        <v>59</v>
      </c>
      <c r="D357">
        <v>16237.4</v>
      </c>
      <c r="E357">
        <v>2020</v>
      </c>
      <c r="F357" s="168" t="s">
        <v>592</v>
      </c>
      <c r="G357" s="168" t="s">
        <v>617</v>
      </c>
      <c r="H357" s="168" t="s">
        <v>609</v>
      </c>
      <c r="I357">
        <v>25701.473755173123</v>
      </c>
    </row>
    <row r="358" spans="1:9" x14ac:dyDescent="0.3">
      <c r="A358">
        <v>40</v>
      </c>
      <c r="B358" s="168" t="s">
        <v>27</v>
      </c>
      <c r="C358" s="168" t="s">
        <v>59</v>
      </c>
      <c r="D358">
        <v>16237.4</v>
      </c>
      <c r="E358">
        <v>2020</v>
      </c>
      <c r="F358" s="168" t="s">
        <v>592</v>
      </c>
      <c r="G358" s="168" t="s">
        <v>619</v>
      </c>
      <c r="H358" s="168" t="s">
        <v>608</v>
      </c>
      <c r="I358">
        <v>0</v>
      </c>
    </row>
    <row r="359" spans="1:9" x14ac:dyDescent="0.3">
      <c r="A359">
        <v>40</v>
      </c>
      <c r="B359" s="168" t="s">
        <v>27</v>
      </c>
      <c r="C359" s="168" t="s">
        <v>59</v>
      </c>
      <c r="D359">
        <v>16237.4</v>
      </c>
      <c r="E359">
        <v>2020</v>
      </c>
      <c r="F359" s="168" t="s">
        <v>592</v>
      </c>
      <c r="G359" s="168" t="s">
        <v>619</v>
      </c>
      <c r="H359" s="168" t="s">
        <v>609</v>
      </c>
      <c r="I359">
        <v>286599.05660377361</v>
      </c>
    </row>
    <row r="360" spans="1:9" x14ac:dyDescent="0.3">
      <c r="A360">
        <v>40</v>
      </c>
      <c r="B360" s="168" t="s">
        <v>27</v>
      </c>
      <c r="C360" s="168" t="s">
        <v>59</v>
      </c>
      <c r="D360">
        <v>16237.4</v>
      </c>
      <c r="E360">
        <v>2020</v>
      </c>
      <c r="F360" s="168" t="s">
        <v>592</v>
      </c>
      <c r="G360" s="168" t="s">
        <v>610</v>
      </c>
      <c r="H360" s="168" t="s">
        <v>608</v>
      </c>
      <c r="I360">
        <v>0</v>
      </c>
    </row>
    <row r="361" spans="1:9" x14ac:dyDescent="0.3">
      <c r="A361">
        <v>40</v>
      </c>
      <c r="B361" s="168" t="s">
        <v>27</v>
      </c>
      <c r="C361" s="168" t="s">
        <v>59</v>
      </c>
      <c r="D361">
        <v>16237.4</v>
      </c>
      <c r="E361">
        <v>2020</v>
      </c>
      <c r="F361" s="168" t="s">
        <v>592</v>
      </c>
      <c r="G361" s="168" t="s">
        <v>610</v>
      </c>
      <c r="H361" s="168" t="s">
        <v>609</v>
      </c>
      <c r="I361">
        <v>46545.454545454551</v>
      </c>
    </row>
    <row r="362" spans="1:9" x14ac:dyDescent="0.3">
      <c r="A362">
        <v>40</v>
      </c>
      <c r="B362" s="168" t="s">
        <v>27</v>
      </c>
      <c r="C362" s="168" t="s">
        <v>59</v>
      </c>
      <c r="D362">
        <v>16237.4</v>
      </c>
      <c r="E362">
        <v>2020</v>
      </c>
      <c r="F362" s="168" t="s">
        <v>592</v>
      </c>
      <c r="G362" s="168" t="s">
        <v>613</v>
      </c>
      <c r="H362" s="168" t="s">
        <v>608</v>
      </c>
      <c r="I362">
        <v>0</v>
      </c>
    </row>
    <row r="363" spans="1:9" x14ac:dyDescent="0.3">
      <c r="A363">
        <v>40</v>
      </c>
      <c r="B363" s="168" t="s">
        <v>27</v>
      </c>
      <c r="C363" s="168" t="s">
        <v>59</v>
      </c>
      <c r="D363">
        <v>16237.4</v>
      </c>
      <c r="E363">
        <v>2020</v>
      </c>
      <c r="F363" s="168" t="s">
        <v>592</v>
      </c>
      <c r="G363" s="168" t="s">
        <v>613</v>
      </c>
      <c r="H363" s="168" t="s">
        <v>609</v>
      </c>
      <c r="I363">
        <v>2749915.0385841941</v>
      </c>
    </row>
    <row r="364" spans="1:9" x14ac:dyDescent="0.3">
      <c r="A364">
        <v>41</v>
      </c>
      <c r="B364" s="168" t="s">
        <v>60</v>
      </c>
      <c r="C364" s="168" t="s">
        <v>61</v>
      </c>
      <c r="D364">
        <v>3051</v>
      </c>
      <c r="E364">
        <v>2020</v>
      </c>
      <c r="F364" s="168" t="s">
        <v>592</v>
      </c>
      <c r="G364" s="168" t="s">
        <v>607</v>
      </c>
      <c r="H364" s="168" t="s">
        <v>608</v>
      </c>
      <c r="I364">
        <v>0</v>
      </c>
    </row>
    <row r="365" spans="1:9" x14ac:dyDescent="0.3">
      <c r="A365">
        <v>41</v>
      </c>
      <c r="B365" s="168" t="s">
        <v>60</v>
      </c>
      <c r="C365" s="168" t="s">
        <v>61</v>
      </c>
      <c r="D365">
        <v>3051</v>
      </c>
      <c r="E365">
        <v>2020</v>
      </c>
      <c r="F365" s="168" t="s">
        <v>592</v>
      </c>
      <c r="G365" s="168" t="s">
        <v>607</v>
      </c>
      <c r="H365" s="168" t="s">
        <v>609</v>
      </c>
      <c r="I365">
        <v>2572595</v>
      </c>
    </row>
    <row r="366" spans="1:9" x14ac:dyDescent="0.3">
      <c r="A366">
        <v>41</v>
      </c>
      <c r="B366" s="168" t="s">
        <v>60</v>
      </c>
      <c r="C366" s="168" t="s">
        <v>61</v>
      </c>
      <c r="D366">
        <v>3051</v>
      </c>
      <c r="E366">
        <v>2020</v>
      </c>
      <c r="F366" s="168" t="s">
        <v>592</v>
      </c>
      <c r="G366" s="168" t="s">
        <v>612</v>
      </c>
      <c r="H366" s="168" t="s">
        <v>608</v>
      </c>
      <c r="I366">
        <v>0</v>
      </c>
    </row>
    <row r="367" spans="1:9" x14ac:dyDescent="0.3">
      <c r="A367">
        <v>41</v>
      </c>
      <c r="B367" s="168" t="s">
        <v>60</v>
      </c>
      <c r="C367" s="168" t="s">
        <v>61</v>
      </c>
      <c r="D367">
        <v>3051</v>
      </c>
      <c r="E367">
        <v>2020</v>
      </c>
      <c r="F367" s="168" t="s">
        <v>592</v>
      </c>
      <c r="G367" s="168" t="s">
        <v>612</v>
      </c>
      <c r="H367" s="168" t="s">
        <v>609</v>
      </c>
      <c r="I367">
        <v>184260</v>
      </c>
    </row>
    <row r="368" spans="1:9" x14ac:dyDescent="0.3">
      <c r="A368">
        <v>41</v>
      </c>
      <c r="B368" s="168" t="s">
        <v>60</v>
      </c>
      <c r="C368" s="168" t="s">
        <v>61</v>
      </c>
      <c r="D368">
        <v>3051</v>
      </c>
      <c r="E368">
        <v>2020</v>
      </c>
      <c r="F368" s="168" t="s">
        <v>592</v>
      </c>
      <c r="G368" s="168" t="s">
        <v>616</v>
      </c>
      <c r="H368" s="168" t="s">
        <v>608</v>
      </c>
      <c r="I368">
        <v>0</v>
      </c>
    </row>
    <row r="369" spans="1:9" x14ac:dyDescent="0.3">
      <c r="A369">
        <v>41</v>
      </c>
      <c r="B369" s="168" t="s">
        <v>60</v>
      </c>
      <c r="C369" s="168" t="s">
        <v>61</v>
      </c>
      <c r="D369">
        <v>3051</v>
      </c>
      <c r="E369">
        <v>2020</v>
      </c>
      <c r="F369" s="168" t="s">
        <v>592</v>
      </c>
      <c r="G369" s="168" t="s">
        <v>616</v>
      </c>
      <c r="H369" s="168" t="s">
        <v>609</v>
      </c>
      <c r="I369">
        <v>833946.578553712</v>
      </c>
    </row>
    <row r="370" spans="1:9" x14ac:dyDescent="0.3">
      <c r="A370">
        <v>41</v>
      </c>
      <c r="B370" s="168" t="s">
        <v>60</v>
      </c>
      <c r="C370" s="168" t="s">
        <v>61</v>
      </c>
      <c r="D370">
        <v>3051</v>
      </c>
      <c r="E370">
        <v>2020</v>
      </c>
      <c r="F370" s="168" t="s">
        <v>592</v>
      </c>
      <c r="G370" s="168" t="s">
        <v>617</v>
      </c>
      <c r="H370" s="168" t="s">
        <v>608</v>
      </c>
      <c r="I370">
        <v>0</v>
      </c>
    </row>
    <row r="371" spans="1:9" x14ac:dyDescent="0.3">
      <c r="A371">
        <v>41</v>
      </c>
      <c r="B371" s="168" t="s">
        <v>60</v>
      </c>
      <c r="C371" s="168" t="s">
        <v>61</v>
      </c>
      <c r="D371">
        <v>3051</v>
      </c>
      <c r="E371">
        <v>2020</v>
      </c>
      <c r="F371" s="168" t="s">
        <v>592</v>
      </c>
      <c r="G371" s="168" t="s">
        <v>617</v>
      </c>
      <c r="H371" s="168" t="s">
        <v>609</v>
      </c>
      <c r="I371">
        <v>4799.23596936387</v>
      </c>
    </row>
    <row r="372" spans="1:9" x14ac:dyDescent="0.3">
      <c r="A372">
        <v>41</v>
      </c>
      <c r="B372" s="168" t="s">
        <v>60</v>
      </c>
      <c r="C372" s="168" t="s">
        <v>61</v>
      </c>
      <c r="D372">
        <v>3051</v>
      </c>
      <c r="E372">
        <v>2020</v>
      </c>
      <c r="F372" s="168" t="s">
        <v>592</v>
      </c>
      <c r="G372" s="168" t="s">
        <v>619</v>
      </c>
      <c r="H372" s="168" t="s">
        <v>608</v>
      </c>
      <c r="I372">
        <v>0</v>
      </c>
    </row>
    <row r="373" spans="1:9" x14ac:dyDescent="0.3">
      <c r="A373">
        <v>41</v>
      </c>
      <c r="B373" s="168" t="s">
        <v>60</v>
      </c>
      <c r="C373" s="168" t="s">
        <v>61</v>
      </c>
      <c r="D373">
        <v>3051</v>
      </c>
      <c r="E373">
        <v>2020</v>
      </c>
      <c r="F373" s="168" t="s">
        <v>592</v>
      </c>
      <c r="G373" s="168" t="s">
        <v>619</v>
      </c>
      <c r="H373" s="168" t="s">
        <v>609</v>
      </c>
      <c r="I373">
        <v>36509.433962264156</v>
      </c>
    </row>
    <row r="374" spans="1:9" x14ac:dyDescent="0.3">
      <c r="A374">
        <v>41</v>
      </c>
      <c r="B374" s="168" t="s">
        <v>60</v>
      </c>
      <c r="C374" s="168" t="s">
        <v>61</v>
      </c>
      <c r="D374">
        <v>3051</v>
      </c>
      <c r="E374">
        <v>2020</v>
      </c>
      <c r="F374" s="168" t="s">
        <v>592</v>
      </c>
      <c r="G374" s="168" t="s">
        <v>633</v>
      </c>
      <c r="H374" s="168" t="s">
        <v>608</v>
      </c>
      <c r="I374">
        <v>0</v>
      </c>
    </row>
    <row r="375" spans="1:9" x14ac:dyDescent="0.3">
      <c r="A375">
        <v>41</v>
      </c>
      <c r="B375" s="168" t="s">
        <v>60</v>
      </c>
      <c r="C375" s="168" t="s">
        <v>61</v>
      </c>
      <c r="D375">
        <v>3051</v>
      </c>
      <c r="E375">
        <v>2020</v>
      </c>
      <c r="F375" s="168" t="s">
        <v>592</v>
      </c>
      <c r="G375" s="168" t="s">
        <v>633</v>
      </c>
      <c r="H375" s="168" t="s">
        <v>609</v>
      </c>
      <c r="I375">
        <v>36000</v>
      </c>
    </row>
    <row r="376" spans="1:9" x14ac:dyDescent="0.3">
      <c r="A376">
        <v>41</v>
      </c>
      <c r="B376" s="168" t="s">
        <v>60</v>
      </c>
      <c r="C376" s="168" t="s">
        <v>61</v>
      </c>
      <c r="D376">
        <v>3051</v>
      </c>
      <c r="E376">
        <v>2020</v>
      </c>
      <c r="F376" s="168" t="s">
        <v>592</v>
      </c>
      <c r="G376" s="168" t="s">
        <v>613</v>
      </c>
      <c r="H376" s="168" t="s">
        <v>608</v>
      </c>
      <c r="I376">
        <v>0</v>
      </c>
    </row>
    <row r="377" spans="1:9" x14ac:dyDescent="0.3">
      <c r="A377">
        <v>41</v>
      </c>
      <c r="B377" s="168" t="s">
        <v>60</v>
      </c>
      <c r="C377" s="168" t="s">
        <v>61</v>
      </c>
      <c r="D377">
        <v>3051</v>
      </c>
      <c r="E377">
        <v>2020</v>
      </c>
      <c r="F377" s="168" t="s">
        <v>592</v>
      </c>
      <c r="G377" s="168" t="s">
        <v>613</v>
      </c>
      <c r="H377" s="168" t="s">
        <v>609</v>
      </c>
      <c r="I377">
        <v>770367.18234781304</v>
      </c>
    </row>
    <row r="378" spans="1:9" hidden="1" x14ac:dyDescent="0.3">
      <c r="A378">
        <v>42</v>
      </c>
      <c r="B378" s="168" t="s">
        <v>62</v>
      </c>
      <c r="C378" s="168" t="s">
        <v>63</v>
      </c>
      <c r="D378">
        <v>1467.1</v>
      </c>
      <c r="E378">
        <v>2020</v>
      </c>
      <c r="F378" s="168" t="s">
        <v>593</v>
      </c>
      <c r="G378" s="168" t="s">
        <v>607</v>
      </c>
      <c r="H378" s="168" t="s">
        <v>608</v>
      </c>
      <c r="I378">
        <v>0</v>
      </c>
    </row>
    <row r="379" spans="1:9" hidden="1" x14ac:dyDescent="0.3">
      <c r="A379">
        <v>42</v>
      </c>
      <c r="B379" s="168" t="s">
        <v>62</v>
      </c>
      <c r="C379" s="168" t="s">
        <v>63</v>
      </c>
      <c r="D379">
        <v>1467.1</v>
      </c>
      <c r="E379">
        <v>2020</v>
      </c>
      <c r="F379" s="168" t="s">
        <v>593</v>
      </c>
      <c r="G379" s="168" t="s">
        <v>607</v>
      </c>
      <c r="H379" s="168" t="s">
        <v>609</v>
      </c>
      <c r="I379">
        <v>2560865</v>
      </c>
    </row>
    <row r="380" spans="1:9" hidden="1" x14ac:dyDescent="0.3">
      <c r="A380">
        <v>42</v>
      </c>
      <c r="B380" s="168" t="s">
        <v>62</v>
      </c>
      <c r="C380" s="168" t="s">
        <v>63</v>
      </c>
      <c r="D380">
        <v>1467.1</v>
      </c>
      <c r="E380">
        <v>2020</v>
      </c>
      <c r="F380" s="168" t="s">
        <v>593</v>
      </c>
      <c r="G380" s="168" t="s">
        <v>619</v>
      </c>
      <c r="H380" s="168" t="s">
        <v>608</v>
      </c>
      <c r="I380">
        <v>0</v>
      </c>
    </row>
    <row r="381" spans="1:9" hidden="1" x14ac:dyDescent="0.3">
      <c r="A381">
        <v>42</v>
      </c>
      <c r="B381" s="168" t="s">
        <v>62</v>
      </c>
      <c r="C381" s="168" t="s">
        <v>63</v>
      </c>
      <c r="D381">
        <v>1467.1</v>
      </c>
      <c r="E381">
        <v>2020</v>
      </c>
      <c r="F381" s="168" t="s">
        <v>593</v>
      </c>
      <c r="G381" s="168" t="s">
        <v>619</v>
      </c>
      <c r="H381" s="168" t="s">
        <v>609</v>
      </c>
      <c r="I381">
        <v>25556.603773584906</v>
      </c>
    </row>
    <row r="382" spans="1:9" hidden="1" x14ac:dyDescent="0.3">
      <c r="A382">
        <v>42</v>
      </c>
      <c r="B382" s="168" t="s">
        <v>62</v>
      </c>
      <c r="C382" s="168" t="s">
        <v>63</v>
      </c>
      <c r="D382">
        <v>1467.1</v>
      </c>
      <c r="E382">
        <v>2020</v>
      </c>
      <c r="F382" s="168" t="s">
        <v>593</v>
      </c>
      <c r="G382" s="168" t="s">
        <v>610</v>
      </c>
      <c r="H382" s="168" t="s">
        <v>608</v>
      </c>
      <c r="I382">
        <v>0</v>
      </c>
    </row>
    <row r="383" spans="1:9" hidden="1" x14ac:dyDescent="0.3">
      <c r="A383">
        <v>42</v>
      </c>
      <c r="B383" s="168" t="s">
        <v>62</v>
      </c>
      <c r="C383" s="168" t="s">
        <v>63</v>
      </c>
      <c r="D383">
        <v>1467.1</v>
      </c>
      <c r="E383">
        <v>2020</v>
      </c>
      <c r="F383" s="168" t="s">
        <v>593</v>
      </c>
      <c r="G383" s="168" t="s">
        <v>610</v>
      </c>
      <c r="H383" s="168" t="s">
        <v>609</v>
      </c>
      <c r="I383">
        <v>6545.454545454545</v>
      </c>
    </row>
    <row r="384" spans="1:9" hidden="1" x14ac:dyDescent="0.3">
      <c r="A384">
        <v>42</v>
      </c>
      <c r="B384" s="168" t="s">
        <v>62</v>
      </c>
      <c r="C384" s="168" t="s">
        <v>63</v>
      </c>
      <c r="D384">
        <v>1467.1</v>
      </c>
      <c r="E384">
        <v>2020</v>
      </c>
      <c r="F384" s="168" t="s">
        <v>593</v>
      </c>
      <c r="G384" s="168" t="s">
        <v>613</v>
      </c>
      <c r="H384" s="168" t="s">
        <v>608</v>
      </c>
      <c r="I384">
        <v>0</v>
      </c>
    </row>
    <row r="385" spans="1:9" hidden="1" x14ac:dyDescent="0.3">
      <c r="A385">
        <v>42</v>
      </c>
      <c r="B385" s="168" t="s">
        <v>62</v>
      </c>
      <c r="C385" s="168" t="s">
        <v>63</v>
      </c>
      <c r="D385">
        <v>1467.1</v>
      </c>
      <c r="E385">
        <v>2020</v>
      </c>
      <c r="F385" s="168" t="s">
        <v>593</v>
      </c>
      <c r="G385" s="168" t="s">
        <v>613</v>
      </c>
      <c r="H385" s="168" t="s">
        <v>609</v>
      </c>
      <c r="I385">
        <v>497184.57569369901</v>
      </c>
    </row>
    <row r="386" spans="1:9" x14ac:dyDescent="0.3">
      <c r="A386">
        <v>43</v>
      </c>
      <c r="B386" s="168" t="s">
        <v>64</v>
      </c>
      <c r="C386" s="168" t="s">
        <v>65</v>
      </c>
      <c r="D386">
        <v>1779.1</v>
      </c>
      <c r="E386">
        <v>2020</v>
      </c>
      <c r="F386" s="168" t="s">
        <v>592</v>
      </c>
      <c r="G386" s="168" t="s">
        <v>607</v>
      </c>
      <c r="H386" s="168" t="s">
        <v>608</v>
      </c>
      <c r="I386">
        <v>0</v>
      </c>
    </row>
    <row r="387" spans="1:9" x14ac:dyDescent="0.3">
      <c r="A387">
        <v>43</v>
      </c>
      <c r="B387" s="168" t="s">
        <v>64</v>
      </c>
      <c r="C387" s="168" t="s">
        <v>65</v>
      </c>
      <c r="D387">
        <v>1779.1</v>
      </c>
      <c r="E387">
        <v>2020</v>
      </c>
      <c r="F387" s="168" t="s">
        <v>592</v>
      </c>
      <c r="G387" s="168" t="s">
        <v>607</v>
      </c>
      <c r="H387" s="168" t="s">
        <v>609</v>
      </c>
      <c r="I387">
        <v>650675</v>
      </c>
    </row>
    <row r="388" spans="1:9" x14ac:dyDescent="0.3">
      <c r="A388">
        <v>43</v>
      </c>
      <c r="B388" s="168" t="s">
        <v>64</v>
      </c>
      <c r="C388" s="168" t="s">
        <v>65</v>
      </c>
      <c r="D388">
        <v>1779.1</v>
      </c>
      <c r="E388">
        <v>2020</v>
      </c>
      <c r="F388" s="168" t="s">
        <v>592</v>
      </c>
      <c r="G388" s="168" t="s">
        <v>612</v>
      </c>
      <c r="H388" s="168" t="s">
        <v>608</v>
      </c>
      <c r="I388">
        <v>0</v>
      </c>
    </row>
    <row r="389" spans="1:9" x14ac:dyDescent="0.3">
      <c r="A389">
        <v>43</v>
      </c>
      <c r="B389" s="168" t="s">
        <v>64</v>
      </c>
      <c r="C389" s="168" t="s">
        <v>65</v>
      </c>
      <c r="D389">
        <v>1779.1</v>
      </c>
      <c r="E389">
        <v>2020</v>
      </c>
      <c r="F389" s="168" t="s">
        <v>592</v>
      </c>
      <c r="G389" s="168" t="s">
        <v>612</v>
      </c>
      <c r="H389" s="168" t="s">
        <v>609</v>
      </c>
      <c r="I389">
        <v>24900</v>
      </c>
    </row>
    <row r="390" spans="1:9" x14ac:dyDescent="0.3">
      <c r="A390">
        <v>43</v>
      </c>
      <c r="B390" s="168" t="s">
        <v>64</v>
      </c>
      <c r="C390" s="168" t="s">
        <v>65</v>
      </c>
      <c r="D390">
        <v>1779.1</v>
      </c>
      <c r="E390">
        <v>2020</v>
      </c>
      <c r="F390" s="168" t="s">
        <v>592</v>
      </c>
      <c r="G390" s="168" t="s">
        <v>616</v>
      </c>
      <c r="H390" s="168" t="s">
        <v>608</v>
      </c>
      <c r="I390">
        <v>0</v>
      </c>
    </row>
    <row r="391" spans="1:9" x14ac:dyDescent="0.3">
      <c r="A391">
        <v>43</v>
      </c>
      <c r="B391" s="168" t="s">
        <v>64</v>
      </c>
      <c r="C391" s="168" t="s">
        <v>65</v>
      </c>
      <c r="D391">
        <v>1779.1</v>
      </c>
      <c r="E391">
        <v>2020</v>
      </c>
      <c r="F391" s="168" t="s">
        <v>592</v>
      </c>
      <c r="G391" s="168" t="s">
        <v>616</v>
      </c>
      <c r="H391" s="168" t="s">
        <v>609</v>
      </c>
      <c r="I391">
        <v>629394.95228111197</v>
      </c>
    </row>
    <row r="392" spans="1:9" x14ac:dyDescent="0.3">
      <c r="A392">
        <v>43</v>
      </c>
      <c r="B392" s="168" t="s">
        <v>64</v>
      </c>
      <c r="C392" s="168" t="s">
        <v>65</v>
      </c>
      <c r="D392">
        <v>1779.1</v>
      </c>
      <c r="E392">
        <v>2020</v>
      </c>
      <c r="F392" s="168" t="s">
        <v>592</v>
      </c>
      <c r="G392" s="168" t="s">
        <v>617</v>
      </c>
      <c r="H392" s="168" t="s">
        <v>608</v>
      </c>
      <c r="I392">
        <v>0</v>
      </c>
    </row>
    <row r="393" spans="1:9" x14ac:dyDescent="0.3">
      <c r="A393">
        <v>43</v>
      </c>
      <c r="B393" s="168" t="s">
        <v>64</v>
      </c>
      <c r="C393" s="168" t="s">
        <v>65</v>
      </c>
      <c r="D393">
        <v>1779.1</v>
      </c>
      <c r="E393">
        <v>2020</v>
      </c>
      <c r="F393" s="168" t="s">
        <v>592</v>
      </c>
      <c r="G393" s="168" t="s">
        <v>617</v>
      </c>
      <c r="H393" s="168" t="s">
        <v>609</v>
      </c>
      <c r="I393">
        <v>2810.6439954307971</v>
      </c>
    </row>
    <row r="394" spans="1:9" x14ac:dyDescent="0.3">
      <c r="A394">
        <v>43</v>
      </c>
      <c r="B394" s="168" t="s">
        <v>64</v>
      </c>
      <c r="C394" s="168" t="s">
        <v>65</v>
      </c>
      <c r="D394">
        <v>1779.1</v>
      </c>
      <c r="E394">
        <v>2020</v>
      </c>
      <c r="F394" s="168" t="s">
        <v>592</v>
      </c>
      <c r="G394" s="168" t="s">
        <v>619</v>
      </c>
      <c r="H394" s="168" t="s">
        <v>608</v>
      </c>
      <c r="I394">
        <v>0</v>
      </c>
    </row>
    <row r="395" spans="1:9" x14ac:dyDescent="0.3">
      <c r="A395">
        <v>43</v>
      </c>
      <c r="B395" s="168" t="s">
        <v>64</v>
      </c>
      <c r="C395" s="168" t="s">
        <v>65</v>
      </c>
      <c r="D395">
        <v>1779.1</v>
      </c>
      <c r="E395">
        <v>2020</v>
      </c>
      <c r="F395" s="168" t="s">
        <v>592</v>
      </c>
      <c r="G395" s="168" t="s">
        <v>619</v>
      </c>
      <c r="H395" s="168" t="s">
        <v>609</v>
      </c>
      <c r="I395">
        <v>31033.018867924526</v>
      </c>
    </row>
    <row r="396" spans="1:9" x14ac:dyDescent="0.3">
      <c r="A396">
        <v>43</v>
      </c>
      <c r="B396" s="168" t="s">
        <v>64</v>
      </c>
      <c r="C396" s="168" t="s">
        <v>65</v>
      </c>
      <c r="D396">
        <v>1779.1</v>
      </c>
      <c r="E396">
        <v>2020</v>
      </c>
      <c r="F396" s="168" t="s">
        <v>592</v>
      </c>
      <c r="G396" s="168" t="s">
        <v>610</v>
      </c>
      <c r="H396" s="168" t="s">
        <v>608</v>
      </c>
      <c r="I396">
        <v>0</v>
      </c>
    </row>
    <row r="397" spans="1:9" x14ac:dyDescent="0.3">
      <c r="A397">
        <v>43</v>
      </c>
      <c r="B397" s="168" t="s">
        <v>64</v>
      </c>
      <c r="C397" s="168" t="s">
        <v>65</v>
      </c>
      <c r="D397">
        <v>1779.1</v>
      </c>
      <c r="E397">
        <v>2020</v>
      </c>
      <c r="F397" s="168" t="s">
        <v>592</v>
      </c>
      <c r="G397" s="168" t="s">
        <v>610</v>
      </c>
      <c r="H397" s="168" t="s">
        <v>609</v>
      </c>
      <c r="I397">
        <v>46770.727272727272</v>
      </c>
    </row>
    <row r="398" spans="1:9" x14ac:dyDescent="0.3">
      <c r="A398">
        <v>43</v>
      </c>
      <c r="B398" s="168" t="s">
        <v>64</v>
      </c>
      <c r="C398" s="168" t="s">
        <v>65</v>
      </c>
      <c r="D398">
        <v>1779.1</v>
      </c>
      <c r="E398">
        <v>2020</v>
      </c>
      <c r="F398" s="168" t="s">
        <v>592</v>
      </c>
      <c r="G398" s="168" t="s">
        <v>613</v>
      </c>
      <c r="H398" s="168" t="s">
        <v>608</v>
      </c>
      <c r="I398">
        <v>0</v>
      </c>
    </row>
    <row r="399" spans="1:9" x14ac:dyDescent="0.3">
      <c r="A399">
        <v>43</v>
      </c>
      <c r="B399" s="168" t="s">
        <v>64</v>
      </c>
      <c r="C399" s="168" t="s">
        <v>65</v>
      </c>
      <c r="D399">
        <v>1779.1</v>
      </c>
      <c r="E399">
        <v>2020</v>
      </c>
      <c r="F399" s="168" t="s">
        <v>592</v>
      </c>
      <c r="G399" s="168" t="s">
        <v>613</v>
      </c>
      <c r="H399" s="168" t="s">
        <v>609</v>
      </c>
      <c r="I399">
        <v>525409.595507783</v>
      </c>
    </row>
    <row r="400" spans="1:9" hidden="1" x14ac:dyDescent="0.3">
      <c r="A400">
        <v>44</v>
      </c>
      <c r="B400" s="168" t="s">
        <v>66</v>
      </c>
      <c r="C400" s="168" t="s">
        <v>67</v>
      </c>
      <c r="D400">
        <v>561.79999999999995</v>
      </c>
      <c r="E400">
        <v>2020</v>
      </c>
      <c r="F400" s="168" t="s">
        <v>593</v>
      </c>
      <c r="G400" s="168" t="s">
        <v>607</v>
      </c>
      <c r="H400" s="168" t="s">
        <v>608</v>
      </c>
      <c r="I400">
        <v>0</v>
      </c>
    </row>
    <row r="401" spans="1:9" hidden="1" x14ac:dyDescent="0.3">
      <c r="A401">
        <v>44</v>
      </c>
      <c r="B401" s="168" t="s">
        <v>66</v>
      </c>
      <c r="C401" s="168" t="s">
        <v>67</v>
      </c>
      <c r="D401">
        <v>561.79999999999995</v>
      </c>
      <c r="E401">
        <v>2020</v>
      </c>
      <c r="F401" s="168" t="s">
        <v>593</v>
      </c>
      <c r="G401" s="168" t="s">
        <v>607</v>
      </c>
      <c r="H401" s="168" t="s">
        <v>609</v>
      </c>
      <c r="I401">
        <v>641660</v>
      </c>
    </row>
    <row r="402" spans="1:9" hidden="1" x14ac:dyDescent="0.3">
      <c r="A402">
        <v>44</v>
      </c>
      <c r="B402" s="168" t="s">
        <v>66</v>
      </c>
      <c r="C402" s="168" t="s">
        <v>67</v>
      </c>
      <c r="D402">
        <v>561.79999999999995</v>
      </c>
      <c r="E402">
        <v>2020</v>
      </c>
      <c r="F402" s="168" t="s">
        <v>593</v>
      </c>
      <c r="G402" s="168" t="s">
        <v>617</v>
      </c>
      <c r="H402" s="168" t="s">
        <v>608</v>
      </c>
      <c r="I402">
        <v>0</v>
      </c>
    </row>
    <row r="403" spans="1:9" hidden="1" x14ac:dyDescent="0.3">
      <c r="A403">
        <v>44</v>
      </c>
      <c r="B403" s="168" t="s">
        <v>66</v>
      </c>
      <c r="C403" s="168" t="s">
        <v>67</v>
      </c>
      <c r="D403">
        <v>561.79999999999995</v>
      </c>
      <c r="E403">
        <v>2020</v>
      </c>
      <c r="F403" s="168" t="s">
        <v>593</v>
      </c>
      <c r="G403" s="168" t="s">
        <v>617</v>
      </c>
      <c r="H403" s="168" t="s">
        <v>609</v>
      </c>
      <c r="I403">
        <v>1179.281286867287</v>
      </c>
    </row>
    <row r="404" spans="1:9" hidden="1" x14ac:dyDescent="0.3">
      <c r="A404">
        <v>44</v>
      </c>
      <c r="B404" s="168" t="s">
        <v>66</v>
      </c>
      <c r="C404" s="168" t="s">
        <v>67</v>
      </c>
      <c r="D404">
        <v>561.79999999999995</v>
      </c>
      <c r="E404">
        <v>2020</v>
      </c>
      <c r="F404" s="168" t="s">
        <v>593</v>
      </c>
      <c r="G404" s="168" t="s">
        <v>613</v>
      </c>
      <c r="H404" s="168" t="s">
        <v>608</v>
      </c>
      <c r="I404">
        <v>0</v>
      </c>
    </row>
    <row r="405" spans="1:9" hidden="1" x14ac:dyDescent="0.3">
      <c r="A405">
        <v>44</v>
      </c>
      <c r="B405" s="168" t="s">
        <v>66</v>
      </c>
      <c r="C405" s="168" t="s">
        <v>67</v>
      </c>
      <c r="D405">
        <v>561.79999999999995</v>
      </c>
      <c r="E405">
        <v>2020</v>
      </c>
      <c r="F405" s="168" t="s">
        <v>593</v>
      </c>
      <c r="G405" s="168" t="s">
        <v>613</v>
      </c>
      <c r="H405" s="168" t="s">
        <v>609</v>
      </c>
      <c r="I405">
        <v>165912.60230244102</v>
      </c>
    </row>
    <row r="406" spans="1:9" hidden="1" x14ac:dyDescent="0.3">
      <c r="A406">
        <v>45</v>
      </c>
      <c r="B406" s="168" t="s">
        <v>30</v>
      </c>
      <c r="C406" s="168" t="s">
        <v>68</v>
      </c>
      <c r="D406">
        <v>4466.7</v>
      </c>
      <c r="E406">
        <v>2020</v>
      </c>
      <c r="F406" s="168" t="s">
        <v>591</v>
      </c>
      <c r="G406" s="168" t="s">
        <v>607</v>
      </c>
      <c r="H406" s="168" t="s">
        <v>608</v>
      </c>
      <c r="I406">
        <v>0</v>
      </c>
    </row>
    <row r="407" spans="1:9" hidden="1" x14ac:dyDescent="0.3">
      <c r="A407">
        <v>45</v>
      </c>
      <c r="B407" s="168" t="s">
        <v>30</v>
      </c>
      <c r="C407" s="168" t="s">
        <v>68</v>
      </c>
      <c r="D407">
        <v>4466.7</v>
      </c>
      <c r="E407">
        <v>2020</v>
      </c>
      <c r="F407" s="168" t="s">
        <v>591</v>
      </c>
      <c r="G407" s="168" t="s">
        <v>607</v>
      </c>
      <c r="H407" s="168" t="s">
        <v>609</v>
      </c>
      <c r="I407">
        <v>1308078</v>
      </c>
    </row>
    <row r="408" spans="1:9" hidden="1" x14ac:dyDescent="0.3">
      <c r="A408">
        <v>45</v>
      </c>
      <c r="B408" s="168" t="s">
        <v>30</v>
      </c>
      <c r="C408" s="168" t="s">
        <v>68</v>
      </c>
      <c r="D408">
        <v>4466.7</v>
      </c>
      <c r="E408">
        <v>2020</v>
      </c>
      <c r="F408" s="168" t="s">
        <v>591</v>
      </c>
      <c r="G408" s="168" t="s">
        <v>616</v>
      </c>
      <c r="H408" s="168" t="s">
        <v>608</v>
      </c>
      <c r="I408">
        <v>0</v>
      </c>
    </row>
    <row r="409" spans="1:9" hidden="1" x14ac:dyDescent="0.3">
      <c r="A409">
        <v>45</v>
      </c>
      <c r="B409" s="168" t="s">
        <v>30</v>
      </c>
      <c r="C409" s="168" t="s">
        <v>68</v>
      </c>
      <c r="D409">
        <v>4466.7</v>
      </c>
      <c r="E409">
        <v>2020</v>
      </c>
      <c r="F409" s="168" t="s">
        <v>591</v>
      </c>
      <c r="G409" s="168" t="s">
        <v>616</v>
      </c>
      <c r="H409" s="168" t="s">
        <v>609</v>
      </c>
      <c r="I409">
        <v>2604951.7611487401</v>
      </c>
    </row>
    <row r="410" spans="1:9" hidden="1" x14ac:dyDescent="0.3">
      <c r="A410">
        <v>45</v>
      </c>
      <c r="B410" s="168" t="s">
        <v>30</v>
      </c>
      <c r="C410" s="168" t="s">
        <v>68</v>
      </c>
      <c r="D410">
        <v>4466.7</v>
      </c>
      <c r="E410">
        <v>2020</v>
      </c>
      <c r="F410" s="168" t="s">
        <v>591</v>
      </c>
      <c r="G410" s="168" t="s">
        <v>617</v>
      </c>
      <c r="H410" s="168" t="s">
        <v>608</v>
      </c>
      <c r="I410">
        <v>0</v>
      </c>
    </row>
    <row r="411" spans="1:9" hidden="1" x14ac:dyDescent="0.3">
      <c r="A411">
        <v>45</v>
      </c>
      <c r="B411" s="168" t="s">
        <v>30</v>
      </c>
      <c r="C411" s="168" t="s">
        <v>68</v>
      </c>
      <c r="D411">
        <v>4466.7</v>
      </c>
      <c r="E411">
        <v>2020</v>
      </c>
      <c r="F411" s="168" t="s">
        <v>591</v>
      </c>
      <c r="G411" s="168" t="s">
        <v>617</v>
      </c>
      <c r="H411" s="168" t="s">
        <v>609</v>
      </c>
      <c r="I411">
        <v>7509.3649931649215</v>
      </c>
    </row>
    <row r="412" spans="1:9" hidden="1" x14ac:dyDescent="0.3">
      <c r="A412">
        <v>45</v>
      </c>
      <c r="B412" s="168" t="s">
        <v>30</v>
      </c>
      <c r="C412" s="168" t="s">
        <v>68</v>
      </c>
      <c r="D412">
        <v>4466.7</v>
      </c>
      <c r="E412">
        <v>2020</v>
      </c>
      <c r="F412" s="168" t="s">
        <v>591</v>
      </c>
      <c r="G412" s="168" t="s">
        <v>619</v>
      </c>
      <c r="H412" s="168" t="s">
        <v>608</v>
      </c>
      <c r="I412">
        <v>0</v>
      </c>
    </row>
    <row r="413" spans="1:9" hidden="1" x14ac:dyDescent="0.3">
      <c r="A413">
        <v>45</v>
      </c>
      <c r="B413" s="168" t="s">
        <v>30</v>
      </c>
      <c r="C413" s="168" t="s">
        <v>68</v>
      </c>
      <c r="D413">
        <v>4466.7</v>
      </c>
      <c r="E413">
        <v>2020</v>
      </c>
      <c r="F413" s="168" t="s">
        <v>591</v>
      </c>
      <c r="G413" s="168" t="s">
        <v>619</v>
      </c>
      <c r="H413" s="168" t="s">
        <v>609</v>
      </c>
      <c r="I413">
        <v>7301.8867924528295</v>
      </c>
    </row>
    <row r="414" spans="1:9" hidden="1" x14ac:dyDescent="0.3">
      <c r="A414">
        <v>45</v>
      </c>
      <c r="B414" s="168" t="s">
        <v>30</v>
      </c>
      <c r="C414" s="168" t="s">
        <v>68</v>
      </c>
      <c r="D414">
        <v>4466.7</v>
      </c>
      <c r="E414">
        <v>2020</v>
      </c>
      <c r="F414" s="168" t="s">
        <v>591</v>
      </c>
      <c r="G414" s="168" t="s">
        <v>610</v>
      </c>
      <c r="H414" s="168" t="s">
        <v>608</v>
      </c>
      <c r="I414">
        <v>0</v>
      </c>
    </row>
    <row r="415" spans="1:9" hidden="1" x14ac:dyDescent="0.3">
      <c r="A415">
        <v>45</v>
      </c>
      <c r="B415" s="168" t="s">
        <v>30</v>
      </c>
      <c r="C415" s="168" t="s">
        <v>68</v>
      </c>
      <c r="D415">
        <v>4466.7</v>
      </c>
      <c r="E415">
        <v>2020</v>
      </c>
      <c r="F415" s="168" t="s">
        <v>591</v>
      </c>
      <c r="G415" s="168" t="s">
        <v>610</v>
      </c>
      <c r="H415" s="168" t="s">
        <v>609</v>
      </c>
      <c r="I415">
        <v>65149.854545454553</v>
      </c>
    </row>
    <row r="416" spans="1:9" hidden="1" x14ac:dyDescent="0.3">
      <c r="A416">
        <v>45</v>
      </c>
      <c r="B416" s="168" t="s">
        <v>30</v>
      </c>
      <c r="C416" s="168" t="s">
        <v>68</v>
      </c>
      <c r="D416">
        <v>4466.7</v>
      </c>
      <c r="E416">
        <v>2020</v>
      </c>
      <c r="F416" s="168" t="s">
        <v>591</v>
      </c>
      <c r="G416" s="168" t="s">
        <v>633</v>
      </c>
      <c r="H416" s="168" t="s">
        <v>608</v>
      </c>
      <c r="I416">
        <v>0</v>
      </c>
    </row>
    <row r="417" spans="1:9" hidden="1" x14ac:dyDescent="0.3">
      <c r="A417">
        <v>45</v>
      </c>
      <c r="B417" s="168" t="s">
        <v>30</v>
      </c>
      <c r="C417" s="168" t="s">
        <v>68</v>
      </c>
      <c r="D417">
        <v>4466.7</v>
      </c>
      <c r="E417">
        <v>2020</v>
      </c>
      <c r="F417" s="168" t="s">
        <v>591</v>
      </c>
      <c r="G417" s="168" t="s">
        <v>633</v>
      </c>
      <c r="H417" s="168" t="s">
        <v>609</v>
      </c>
      <c r="I417">
        <v>36000</v>
      </c>
    </row>
    <row r="418" spans="1:9" hidden="1" x14ac:dyDescent="0.3">
      <c r="A418">
        <v>45</v>
      </c>
      <c r="B418" s="168" t="s">
        <v>30</v>
      </c>
      <c r="C418" s="168" t="s">
        <v>68</v>
      </c>
      <c r="D418">
        <v>4466.7</v>
      </c>
      <c r="E418">
        <v>2020</v>
      </c>
      <c r="F418" s="168" t="s">
        <v>591</v>
      </c>
      <c r="G418" s="168" t="s">
        <v>623</v>
      </c>
      <c r="H418" s="168" t="s">
        <v>608</v>
      </c>
      <c r="I418">
        <v>0</v>
      </c>
    </row>
    <row r="419" spans="1:9" hidden="1" x14ac:dyDescent="0.3">
      <c r="A419">
        <v>45</v>
      </c>
      <c r="B419" s="168" t="s">
        <v>30</v>
      </c>
      <c r="C419" s="168" t="s">
        <v>68</v>
      </c>
      <c r="D419">
        <v>4466.7</v>
      </c>
      <c r="E419">
        <v>2020</v>
      </c>
      <c r="F419" s="168" t="s">
        <v>591</v>
      </c>
      <c r="G419" s="168" t="s">
        <v>623</v>
      </c>
      <c r="H419" s="168" t="s">
        <v>609</v>
      </c>
      <c r="I419">
        <v>364168.48</v>
      </c>
    </row>
    <row r="420" spans="1:9" hidden="1" x14ac:dyDescent="0.3">
      <c r="A420">
        <v>45</v>
      </c>
      <c r="B420" s="168" t="s">
        <v>30</v>
      </c>
      <c r="C420" s="168" t="s">
        <v>68</v>
      </c>
      <c r="D420">
        <v>4466.7</v>
      </c>
      <c r="E420">
        <v>2020</v>
      </c>
      <c r="F420" s="168" t="s">
        <v>591</v>
      </c>
      <c r="G420" s="168" t="s">
        <v>613</v>
      </c>
      <c r="H420" s="168" t="s">
        <v>608</v>
      </c>
      <c r="I420">
        <v>0</v>
      </c>
    </row>
    <row r="421" spans="1:9" hidden="1" x14ac:dyDescent="0.3">
      <c r="A421">
        <v>45</v>
      </c>
      <c r="B421" s="168" t="s">
        <v>30</v>
      </c>
      <c r="C421" s="168" t="s">
        <v>68</v>
      </c>
      <c r="D421">
        <v>4466.7</v>
      </c>
      <c r="E421">
        <v>2020</v>
      </c>
      <c r="F421" s="168" t="s">
        <v>591</v>
      </c>
      <c r="G421" s="168" t="s">
        <v>613</v>
      </c>
      <c r="H421" s="168" t="s">
        <v>609</v>
      </c>
      <c r="I421">
        <v>1044284.4155640691</v>
      </c>
    </row>
    <row r="422" spans="1:9" x14ac:dyDescent="0.3">
      <c r="A422">
        <v>46</v>
      </c>
      <c r="B422" s="168" t="s">
        <v>37</v>
      </c>
      <c r="C422" s="168" t="s">
        <v>69</v>
      </c>
      <c r="D422">
        <v>912.3</v>
      </c>
      <c r="E422">
        <v>2020</v>
      </c>
      <c r="F422" s="168" t="s">
        <v>592</v>
      </c>
      <c r="G422" s="168" t="s">
        <v>607</v>
      </c>
      <c r="H422" s="168" t="s">
        <v>608</v>
      </c>
      <c r="I422">
        <v>173196.60578167695</v>
      </c>
    </row>
    <row r="423" spans="1:9" x14ac:dyDescent="0.3">
      <c r="A423">
        <v>46</v>
      </c>
      <c r="B423" s="168" t="s">
        <v>37</v>
      </c>
      <c r="C423" s="168" t="s">
        <v>69</v>
      </c>
      <c r="D423">
        <v>912.3</v>
      </c>
      <c r="E423">
        <v>2020</v>
      </c>
      <c r="F423" s="168" t="s">
        <v>592</v>
      </c>
      <c r="G423" s="168" t="s">
        <v>607</v>
      </c>
      <c r="H423" s="168" t="s">
        <v>609</v>
      </c>
      <c r="I423">
        <v>73758.511228452247</v>
      </c>
    </row>
    <row r="424" spans="1:9" x14ac:dyDescent="0.3">
      <c r="A424">
        <v>46</v>
      </c>
      <c r="B424" s="168" t="s">
        <v>37</v>
      </c>
      <c r="C424" s="168" t="s">
        <v>69</v>
      </c>
      <c r="D424">
        <v>912.3</v>
      </c>
      <c r="E424">
        <v>2020</v>
      </c>
      <c r="F424" s="168" t="s">
        <v>592</v>
      </c>
      <c r="G424" s="168" t="s">
        <v>620</v>
      </c>
      <c r="H424" s="168" t="s">
        <v>608</v>
      </c>
      <c r="I424">
        <v>0</v>
      </c>
    </row>
    <row r="425" spans="1:9" x14ac:dyDescent="0.3">
      <c r="A425">
        <v>46</v>
      </c>
      <c r="B425" s="168" t="s">
        <v>37</v>
      </c>
      <c r="C425" s="168" t="s">
        <v>69</v>
      </c>
      <c r="D425">
        <v>912.3</v>
      </c>
      <c r="E425">
        <v>2020</v>
      </c>
      <c r="F425" s="168" t="s">
        <v>592</v>
      </c>
      <c r="G425" s="168" t="s">
        <v>620</v>
      </c>
      <c r="H425" s="168" t="s">
        <v>609</v>
      </c>
      <c r="I425">
        <v>448541.66666666669</v>
      </c>
    </row>
    <row r="426" spans="1:9" x14ac:dyDescent="0.3">
      <c r="A426">
        <v>46</v>
      </c>
      <c r="B426" s="168" t="s">
        <v>37</v>
      </c>
      <c r="C426" s="168" t="s">
        <v>69</v>
      </c>
      <c r="D426">
        <v>912.3</v>
      </c>
      <c r="E426">
        <v>2020</v>
      </c>
      <c r="F426" s="168" t="s">
        <v>592</v>
      </c>
      <c r="G426" s="168" t="s">
        <v>621</v>
      </c>
      <c r="H426" s="168" t="s">
        <v>608</v>
      </c>
      <c r="I426">
        <v>0</v>
      </c>
    </row>
    <row r="427" spans="1:9" x14ac:dyDescent="0.3">
      <c r="A427">
        <v>46</v>
      </c>
      <c r="B427" s="168" t="s">
        <v>37</v>
      </c>
      <c r="C427" s="168" t="s">
        <v>69</v>
      </c>
      <c r="D427">
        <v>912.3</v>
      </c>
      <c r="E427">
        <v>2020</v>
      </c>
      <c r="F427" s="168" t="s">
        <v>592</v>
      </c>
      <c r="G427" s="168" t="s">
        <v>621</v>
      </c>
      <c r="H427" s="168" t="s">
        <v>609</v>
      </c>
      <c r="I427">
        <v>63764.36056361474</v>
      </c>
    </row>
    <row r="428" spans="1:9" x14ac:dyDescent="0.3">
      <c r="A428">
        <v>47</v>
      </c>
      <c r="B428" s="168" t="s">
        <v>37</v>
      </c>
      <c r="C428" s="168" t="s">
        <v>70</v>
      </c>
      <c r="D428">
        <v>1610.7</v>
      </c>
      <c r="E428">
        <v>2020</v>
      </c>
      <c r="F428" s="168" t="s">
        <v>592</v>
      </c>
      <c r="G428" s="168" t="s">
        <v>607</v>
      </c>
      <c r="H428" s="168" t="s">
        <v>608</v>
      </c>
      <c r="I428">
        <v>305785.12872141518</v>
      </c>
    </row>
    <row r="429" spans="1:9" x14ac:dyDescent="0.3">
      <c r="A429">
        <v>47</v>
      </c>
      <c r="B429" s="168" t="s">
        <v>37</v>
      </c>
      <c r="C429" s="168" t="s">
        <v>70</v>
      </c>
      <c r="D429">
        <v>1610.7</v>
      </c>
      <c r="E429">
        <v>2020</v>
      </c>
      <c r="F429" s="168" t="s">
        <v>592</v>
      </c>
      <c r="G429" s="168" t="s">
        <v>607</v>
      </c>
      <c r="H429" s="168" t="s">
        <v>609</v>
      </c>
      <c r="I429">
        <v>130223.42873579748</v>
      </c>
    </row>
    <row r="430" spans="1:9" x14ac:dyDescent="0.3">
      <c r="A430">
        <v>47</v>
      </c>
      <c r="B430" s="168" t="s">
        <v>37</v>
      </c>
      <c r="C430" s="168" t="s">
        <v>70</v>
      </c>
      <c r="D430">
        <v>1610.7</v>
      </c>
      <c r="E430">
        <v>2020</v>
      </c>
      <c r="F430" s="168" t="s">
        <v>592</v>
      </c>
      <c r="G430" s="168" t="s">
        <v>612</v>
      </c>
      <c r="H430" s="168" t="s">
        <v>608</v>
      </c>
      <c r="I430">
        <v>0</v>
      </c>
    </row>
    <row r="431" spans="1:9" x14ac:dyDescent="0.3">
      <c r="A431">
        <v>47</v>
      </c>
      <c r="B431" s="168" t="s">
        <v>37</v>
      </c>
      <c r="C431" s="168" t="s">
        <v>70</v>
      </c>
      <c r="D431">
        <v>1610.7</v>
      </c>
      <c r="E431">
        <v>2020</v>
      </c>
      <c r="F431" s="168" t="s">
        <v>592</v>
      </c>
      <c r="G431" s="168" t="s">
        <v>612</v>
      </c>
      <c r="H431" s="168" t="s">
        <v>609</v>
      </c>
      <c r="I431">
        <v>90400</v>
      </c>
    </row>
    <row r="432" spans="1:9" x14ac:dyDescent="0.3">
      <c r="A432">
        <v>47</v>
      </c>
      <c r="B432" s="168" t="s">
        <v>37</v>
      </c>
      <c r="C432" s="168" t="s">
        <v>70</v>
      </c>
      <c r="D432">
        <v>1610.7</v>
      </c>
      <c r="E432">
        <v>2020</v>
      </c>
      <c r="F432" s="168" t="s">
        <v>592</v>
      </c>
      <c r="G432" s="168" t="s">
        <v>620</v>
      </c>
      <c r="H432" s="168" t="s">
        <v>608</v>
      </c>
      <c r="I432">
        <v>0</v>
      </c>
    </row>
    <row r="433" spans="1:9" x14ac:dyDescent="0.3">
      <c r="A433">
        <v>47</v>
      </c>
      <c r="B433" s="168" t="s">
        <v>37</v>
      </c>
      <c r="C433" s="168" t="s">
        <v>70</v>
      </c>
      <c r="D433">
        <v>1610.7</v>
      </c>
      <c r="E433">
        <v>2020</v>
      </c>
      <c r="F433" s="168" t="s">
        <v>592</v>
      </c>
      <c r="G433" s="168" t="s">
        <v>620</v>
      </c>
      <c r="H433" s="168" t="s">
        <v>609</v>
      </c>
      <c r="I433">
        <v>358833.33333333331</v>
      </c>
    </row>
    <row r="434" spans="1:9" x14ac:dyDescent="0.3">
      <c r="A434">
        <v>47</v>
      </c>
      <c r="B434" s="168" t="s">
        <v>37</v>
      </c>
      <c r="C434" s="168" t="s">
        <v>70</v>
      </c>
      <c r="D434">
        <v>1610.7</v>
      </c>
      <c r="E434">
        <v>2020</v>
      </c>
      <c r="F434" s="168" t="s">
        <v>592</v>
      </c>
      <c r="G434" s="168" t="s">
        <v>621</v>
      </c>
      <c r="H434" s="168" t="s">
        <v>608</v>
      </c>
      <c r="I434">
        <v>0</v>
      </c>
    </row>
    <row r="435" spans="1:9" x14ac:dyDescent="0.3">
      <c r="A435">
        <v>47</v>
      </c>
      <c r="B435" s="168" t="s">
        <v>37</v>
      </c>
      <c r="C435" s="168" t="s">
        <v>70</v>
      </c>
      <c r="D435">
        <v>1610.7</v>
      </c>
      <c r="E435">
        <v>2020</v>
      </c>
      <c r="F435" s="168" t="s">
        <v>592</v>
      </c>
      <c r="G435" s="168" t="s">
        <v>621</v>
      </c>
      <c r="H435" s="168" t="s">
        <v>609</v>
      </c>
      <c r="I435">
        <v>112578.37943638526</v>
      </c>
    </row>
    <row r="436" spans="1:9" x14ac:dyDescent="0.3">
      <c r="A436">
        <v>48</v>
      </c>
      <c r="B436" s="168" t="s">
        <v>71</v>
      </c>
      <c r="C436" s="168" t="s">
        <v>72</v>
      </c>
      <c r="D436">
        <v>18956.5</v>
      </c>
      <c r="E436">
        <v>2020</v>
      </c>
      <c r="F436" s="168" t="s">
        <v>592</v>
      </c>
      <c r="G436" s="168" t="s">
        <v>607</v>
      </c>
      <c r="H436" s="168" t="s">
        <v>608</v>
      </c>
      <c r="I436">
        <v>172563.66824289903</v>
      </c>
    </row>
    <row r="437" spans="1:9" x14ac:dyDescent="0.3">
      <c r="A437">
        <v>48</v>
      </c>
      <c r="B437" s="168" t="s">
        <v>71</v>
      </c>
      <c r="C437" s="168" t="s">
        <v>72</v>
      </c>
      <c r="D437">
        <v>18956.5</v>
      </c>
      <c r="E437">
        <v>2020</v>
      </c>
      <c r="F437" s="168" t="s">
        <v>592</v>
      </c>
      <c r="G437" s="168" t="s">
        <v>607</v>
      </c>
      <c r="H437" s="168" t="s">
        <v>609</v>
      </c>
      <c r="I437">
        <v>0</v>
      </c>
    </row>
    <row r="438" spans="1:9" x14ac:dyDescent="0.3">
      <c r="A438">
        <v>48</v>
      </c>
      <c r="B438" s="168" t="s">
        <v>71</v>
      </c>
      <c r="C438" s="168" t="s">
        <v>72</v>
      </c>
      <c r="D438">
        <v>18956.5</v>
      </c>
      <c r="E438">
        <v>2020</v>
      </c>
      <c r="F438" s="168" t="s">
        <v>592</v>
      </c>
      <c r="G438" s="168" t="s">
        <v>616</v>
      </c>
      <c r="H438" s="168" t="s">
        <v>608</v>
      </c>
      <c r="I438">
        <v>0</v>
      </c>
    </row>
    <row r="439" spans="1:9" x14ac:dyDescent="0.3">
      <c r="A439">
        <v>48</v>
      </c>
      <c r="B439" s="168" t="s">
        <v>71</v>
      </c>
      <c r="C439" s="168" t="s">
        <v>72</v>
      </c>
      <c r="D439">
        <v>18956.5</v>
      </c>
      <c r="E439">
        <v>2020</v>
      </c>
      <c r="F439" s="168" t="s">
        <v>592</v>
      </c>
      <c r="G439" s="168" t="s">
        <v>616</v>
      </c>
      <c r="H439" s="168" t="s">
        <v>609</v>
      </c>
      <c r="I439">
        <v>1480250</v>
      </c>
    </row>
    <row r="440" spans="1:9" x14ac:dyDescent="0.3">
      <c r="A440">
        <v>48</v>
      </c>
      <c r="B440" s="168" t="s">
        <v>71</v>
      </c>
      <c r="C440" s="168" t="s">
        <v>72</v>
      </c>
      <c r="D440">
        <v>18956.5</v>
      </c>
      <c r="E440">
        <v>2020</v>
      </c>
      <c r="F440" s="168" t="s">
        <v>592</v>
      </c>
      <c r="G440" s="168" t="s">
        <v>617</v>
      </c>
      <c r="H440" s="168" t="s">
        <v>608</v>
      </c>
      <c r="I440">
        <v>12803.821878744808</v>
      </c>
    </row>
    <row r="441" spans="1:9" x14ac:dyDescent="0.3">
      <c r="A441">
        <v>48</v>
      </c>
      <c r="B441" s="168" t="s">
        <v>71</v>
      </c>
      <c r="C441" s="168" t="s">
        <v>72</v>
      </c>
      <c r="D441">
        <v>18956.5</v>
      </c>
      <c r="E441">
        <v>2020</v>
      </c>
      <c r="F441" s="168" t="s">
        <v>592</v>
      </c>
      <c r="G441" s="168" t="s">
        <v>617</v>
      </c>
      <c r="H441" s="168" t="s">
        <v>609</v>
      </c>
      <c r="I441">
        <v>14441.69640905861</v>
      </c>
    </row>
    <row r="442" spans="1:9" x14ac:dyDescent="0.3">
      <c r="A442">
        <v>48</v>
      </c>
      <c r="B442" s="168" t="s">
        <v>71</v>
      </c>
      <c r="C442" s="168" t="s">
        <v>72</v>
      </c>
      <c r="D442">
        <v>18956.5</v>
      </c>
      <c r="E442">
        <v>2020</v>
      </c>
      <c r="F442" s="168" t="s">
        <v>592</v>
      </c>
      <c r="G442" s="168" t="s">
        <v>618</v>
      </c>
      <c r="H442" s="168" t="s">
        <v>608</v>
      </c>
      <c r="I442">
        <v>0</v>
      </c>
    </row>
    <row r="443" spans="1:9" x14ac:dyDescent="0.3">
      <c r="A443">
        <v>48</v>
      </c>
      <c r="B443" s="168" t="s">
        <v>71</v>
      </c>
      <c r="C443" s="168" t="s">
        <v>72</v>
      </c>
      <c r="D443">
        <v>18956.5</v>
      </c>
      <c r="E443">
        <v>2020</v>
      </c>
      <c r="F443" s="168" t="s">
        <v>592</v>
      </c>
      <c r="G443" s="168" t="s">
        <v>618</v>
      </c>
      <c r="H443" s="168" t="s">
        <v>609</v>
      </c>
      <c r="I443">
        <v>42606.741573033709</v>
      </c>
    </row>
    <row r="444" spans="1:9" x14ac:dyDescent="0.3">
      <c r="A444">
        <v>48</v>
      </c>
      <c r="B444" s="168" t="s">
        <v>71</v>
      </c>
      <c r="C444" s="168" t="s">
        <v>72</v>
      </c>
      <c r="D444">
        <v>18956.5</v>
      </c>
      <c r="E444">
        <v>2020</v>
      </c>
      <c r="F444" s="168" t="s">
        <v>592</v>
      </c>
      <c r="G444" s="168" t="s">
        <v>619</v>
      </c>
      <c r="H444" s="168" t="s">
        <v>608</v>
      </c>
      <c r="I444">
        <v>0</v>
      </c>
    </row>
    <row r="445" spans="1:9" x14ac:dyDescent="0.3">
      <c r="A445">
        <v>48</v>
      </c>
      <c r="B445" s="168" t="s">
        <v>71</v>
      </c>
      <c r="C445" s="168" t="s">
        <v>72</v>
      </c>
      <c r="D445">
        <v>18956.5</v>
      </c>
      <c r="E445">
        <v>2020</v>
      </c>
      <c r="F445" s="168" t="s">
        <v>592</v>
      </c>
      <c r="G445" s="168" t="s">
        <v>619</v>
      </c>
      <c r="H445" s="168" t="s">
        <v>609</v>
      </c>
      <c r="I445">
        <v>299000</v>
      </c>
    </row>
    <row r="446" spans="1:9" x14ac:dyDescent="0.3">
      <c r="A446">
        <v>48</v>
      </c>
      <c r="B446" s="168" t="s">
        <v>71</v>
      </c>
      <c r="C446" s="168" t="s">
        <v>72</v>
      </c>
      <c r="D446">
        <v>18956.5</v>
      </c>
      <c r="E446">
        <v>2020</v>
      </c>
      <c r="F446" s="168" t="s">
        <v>592</v>
      </c>
      <c r="G446" s="168" t="s">
        <v>610</v>
      </c>
      <c r="H446" s="168" t="s">
        <v>608</v>
      </c>
      <c r="I446">
        <v>0</v>
      </c>
    </row>
    <row r="447" spans="1:9" x14ac:dyDescent="0.3">
      <c r="A447">
        <v>48</v>
      </c>
      <c r="B447" s="168" t="s">
        <v>71</v>
      </c>
      <c r="C447" s="168" t="s">
        <v>72</v>
      </c>
      <c r="D447">
        <v>18956.5</v>
      </c>
      <c r="E447">
        <v>2020</v>
      </c>
      <c r="F447" s="168" t="s">
        <v>592</v>
      </c>
      <c r="G447" s="168" t="s">
        <v>610</v>
      </c>
      <c r="H447" s="168" t="s">
        <v>609</v>
      </c>
      <c r="I447">
        <v>311338.90909090912</v>
      </c>
    </row>
    <row r="448" spans="1:9" x14ac:dyDescent="0.3">
      <c r="A448">
        <v>48</v>
      </c>
      <c r="B448" s="168" t="s">
        <v>71</v>
      </c>
      <c r="C448" s="168" t="s">
        <v>72</v>
      </c>
      <c r="D448">
        <v>18956.5</v>
      </c>
      <c r="E448">
        <v>2020</v>
      </c>
      <c r="F448" s="168" t="s">
        <v>592</v>
      </c>
      <c r="G448" s="168" t="s">
        <v>620</v>
      </c>
      <c r="H448" s="168" t="s">
        <v>608</v>
      </c>
      <c r="I448">
        <v>452096.1080645161</v>
      </c>
    </row>
    <row r="449" spans="1:9" x14ac:dyDescent="0.3">
      <c r="A449">
        <v>48</v>
      </c>
      <c r="B449" s="168" t="s">
        <v>71</v>
      </c>
      <c r="C449" s="168" t="s">
        <v>72</v>
      </c>
      <c r="D449">
        <v>18956.5</v>
      </c>
      <c r="E449">
        <v>2020</v>
      </c>
      <c r="F449" s="168" t="s">
        <v>592</v>
      </c>
      <c r="G449" s="168" t="s">
        <v>620</v>
      </c>
      <c r="H449" s="168" t="s">
        <v>609</v>
      </c>
      <c r="I449">
        <v>0</v>
      </c>
    </row>
    <row r="450" spans="1:9" x14ac:dyDescent="0.3">
      <c r="A450">
        <v>48</v>
      </c>
      <c r="B450" s="168" t="s">
        <v>71</v>
      </c>
      <c r="C450" s="168" t="s">
        <v>72</v>
      </c>
      <c r="D450">
        <v>18956.5</v>
      </c>
      <c r="E450">
        <v>2020</v>
      </c>
      <c r="F450" s="168" t="s">
        <v>592</v>
      </c>
      <c r="G450" s="168" t="s">
        <v>633</v>
      </c>
      <c r="H450" s="168" t="s">
        <v>608</v>
      </c>
      <c r="I450">
        <v>0</v>
      </c>
    </row>
    <row r="451" spans="1:9" x14ac:dyDescent="0.3">
      <c r="A451">
        <v>48</v>
      </c>
      <c r="B451" s="168" t="s">
        <v>71</v>
      </c>
      <c r="C451" s="168" t="s">
        <v>72</v>
      </c>
      <c r="D451">
        <v>18956.5</v>
      </c>
      <c r="E451">
        <v>2020</v>
      </c>
      <c r="F451" s="168" t="s">
        <v>592</v>
      </c>
      <c r="G451" s="168" t="s">
        <v>633</v>
      </c>
      <c r="H451" s="168" t="s">
        <v>609</v>
      </c>
      <c r="I451">
        <v>342725.30973451299</v>
      </c>
    </row>
    <row r="452" spans="1:9" x14ac:dyDescent="0.3">
      <c r="A452">
        <v>48</v>
      </c>
      <c r="B452" s="168" t="s">
        <v>71</v>
      </c>
      <c r="C452" s="168" t="s">
        <v>72</v>
      </c>
      <c r="D452">
        <v>18956.5</v>
      </c>
      <c r="E452">
        <v>2020</v>
      </c>
      <c r="F452" s="168" t="s">
        <v>592</v>
      </c>
      <c r="G452" s="168" t="s">
        <v>623</v>
      </c>
      <c r="H452" s="168" t="s">
        <v>608</v>
      </c>
      <c r="I452">
        <v>97634.615384615405</v>
      </c>
    </row>
    <row r="453" spans="1:9" x14ac:dyDescent="0.3">
      <c r="A453">
        <v>48</v>
      </c>
      <c r="B453" s="168" t="s">
        <v>71</v>
      </c>
      <c r="C453" s="168" t="s">
        <v>72</v>
      </c>
      <c r="D453">
        <v>18956.5</v>
      </c>
      <c r="E453">
        <v>2020</v>
      </c>
      <c r="F453" s="168" t="s">
        <v>592</v>
      </c>
      <c r="G453" s="168" t="s">
        <v>623</v>
      </c>
      <c r="H453" s="168" t="s">
        <v>609</v>
      </c>
      <c r="I453">
        <v>71020.782500000001</v>
      </c>
    </row>
    <row r="454" spans="1:9" x14ac:dyDescent="0.3">
      <c r="A454">
        <v>48</v>
      </c>
      <c r="B454" s="168" t="s">
        <v>71</v>
      </c>
      <c r="C454" s="168" t="s">
        <v>72</v>
      </c>
      <c r="D454">
        <v>18956.5</v>
      </c>
      <c r="E454">
        <v>2020</v>
      </c>
      <c r="F454" s="168" t="s">
        <v>592</v>
      </c>
      <c r="G454" s="168" t="s">
        <v>625</v>
      </c>
      <c r="H454" s="168" t="s">
        <v>608</v>
      </c>
      <c r="I454">
        <v>0</v>
      </c>
    </row>
    <row r="455" spans="1:9" x14ac:dyDescent="0.3">
      <c r="A455">
        <v>48</v>
      </c>
      <c r="B455" s="168" t="s">
        <v>71</v>
      </c>
      <c r="C455" s="168" t="s">
        <v>72</v>
      </c>
      <c r="D455">
        <v>18956.5</v>
      </c>
      <c r="E455">
        <v>2020</v>
      </c>
      <c r="F455" s="168" t="s">
        <v>592</v>
      </c>
      <c r="G455" s="168" t="s">
        <v>625</v>
      </c>
      <c r="H455" s="168" t="s">
        <v>609</v>
      </c>
      <c r="I455">
        <v>101498</v>
      </c>
    </row>
    <row r="456" spans="1:9" x14ac:dyDescent="0.3">
      <c r="A456">
        <v>48</v>
      </c>
      <c r="B456" s="168" t="s">
        <v>71</v>
      </c>
      <c r="C456" s="168" t="s">
        <v>72</v>
      </c>
      <c r="D456">
        <v>18956.5</v>
      </c>
      <c r="E456">
        <v>2020</v>
      </c>
      <c r="F456" s="168" t="s">
        <v>592</v>
      </c>
      <c r="G456" s="168" t="s">
        <v>615</v>
      </c>
      <c r="H456" s="168" t="s">
        <v>608</v>
      </c>
      <c r="I456">
        <v>0</v>
      </c>
    </row>
    <row r="457" spans="1:9" x14ac:dyDescent="0.3">
      <c r="A457">
        <v>48</v>
      </c>
      <c r="B457" s="168" t="s">
        <v>71</v>
      </c>
      <c r="C457" s="168" t="s">
        <v>72</v>
      </c>
      <c r="D457">
        <v>18956.5</v>
      </c>
      <c r="E457">
        <v>2020</v>
      </c>
      <c r="F457" s="168" t="s">
        <v>592</v>
      </c>
      <c r="G457" s="168" t="s">
        <v>615</v>
      </c>
      <c r="H457" s="168" t="s">
        <v>609</v>
      </c>
      <c r="I457">
        <v>22609.756097560974</v>
      </c>
    </row>
    <row r="458" spans="1:9" x14ac:dyDescent="0.3">
      <c r="A458">
        <v>48</v>
      </c>
      <c r="B458" s="168" t="s">
        <v>71</v>
      </c>
      <c r="C458" s="168" t="s">
        <v>72</v>
      </c>
      <c r="D458">
        <v>18956.5</v>
      </c>
      <c r="E458">
        <v>2020</v>
      </c>
      <c r="F458" s="168" t="s">
        <v>592</v>
      </c>
      <c r="G458" s="168" t="s">
        <v>624</v>
      </c>
      <c r="H458" s="168" t="s">
        <v>608</v>
      </c>
      <c r="I458">
        <v>354629.68152015435</v>
      </c>
    </row>
    <row r="459" spans="1:9" x14ac:dyDescent="0.3">
      <c r="A459">
        <v>48</v>
      </c>
      <c r="B459" s="168" t="s">
        <v>71</v>
      </c>
      <c r="C459" s="168" t="s">
        <v>72</v>
      </c>
      <c r="D459">
        <v>18956.5</v>
      </c>
      <c r="E459">
        <v>2020</v>
      </c>
      <c r="F459" s="168" t="s">
        <v>592</v>
      </c>
      <c r="G459" s="168" t="s">
        <v>624</v>
      </c>
      <c r="H459" s="168" t="s">
        <v>609</v>
      </c>
      <c r="I459">
        <v>373064.56945313641</v>
      </c>
    </row>
    <row r="460" spans="1:9" x14ac:dyDescent="0.3">
      <c r="A460">
        <v>48</v>
      </c>
      <c r="B460" s="168" t="s">
        <v>71</v>
      </c>
      <c r="C460" s="168" t="s">
        <v>72</v>
      </c>
      <c r="D460">
        <v>18956.5</v>
      </c>
      <c r="E460">
        <v>2020</v>
      </c>
      <c r="F460" s="168" t="s">
        <v>592</v>
      </c>
      <c r="G460" s="168" t="s">
        <v>611</v>
      </c>
      <c r="H460" s="168" t="s">
        <v>608</v>
      </c>
      <c r="I460">
        <v>0</v>
      </c>
    </row>
    <row r="461" spans="1:9" x14ac:dyDescent="0.3">
      <c r="A461">
        <v>48</v>
      </c>
      <c r="B461" s="168" t="s">
        <v>71</v>
      </c>
      <c r="C461" s="168" t="s">
        <v>72</v>
      </c>
      <c r="D461">
        <v>18956.5</v>
      </c>
      <c r="E461">
        <v>2020</v>
      </c>
      <c r="F461" s="168" t="s">
        <v>592</v>
      </c>
      <c r="G461" s="168" t="s">
        <v>611</v>
      </c>
      <c r="H461" s="168" t="s">
        <v>609</v>
      </c>
      <c r="I461">
        <v>87158.94016684829</v>
      </c>
    </row>
    <row r="462" spans="1:9" x14ac:dyDescent="0.3">
      <c r="A462">
        <v>48</v>
      </c>
      <c r="B462" s="168" t="s">
        <v>71</v>
      </c>
      <c r="C462" s="168" t="s">
        <v>72</v>
      </c>
      <c r="D462">
        <v>18956.5</v>
      </c>
      <c r="E462">
        <v>2020</v>
      </c>
      <c r="F462" s="168" t="s">
        <v>592</v>
      </c>
      <c r="G462" s="168" t="s">
        <v>621</v>
      </c>
      <c r="H462" s="168" t="s">
        <v>608</v>
      </c>
      <c r="I462">
        <v>0</v>
      </c>
    </row>
    <row r="463" spans="1:9" x14ac:dyDescent="0.3">
      <c r="A463">
        <v>48</v>
      </c>
      <c r="B463" s="168" t="s">
        <v>71</v>
      </c>
      <c r="C463" s="168" t="s">
        <v>72</v>
      </c>
      <c r="D463">
        <v>18956.5</v>
      </c>
      <c r="E463">
        <v>2020</v>
      </c>
      <c r="F463" s="168" t="s">
        <v>592</v>
      </c>
      <c r="G463" s="168" t="s">
        <v>621</v>
      </c>
      <c r="H463" s="168" t="s">
        <v>609</v>
      </c>
      <c r="I463">
        <v>1187546.67</v>
      </c>
    </row>
    <row r="464" spans="1:9" x14ac:dyDescent="0.3">
      <c r="A464">
        <v>48</v>
      </c>
      <c r="B464" s="168" t="s">
        <v>71</v>
      </c>
      <c r="C464" s="168" t="s">
        <v>72</v>
      </c>
      <c r="D464">
        <v>18956.5</v>
      </c>
      <c r="E464">
        <v>2020</v>
      </c>
      <c r="F464" s="168" t="s">
        <v>592</v>
      </c>
      <c r="G464" s="168" t="s">
        <v>626</v>
      </c>
      <c r="H464" s="168" t="s">
        <v>608</v>
      </c>
      <c r="I464">
        <v>0</v>
      </c>
    </row>
    <row r="465" spans="1:9" x14ac:dyDescent="0.3">
      <c r="A465">
        <v>48</v>
      </c>
      <c r="B465" s="168" t="s">
        <v>71</v>
      </c>
      <c r="C465" s="168" t="s">
        <v>72</v>
      </c>
      <c r="D465">
        <v>18956.5</v>
      </c>
      <c r="E465">
        <v>2020</v>
      </c>
      <c r="F465" s="168" t="s">
        <v>592</v>
      </c>
      <c r="G465" s="168" t="s">
        <v>626</v>
      </c>
      <c r="H465" s="168" t="s">
        <v>609</v>
      </c>
      <c r="I465">
        <v>59500</v>
      </c>
    </row>
    <row r="466" spans="1:9" x14ac:dyDescent="0.3">
      <c r="A466">
        <v>48</v>
      </c>
      <c r="B466" s="168" t="s">
        <v>71</v>
      </c>
      <c r="C466" s="168" t="s">
        <v>72</v>
      </c>
      <c r="D466">
        <v>18956.5</v>
      </c>
      <c r="E466">
        <v>2020</v>
      </c>
      <c r="F466" s="168" t="s">
        <v>592</v>
      </c>
      <c r="G466" s="168" t="s">
        <v>613</v>
      </c>
      <c r="H466" s="168" t="s">
        <v>608</v>
      </c>
      <c r="I466">
        <v>1343339.1517835618</v>
      </c>
    </row>
    <row r="467" spans="1:9" x14ac:dyDescent="0.3">
      <c r="A467">
        <v>48</v>
      </c>
      <c r="B467" s="168" t="s">
        <v>71</v>
      </c>
      <c r="C467" s="168" t="s">
        <v>72</v>
      </c>
      <c r="D467">
        <v>18956.5</v>
      </c>
      <c r="E467">
        <v>2020</v>
      </c>
      <c r="F467" s="168" t="s">
        <v>592</v>
      </c>
      <c r="G467" s="168" t="s">
        <v>613</v>
      </c>
      <c r="H467" s="168" t="s">
        <v>609</v>
      </c>
      <c r="I467">
        <v>547743.12073964393</v>
      </c>
    </row>
    <row r="468" spans="1:9" x14ac:dyDescent="0.3">
      <c r="A468">
        <v>48</v>
      </c>
      <c r="B468" s="168" t="s">
        <v>71</v>
      </c>
      <c r="C468" s="168" t="s">
        <v>72</v>
      </c>
      <c r="D468">
        <v>18956.5</v>
      </c>
      <c r="E468">
        <v>2020</v>
      </c>
      <c r="F468" s="168" t="s">
        <v>592</v>
      </c>
      <c r="G468" s="168" t="s">
        <v>622</v>
      </c>
      <c r="H468" s="168" t="s">
        <v>608</v>
      </c>
      <c r="I468">
        <v>3052.8092904743239</v>
      </c>
    </row>
    <row r="469" spans="1:9" x14ac:dyDescent="0.3">
      <c r="A469">
        <v>48</v>
      </c>
      <c r="B469" s="168" t="s">
        <v>71</v>
      </c>
      <c r="C469" s="168" t="s">
        <v>72</v>
      </c>
      <c r="D469">
        <v>18956.5</v>
      </c>
      <c r="E469">
        <v>2020</v>
      </c>
      <c r="F469" s="168" t="s">
        <v>592</v>
      </c>
      <c r="G469" s="168" t="s">
        <v>622</v>
      </c>
      <c r="H469" s="168" t="s">
        <v>609</v>
      </c>
      <c r="I469">
        <v>0</v>
      </c>
    </row>
    <row r="470" spans="1:9" x14ac:dyDescent="0.3">
      <c r="A470">
        <v>49</v>
      </c>
      <c r="B470" s="168" t="s">
        <v>73</v>
      </c>
      <c r="C470" s="168" t="s">
        <v>74</v>
      </c>
      <c r="D470">
        <v>2378.5</v>
      </c>
      <c r="E470">
        <v>2020</v>
      </c>
      <c r="F470" s="168" t="s">
        <v>592</v>
      </c>
      <c r="G470" s="168" t="s">
        <v>607</v>
      </c>
      <c r="H470" s="168" t="s">
        <v>608</v>
      </c>
      <c r="I470">
        <v>21651.817841676224</v>
      </c>
    </row>
    <row r="471" spans="1:9" x14ac:dyDescent="0.3">
      <c r="A471">
        <v>49</v>
      </c>
      <c r="B471" s="168" t="s">
        <v>73</v>
      </c>
      <c r="C471" s="168" t="s">
        <v>74</v>
      </c>
      <c r="D471">
        <v>2378.5</v>
      </c>
      <c r="E471">
        <v>2020</v>
      </c>
      <c r="F471" s="168" t="s">
        <v>592</v>
      </c>
      <c r="G471" s="168" t="s">
        <v>607</v>
      </c>
      <c r="H471" s="168" t="s">
        <v>609</v>
      </c>
      <c r="I471">
        <v>61304.34782608696</v>
      </c>
    </row>
    <row r="472" spans="1:9" x14ac:dyDescent="0.3">
      <c r="A472">
        <v>49</v>
      </c>
      <c r="B472" s="168" t="s">
        <v>73</v>
      </c>
      <c r="C472" s="168" t="s">
        <v>74</v>
      </c>
      <c r="D472">
        <v>2378.5</v>
      </c>
      <c r="E472">
        <v>2020</v>
      </c>
      <c r="F472" s="168" t="s">
        <v>592</v>
      </c>
      <c r="G472" s="168" t="s">
        <v>612</v>
      </c>
      <c r="H472" s="168" t="s">
        <v>608</v>
      </c>
      <c r="I472">
        <v>0</v>
      </c>
    </row>
    <row r="473" spans="1:9" x14ac:dyDescent="0.3">
      <c r="A473">
        <v>49</v>
      </c>
      <c r="B473" s="168" t="s">
        <v>73</v>
      </c>
      <c r="C473" s="168" t="s">
        <v>74</v>
      </c>
      <c r="D473">
        <v>2378.5</v>
      </c>
      <c r="E473">
        <v>2020</v>
      </c>
      <c r="F473" s="168" t="s">
        <v>592</v>
      </c>
      <c r="G473" s="168" t="s">
        <v>612</v>
      </c>
      <c r="H473" s="168" t="s">
        <v>609</v>
      </c>
      <c r="I473">
        <v>45200</v>
      </c>
    </row>
    <row r="474" spans="1:9" x14ac:dyDescent="0.3">
      <c r="A474">
        <v>49</v>
      </c>
      <c r="B474" s="168" t="s">
        <v>73</v>
      </c>
      <c r="C474" s="168" t="s">
        <v>74</v>
      </c>
      <c r="D474">
        <v>2378.5</v>
      </c>
      <c r="E474">
        <v>2020</v>
      </c>
      <c r="F474" s="168" t="s">
        <v>592</v>
      </c>
      <c r="G474" s="168" t="s">
        <v>617</v>
      </c>
      <c r="H474" s="168" t="s">
        <v>608</v>
      </c>
      <c r="I474">
        <v>1606.5144060662321</v>
      </c>
    </row>
    <row r="475" spans="1:9" x14ac:dyDescent="0.3">
      <c r="A475">
        <v>49</v>
      </c>
      <c r="B475" s="168" t="s">
        <v>73</v>
      </c>
      <c r="C475" s="168" t="s">
        <v>74</v>
      </c>
      <c r="D475">
        <v>2378.5</v>
      </c>
      <c r="E475">
        <v>2020</v>
      </c>
      <c r="F475" s="168" t="s">
        <v>592</v>
      </c>
      <c r="G475" s="168" t="s">
        <v>617</v>
      </c>
      <c r="H475" s="168" t="s">
        <v>609</v>
      </c>
      <c r="I475">
        <v>4516.88580454967</v>
      </c>
    </row>
    <row r="476" spans="1:9" x14ac:dyDescent="0.3">
      <c r="A476">
        <v>49</v>
      </c>
      <c r="B476" s="168" t="s">
        <v>73</v>
      </c>
      <c r="C476" s="168" t="s">
        <v>74</v>
      </c>
      <c r="D476">
        <v>2378.5</v>
      </c>
      <c r="E476">
        <v>2020</v>
      </c>
      <c r="F476" s="168" t="s">
        <v>592</v>
      </c>
      <c r="G476" s="168" t="s">
        <v>619</v>
      </c>
      <c r="H476" s="168" t="s">
        <v>608</v>
      </c>
      <c r="I476">
        <v>0</v>
      </c>
    </row>
    <row r="477" spans="1:9" x14ac:dyDescent="0.3">
      <c r="A477">
        <v>49</v>
      </c>
      <c r="B477" s="168" t="s">
        <v>73</v>
      </c>
      <c r="C477" s="168" t="s">
        <v>74</v>
      </c>
      <c r="D477">
        <v>2378.5</v>
      </c>
      <c r="E477">
        <v>2020</v>
      </c>
      <c r="F477" s="168" t="s">
        <v>592</v>
      </c>
      <c r="G477" s="168" t="s">
        <v>619</v>
      </c>
      <c r="H477" s="168" t="s">
        <v>609</v>
      </c>
      <c r="I477">
        <v>318000</v>
      </c>
    </row>
    <row r="478" spans="1:9" x14ac:dyDescent="0.3">
      <c r="A478">
        <v>49</v>
      </c>
      <c r="B478" s="168" t="s">
        <v>73</v>
      </c>
      <c r="C478" s="168" t="s">
        <v>74</v>
      </c>
      <c r="D478">
        <v>2378.5</v>
      </c>
      <c r="E478">
        <v>2020</v>
      </c>
      <c r="F478" s="168" t="s">
        <v>592</v>
      </c>
      <c r="G478" s="168" t="s">
        <v>610</v>
      </c>
      <c r="H478" s="168" t="s">
        <v>608</v>
      </c>
      <c r="I478">
        <v>0</v>
      </c>
    </row>
    <row r="479" spans="1:9" x14ac:dyDescent="0.3">
      <c r="A479">
        <v>49</v>
      </c>
      <c r="B479" s="168" t="s">
        <v>73</v>
      </c>
      <c r="C479" s="168" t="s">
        <v>74</v>
      </c>
      <c r="D479">
        <v>2378.5</v>
      </c>
      <c r="E479">
        <v>2020</v>
      </c>
      <c r="F479" s="168" t="s">
        <v>592</v>
      </c>
      <c r="G479" s="168" t="s">
        <v>610</v>
      </c>
      <c r="H479" s="168" t="s">
        <v>609</v>
      </c>
      <c r="I479">
        <v>6545.454545454545</v>
      </c>
    </row>
    <row r="480" spans="1:9" x14ac:dyDescent="0.3">
      <c r="A480">
        <v>49</v>
      </c>
      <c r="B480" s="168" t="s">
        <v>73</v>
      </c>
      <c r="C480" s="168" t="s">
        <v>74</v>
      </c>
      <c r="D480">
        <v>2378.5</v>
      </c>
      <c r="E480">
        <v>2020</v>
      </c>
      <c r="F480" s="168" t="s">
        <v>592</v>
      </c>
      <c r="G480" s="168" t="s">
        <v>620</v>
      </c>
      <c r="H480" s="168" t="s">
        <v>608</v>
      </c>
      <c r="I480">
        <v>388226.92720235052</v>
      </c>
    </row>
    <row r="481" spans="1:9" x14ac:dyDescent="0.3">
      <c r="A481">
        <v>49</v>
      </c>
      <c r="B481" s="168" t="s">
        <v>73</v>
      </c>
      <c r="C481" s="168" t="s">
        <v>74</v>
      </c>
      <c r="D481">
        <v>2378.5</v>
      </c>
      <c r="E481">
        <v>2020</v>
      </c>
      <c r="F481" s="168" t="s">
        <v>592</v>
      </c>
      <c r="G481" s="168" t="s">
        <v>620</v>
      </c>
      <c r="H481" s="168" t="s">
        <v>609</v>
      </c>
      <c r="I481">
        <v>712071.02179032797</v>
      </c>
    </row>
    <row r="482" spans="1:9" x14ac:dyDescent="0.3">
      <c r="A482">
        <v>49</v>
      </c>
      <c r="B482" s="168" t="s">
        <v>73</v>
      </c>
      <c r="C482" s="168" t="s">
        <v>74</v>
      </c>
      <c r="D482">
        <v>2378.5</v>
      </c>
      <c r="E482">
        <v>2020</v>
      </c>
      <c r="F482" s="168" t="s">
        <v>592</v>
      </c>
      <c r="G482" s="168" t="s">
        <v>625</v>
      </c>
      <c r="H482" s="168" t="s">
        <v>608</v>
      </c>
      <c r="I482">
        <v>0</v>
      </c>
    </row>
    <row r="483" spans="1:9" x14ac:dyDescent="0.3">
      <c r="A483">
        <v>49</v>
      </c>
      <c r="B483" s="168" t="s">
        <v>73</v>
      </c>
      <c r="C483" s="168" t="s">
        <v>74</v>
      </c>
      <c r="D483">
        <v>2378.5</v>
      </c>
      <c r="E483">
        <v>2020</v>
      </c>
      <c r="F483" s="168" t="s">
        <v>592</v>
      </c>
      <c r="G483" s="168" t="s">
        <v>625</v>
      </c>
      <c r="H483" s="168" t="s">
        <v>609</v>
      </c>
      <c r="I483">
        <v>101498</v>
      </c>
    </row>
    <row r="484" spans="1:9" x14ac:dyDescent="0.3">
      <c r="A484">
        <v>49</v>
      </c>
      <c r="B484" s="168" t="s">
        <v>73</v>
      </c>
      <c r="C484" s="168" t="s">
        <v>74</v>
      </c>
      <c r="D484">
        <v>2378.5</v>
      </c>
      <c r="E484">
        <v>2020</v>
      </c>
      <c r="F484" s="168" t="s">
        <v>592</v>
      </c>
      <c r="G484" s="168" t="s">
        <v>615</v>
      </c>
      <c r="H484" s="168" t="s">
        <v>608</v>
      </c>
      <c r="I484">
        <v>0</v>
      </c>
    </row>
    <row r="485" spans="1:9" x14ac:dyDescent="0.3">
      <c r="A485">
        <v>49</v>
      </c>
      <c r="B485" s="168" t="s">
        <v>73</v>
      </c>
      <c r="C485" s="168" t="s">
        <v>74</v>
      </c>
      <c r="D485">
        <v>2378.5</v>
      </c>
      <c r="E485">
        <v>2020</v>
      </c>
      <c r="F485" s="168" t="s">
        <v>592</v>
      </c>
      <c r="G485" s="168" t="s">
        <v>615</v>
      </c>
      <c r="H485" s="168" t="s">
        <v>609</v>
      </c>
      <c r="I485">
        <v>7536.5853658536589</v>
      </c>
    </row>
    <row r="486" spans="1:9" x14ac:dyDescent="0.3">
      <c r="A486">
        <v>49</v>
      </c>
      <c r="B486" s="168" t="s">
        <v>73</v>
      </c>
      <c r="C486" s="168" t="s">
        <v>74</v>
      </c>
      <c r="D486">
        <v>2378.5</v>
      </c>
      <c r="E486">
        <v>2020</v>
      </c>
      <c r="F486" s="168" t="s">
        <v>592</v>
      </c>
      <c r="G486" s="168" t="s">
        <v>624</v>
      </c>
      <c r="H486" s="168" t="s">
        <v>608</v>
      </c>
      <c r="I486">
        <v>35561.325316100985</v>
      </c>
    </row>
    <row r="487" spans="1:9" x14ac:dyDescent="0.3">
      <c r="A487">
        <v>49</v>
      </c>
      <c r="B487" s="168" t="s">
        <v>73</v>
      </c>
      <c r="C487" s="168" t="s">
        <v>74</v>
      </c>
      <c r="D487">
        <v>2378.5</v>
      </c>
      <c r="E487">
        <v>2020</v>
      </c>
      <c r="F487" s="168" t="s">
        <v>592</v>
      </c>
      <c r="G487" s="168" t="s">
        <v>624</v>
      </c>
      <c r="H487" s="168" t="s">
        <v>609</v>
      </c>
      <c r="I487">
        <v>37874.377881110282</v>
      </c>
    </row>
    <row r="488" spans="1:9" x14ac:dyDescent="0.3">
      <c r="A488">
        <v>49</v>
      </c>
      <c r="B488" s="168" t="s">
        <v>73</v>
      </c>
      <c r="C488" s="168" t="s">
        <v>74</v>
      </c>
      <c r="D488">
        <v>2378.5</v>
      </c>
      <c r="E488">
        <v>2020</v>
      </c>
      <c r="F488" s="168" t="s">
        <v>592</v>
      </c>
      <c r="G488" s="168" t="s">
        <v>611</v>
      </c>
      <c r="H488" s="168" t="s">
        <v>608</v>
      </c>
      <c r="I488">
        <v>0</v>
      </c>
    </row>
    <row r="489" spans="1:9" x14ac:dyDescent="0.3">
      <c r="A489">
        <v>49</v>
      </c>
      <c r="B489" s="168" t="s">
        <v>73</v>
      </c>
      <c r="C489" s="168" t="s">
        <v>74</v>
      </c>
      <c r="D489">
        <v>2378.5</v>
      </c>
      <c r="E489">
        <v>2020</v>
      </c>
      <c r="F489" s="168" t="s">
        <v>592</v>
      </c>
      <c r="G489" s="168" t="s">
        <v>611</v>
      </c>
      <c r="H489" s="168" t="s">
        <v>609</v>
      </c>
      <c r="I489">
        <v>994.82615114999976</v>
      </c>
    </row>
    <row r="490" spans="1:9" x14ac:dyDescent="0.3">
      <c r="A490">
        <v>49</v>
      </c>
      <c r="B490" s="168" t="s">
        <v>73</v>
      </c>
      <c r="C490" s="168" t="s">
        <v>74</v>
      </c>
      <c r="D490">
        <v>2378.5</v>
      </c>
      <c r="E490">
        <v>2020</v>
      </c>
      <c r="F490" s="168" t="s">
        <v>592</v>
      </c>
      <c r="G490" s="168" t="s">
        <v>626</v>
      </c>
      <c r="H490" s="168" t="s">
        <v>608</v>
      </c>
      <c r="I490">
        <v>0</v>
      </c>
    </row>
    <row r="491" spans="1:9" x14ac:dyDescent="0.3">
      <c r="A491">
        <v>49</v>
      </c>
      <c r="B491" s="168" t="s">
        <v>73</v>
      </c>
      <c r="C491" s="168" t="s">
        <v>74</v>
      </c>
      <c r="D491">
        <v>2378.5</v>
      </c>
      <c r="E491">
        <v>2020</v>
      </c>
      <c r="F491" s="168" t="s">
        <v>592</v>
      </c>
      <c r="G491" s="168" t="s">
        <v>626</v>
      </c>
      <c r="H491" s="168" t="s">
        <v>609</v>
      </c>
      <c r="I491">
        <v>10500</v>
      </c>
    </row>
    <row r="492" spans="1:9" x14ac:dyDescent="0.3">
      <c r="A492">
        <v>49</v>
      </c>
      <c r="B492" s="168" t="s">
        <v>73</v>
      </c>
      <c r="C492" s="168" t="s">
        <v>74</v>
      </c>
      <c r="D492">
        <v>2378.5</v>
      </c>
      <c r="E492">
        <v>2020</v>
      </c>
      <c r="F492" s="168" t="s">
        <v>592</v>
      </c>
      <c r="G492" s="168" t="s">
        <v>613</v>
      </c>
      <c r="H492" s="168" t="s">
        <v>608</v>
      </c>
      <c r="I492">
        <v>168550.743677219</v>
      </c>
    </row>
    <row r="493" spans="1:9" x14ac:dyDescent="0.3">
      <c r="A493">
        <v>49</v>
      </c>
      <c r="B493" s="168" t="s">
        <v>73</v>
      </c>
      <c r="C493" s="168" t="s">
        <v>74</v>
      </c>
      <c r="D493">
        <v>2378.5</v>
      </c>
      <c r="E493">
        <v>2020</v>
      </c>
      <c r="F493" s="168" t="s">
        <v>592</v>
      </c>
      <c r="G493" s="168" t="s">
        <v>613</v>
      </c>
      <c r="H493" s="168" t="s">
        <v>609</v>
      </c>
      <c r="I493">
        <v>68726.136822685905</v>
      </c>
    </row>
    <row r="494" spans="1:9" x14ac:dyDescent="0.3">
      <c r="A494">
        <v>49</v>
      </c>
      <c r="B494" s="168" t="s">
        <v>73</v>
      </c>
      <c r="C494" s="168" t="s">
        <v>74</v>
      </c>
      <c r="D494">
        <v>2378.5</v>
      </c>
      <c r="E494">
        <v>2020</v>
      </c>
      <c r="F494" s="168" t="s">
        <v>592</v>
      </c>
      <c r="G494" s="168" t="s">
        <v>622</v>
      </c>
      <c r="H494" s="168" t="s">
        <v>608</v>
      </c>
      <c r="I494">
        <v>32436.098711289691</v>
      </c>
    </row>
    <row r="495" spans="1:9" x14ac:dyDescent="0.3">
      <c r="A495">
        <v>49</v>
      </c>
      <c r="B495" s="168" t="s">
        <v>73</v>
      </c>
      <c r="C495" s="168" t="s">
        <v>74</v>
      </c>
      <c r="D495">
        <v>2378.5</v>
      </c>
      <c r="E495">
        <v>2020</v>
      </c>
      <c r="F495" s="168" t="s">
        <v>592</v>
      </c>
      <c r="G495" s="168" t="s">
        <v>622</v>
      </c>
      <c r="H495" s="168" t="s">
        <v>609</v>
      </c>
      <c r="I495">
        <v>0</v>
      </c>
    </row>
    <row r="496" spans="1:9" x14ac:dyDescent="0.3">
      <c r="A496">
        <v>50</v>
      </c>
      <c r="B496" s="168" t="s">
        <v>75</v>
      </c>
      <c r="C496" s="168" t="s">
        <v>76</v>
      </c>
      <c r="D496">
        <v>6733.6</v>
      </c>
      <c r="E496">
        <v>2020</v>
      </c>
      <c r="F496" s="168" t="s">
        <v>592</v>
      </c>
      <c r="G496" s="168" t="s">
        <v>607</v>
      </c>
      <c r="H496" s="168" t="s">
        <v>608</v>
      </c>
      <c r="I496">
        <v>61296.901668577266</v>
      </c>
    </row>
    <row r="497" spans="1:9" x14ac:dyDescent="0.3">
      <c r="A497">
        <v>50</v>
      </c>
      <c r="B497" s="168" t="s">
        <v>75</v>
      </c>
      <c r="C497" s="168" t="s">
        <v>76</v>
      </c>
      <c r="D497">
        <v>6733.6</v>
      </c>
      <c r="E497">
        <v>2020</v>
      </c>
      <c r="F497" s="168" t="s">
        <v>592</v>
      </c>
      <c r="G497" s="168" t="s">
        <v>607</v>
      </c>
      <c r="H497" s="168" t="s">
        <v>609</v>
      </c>
      <c r="I497">
        <v>0</v>
      </c>
    </row>
    <row r="498" spans="1:9" x14ac:dyDescent="0.3">
      <c r="A498">
        <v>50</v>
      </c>
      <c r="B498" s="168" t="s">
        <v>75</v>
      </c>
      <c r="C498" s="168" t="s">
        <v>76</v>
      </c>
      <c r="D498">
        <v>6733.6</v>
      </c>
      <c r="E498">
        <v>2020</v>
      </c>
      <c r="F498" s="168" t="s">
        <v>592</v>
      </c>
      <c r="G498" s="168" t="s">
        <v>616</v>
      </c>
      <c r="H498" s="168" t="s">
        <v>608</v>
      </c>
      <c r="I498">
        <v>0</v>
      </c>
    </row>
    <row r="499" spans="1:9" x14ac:dyDescent="0.3">
      <c r="A499">
        <v>50</v>
      </c>
      <c r="B499" s="168" t="s">
        <v>75</v>
      </c>
      <c r="C499" s="168" t="s">
        <v>76</v>
      </c>
      <c r="D499">
        <v>6733.6</v>
      </c>
      <c r="E499">
        <v>2020</v>
      </c>
      <c r="F499" s="168" t="s">
        <v>592</v>
      </c>
      <c r="G499" s="168" t="s">
        <v>616</v>
      </c>
      <c r="H499" s="168" t="s">
        <v>609</v>
      </c>
      <c r="I499">
        <v>148998.18322167807</v>
      </c>
    </row>
    <row r="500" spans="1:9" x14ac:dyDescent="0.3">
      <c r="A500">
        <v>50</v>
      </c>
      <c r="B500" s="168" t="s">
        <v>75</v>
      </c>
      <c r="C500" s="168" t="s">
        <v>76</v>
      </c>
      <c r="D500">
        <v>6733.6</v>
      </c>
      <c r="E500">
        <v>2020</v>
      </c>
      <c r="F500" s="168" t="s">
        <v>592</v>
      </c>
      <c r="G500" s="168" t="s">
        <v>617</v>
      </c>
      <c r="H500" s="168" t="s">
        <v>608</v>
      </c>
      <c r="I500">
        <v>4548.0871997845616</v>
      </c>
    </row>
    <row r="501" spans="1:9" x14ac:dyDescent="0.3">
      <c r="A501">
        <v>50</v>
      </c>
      <c r="B501" s="168" t="s">
        <v>75</v>
      </c>
      <c r="C501" s="168" t="s">
        <v>76</v>
      </c>
      <c r="D501">
        <v>6733.6</v>
      </c>
      <c r="E501">
        <v>2020</v>
      </c>
      <c r="F501" s="168" t="s">
        <v>592</v>
      </c>
      <c r="G501" s="168" t="s">
        <v>617</v>
      </c>
      <c r="H501" s="168" t="s">
        <v>609</v>
      </c>
      <c r="I501">
        <v>3411.0653998384214</v>
      </c>
    </row>
    <row r="502" spans="1:9" x14ac:dyDescent="0.3">
      <c r="A502">
        <v>50</v>
      </c>
      <c r="B502" s="168" t="s">
        <v>75</v>
      </c>
      <c r="C502" s="168" t="s">
        <v>76</v>
      </c>
      <c r="D502">
        <v>6733.6</v>
      </c>
      <c r="E502">
        <v>2020</v>
      </c>
      <c r="F502" s="168" t="s">
        <v>592</v>
      </c>
      <c r="G502" s="168" t="s">
        <v>618</v>
      </c>
      <c r="H502" s="168" t="s">
        <v>608</v>
      </c>
      <c r="I502">
        <v>0</v>
      </c>
    </row>
    <row r="503" spans="1:9" x14ac:dyDescent="0.3">
      <c r="A503">
        <v>50</v>
      </c>
      <c r="B503" s="168" t="s">
        <v>75</v>
      </c>
      <c r="C503" s="168" t="s">
        <v>76</v>
      </c>
      <c r="D503">
        <v>6733.6</v>
      </c>
      <c r="E503">
        <v>2020</v>
      </c>
      <c r="F503" s="168" t="s">
        <v>592</v>
      </c>
      <c r="G503" s="168" t="s">
        <v>618</v>
      </c>
      <c r="H503" s="168" t="s">
        <v>609</v>
      </c>
      <c r="I503">
        <v>15977.528089887641</v>
      </c>
    </row>
    <row r="504" spans="1:9" x14ac:dyDescent="0.3">
      <c r="A504">
        <v>50</v>
      </c>
      <c r="B504" s="168" t="s">
        <v>75</v>
      </c>
      <c r="C504" s="168" t="s">
        <v>76</v>
      </c>
      <c r="D504">
        <v>6733.6</v>
      </c>
      <c r="E504">
        <v>2020</v>
      </c>
      <c r="F504" s="168" t="s">
        <v>592</v>
      </c>
      <c r="G504" s="168" t="s">
        <v>610</v>
      </c>
      <c r="H504" s="168" t="s">
        <v>608</v>
      </c>
      <c r="I504">
        <v>0</v>
      </c>
    </row>
    <row r="505" spans="1:9" x14ac:dyDescent="0.3">
      <c r="A505">
        <v>50</v>
      </c>
      <c r="B505" s="168" t="s">
        <v>75</v>
      </c>
      <c r="C505" s="168" t="s">
        <v>76</v>
      </c>
      <c r="D505">
        <v>6733.6</v>
      </c>
      <c r="E505">
        <v>2020</v>
      </c>
      <c r="F505" s="168" t="s">
        <v>592</v>
      </c>
      <c r="G505" s="168" t="s">
        <v>610</v>
      </c>
      <c r="H505" s="168" t="s">
        <v>609</v>
      </c>
      <c r="I505">
        <v>6545.454545454545</v>
      </c>
    </row>
    <row r="506" spans="1:9" x14ac:dyDescent="0.3">
      <c r="A506">
        <v>50</v>
      </c>
      <c r="B506" s="168" t="s">
        <v>75</v>
      </c>
      <c r="C506" s="168" t="s">
        <v>76</v>
      </c>
      <c r="D506">
        <v>6733.6</v>
      </c>
      <c r="E506">
        <v>2020</v>
      </c>
      <c r="F506" s="168" t="s">
        <v>592</v>
      </c>
      <c r="G506" s="168" t="s">
        <v>623</v>
      </c>
      <c r="H506" s="168" t="s">
        <v>608</v>
      </c>
      <c r="I506">
        <v>95576.923076923093</v>
      </c>
    </row>
    <row r="507" spans="1:9" x14ac:dyDescent="0.3">
      <c r="A507">
        <v>50</v>
      </c>
      <c r="B507" s="168" t="s">
        <v>75</v>
      </c>
      <c r="C507" s="168" t="s">
        <v>76</v>
      </c>
      <c r="D507">
        <v>6733.6</v>
      </c>
      <c r="E507">
        <v>2020</v>
      </c>
      <c r="F507" s="168" t="s">
        <v>592</v>
      </c>
      <c r="G507" s="168" t="s">
        <v>623</v>
      </c>
      <c r="H507" s="168" t="s">
        <v>609</v>
      </c>
      <c r="I507">
        <v>71020.782500000001</v>
      </c>
    </row>
    <row r="508" spans="1:9" x14ac:dyDescent="0.3">
      <c r="A508">
        <v>50</v>
      </c>
      <c r="B508" s="168" t="s">
        <v>75</v>
      </c>
      <c r="C508" s="168" t="s">
        <v>76</v>
      </c>
      <c r="D508">
        <v>6733.6</v>
      </c>
      <c r="E508">
        <v>2020</v>
      </c>
      <c r="F508" s="168" t="s">
        <v>592</v>
      </c>
      <c r="G508" s="168" t="s">
        <v>615</v>
      </c>
      <c r="H508" s="168" t="s">
        <v>608</v>
      </c>
      <c r="I508">
        <v>0</v>
      </c>
    </row>
    <row r="509" spans="1:9" x14ac:dyDescent="0.3">
      <c r="A509">
        <v>50</v>
      </c>
      <c r="B509" s="168" t="s">
        <v>75</v>
      </c>
      <c r="C509" s="168" t="s">
        <v>76</v>
      </c>
      <c r="D509">
        <v>6733.6</v>
      </c>
      <c r="E509">
        <v>2020</v>
      </c>
      <c r="F509" s="168" t="s">
        <v>592</v>
      </c>
      <c r="G509" s="168" t="s">
        <v>615</v>
      </c>
      <c r="H509" s="168" t="s">
        <v>609</v>
      </c>
      <c r="I509">
        <v>22609.756097560974</v>
      </c>
    </row>
    <row r="510" spans="1:9" x14ac:dyDescent="0.3">
      <c r="A510">
        <v>50</v>
      </c>
      <c r="B510" s="168" t="s">
        <v>75</v>
      </c>
      <c r="C510" s="168" t="s">
        <v>76</v>
      </c>
      <c r="D510">
        <v>6733.6</v>
      </c>
      <c r="E510">
        <v>2020</v>
      </c>
      <c r="F510" s="168" t="s">
        <v>592</v>
      </c>
      <c r="G510" s="168" t="s">
        <v>624</v>
      </c>
      <c r="H510" s="168" t="s">
        <v>608</v>
      </c>
      <c r="I510">
        <v>100675.10622177742</v>
      </c>
    </row>
    <row r="511" spans="1:9" x14ac:dyDescent="0.3">
      <c r="A511">
        <v>50</v>
      </c>
      <c r="B511" s="168" t="s">
        <v>75</v>
      </c>
      <c r="C511" s="168" t="s">
        <v>76</v>
      </c>
      <c r="D511">
        <v>6733.6</v>
      </c>
      <c r="E511">
        <v>2020</v>
      </c>
      <c r="F511" s="168" t="s">
        <v>592</v>
      </c>
      <c r="G511" s="168" t="s">
        <v>624</v>
      </c>
      <c r="H511" s="168" t="s">
        <v>609</v>
      </c>
      <c r="I511">
        <v>107223.42270348717</v>
      </c>
    </row>
    <row r="512" spans="1:9" x14ac:dyDescent="0.3">
      <c r="A512">
        <v>50</v>
      </c>
      <c r="B512" s="168" t="s">
        <v>75</v>
      </c>
      <c r="C512" s="168" t="s">
        <v>76</v>
      </c>
      <c r="D512">
        <v>6733.6</v>
      </c>
      <c r="E512">
        <v>2020</v>
      </c>
      <c r="F512" s="168" t="s">
        <v>592</v>
      </c>
      <c r="G512" s="168" t="s">
        <v>611</v>
      </c>
      <c r="H512" s="168" t="s">
        <v>608</v>
      </c>
      <c r="I512">
        <v>0</v>
      </c>
    </row>
    <row r="513" spans="1:9" x14ac:dyDescent="0.3">
      <c r="A513">
        <v>50</v>
      </c>
      <c r="B513" s="168" t="s">
        <v>75</v>
      </c>
      <c r="C513" s="168" t="s">
        <v>76</v>
      </c>
      <c r="D513">
        <v>6733.6</v>
      </c>
      <c r="E513">
        <v>2020</v>
      </c>
      <c r="F513" s="168" t="s">
        <v>592</v>
      </c>
      <c r="G513" s="168" t="s">
        <v>611</v>
      </c>
      <c r="H513" s="168" t="s">
        <v>609</v>
      </c>
      <c r="I513">
        <v>2816.3806480486182</v>
      </c>
    </row>
    <row r="514" spans="1:9" x14ac:dyDescent="0.3">
      <c r="A514">
        <v>50</v>
      </c>
      <c r="B514" s="168" t="s">
        <v>75</v>
      </c>
      <c r="C514" s="168" t="s">
        <v>76</v>
      </c>
      <c r="D514">
        <v>6733.6</v>
      </c>
      <c r="E514">
        <v>2020</v>
      </c>
      <c r="F514" s="168" t="s">
        <v>592</v>
      </c>
      <c r="G514" s="168" t="s">
        <v>613</v>
      </c>
      <c r="H514" s="168" t="s">
        <v>608</v>
      </c>
      <c r="I514">
        <v>254180.5753543734</v>
      </c>
    </row>
    <row r="515" spans="1:9" x14ac:dyDescent="0.3">
      <c r="A515">
        <v>50</v>
      </c>
      <c r="B515" s="168" t="s">
        <v>75</v>
      </c>
      <c r="C515" s="168" t="s">
        <v>76</v>
      </c>
      <c r="D515">
        <v>6733.6</v>
      </c>
      <c r="E515">
        <v>2020</v>
      </c>
      <c r="F515" s="168" t="s">
        <v>592</v>
      </c>
      <c r="G515" s="168" t="s">
        <v>613</v>
      </c>
      <c r="H515" s="168" t="s">
        <v>609</v>
      </c>
      <c r="I515">
        <v>51591.031026648598</v>
      </c>
    </row>
    <row r="516" spans="1:9" x14ac:dyDescent="0.3">
      <c r="A516">
        <v>51</v>
      </c>
      <c r="B516" s="168" t="s">
        <v>77</v>
      </c>
      <c r="C516" s="168" t="s">
        <v>78</v>
      </c>
      <c r="D516">
        <v>1557</v>
      </c>
      <c r="E516">
        <v>2020</v>
      </c>
      <c r="F516" s="168" t="s">
        <v>592</v>
      </c>
      <c r="G516" s="168" t="s">
        <v>607</v>
      </c>
      <c r="H516" s="168" t="s">
        <v>608</v>
      </c>
      <c r="I516">
        <v>14173.588555598013</v>
      </c>
    </row>
    <row r="517" spans="1:9" x14ac:dyDescent="0.3">
      <c r="A517">
        <v>51</v>
      </c>
      <c r="B517" s="168" t="s">
        <v>77</v>
      </c>
      <c r="C517" s="168" t="s">
        <v>78</v>
      </c>
      <c r="D517">
        <v>1557</v>
      </c>
      <c r="E517">
        <v>2020</v>
      </c>
      <c r="F517" s="168" t="s">
        <v>592</v>
      </c>
      <c r="G517" s="168" t="s">
        <v>607</v>
      </c>
      <c r="H517" s="168" t="s">
        <v>609</v>
      </c>
      <c r="I517">
        <v>0</v>
      </c>
    </row>
    <row r="518" spans="1:9" x14ac:dyDescent="0.3">
      <c r="A518">
        <v>51</v>
      </c>
      <c r="B518" s="168" t="s">
        <v>77</v>
      </c>
      <c r="C518" s="168" t="s">
        <v>78</v>
      </c>
      <c r="D518">
        <v>1557</v>
      </c>
      <c r="E518">
        <v>2020</v>
      </c>
      <c r="F518" s="168" t="s">
        <v>592</v>
      </c>
      <c r="G518" s="168" t="s">
        <v>617</v>
      </c>
      <c r="H518" s="168" t="s">
        <v>608</v>
      </c>
      <c r="I518">
        <v>1051.6472273471193</v>
      </c>
    </row>
    <row r="519" spans="1:9" x14ac:dyDescent="0.3">
      <c r="A519">
        <v>51</v>
      </c>
      <c r="B519" s="168" t="s">
        <v>77</v>
      </c>
      <c r="C519" s="168" t="s">
        <v>78</v>
      </c>
      <c r="D519">
        <v>1557</v>
      </c>
      <c r="E519">
        <v>2020</v>
      </c>
      <c r="F519" s="168" t="s">
        <v>592</v>
      </c>
      <c r="G519" s="168" t="s">
        <v>617</v>
      </c>
      <c r="H519" s="168" t="s">
        <v>609</v>
      </c>
      <c r="I519">
        <v>788.73542051033951</v>
      </c>
    </row>
    <row r="520" spans="1:9" x14ac:dyDescent="0.3">
      <c r="A520">
        <v>51</v>
      </c>
      <c r="B520" s="168" t="s">
        <v>77</v>
      </c>
      <c r="C520" s="168" t="s">
        <v>78</v>
      </c>
      <c r="D520">
        <v>1557</v>
      </c>
      <c r="E520">
        <v>2020</v>
      </c>
      <c r="F520" s="168" t="s">
        <v>592</v>
      </c>
      <c r="G520" s="168" t="s">
        <v>618</v>
      </c>
      <c r="H520" s="168" t="s">
        <v>608</v>
      </c>
      <c r="I520">
        <v>0</v>
      </c>
    </row>
    <row r="521" spans="1:9" x14ac:dyDescent="0.3">
      <c r="A521">
        <v>51</v>
      </c>
      <c r="B521" s="168" t="s">
        <v>77</v>
      </c>
      <c r="C521" s="168" t="s">
        <v>78</v>
      </c>
      <c r="D521">
        <v>1557</v>
      </c>
      <c r="E521">
        <v>2020</v>
      </c>
      <c r="F521" s="168" t="s">
        <v>592</v>
      </c>
      <c r="G521" s="168" t="s">
        <v>618</v>
      </c>
      <c r="H521" s="168" t="s">
        <v>609</v>
      </c>
      <c r="I521">
        <v>111842.69662921347</v>
      </c>
    </row>
    <row r="522" spans="1:9" x14ac:dyDescent="0.3">
      <c r="A522">
        <v>51</v>
      </c>
      <c r="B522" s="168" t="s">
        <v>77</v>
      </c>
      <c r="C522" s="168" t="s">
        <v>78</v>
      </c>
      <c r="D522">
        <v>1557</v>
      </c>
      <c r="E522">
        <v>2020</v>
      </c>
      <c r="F522" s="168" t="s">
        <v>592</v>
      </c>
      <c r="G522" s="168" t="s">
        <v>610</v>
      </c>
      <c r="H522" s="168" t="s">
        <v>608</v>
      </c>
      <c r="I522">
        <v>0</v>
      </c>
    </row>
    <row r="523" spans="1:9" x14ac:dyDescent="0.3">
      <c r="A523">
        <v>51</v>
      </c>
      <c r="B523" s="168" t="s">
        <v>77</v>
      </c>
      <c r="C523" s="168" t="s">
        <v>78</v>
      </c>
      <c r="D523">
        <v>1557</v>
      </c>
      <c r="E523">
        <v>2020</v>
      </c>
      <c r="F523" s="168" t="s">
        <v>592</v>
      </c>
      <c r="G523" s="168" t="s">
        <v>610</v>
      </c>
      <c r="H523" s="168" t="s">
        <v>609</v>
      </c>
      <c r="I523">
        <v>6545.454545454545</v>
      </c>
    </row>
    <row r="524" spans="1:9" x14ac:dyDescent="0.3">
      <c r="A524">
        <v>51</v>
      </c>
      <c r="B524" s="168" t="s">
        <v>77</v>
      </c>
      <c r="C524" s="168" t="s">
        <v>78</v>
      </c>
      <c r="D524">
        <v>1557</v>
      </c>
      <c r="E524">
        <v>2020</v>
      </c>
      <c r="F524" s="168" t="s">
        <v>592</v>
      </c>
      <c r="G524" s="168" t="s">
        <v>620</v>
      </c>
      <c r="H524" s="168" t="s">
        <v>608</v>
      </c>
      <c r="I524">
        <v>96190.661290322576</v>
      </c>
    </row>
    <row r="525" spans="1:9" x14ac:dyDescent="0.3">
      <c r="A525">
        <v>51</v>
      </c>
      <c r="B525" s="168" t="s">
        <v>77</v>
      </c>
      <c r="C525" s="168" t="s">
        <v>78</v>
      </c>
      <c r="D525">
        <v>1557</v>
      </c>
      <c r="E525">
        <v>2020</v>
      </c>
      <c r="F525" s="168" t="s">
        <v>592</v>
      </c>
      <c r="G525" s="168" t="s">
        <v>620</v>
      </c>
      <c r="H525" s="168" t="s">
        <v>609</v>
      </c>
      <c r="I525">
        <v>0</v>
      </c>
    </row>
    <row r="526" spans="1:9" x14ac:dyDescent="0.3">
      <c r="A526">
        <v>51</v>
      </c>
      <c r="B526" s="168" t="s">
        <v>77</v>
      </c>
      <c r="C526" s="168" t="s">
        <v>78</v>
      </c>
      <c r="D526">
        <v>1557</v>
      </c>
      <c r="E526">
        <v>2020</v>
      </c>
      <c r="F526" s="168" t="s">
        <v>592</v>
      </c>
      <c r="G526" s="168" t="s">
        <v>624</v>
      </c>
      <c r="H526" s="168" t="s">
        <v>608</v>
      </c>
      <c r="I526">
        <v>29127.6561668494</v>
      </c>
    </row>
    <row r="527" spans="1:9" x14ac:dyDescent="0.3">
      <c r="A527">
        <v>51</v>
      </c>
      <c r="B527" s="168" t="s">
        <v>77</v>
      </c>
      <c r="C527" s="168" t="s">
        <v>78</v>
      </c>
      <c r="D527">
        <v>1557</v>
      </c>
      <c r="E527">
        <v>2020</v>
      </c>
      <c r="F527" s="168" t="s">
        <v>592</v>
      </c>
      <c r="G527" s="168" t="s">
        <v>624</v>
      </c>
      <c r="H527" s="168" t="s">
        <v>609</v>
      </c>
      <c r="I527">
        <v>30641.813343103098</v>
      </c>
    </row>
    <row r="528" spans="1:9" x14ac:dyDescent="0.3">
      <c r="A528">
        <v>51</v>
      </c>
      <c r="B528" s="168" t="s">
        <v>77</v>
      </c>
      <c r="C528" s="168" t="s">
        <v>78</v>
      </c>
      <c r="D528">
        <v>1557</v>
      </c>
      <c r="E528">
        <v>2020</v>
      </c>
      <c r="F528" s="168" t="s">
        <v>592</v>
      </c>
      <c r="G528" s="168" t="s">
        <v>613</v>
      </c>
      <c r="H528" s="168" t="s">
        <v>608</v>
      </c>
      <c r="I528">
        <v>58773.784576862206</v>
      </c>
    </row>
    <row r="529" spans="1:9" x14ac:dyDescent="0.3">
      <c r="A529">
        <v>51</v>
      </c>
      <c r="B529" s="168" t="s">
        <v>77</v>
      </c>
      <c r="C529" s="168" t="s">
        <v>78</v>
      </c>
      <c r="D529">
        <v>1557</v>
      </c>
      <c r="E529">
        <v>2020</v>
      </c>
      <c r="F529" s="168" t="s">
        <v>592</v>
      </c>
      <c r="G529" s="168" t="s">
        <v>613</v>
      </c>
      <c r="H529" s="168" t="s">
        <v>609</v>
      </c>
      <c r="I529">
        <v>11929.314973935467</v>
      </c>
    </row>
    <row r="530" spans="1:9" x14ac:dyDescent="0.3">
      <c r="A530">
        <v>52</v>
      </c>
      <c r="B530" s="168" t="s">
        <v>79</v>
      </c>
      <c r="C530" s="168" t="s">
        <v>80</v>
      </c>
      <c r="D530">
        <v>5057.3</v>
      </c>
      <c r="E530">
        <v>2020</v>
      </c>
      <c r="F530" s="168" t="s">
        <v>592</v>
      </c>
      <c r="G530" s="168" t="s">
        <v>607</v>
      </c>
      <c r="H530" s="168" t="s">
        <v>608</v>
      </c>
      <c r="I530">
        <v>46037.308543497646</v>
      </c>
    </row>
    <row r="531" spans="1:9" x14ac:dyDescent="0.3">
      <c r="A531">
        <v>52</v>
      </c>
      <c r="B531" s="168" t="s">
        <v>79</v>
      </c>
      <c r="C531" s="168" t="s">
        <v>80</v>
      </c>
      <c r="D531">
        <v>5057.3</v>
      </c>
      <c r="E531">
        <v>2020</v>
      </c>
      <c r="F531" s="168" t="s">
        <v>592</v>
      </c>
      <c r="G531" s="168" t="s">
        <v>607</v>
      </c>
      <c r="H531" s="168" t="s">
        <v>609</v>
      </c>
      <c r="I531">
        <v>0</v>
      </c>
    </row>
    <row r="532" spans="1:9" x14ac:dyDescent="0.3">
      <c r="A532">
        <v>52</v>
      </c>
      <c r="B532" s="168" t="s">
        <v>79</v>
      </c>
      <c r="C532" s="168" t="s">
        <v>80</v>
      </c>
      <c r="D532">
        <v>5057.3</v>
      </c>
      <c r="E532">
        <v>2020</v>
      </c>
      <c r="F532" s="168" t="s">
        <v>592</v>
      </c>
      <c r="G532" s="168" t="s">
        <v>617</v>
      </c>
      <c r="H532" s="168" t="s">
        <v>608</v>
      </c>
      <c r="I532">
        <v>3415.8609652296641</v>
      </c>
    </row>
    <row r="533" spans="1:9" x14ac:dyDescent="0.3">
      <c r="A533">
        <v>52</v>
      </c>
      <c r="B533" s="168" t="s">
        <v>79</v>
      </c>
      <c r="C533" s="168" t="s">
        <v>80</v>
      </c>
      <c r="D533">
        <v>5057.3</v>
      </c>
      <c r="E533">
        <v>2020</v>
      </c>
      <c r="F533" s="168" t="s">
        <v>592</v>
      </c>
      <c r="G533" s="168" t="s">
        <v>617</v>
      </c>
      <c r="H533" s="168" t="s">
        <v>609</v>
      </c>
      <c r="I533">
        <v>2561.8957239222477</v>
      </c>
    </row>
    <row r="534" spans="1:9" x14ac:dyDescent="0.3">
      <c r="A534">
        <v>52</v>
      </c>
      <c r="B534" s="168" t="s">
        <v>79</v>
      </c>
      <c r="C534" s="168" t="s">
        <v>80</v>
      </c>
      <c r="D534">
        <v>5057.3</v>
      </c>
      <c r="E534">
        <v>2020</v>
      </c>
      <c r="F534" s="168" t="s">
        <v>592</v>
      </c>
      <c r="G534" s="168" t="s">
        <v>610</v>
      </c>
      <c r="H534" s="168" t="s">
        <v>608</v>
      </c>
      <c r="I534">
        <v>0</v>
      </c>
    </row>
    <row r="535" spans="1:9" x14ac:dyDescent="0.3">
      <c r="A535">
        <v>52</v>
      </c>
      <c r="B535" s="168" t="s">
        <v>79</v>
      </c>
      <c r="C535" s="168" t="s">
        <v>80</v>
      </c>
      <c r="D535">
        <v>5057.3</v>
      </c>
      <c r="E535">
        <v>2020</v>
      </c>
      <c r="F535" s="168" t="s">
        <v>592</v>
      </c>
      <c r="G535" s="168" t="s">
        <v>610</v>
      </c>
      <c r="H535" s="168" t="s">
        <v>609</v>
      </c>
      <c r="I535">
        <v>6545.454545454545</v>
      </c>
    </row>
    <row r="536" spans="1:9" x14ac:dyDescent="0.3">
      <c r="A536">
        <v>52</v>
      </c>
      <c r="B536" s="168" t="s">
        <v>79</v>
      </c>
      <c r="C536" s="168" t="s">
        <v>80</v>
      </c>
      <c r="D536">
        <v>5057.3</v>
      </c>
      <c r="E536">
        <v>2020</v>
      </c>
      <c r="F536" s="168" t="s">
        <v>592</v>
      </c>
      <c r="G536" s="168" t="s">
        <v>620</v>
      </c>
      <c r="H536" s="168" t="s">
        <v>608</v>
      </c>
      <c r="I536">
        <v>38476.264516129027</v>
      </c>
    </row>
    <row r="537" spans="1:9" x14ac:dyDescent="0.3">
      <c r="A537">
        <v>52</v>
      </c>
      <c r="B537" s="168" t="s">
        <v>79</v>
      </c>
      <c r="C537" s="168" t="s">
        <v>80</v>
      </c>
      <c r="D537">
        <v>5057.3</v>
      </c>
      <c r="E537">
        <v>2020</v>
      </c>
      <c r="F537" s="168" t="s">
        <v>592</v>
      </c>
      <c r="G537" s="168" t="s">
        <v>620</v>
      </c>
      <c r="H537" s="168" t="s">
        <v>609</v>
      </c>
      <c r="I537">
        <v>0</v>
      </c>
    </row>
    <row r="538" spans="1:9" x14ac:dyDescent="0.3">
      <c r="A538">
        <v>52</v>
      </c>
      <c r="B538" s="168" t="s">
        <v>79</v>
      </c>
      <c r="C538" s="168" t="s">
        <v>80</v>
      </c>
      <c r="D538">
        <v>5057.3</v>
      </c>
      <c r="E538">
        <v>2020</v>
      </c>
      <c r="F538" s="168" t="s">
        <v>592</v>
      </c>
      <c r="G538" s="168" t="s">
        <v>625</v>
      </c>
      <c r="H538" s="168" t="s">
        <v>608</v>
      </c>
      <c r="I538">
        <v>0</v>
      </c>
    </row>
    <row r="539" spans="1:9" x14ac:dyDescent="0.3">
      <c r="A539">
        <v>52</v>
      </c>
      <c r="B539" s="168" t="s">
        <v>79</v>
      </c>
      <c r="C539" s="168" t="s">
        <v>80</v>
      </c>
      <c r="D539">
        <v>5057.3</v>
      </c>
      <c r="E539">
        <v>2020</v>
      </c>
      <c r="F539" s="168" t="s">
        <v>592</v>
      </c>
      <c r="G539" s="168" t="s">
        <v>625</v>
      </c>
      <c r="H539" s="168" t="s">
        <v>609</v>
      </c>
      <c r="I539">
        <v>101498</v>
      </c>
    </row>
    <row r="540" spans="1:9" x14ac:dyDescent="0.3">
      <c r="A540">
        <v>52</v>
      </c>
      <c r="B540" s="168" t="s">
        <v>79</v>
      </c>
      <c r="C540" s="168" t="s">
        <v>80</v>
      </c>
      <c r="D540">
        <v>5057.3</v>
      </c>
      <c r="E540">
        <v>2020</v>
      </c>
      <c r="F540" s="168" t="s">
        <v>592</v>
      </c>
      <c r="G540" s="168" t="s">
        <v>624</v>
      </c>
      <c r="H540" s="168" t="s">
        <v>608</v>
      </c>
      <c r="I540">
        <v>94609.69526821289</v>
      </c>
    </row>
    <row r="541" spans="1:9" x14ac:dyDescent="0.3">
      <c r="A541">
        <v>52</v>
      </c>
      <c r="B541" s="168" t="s">
        <v>79</v>
      </c>
      <c r="C541" s="168" t="s">
        <v>80</v>
      </c>
      <c r="D541">
        <v>5057.3</v>
      </c>
      <c r="E541">
        <v>2020</v>
      </c>
      <c r="F541" s="168" t="s">
        <v>592</v>
      </c>
      <c r="G541" s="168" t="s">
        <v>624</v>
      </c>
      <c r="H541" s="168" t="s">
        <v>609</v>
      </c>
      <c r="I541">
        <v>99527.837264017595</v>
      </c>
    </row>
    <row r="542" spans="1:9" x14ac:dyDescent="0.3">
      <c r="A542">
        <v>52</v>
      </c>
      <c r="B542" s="168" t="s">
        <v>79</v>
      </c>
      <c r="C542" s="168" t="s">
        <v>80</v>
      </c>
      <c r="D542">
        <v>5057.3</v>
      </c>
      <c r="E542">
        <v>2020</v>
      </c>
      <c r="F542" s="168" t="s">
        <v>592</v>
      </c>
      <c r="G542" s="168" t="s">
        <v>621</v>
      </c>
      <c r="H542" s="168" t="s">
        <v>608</v>
      </c>
      <c r="I542">
        <v>0</v>
      </c>
    </row>
    <row r="543" spans="1:9" x14ac:dyDescent="0.3">
      <c r="A543">
        <v>52</v>
      </c>
      <c r="B543" s="168" t="s">
        <v>79</v>
      </c>
      <c r="C543" s="168" t="s">
        <v>80</v>
      </c>
      <c r="D543">
        <v>5057.3</v>
      </c>
      <c r="E543">
        <v>2020</v>
      </c>
      <c r="F543" s="168" t="s">
        <v>592</v>
      </c>
      <c r="G543" s="168" t="s">
        <v>621</v>
      </c>
      <c r="H543" s="168" t="s">
        <v>609</v>
      </c>
      <c r="I543">
        <v>2724045.06</v>
      </c>
    </row>
    <row r="544" spans="1:9" x14ac:dyDescent="0.3">
      <c r="A544">
        <v>52</v>
      </c>
      <c r="B544" s="168" t="s">
        <v>79</v>
      </c>
      <c r="C544" s="168" t="s">
        <v>80</v>
      </c>
      <c r="D544">
        <v>5057.3</v>
      </c>
      <c r="E544">
        <v>2020</v>
      </c>
      <c r="F544" s="168" t="s">
        <v>592</v>
      </c>
      <c r="G544" s="168" t="s">
        <v>613</v>
      </c>
      <c r="H544" s="168" t="s">
        <v>608</v>
      </c>
      <c r="I544">
        <v>358382.03741803602</v>
      </c>
    </row>
    <row r="545" spans="1:9" x14ac:dyDescent="0.3">
      <c r="A545">
        <v>52</v>
      </c>
      <c r="B545" s="168" t="s">
        <v>79</v>
      </c>
      <c r="C545" s="168" t="s">
        <v>80</v>
      </c>
      <c r="D545">
        <v>5057.3</v>
      </c>
      <c r="E545">
        <v>2020</v>
      </c>
      <c r="F545" s="168" t="s">
        <v>592</v>
      </c>
      <c r="G545" s="168" t="s">
        <v>613</v>
      </c>
      <c r="H545" s="168" t="s">
        <v>609</v>
      </c>
      <c r="I545">
        <v>146129.36378111009</v>
      </c>
    </row>
    <row r="546" spans="1:9" x14ac:dyDescent="0.3">
      <c r="A546">
        <v>53</v>
      </c>
      <c r="B546" s="168" t="s">
        <v>81</v>
      </c>
      <c r="C546" s="168" t="s">
        <v>82</v>
      </c>
      <c r="D546">
        <v>286.89999999999998</v>
      </c>
      <c r="E546">
        <v>2020</v>
      </c>
      <c r="F546" s="168" t="s">
        <v>592</v>
      </c>
      <c r="G546" s="168" t="s">
        <v>607</v>
      </c>
      <c r="H546" s="168" t="s">
        <v>608</v>
      </c>
      <c r="I546">
        <v>2611.6907877977328</v>
      </c>
    </row>
    <row r="547" spans="1:9" x14ac:dyDescent="0.3">
      <c r="A547">
        <v>53</v>
      </c>
      <c r="B547" s="168" t="s">
        <v>81</v>
      </c>
      <c r="C547" s="168" t="s">
        <v>82</v>
      </c>
      <c r="D547">
        <v>286.89999999999998</v>
      </c>
      <c r="E547">
        <v>2020</v>
      </c>
      <c r="F547" s="168" t="s">
        <v>592</v>
      </c>
      <c r="G547" s="168" t="s">
        <v>607</v>
      </c>
      <c r="H547" s="168" t="s">
        <v>609</v>
      </c>
      <c r="I547">
        <v>0</v>
      </c>
    </row>
    <row r="548" spans="1:9" x14ac:dyDescent="0.3">
      <c r="A548">
        <v>53</v>
      </c>
      <c r="B548" s="168" t="s">
        <v>81</v>
      </c>
      <c r="C548" s="168" t="s">
        <v>82</v>
      </c>
      <c r="D548">
        <v>286.89999999999998</v>
      </c>
      <c r="E548">
        <v>2020</v>
      </c>
      <c r="F548" s="168" t="s">
        <v>592</v>
      </c>
      <c r="G548" s="168" t="s">
        <v>617</v>
      </c>
      <c r="H548" s="168" t="s">
        <v>608</v>
      </c>
      <c r="I548">
        <v>193.78136771091104</v>
      </c>
    </row>
    <row r="549" spans="1:9" x14ac:dyDescent="0.3">
      <c r="A549">
        <v>53</v>
      </c>
      <c r="B549" s="168" t="s">
        <v>81</v>
      </c>
      <c r="C549" s="168" t="s">
        <v>82</v>
      </c>
      <c r="D549">
        <v>286.89999999999998</v>
      </c>
      <c r="E549">
        <v>2020</v>
      </c>
      <c r="F549" s="168" t="s">
        <v>592</v>
      </c>
      <c r="G549" s="168" t="s">
        <v>617</v>
      </c>
      <c r="H549" s="168" t="s">
        <v>609</v>
      </c>
      <c r="I549">
        <v>145.33602578318326</v>
      </c>
    </row>
    <row r="550" spans="1:9" x14ac:dyDescent="0.3">
      <c r="A550">
        <v>54</v>
      </c>
      <c r="B550" s="168" t="s">
        <v>81</v>
      </c>
      <c r="C550" s="168" t="s">
        <v>83</v>
      </c>
      <c r="D550">
        <v>155.69999999999999</v>
      </c>
      <c r="E550">
        <v>2020</v>
      </c>
      <c r="F550" s="168" t="s">
        <v>592</v>
      </c>
      <c r="G550" s="168" t="s">
        <v>607</v>
      </c>
      <c r="H550" s="168" t="s">
        <v>608</v>
      </c>
      <c r="I550">
        <v>1417.3588555598014</v>
      </c>
    </row>
    <row r="551" spans="1:9" x14ac:dyDescent="0.3">
      <c r="A551">
        <v>54</v>
      </c>
      <c r="B551" s="168" t="s">
        <v>81</v>
      </c>
      <c r="C551" s="168" t="s">
        <v>83</v>
      </c>
      <c r="D551">
        <v>155.69999999999999</v>
      </c>
      <c r="E551">
        <v>2020</v>
      </c>
      <c r="F551" s="168" t="s">
        <v>592</v>
      </c>
      <c r="G551" s="168" t="s">
        <v>607</v>
      </c>
      <c r="H551" s="168" t="s">
        <v>609</v>
      </c>
      <c r="I551">
        <v>0</v>
      </c>
    </row>
    <row r="552" spans="1:9" x14ac:dyDescent="0.3">
      <c r="A552">
        <v>54</v>
      </c>
      <c r="B552" s="168" t="s">
        <v>81</v>
      </c>
      <c r="C552" s="168" t="s">
        <v>83</v>
      </c>
      <c r="D552">
        <v>155.69999999999999</v>
      </c>
      <c r="E552">
        <v>2020</v>
      </c>
      <c r="F552" s="168" t="s">
        <v>592</v>
      </c>
      <c r="G552" s="168" t="s">
        <v>617</v>
      </c>
      <c r="H552" s="168" t="s">
        <v>608</v>
      </c>
      <c r="I552">
        <v>105.16472273471193</v>
      </c>
    </row>
    <row r="553" spans="1:9" x14ac:dyDescent="0.3">
      <c r="A553">
        <v>54</v>
      </c>
      <c r="B553" s="168" t="s">
        <v>81</v>
      </c>
      <c r="C553" s="168" t="s">
        <v>83</v>
      </c>
      <c r="D553">
        <v>155.69999999999999</v>
      </c>
      <c r="E553">
        <v>2020</v>
      </c>
      <c r="F553" s="168" t="s">
        <v>592</v>
      </c>
      <c r="G553" s="168" t="s">
        <v>617</v>
      </c>
      <c r="H553" s="168" t="s">
        <v>609</v>
      </c>
      <c r="I553">
        <v>78.873542051033951</v>
      </c>
    </row>
    <row r="554" spans="1:9" x14ac:dyDescent="0.3">
      <c r="A554">
        <v>54</v>
      </c>
      <c r="B554" s="168" t="s">
        <v>81</v>
      </c>
      <c r="C554" s="168" t="s">
        <v>83</v>
      </c>
      <c r="D554">
        <v>155.69999999999999</v>
      </c>
      <c r="E554">
        <v>2020</v>
      </c>
      <c r="F554" s="168" t="s">
        <v>592</v>
      </c>
      <c r="G554" s="168" t="s">
        <v>621</v>
      </c>
      <c r="H554" s="168" t="s">
        <v>608</v>
      </c>
      <c r="I554">
        <v>0</v>
      </c>
    </row>
    <row r="555" spans="1:9" x14ac:dyDescent="0.3">
      <c r="A555">
        <v>54</v>
      </c>
      <c r="B555" s="168" t="s">
        <v>81</v>
      </c>
      <c r="C555" s="168" t="s">
        <v>83</v>
      </c>
      <c r="D555">
        <v>155.69999999999999</v>
      </c>
      <c r="E555">
        <v>2020</v>
      </c>
      <c r="F555" s="168" t="s">
        <v>592</v>
      </c>
      <c r="G555" s="168" t="s">
        <v>621</v>
      </c>
      <c r="H555" s="168" t="s">
        <v>609</v>
      </c>
      <c r="I555">
        <v>4532960</v>
      </c>
    </row>
    <row r="556" spans="1:9" x14ac:dyDescent="0.3">
      <c r="A556">
        <v>55</v>
      </c>
      <c r="B556" s="168" t="s">
        <v>81</v>
      </c>
      <c r="C556" s="168" t="s">
        <v>84</v>
      </c>
      <c r="D556">
        <v>1142.7</v>
      </c>
      <c r="E556">
        <v>2020</v>
      </c>
      <c r="F556" s="168" t="s">
        <v>592</v>
      </c>
      <c r="G556" s="168" t="s">
        <v>607</v>
      </c>
      <c r="H556" s="168" t="s">
        <v>608</v>
      </c>
      <c r="I556">
        <v>10402.157766526558</v>
      </c>
    </row>
    <row r="557" spans="1:9" x14ac:dyDescent="0.3">
      <c r="A557">
        <v>55</v>
      </c>
      <c r="B557" s="168" t="s">
        <v>81</v>
      </c>
      <c r="C557" s="168" t="s">
        <v>84</v>
      </c>
      <c r="D557">
        <v>1142.7</v>
      </c>
      <c r="E557">
        <v>2020</v>
      </c>
      <c r="F557" s="168" t="s">
        <v>592</v>
      </c>
      <c r="G557" s="168" t="s">
        <v>607</v>
      </c>
      <c r="H557" s="168" t="s">
        <v>609</v>
      </c>
      <c r="I557">
        <v>7826.086956521739</v>
      </c>
    </row>
    <row r="558" spans="1:9" x14ac:dyDescent="0.3">
      <c r="A558">
        <v>55</v>
      </c>
      <c r="B558" s="168" t="s">
        <v>81</v>
      </c>
      <c r="C558" s="168" t="s">
        <v>84</v>
      </c>
      <c r="D558">
        <v>1142.7</v>
      </c>
      <c r="E558">
        <v>2020</v>
      </c>
      <c r="F558" s="168" t="s">
        <v>592</v>
      </c>
      <c r="G558" s="168" t="s">
        <v>617</v>
      </c>
      <c r="H558" s="168" t="s">
        <v>608</v>
      </c>
      <c r="I558">
        <v>771.8158552919416</v>
      </c>
    </row>
    <row r="559" spans="1:9" x14ac:dyDescent="0.3">
      <c r="A559">
        <v>55</v>
      </c>
      <c r="B559" s="168" t="s">
        <v>81</v>
      </c>
      <c r="C559" s="168" t="s">
        <v>84</v>
      </c>
      <c r="D559">
        <v>1142.7</v>
      </c>
      <c r="E559">
        <v>2020</v>
      </c>
      <c r="F559" s="168" t="s">
        <v>592</v>
      </c>
      <c r="G559" s="168" t="s">
        <v>617</v>
      </c>
      <c r="H559" s="168" t="s">
        <v>609</v>
      </c>
      <c r="I559">
        <v>578.86189146895629</v>
      </c>
    </row>
    <row r="560" spans="1:9" x14ac:dyDescent="0.3">
      <c r="A560">
        <v>55</v>
      </c>
      <c r="B560" s="168" t="s">
        <v>81</v>
      </c>
      <c r="C560" s="168" t="s">
        <v>84</v>
      </c>
      <c r="D560">
        <v>1142.7</v>
      </c>
      <c r="E560">
        <v>2020</v>
      </c>
      <c r="F560" s="168" t="s">
        <v>592</v>
      </c>
      <c r="G560" s="168" t="s">
        <v>618</v>
      </c>
      <c r="H560" s="168" t="s">
        <v>608</v>
      </c>
      <c r="I560">
        <v>0</v>
      </c>
    </row>
    <row r="561" spans="1:9" x14ac:dyDescent="0.3">
      <c r="A561">
        <v>55</v>
      </c>
      <c r="B561" s="168" t="s">
        <v>81</v>
      </c>
      <c r="C561" s="168" t="s">
        <v>84</v>
      </c>
      <c r="D561">
        <v>1142.7</v>
      </c>
      <c r="E561">
        <v>2020</v>
      </c>
      <c r="F561" s="168" t="s">
        <v>592</v>
      </c>
      <c r="G561" s="168" t="s">
        <v>618</v>
      </c>
      <c r="H561" s="168" t="s">
        <v>609</v>
      </c>
      <c r="I561">
        <v>37280.898876404492</v>
      </c>
    </row>
    <row r="562" spans="1:9" x14ac:dyDescent="0.3">
      <c r="A562">
        <v>55</v>
      </c>
      <c r="B562" s="168" t="s">
        <v>81</v>
      </c>
      <c r="C562" s="168" t="s">
        <v>84</v>
      </c>
      <c r="D562">
        <v>1142.7</v>
      </c>
      <c r="E562">
        <v>2020</v>
      </c>
      <c r="F562" s="168" t="s">
        <v>592</v>
      </c>
      <c r="G562" s="168" t="s">
        <v>610</v>
      </c>
      <c r="H562" s="168" t="s">
        <v>608</v>
      </c>
      <c r="I562">
        <v>0</v>
      </c>
    </row>
    <row r="563" spans="1:9" x14ac:dyDescent="0.3">
      <c r="A563">
        <v>55</v>
      </c>
      <c r="B563" s="168" t="s">
        <v>81</v>
      </c>
      <c r="C563" s="168" t="s">
        <v>84</v>
      </c>
      <c r="D563">
        <v>1142.7</v>
      </c>
      <c r="E563">
        <v>2020</v>
      </c>
      <c r="F563" s="168" t="s">
        <v>592</v>
      </c>
      <c r="G563" s="168" t="s">
        <v>610</v>
      </c>
      <c r="H563" s="168" t="s">
        <v>609</v>
      </c>
      <c r="I563">
        <v>6545.454545454545</v>
      </c>
    </row>
    <row r="564" spans="1:9" x14ac:dyDescent="0.3">
      <c r="A564">
        <v>55</v>
      </c>
      <c r="B564" s="168" t="s">
        <v>81</v>
      </c>
      <c r="C564" s="168" t="s">
        <v>84</v>
      </c>
      <c r="D564">
        <v>1142.7</v>
      </c>
      <c r="E564">
        <v>2020</v>
      </c>
      <c r="F564" s="168" t="s">
        <v>592</v>
      </c>
      <c r="G564" s="168" t="s">
        <v>620</v>
      </c>
      <c r="H564" s="168" t="s">
        <v>608</v>
      </c>
      <c r="I564">
        <v>186515.41295527678</v>
      </c>
    </row>
    <row r="565" spans="1:9" x14ac:dyDescent="0.3">
      <c r="A565">
        <v>55</v>
      </c>
      <c r="B565" s="168" t="s">
        <v>81</v>
      </c>
      <c r="C565" s="168" t="s">
        <v>84</v>
      </c>
      <c r="D565">
        <v>1142.7</v>
      </c>
      <c r="E565">
        <v>2020</v>
      </c>
      <c r="F565" s="168" t="s">
        <v>592</v>
      </c>
      <c r="G565" s="168" t="s">
        <v>620</v>
      </c>
      <c r="H565" s="168" t="s">
        <v>609</v>
      </c>
      <c r="I565">
        <v>342099.45621181739</v>
      </c>
    </row>
    <row r="566" spans="1:9" x14ac:dyDescent="0.3">
      <c r="A566">
        <v>55</v>
      </c>
      <c r="B566" s="168" t="s">
        <v>81</v>
      </c>
      <c r="C566" s="168" t="s">
        <v>84</v>
      </c>
      <c r="D566">
        <v>1142.7</v>
      </c>
      <c r="E566">
        <v>2020</v>
      </c>
      <c r="F566" s="168" t="s">
        <v>592</v>
      </c>
      <c r="G566" s="168" t="s">
        <v>625</v>
      </c>
      <c r="H566" s="168" t="s">
        <v>608</v>
      </c>
      <c r="I566">
        <v>0</v>
      </c>
    </row>
    <row r="567" spans="1:9" x14ac:dyDescent="0.3">
      <c r="A567">
        <v>55</v>
      </c>
      <c r="B567" s="168" t="s">
        <v>81</v>
      </c>
      <c r="C567" s="168" t="s">
        <v>84</v>
      </c>
      <c r="D567">
        <v>1142.7</v>
      </c>
      <c r="E567">
        <v>2020</v>
      </c>
      <c r="F567" s="168" t="s">
        <v>592</v>
      </c>
      <c r="G567" s="168" t="s">
        <v>625</v>
      </c>
      <c r="H567" s="168" t="s">
        <v>609</v>
      </c>
      <c r="I567">
        <v>101498</v>
      </c>
    </row>
    <row r="568" spans="1:9" x14ac:dyDescent="0.3">
      <c r="A568">
        <v>55</v>
      </c>
      <c r="B568" s="168" t="s">
        <v>81</v>
      </c>
      <c r="C568" s="168" t="s">
        <v>84</v>
      </c>
      <c r="D568">
        <v>1142.7</v>
      </c>
      <c r="E568">
        <v>2020</v>
      </c>
      <c r="F568" s="168" t="s">
        <v>592</v>
      </c>
      <c r="G568" s="168" t="s">
        <v>624</v>
      </c>
      <c r="H568" s="168" t="s">
        <v>608</v>
      </c>
      <c r="I568">
        <v>17084.686331178724</v>
      </c>
    </row>
    <row r="569" spans="1:9" x14ac:dyDescent="0.3">
      <c r="A569">
        <v>55</v>
      </c>
      <c r="B569" s="168" t="s">
        <v>81</v>
      </c>
      <c r="C569" s="168" t="s">
        <v>84</v>
      </c>
      <c r="D569">
        <v>1142.7</v>
      </c>
      <c r="E569">
        <v>2020</v>
      </c>
      <c r="F569" s="168" t="s">
        <v>592</v>
      </c>
      <c r="G569" s="168" t="s">
        <v>624</v>
      </c>
      <c r="H569" s="168" t="s">
        <v>609</v>
      </c>
      <c r="I569">
        <v>18195.94349579345</v>
      </c>
    </row>
    <row r="570" spans="1:9" x14ac:dyDescent="0.3">
      <c r="A570">
        <v>55</v>
      </c>
      <c r="B570" s="168" t="s">
        <v>81</v>
      </c>
      <c r="C570" s="168" t="s">
        <v>84</v>
      </c>
      <c r="D570">
        <v>1142.7</v>
      </c>
      <c r="E570">
        <v>2020</v>
      </c>
      <c r="F570" s="168" t="s">
        <v>592</v>
      </c>
      <c r="G570" s="168" t="s">
        <v>613</v>
      </c>
      <c r="H570" s="168" t="s">
        <v>608</v>
      </c>
      <c r="I570">
        <v>43134.748642248196</v>
      </c>
    </row>
    <row r="571" spans="1:9" x14ac:dyDescent="0.3">
      <c r="A571">
        <v>55</v>
      </c>
      <c r="B571" s="168" t="s">
        <v>81</v>
      </c>
      <c r="C571" s="168" t="s">
        <v>84</v>
      </c>
      <c r="D571">
        <v>1142.7</v>
      </c>
      <c r="E571">
        <v>2020</v>
      </c>
      <c r="F571" s="168" t="s">
        <v>592</v>
      </c>
      <c r="G571" s="168" t="s">
        <v>613</v>
      </c>
      <c r="H571" s="168" t="s">
        <v>609</v>
      </c>
      <c r="I571">
        <v>8755.0598720077433</v>
      </c>
    </row>
    <row r="572" spans="1:9" x14ac:dyDescent="0.3">
      <c r="A572">
        <v>55</v>
      </c>
      <c r="B572" s="168" t="s">
        <v>81</v>
      </c>
      <c r="C572" s="168" t="s">
        <v>84</v>
      </c>
      <c r="D572">
        <v>1142.7</v>
      </c>
      <c r="E572">
        <v>2020</v>
      </c>
      <c r="F572" s="168" t="s">
        <v>592</v>
      </c>
      <c r="G572" s="168" t="s">
        <v>622</v>
      </c>
      <c r="H572" s="168" t="s">
        <v>608</v>
      </c>
      <c r="I572">
        <v>0</v>
      </c>
    </row>
    <row r="573" spans="1:9" x14ac:dyDescent="0.3">
      <c r="A573">
        <v>55</v>
      </c>
      <c r="B573" s="168" t="s">
        <v>81</v>
      </c>
      <c r="C573" s="168" t="s">
        <v>84</v>
      </c>
      <c r="D573">
        <v>1142.7</v>
      </c>
      <c r="E573">
        <v>2020</v>
      </c>
      <c r="F573" s="168" t="s">
        <v>592</v>
      </c>
      <c r="G573" s="168" t="s">
        <v>622</v>
      </c>
      <c r="H573" s="168" t="s">
        <v>609</v>
      </c>
      <c r="I573">
        <v>990000</v>
      </c>
    </row>
    <row r="574" spans="1:9" x14ac:dyDescent="0.3">
      <c r="A574">
        <v>56</v>
      </c>
      <c r="B574" s="168" t="s">
        <v>81</v>
      </c>
      <c r="C574" s="168" t="s">
        <v>85</v>
      </c>
      <c r="D574">
        <v>1186.4000000000001</v>
      </c>
      <c r="E574">
        <v>2020</v>
      </c>
      <c r="F574" s="168" t="s">
        <v>592</v>
      </c>
      <c r="G574" s="168" t="s">
        <v>607</v>
      </c>
      <c r="H574" s="168" t="s">
        <v>608</v>
      </c>
      <c r="I574">
        <v>10799.964972614955</v>
      </c>
    </row>
    <row r="575" spans="1:9" x14ac:dyDescent="0.3">
      <c r="A575">
        <v>56</v>
      </c>
      <c r="B575" s="168" t="s">
        <v>81</v>
      </c>
      <c r="C575" s="168" t="s">
        <v>85</v>
      </c>
      <c r="D575">
        <v>1186.4000000000001</v>
      </c>
      <c r="E575">
        <v>2020</v>
      </c>
      <c r="F575" s="168" t="s">
        <v>592</v>
      </c>
      <c r="G575" s="168" t="s">
        <v>607</v>
      </c>
      <c r="H575" s="168" t="s">
        <v>609</v>
      </c>
      <c r="I575">
        <v>0</v>
      </c>
    </row>
    <row r="576" spans="1:9" x14ac:dyDescent="0.3">
      <c r="A576">
        <v>56</v>
      </c>
      <c r="B576" s="168" t="s">
        <v>81</v>
      </c>
      <c r="C576" s="168" t="s">
        <v>85</v>
      </c>
      <c r="D576">
        <v>1186.4000000000001</v>
      </c>
      <c r="E576">
        <v>2020</v>
      </c>
      <c r="F576" s="168" t="s">
        <v>592</v>
      </c>
      <c r="G576" s="168" t="s">
        <v>617</v>
      </c>
      <c r="H576" s="168" t="s">
        <v>608</v>
      </c>
      <c r="I576">
        <v>801.33222255916667</v>
      </c>
    </row>
    <row r="577" spans="1:9" x14ac:dyDescent="0.3">
      <c r="A577">
        <v>56</v>
      </c>
      <c r="B577" s="168" t="s">
        <v>81</v>
      </c>
      <c r="C577" s="168" t="s">
        <v>85</v>
      </c>
      <c r="D577">
        <v>1186.4000000000001</v>
      </c>
      <c r="E577">
        <v>2020</v>
      </c>
      <c r="F577" s="168" t="s">
        <v>592</v>
      </c>
      <c r="G577" s="168" t="s">
        <v>617</v>
      </c>
      <c r="H577" s="168" t="s">
        <v>609</v>
      </c>
      <c r="I577">
        <v>600.99916691937494</v>
      </c>
    </row>
    <row r="578" spans="1:9" x14ac:dyDescent="0.3">
      <c r="A578">
        <v>56</v>
      </c>
      <c r="B578" s="168" t="s">
        <v>81</v>
      </c>
      <c r="C578" s="168" t="s">
        <v>85</v>
      </c>
      <c r="D578">
        <v>1186.4000000000001</v>
      </c>
      <c r="E578">
        <v>2020</v>
      </c>
      <c r="F578" s="168" t="s">
        <v>592</v>
      </c>
      <c r="G578" s="168" t="s">
        <v>618</v>
      </c>
      <c r="H578" s="168" t="s">
        <v>608</v>
      </c>
      <c r="I578">
        <v>0</v>
      </c>
    </row>
    <row r="579" spans="1:9" x14ac:dyDescent="0.3">
      <c r="A579">
        <v>56</v>
      </c>
      <c r="B579" s="168" t="s">
        <v>81</v>
      </c>
      <c r="C579" s="168" t="s">
        <v>85</v>
      </c>
      <c r="D579">
        <v>1186.4000000000001</v>
      </c>
      <c r="E579">
        <v>2020</v>
      </c>
      <c r="F579" s="168" t="s">
        <v>592</v>
      </c>
      <c r="G579" s="168" t="s">
        <v>618</v>
      </c>
      <c r="H579" s="168" t="s">
        <v>609</v>
      </c>
      <c r="I579">
        <v>53258.426966292136</v>
      </c>
    </row>
    <row r="580" spans="1:9" x14ac:dyDescent="0.3">
      <c r="A580">
        <v>56</v>
      </c>
      <c r="B580" s="168" t="s">
        <v>81</v>
      </c>
      <c r="C580" s="168" t="s">
        <v>85</v>
      </c>
      <c r="D580">
        <v>1186.4000000000001</v>
      </c>
      <c r="E580">
        <v>2020</v>
      </c>
      <c r="F580" s="168" t="s">
        <v>592</v>
      </c>
      <c r="G580" s="168" t="s">
        <v>610</v>
      </c>
      <c r="H580" s="168" t="s">
        <v>608</v>
      </c>
      <c r="I580">
        <v>0</v>
      </c>
    </row>
    <row r="581" spans="1:9" x14ac:dyDescent="0.3">
      <c r="A581">
        <v>56</v>
      </c>
      <c r="B581" s="168" t="s">
        <v>81</v>
      </c>
      <c r="C581" s="168" t="s">
        <v>85</v>
      </c>
      <c r="D581">
        <v>1186.4000000000001</v>
      </c>
      <c r="E581">
        <v>2020</v>
      </c>
      <c r="F581" s="168" t="s">
        <v>592</v>
      </c>
      <c r="G581" s="168" t="s">
        <v>610</v>
      </c>
      <c r="H581" s="168" t="s">
        <v>609</v>
      </c>
      <c r="I581">
        <v>6545.454545454545</v>
      </c>
    </row>
    <row r="582" spans="1:9" x14ac:dyDescent="0.3">
      <c r="A582">
        <v>56</v>
      </c>
      <c r="B582" s="168" t="s">
        <v>81</v>
      </c>
      <c r="C582" s="168" t="s">
        <v>85</v>
      </c>
      <c r="D582">
        <v>1186.4000000000001</v>
      </c>
      <c r="E582">
        <v>2020</v>
      </c>
      <c r="F582" s="168" t="s">
        <v>592</v>
      </c>
      <c r="G582" s="168" t="s">
        <v>623</v>
      </c>
      <c r="H582" s="168" t="s">
        <v>608</v>
      </c>
      <c r="I582">
        <v>37500</v>
      </c>
    </row>
    <row r="583" spans="1:9" x14ac:dyDescent="0.3">
      <c r="A583">
        <v>56</v>
      </c>
      <c r="B583" s="168" t="s">
        <v>81</v>
      </c>
      <c r="C583" s="168" t="s">
        <v>85</v>
      </c>
      <c r="D583">
        <v>1186.4000000000001</v>
      </c>
      <c r="E583">
        <v>2020</v>
      </c>
      <c r="F583" s="168" t="s">
        <v>592</v>
      </c>
      <c r="G583" s="168" t="s">
        <v>623</v>
      </c>
      <c r="H583" s="168" t="s">
        <v>609</v>
      </c>
      <c r="I583">
        <v>35510.391250000001</v>
      </c>
    </row>
    <row r="584" spans="1:9" x14ac:dyDescent="0.3">
      <c r="A584">
        <v>56</v>
      </c>
      <c r="B584" s="168" t="s">
        <v>81</v>
      </c>
      <c r="C584" s="168" t="s">
        <v>85</v>
      </c>
      <c r="D584">
        <v>1186.4000000000001</v>
      </c>
      <c r="E584">
        <v>2020</v>
      </c>
      <c r="F584" s="168" t="s">
        <v>592</v>
      </c>
      <c r="G584" s="168" t="s">
        <v>624</v>
      </c>
      <c r="H584" s="168" t="s">
        <v>608</v>
      </c>
      <c r="I584">
        <v>17738.051862527729</v>
      </c>
    </row>
    <row r="585" spans="1:9" x14ac:dyDescent="0.3">
      <c r="A585">
        <v>56</v>
      </c>
      <c r="B585" s="168" t="s">
        <v>81</v>
      </c>
      <c r="C585" s="168" t="s">
        <v>85</v>
      </c>
      <c r="D585">
        <v>1186.4000000000001</v>
      </c>
      <c r="E585">
        <v>2020</v>
      </c>
      <c r="F585" s="168" t="s">
        <v>592</v>
      </c>
      <c r="G585" s="168" t="s">
        <v>624</v>
      </c>
      <c r="H585" s="168" t="s">
        <v>609</v>
      </c>
      <c r="I585">
        <v>18891.806566386058</v>
      </c>
    </row>
    <row r="586" spans="1:9" x14ac:dyDescent="0.3">
      <c r="A586">
        <v>56</v>
      </c>
      <c r="B586" s="168" t="s">
        <v>81</v>
      </c>
      <c r="C586" s="168" t="s">
        <v>85</v>
      </c>
      <c r="D586">
        <v>1186.4000000000001</v>
      </c>
      <c r="E586">
        <v>2020</v>
      </c>
      <c r="F586" s="168" t="s">
        <v>592</v>
      </c>
      <c r="G586" s="168" t="s">
        <v>613</v>
      </c>
      <c r="H586" s="168" t="s">
        <v>608</v>
      </c>
      <c r="I586">
        <v>44784.340412324549</v>
      </c>
    </row>
    <row r="587" spans="1:9" x14ac:dyDescent="0.3">
      <c r="A587">
        <v>56</v>
      </c>
      <c r="B587" s="168" t="s">
        <v>81</v>
      </c>
      <c r="C587" s="168" t="s">
        <v>85</v>
      </c>
      <c r="D587">
        <v>1186.4000000000001</v>
      </c>
      <c r="E587">
        <v>2020</v>
      </c>
      <c r="F587" s="168" t="s">
        <v>592</v>
      </c>
      <c r="G587" s="168" t="s">
        <v>613</v>
      </c>
      <c r="H587" s="168" t="s">
        <v>609</v>
      </c>
      <c r="I587">
        <v>9089.8775112890416</v>
      </c>
    </row>
    <row r="588" spans="1:9" x14ac:dyDescent="0.3">
      <c r="A588">
        <v>57</v>
      </c>
      <c r="B588" s="168" t="s">
        <v>81</v>
      </c>
      <c r="C588" s="168" t="s">
        <v>86</v>
      </c>
      <c r="D588">
        <v>122.7</v>
      </c>
      <c r="E588">
        <v>2020</v>
      </c>
      <c r="F588" s="168" t="s">
        <v>592</v>
      </c>
      <c r="G588" s="168" t="s">
        <v>607</v>
      </c>
      <c r="H588" s="168" t="s">
        <v>608</v>
      </c>
      <c r="I588">
        <v>1116.9552445548338</v>
      </c>
    </row>
    <row r="589" spans="1:9" x14ac:dyDescent="0.3">
      <c r="A589">
        <v>57</v>
      </c>
      <c r="B589" s="168" t="s">
        <v>81</v>
      </c>
      <c r="C589" s="168" t="s">
        <v>86</v>
      </c>
      <c r="D589">
        <v>122.7</v>
      </c>
      <c r="E589">
        <v>2020</v>
      </c>
      <c r="F589" s="168" t="s">
        <v>592</v>
      </c>
      <c r="G589" s="168" t="s">
        <v>607</v>
      </c>
      <c r="H589" s="168" t="s">
        <v>609</v>
      </c>
      <c r="I589">
        <v>0</v>
      </c>
    </row>
    <row r="590" spans="1:9" x14ac:dyDescent="0.3">
      <c r="A590">
        <v>57</v>
      </c>
      <c r="B590" s="168" t="s">
        <v>81</v>
      </c>
      <c r="C590" s="168" t="s">
        <v>86</v>
      </c>
      <c r="D590">
        <v>122.7</v>
      </c>
      <c r="E590">
        <v>2020</v>
      </c>
      <c r="F590" s="168" t="s">
        <v>592</v>
      </c>
      <c r="G590" s="168" t="s">
        <v>617</v>
      </c>
      <c r="H590" s="168" t="s">
        <v>608</v>
      </c>
      <c r="I590">
        <v>82.875475141613066</v>
      </c>
    </row>
    <row r="591" spans="1:9" x14ac:dyDescent="0.3">
      <c r="A591">
        <v>57</v>
      </c>
      <c r="B591" s="168" t="s">
        <v>81</v>
      </c>
      <c r="C591" s="168" t="s">
        <v>86</v>
      </c>
      <c r="D591">
        <v>122.7</v>
      </c>
      <c r="E591">
        <v>2020</v>
      </c>
      <c r="F591" s="168" t="s">
        <v>592</v>
      </c>
      <c r="G591" s="168" t="s">
        <v>617</v>
      </c>
      <c r="H591" s="168" t="s">
        <v>609</v>
      </c>
      <c r="I591">
        <v>62.156606356209799</v>
      </c>
    </row>
    <row r="592" spans="1:9" hidden="1" x14ac:dyDescent="0.3">
      <c r="A592">
        <v>58</v>
      </c>
      <c r="B592" s="168" t="s">
        <v>34</v>
      </c>
      <c r="C592" s="168" t="s">
        <v>87</v>
      </c>
      <c r="D592">
        <v>52.6</v>
      </c>
      <c r="E592">
        <v>2020</v>
      </c>
      <c r="F592" s="168" t="s">
        <v>593</v>
      </c>
      <c r="G592" s="168" t="s">
        <v>607</v>
      </c>
      <c r="H592" s="168" t="s">
        <v>608</v>
      </c>
      <c r="I592">
        <v>478.82514966246345</v>
      </c>
    </row>
    <row r="593" spans="1:9" hidden="1" x14ac:dyDescent="0.3">
      <c r="A593">
        <v>58</v>
      </c>
      <c r="B593" s="168" t="s">
        <v>34</v>
      </c>
      <c r="C593" s="168" t="s">
        <v>87</v>
      </c>
      <c r="D593">
        <v>52.6</v>
      </c>
      <c r="E593">
        <v>2020</v>
      </c>
      <c r="F593" s="168" t="s">
        <v>593</v>
      </c>
      <c r="G593" s="168" t="s">
        <v>607</v>
      </c>
      <c r="H593" s="168" t="s">
        <v>609</v>
      </c>
      <c r="I593">
        <v>0</v>
      </c>
    </row>
    <row r="594" spans="1:9" hidden="1" x14ac:dyDescent="0.3">
      <c r="A594">
        <v>58</v>
      </c>
      <c r="B594" s="168" t="s">
        <v>34</v>
      </c>
      <c r="C594" s="168" t="s">
        <v>87</v>
      </c>
      <c r="D594">
        <v>52.6</v>
      </c>
      <c r="E594">
        <v>2020</v>
      </c>
      <c r="F594" s="168" t="s">
        <v>593</v>
      </c>
      <c r="G594" s="168" t="s">
        <v>617</v>
      </c>
      <c r="H594" s="168" t="s">
        <v>608</v>
      </c>
      <c r="I594">
        <v>35.527709799909104</v>
      </c>
    </row>
    <row r="595" spans="1:9" hidden="1" x14ac:dyDescent="0.3">
      <c r="A595">
        <v>58</v>
      </c>
      <c r="B595" s="168" t="s">
        <v>34</v>
      </c>
      <c r="C595" s="168" t="s">
        <v>87</v>
      </c>
      <c r="D595">
        <v>52.6</v>
      </c>
      <c r="E595">
        <v>2020</v>
      </c>
      <c r="F595" s="168" t="s">
        <v>593</v>
      </c>
      <c r="G595" s="168" t="s">
        <v>617</v>
      </c>
      <c r="H595" s="168" t="s">
        <v>609</v>
      </c>
      <c r="I595">
        <v>26.645782349931828</v>
      </c>
    </row>
    <row r="596" spans="1:9" hidden="1" x14ac:dyDescent="0.3">
      <c r="A596">
        <v>58</v>
      </c>
      <c r="B596" s="168" t="s">
        <v>34</v>
      </c>
      <c r="C596" s="168" t="s">
        <v>87</v>
      </c>
      <c r="D596">
        <v>52.6</v>
      </c>
      <c r="E596">
        <v>2020</v>
      </c>
      <c r="F596" s="168" t="s">
        <v>593</v>
      </c>
      <c r="G596" s="168" t="s">
        <v>624</v>
      </c>
      <c r="H596" s="168" t="s">
        <v>608</v>
      </c>
      <c r="I596">
        <v>197.58633496494139</v>
      </c>
    </row>
    <row r="597" spans="1:9" hidden="1" x14ac:dyDescent="0.3">
      <c r="A597">
        <v>58</v>
      </c>
      <c r="B597" s="168" t="s">
        <v>34</v>
      </c>
      <c r="C597" s="168" t="s">
        <v>87</v>
      </c>
      <c r="D597">
        <v>52.6</v>
      </c>
      <c r="E597">
        <v>2020</v>
      </c>
      <c r="F597" s="168" t="s">
        <v>593</v>
      </c>
      <c r="G597" s="168" t="s">
        <v>624</v>
      </c>
      <c r="H597" s="168" t="s">
        <v>609</v>
      </c>
      <c r="I597">
        <v>197.58633496494139</v>
      </c>
    </row>
    <row r="598" spans="1:9" hidden="1" x14ac:dyDescent="0.3">
      <c r="A598">
        <v>59</v>
      </c>
      <c r="B598" s="168" t="s">
        <v>34</v>
      </c>
      <c r="C598" s="168" t="s">
        <v>88</v>
      </c>
      <c r="D598">
        <v>54.9</v>
      </c>
      <c r="E598">
        <v>2020</v>
      </c>
      <c r="F598" s="168" t="s">
        <v>593</v>
      </c>
      <c r="G598" s="168" t="s">
        <v>607</v>
      </c>
      <c r="H598" s="168" t="s">
        <v>608</v>
      </c>
      <c r="I598">
        <v>499.76237103553694</v>
      </c>
    </row>
    <row r="599" spans="1:9" hidden="1" x14ac:dyDescent="0.3">
      <c r="A599">
        <v>59</v>
      </c>
      <c r="B599" s="168" t="s">
        <v>34</v>
      </c>
      <c r="C599" s="168" t="s">
        <v>88</v>
      </c>
      <c r="D599">
        <v>54.9</v>
      </c>
      <c r="E599">
        <v>2020</v>
      </c>
      <c r="F599" s="168" t="s">
        <v>593</v>
      </c>
      <c r="G599" s="168" t="s">
        <v>607</v>
      </c>
      <c r="H599" s="168" t="s">
        <v>609</v>
      </c>
      <c r="I599">
        <v>0</v>
      </c>
    </row>
    <row r="600" spans="1:9" hidden="1" x14ac:dyDescent="0.3">
      <c r="A600">
        <v>59</v>
      </c>
      <c r="B600" s="168" t="s">
        <v>34</v>
      </c>
      <c r="C600" s="168" t="s">
        <v>88</v>
      </c>
      <c r="D600">
        <v>54.9</v>
      </c>
      <c r="E600">
        <v>2020</v>
      </c>
      <c r="F600" s="168" t="s">
        <v>593</v>
      </c>
      <c r="G600" s="168" t="s">
        <v>612</v>
      </c>
      <c r="H600" s="168" t="s">
        <v>608</v>
      </c>
      <c r="I600">
        <v>0</v>
      </c>
    </row>
    <row r="601" spans="1:9" hidden="1" x14ac:dyDescent="0.3">
      <c r="A601">
        <v>59</v>
      </c>
      <c r="B601" s="168" t="s">
        <v>34</v>
      </c>
      <c r="C601" s="168" t="s">
        <v>88</v>
      </c>
      <c r="D601">
        <v>54.9</v>
      </c>
      <c r="E601">
        <v>2020</v>
      </c>
      <c r="F601" s="168" t="s">
        <v>593</v>
      </c>
      <c r="G601" s="168" t="s">
        <v>612</v>
      </c>
      <c r="H601" s="168" t="s">
        <v>609</v>
      </c>
      <c r="I601">
        <v>68.793268981875869</v>
      </c>
    </row>
    <row r="602" spans="1:9" hidden="1" x14ac:dyDescent="0.3">
      <c r="A602">
        <v>59</v>
      </c>
      <c r="B602" s="168" t="s">
        <v>34</v>
      </c>
      <c r="C602" s="168" t="s">
        <v>88</v>
      </c>
      <c r="D602">
        <v>54.9</v>
      </c>
      <c r="E602">
        <v>2020</v>
      </c>
      <c r="F602" s="168" t="s">
        <v>593</v>
      </c>
      <c r="G602" s="168" t="s">
        <v>617</v>
      </c>
      <c r="H602" s="168" t="s">
        <v>608</v>
      </c>
      <c r="I602">
        <v>37.081202813973569</v>
      </c>
    </row>
    <row r="603" spans="1:9" hidden="1" x14ac:dyDescent="0.3">
      <c r="A603">
        <v>59</v>
      </c>
      <c r="B603" s="168" t="s">
        <v>34</v>
      </c>
      <c r="C603" s="168" t="s">
        <v>88</v>
      </c>
      <c r="D603">
        <v>54.9</v>
      </c>
      <c r="E603">
        <v>2020</v>
      </c>
      <c r="F603" s="168" t="s">
        <v>593</v>
      </c>
      <c r="G603" s="168" t="s">
        <v>617</v>
      </c>
      <c r="H603" s="168" t="s">
        <v>609</v>
      </c>
      <c r="I603">
        <v>27.810902110480175</v>
      </c>
    </row>
    <row r="604" spans="1:9" hidden="1" x14ac:dyDescent="0.3">
      <c r="A604">
        <v>59</v>
      </c>
      <c r="B604" s="168" t="s">
        <v>34</v>
      </c>
      <c r="C604" s="168" t="s">
        <v>88</v>
      </c>
      <c r="D604">
        <v>54.9</v>
      </c>
      <c r="E604">
        <v>2020</v>
      </c>
      <c r="F604" s="168" t="s">
        <v>593</v>
      </c>
      <c r="G604" s="168" t="s">
        <v>633</v>
      </c>
      <c r="H604" s="168" t="s">
        <v>608</v>
      </c>
      <c r="I604">
        <v>0</v>
      </c>
    </row>
    <row r="605" spans="1:9" hidden="1" x14ac:dyDescent="0.3">
      <c r="A605">
        <v>59</v>
      </c>
      <c r="B605" s="168" t="s">
        <v>34</v>
      </c>
      <c r="C605" s="168" t="s">
        <v>88</v>
      </c>
      <c r="D605">
        <v>54.9</v>
      </c>
      <c r="E605">
        <v>2020</v>
      </c>
      <c r="F605" s="168" t="s">
        <v>593</v>
      </c>
      <c r="G605" s="168" t="s">
        <v>633</v>
      </c>
      <c r="H605" s="168" t="s">
        <v>609</v>
      </c>
      <c r="I605">
        <v>145433.62831858409</v>
      </c>
    </row>
    <row r="606" spans="1:9" hidden="1" x14ac:dyDescent="0.3">
      <c r="A606">
        <v>59</v>
      </c>
      <c r="B606" s="168" t="s">
        <v>34</v>
      </c>
      <c r="C606" s="168" t="s">
        <v>88</v>
      </c>
      <c r="D606">
        <v>54.9</v>
      </c>
      <c r="E606">
        <v>2020</v>
      </c>
      <c r="F606" s="168" t="s">
        <v>593</v>
      </c>
      <c r="G606" s="168" t="s">
        <v>624</v>
      </c>
      <c r="H606" s="168" t="s">
        <v>608</v>
      </c>
      <c r="I606">
        <v>206.22604162690649</v>
      </c>
    </row>
    <row r="607" spans="1:9" hidden="1" x14ac:dyDescent="0.3">
      <c r="A607">
        <v>59</v>
      </c>
      <c r="B607" s="168" t="s">
        <v>34</v>
      </c>
      <c r="C607" s="168" t="s">
        <v>88</v>
      </c>
      <c r="D607">
        <v>54.9</v>
      </c>
      <c r="E607">
        <v>2020</v>
      </c>
      <c r="F607" s="168" t="s">
        <v>593</v>
      </c>
      <c r="G607" s="168" t="s">
        <v>624</v>
      </c>
      <c r="H607" s="168" t="s">
        <v>609</v>
      </c>
      <c r="I607">
        <v>206.22604162690649</v>
      </c>
    </row>
    <row r="608" spans="1:9" x14ac:dyDescent="0.3">
      <c r="A608">
        <v>60</v>
      </c>
      <c r="B608" s="168" t="s">
        <v>60</v>
      </c>
      <c r="C608" s="168" t="s">
        <v>89</v>
      </c>
      <c r="D608">
        <v>11053.9</v>
      </c>
      <c r="E608">
        <v>2020</v>
      </c>
      <c r="F608" s="168" t="s">
        <v>592</v>
      </c>
      <c r="G608" s="168" t="s">
        <v>612</v>
      </c>
      <c r="H608" s="168" t="s">
        <v>608</v>
      </c>
      <c r="I608">
        <v>0</v>
      </c>
    </row>
    <row r="609" spans="1:9" x14ac:dyDescent="0.3">
      <c r="A609">
        <v>60</v>
      </c>
      <c r="B609" s="168" t="s">
        <v>60</v>
      </c>
      <c r="C609" s="168" t="s">
        <v>89</v>
      </c>
      <c r="D609">
        <v>11053.9</v>
      </c>
      <c r="E609">
        <v>2020</v>
      </c>
      <c r="F609" s="168" t="s">
        <v>592</v>
      </c>
      <c r="G609" s="168" t="s">
        <v>612</v>
      </c>
      <c r="H609" s="168" t="s">
        <v>609</v>
      </c>
      <c r="I609">
        <v>13851.255300523817</v>
      </c>
    </row>
    <row r="610" spans="1:9" x14ac:dyDescent="0.3">
      <c r="A610">
        <v>60</v>
      </c>
      <c r="B610" s="168" t="s">
        <v>60</v>
      </c>
      <c r="C610" s="168" t="s">
        <v>89</v>
      </c>
      <c r="D610">
        <v>11053.9</v>
      </c>
      <c r="E610">
        <v>2020</v>
      </c>
      <c r="F610" s="168" t="s">
        <v>592</v>
      </c>
      <c r="G610" s="168" t="s">
        <v>616</v>
      </c>
      <c r="H610" s="168" t="s">
        <v>608</v>
      </c>
      <c r="I610">
        <v>3609883.8517911453</v>
      </c>
    </row>
    <row r="611" spans="1:9" x14ac:dyDescent="0.3">
      <c r="A611">
        <v>60</v>
      </c>
      <c r="B611" s="168" t="s">
        <v>60</v>
      </c>
      <c r="C611" s="168" t="s">
        <v>89</v>
      </c>
      <c r="D611">
        <v>11053.9</v>
      </c>
      <c r="E611">
        <v>2020</v>
      </c>
      <c r="F611" s="168" t="s">
        <v>592</v>
      </c>
      <c r="G611" s="168" t="s">
        <v>616</v>
      </c>
      <c r="H611" s="168" t="s">
        <v>609</v>
      </c>
      <c r="I611">
        <v>642398.67138219427</v>
      </c>
    </row>
    <row r="612" spans="1:9" x14ac:dyDescent="0.3">
      <c r="A612">
        <v>60</v>
      </c>
      <c r="B612" s="168" t="s">
        <v>60</v>
      </c>
      <c r="C612" s="168" t="s">
        <v>89</v>
      </c>
      <c r="D612">
        <v>11053.9</v>
      </c>
      <c r="E612">
        <v>2020</v>
      </c>
      <c r="F612" s="168" t="s">
        <v>592</v>
      </c>
      <c r="G612" s="168" t="s">
        <v>617</v>
      </c>
      <c r="H612" s="168" t="s">
        <v>608</v>
      </c>
      <c r="I612">
        <v>7466.15496876835</v>
      </c>
    </row>
    <row r="613" spans="1:9" x14ac:dyDescent="0.3">
      <c r="A613">
        <v>60</v>
      </c>
      <c r="B613" s="168" t="s">
        <v>60</v>
      </c>
      <c r="C613" s="168" t="s">
        <v>89</v>
      </c>
      <c r="D613">
        <v>11053.9</v>
      </c>
      <c r="E613">
        <v>2020</v>
      </c>
      <c r="F613" s="168" t="s">
        <v>592</v>
      </c>
      <c r="G613" s="168" t="s">
        <v>617</v>
      </c>
      <c r="H613" s="168" t="s">
        <v>609</v>
      </c>
      <c r="I613">
        <v>8792.4162265762607</v>
      </c>
    </row>
    <row r="614" spans="1:9" x14ac:dyDescent="0.3">
      <c r="A614">
        <v>60</v>
      </c>
      <c r="B614" s="168" t="s">
        <v>60</v>
      </c>
      <c r="C614" s="168" t="s">
        <v>89</v>
      </c>
      <c r="D614">
        <v>11053.9</v>
      </c>
      <c r="E614">
        <v>2020</v>
      </c>
      <c r="F614" s="168" t="s">
        <v>592</v>
      </c>
      <c r="G614" s="168" t="s">
        <v>618</v>
      </c>
      <c r="H614" s="168" t="s">
        <v>608</v>
      </c>
      <c r="I614">
        <v>0</v>
      </c>
    </row>
    <row r="615" spans="1:9" x14ac:dyDescent="0.3">
      <c r="A615">
        <v>60</v>
      </c>
      <c r="B615" s="168" t="s">
        <v>60</v>
      </c>
      <c r="C615" s="168" t="s">
        <v>89</v>
      </c>
      <c r="D615">
        <v>11053.9</v>
      </c>
      <c r="E615">
        <v>2020</v>
      </c>
      <c r="F615" s="168" t="s">
        <v>592</v>
      </c>
      <c r="G615" s="168" t="s">
        <v>618</v>
      </c>
      <c r="H615" s="168" t="s">
        <v>609</v>
      </c>
      <c r="I615">
        <v>15977.528089887641</v>
      </c>
    </row>
    <row r="616" spans="1:9" x14ac:dyDescent="0.3">
      <c r="A616">
        <v>60</v>
      </c>
      <c r="B616" s="168" t="s">
        <v>60</v>
      </c>
      <c r="C616" s="168" t="s">
        <v>89</v>
      </c>
      <c r="D616">
        <v>11053.9</v>
      </c>
      <c r="E616">
        <v>2020</v>
      </c>
      <c r="F616" s="168" t="s">
        <v>592</v>
      </c>
      <c r="G616" s="168" t="s">
        <v>610</v>
      </c>
      <c r="H616" s="168" t="s">
        <v>608</v>
      </c>
      <c r="I616">
        <v>0</v>
      </c>
    </row>
    <row r="617" spans="1:9" x14ac:dyDescent="0.3">
      <c r="A617">
        <v>60</v>
      </c>
      <c r="B617" s="168" t="s">
        <v>60</v>
      </c>
      <c r="C617" s="168" t="s">
        <v>89</v>
      </c>
      <c r="D617">
        <v>11053.9</v>
      </c>
      <c r="E617">
        <v>2020</v>
      </c>
      <c r="F617" s="168" t="s">
        <v>592</v>
      </c>
      <c r="G617" s="168" t="s">
        <v>610</v>
      </c>
      <c r="H617" s="168" t="s">
        <v>609</v>
      </c>
      <c r="I617">
        <v>6545.454545454545</v>
      </c>
    </row>
    <row r="618" spans="1:9" x14ac:dyDescent="0.3">
      <c r="A618">
        <v>60</v>
      </c>
      <c r="B618" s="168" t="s">
        <v>60</v>
      </c>
      <c r="C618" s="168" t="s">
        <v>89</v>
      </c>
      <c r="D618">
        <v>11053.9</v>
      </c>
      <c r="E618">
        <v>2020</v>
      </c>
      <c r="F618" s="168" t="s">
        <v>592</v>
      </c>
      <c r="G618" s="168" t="s">
        <v>620</v>
      </c>
      <c r="H618" s="168" t="s">
        <v>608</v>
      </c>
      <c r="I618">
        <v>96190.661290322576</v>
      </c>
    </row>
    <row r="619" spans="1:9" x14ac:dyDescent="0.3">
      <c r="A619">
        <v>60</v>
      </c>
      <c r="B619" s="168" t="s">
        <v>60</v>
      </c>
      <c r="C619" s="168" t="s">
        <v>89</v>
      </c>
      <c r="D619">
        <v>11053.9</v>
      </c>
      <c r="E619">
        <v>2020</v>
      </c>
      <c r="F619" s="168" t="s">
        <v>592</v>
      </c>
      <c r="G619" s="168" t="s">
        <v>620</v>
      </c>
      <c r="H619" s="168" t="s">
        <v>609</v>
      </c>
      <c r="I619">
        <v>0</v>
      </c>
    </row>
    <row r="620" spans="1:9" x14ac:dyDescent="0.3">
      <c r="A620">
        <v>60</v>
      </c>
      <c r="B620" s="168" t="s">
        <v>60</v>
      </c>
      <c r="C620" s="168" t="s">
        <v>89</v>
      </c>
      <c r="D620">
        <v>11053.9</v>
      </c>
      <c r="E620">
        <v>2020</v>
      </c>
      <c r="F620" s="168" t="s">
        <v>592</v>
      </c>
      <c r="G620" s="168" t="s">
        <v>623</v>
      </c>
      <c r="H620" s="168" t="s">
        <v>608</v>
      </c>
      <c r="I620">
        <v>48817.307692307702</v>
      </c>
    </row>
    <row r="621" spans="1:9" x14ac:dyDescent="0.3">
      <c r="A621">
        <v>60</v>
      </c>
      <c r="B621" s="168" t="s">
        <v>60</v>
      </c>
      <c r="C621" s="168" t="s">
        <v>89</v>
      </c>
      <c r="D621">
        <v>11053.9</v>
      </c>
      <c r="E621">
        <v>2020</v>
      </c>
      <c r="F621" s="168" t="s">
        <v>592</v>
      </c>
      <c r="G621" s="168" t="s">
        <v>623</v>
      </c>
      <c r="H621" s="168" t="s">
        <v>609</v>
      </c>
      <c r="I621">
        <v>35510.391250000001</v>
      </c>
    </row>
    <row r="622" spans="1:9" x14ac:dyDescent="0.3">
      <c r="A622">
        <v>60</v>
      </c>
      <c r="B622" s="168" t="s">
        <v>60</v>
      </c>
      <c r="C622" s="168" t="s">
        <v>89</v>
      </c>
      <c r="D622">
        <v>11053.9</v>
      </c>
      <c r="E622">
        <v>2020</v>
      </c>
      <c r="F622" s="168" t="s">
        <v>592</v>
      </c>
      <c r="G622" s="168" t="s">
        <v>625</v>
      </c>
      <c r="H622" s="168" t="s">
        <v>608</v>
      </c>
      <c r="I622">
        <v>0</v>
      </c>
    </row>
    <row r="623" spans="1:9" x14ac:dyDescent="0.3">
      <c r="A623">
        <v>60</v>
      </c>
      <c r="B623" s="168" t="s">
        <v>60</v>
      </c>
      <c r="C623" s="168" t="s">
        <v>89</v>
      </c>
      <c r="D623">
        <v>11053.9</v>
      </c>
      <c r="E623">
        <v>2020</v>
      </c>
      <c r="F623" s="168" t="s">
        <v>592</v>
      </c>
      <c r="G623" s="168" t="s">
        <v>625</v>
      </c>
      <c r="H623" s="168" t="s">
        <v>609</v>
      </c>
      <c r="I623">
        <v>195848.85</v>
      </c>
    </row>
    <row r="624" spans="1:9" x14ac:dyDescent="0.3">
      <c r="A624">
        <v>60</v>
      </c>
      <c r="B624" s="168" t="s">
        <v>60</v>
      </c>
      <c r="C624" s="168" t="s">
        <v>89</v>
      </c>
      <c r="D624">
        <v>11053.9</v>
      </c>
      <c r="E624">
        <v>2020</v>
      </c>
      <c r="F624" s="168" t="s">
        <v>592</v>
      </c>
      <c r="G624" s="168" t="s">
        <v>624</v>
      </c>
      <c r="H624" s="168" t="s">
        <v>608</v>
      </c>
      <c r="I624">
        <v>206791.39274421037</v>
      </c>
    </row>
    <row r="625" spans="1:9" x14ac:dyDescent="0.3">
      <c r="A625">
        <v>60</v>
      </c>
      <c r="B625" s="168" t="s">
        <v>60</v>
      </c>
      <c r="C625" s="168" t="s">
        <v>89</v>
      </c>
      <c r="D625">
        <v>11053.9</v>
      </c>
      <c r="E625">
        <v>2020</v>
      </c>
      <c r="F625" s="168" t="s">
        <v>592</v>
      </c>
      <c r="G625" s="168" t="s">
        <v>624</v>
      </c>
      <c r="H625" s="168" t="s">
        <v>609</v>
      </c>
      <c r="I625">
        <v>217541.13070862339</v>
      </c>
    </row>
    <row r="626" spans="1:9" x14ac:dyDescent="0.3">
      <c r="A626">
        <v>60</v>
      </c>
      <c r="B626" s="168" t="s">
        <v>60</v>
      </c>
      <c r="C626" s="168" t="s">
        <v>89</v>
      </c>
      <c r="D626">
        <v>11053.9</v>
      </c>
      <c r="E626">
        <v>2020</v>
      </c>
      <c r="F626" s="168" t="s">
        <v>592</v>
      </c>
      <c r="G626" s="168" t="s">
        <v>621</v>
      </c>
      <c r="H626" s="168" t="s">
        <v>608</v>
      </c>
      <c r="I626">
        <v>0</v>
      </c>
    </row>
    <row r="627" spans="1:9" x14ac:dyDescent="0.3">
      <c r="A627">
        <v>60</v>
      </c>
      <c r="B627" s="168" t="s">
        <v>60</v>
      </c>
      <c r="C627" s="168" t="s">
        <v>89</v>
      </c>
      <c r="D627">
        <v>11053.9</v>
      </c>
      <c r="E627">
        <v>2020</v>
      </c>
      <c r="F627" s="168" t="s">
        <v>592</v>
      </c>
      <c r="G627" s="168" t="s">
        <v>621</v>
      </c>
      <c r="H627" s="168" t="s">
        <v>609</v>
      </c>
      <c r="I627">
        <v>98047.2</v>
      </c>
    </row>
    <row r="628" spans="1:9" x14ac:dyDescent="0.3">
      <c r="A628">
        <v>60</v>
      </c>
      <c r="B628" s="168" t="s">
        <v>60</v>
      </c>
      <c r="C628" s="168" t="s">
        <v>89</v>
      </c>
      <c r="D628">
        <v>11053.9</v>
      </c>
      <c r="E628">
        <v>2020</v>
      </c>
      <c r="F628" s="168" t="s">
        <v>592</v>
      </c>
      <c r="G628" s="168" t="s">
        <v>627</v>
      </c>
      <c r="H628" s="168" t="s">
        <v>608</v>
      </c>
      <c r="I628">
        <v>0</v>
      </c>
    </row>
    <row r="629" spans="1:9" x14ac:dyDescent="0.3">
      <c r="A629">
        <v>60</v>
      </c>
      <c r="B629" s="168" t="s">
        <v>60</v>
      </c>
      <c r="C629" s="168" t="s">
        <v>89</v>
      </c>
      <c r="D629">
        <v>11053.9</v>
      </c>
      <c r="E629">
        <v>2020</v>
      </c>
      <c r="F629" s="168" t="s">
        <v>592</v>
      </c>
      <c r="G629" s="168" t="s">
        <v>627</v>
      </c>
      <c r="H629" s="168" t="s">
        <v>609</v>
      </c>
      <c r="I629">
        <v>1351680.56</v>
      </c>
    </row>
    <row r="630" spans="1:9" x14ac:dyDescent="0.3">
      <c r="A630">
        <v>60</v>
      </c>
      <c r="B630" s="168" t="s">
        <v>60</v>
      </c>
      <c r="C630" s="168" t="s">
        <v>89</v>
      </c>
      <c r="D630">
        <v>11053.9</v>
      </c>
      <c r="E630">
        <v>2020</v>
      </c>
      <c r="F630" s="168" t="s">
        <v>592</v>
      </c>
      <c r="G630" s="168" t="s">
        <v>613</v>
      </c>
      <c r="H630" s="168" t="s">
        <v>608</v>
      </c>
      <c r="I630">
        <v>417263.6720193816</v>
      </c>
    </row>
    <row r="631" spans="1:9" x14ac:dyDescent="0.3">
      <c r="A631">
        <v>60</v>
      </c>
      <c r="B631" s="168" t="s">
        <v>60</v>
      </c>
      <c r="C631" s="168" t="s">
        <v>89</v>
      </c>
      <c r="D631">
        <v>11053.9</v>
      </c>
      <c r="E631">
        <v>2020</v>
      </c>
      <c r="F631" s="168" t="s">
        <v>592</v>
      </c>
      <c r="G631" s="168" t="s">
        <v>613</v>
      </c>
      <c r="H631" s="168" t="s">
        <v>609</v>
      </c>
      <c r="I631">
        <v>84692.006930241012</v>
      </c>
    </row>
    <row r="632" spans="1:9" x14ac:dyDescent="0.3">
      <c r="A632">
        <v>60</v>
      </c>
      <c r="B632" s="168" t="s">
        <v>60</v>
      </c>
      <c r="C632" s="168" t="s">
        <v>89</v>
      </c>
      <c r="D632">
        <v>11053.9</v>
      </c>
      <c r="E632">
        <v>2020</v>
      </c>
      <c r="F632" s="168" t="s">
        <v>592</v>
      </c>
      <c r="G632" s="168" t="s">
        <v>622</v>
      </c>
      <c r="H632" s="168" t="s">
        <v>608</v>
      </c>
      <c r="I632">
        <v>136318.1108506468</v>
      </c>
    </row>
    <row r="633" spans="1:9" x14ac:dyDescent="0.3">
      <c r="A633">
        <v>60</v>
      </c>
      <c r="B633" s="168" t="s">
        <v>60</v>
      </c>
      <c r="C633" s="168" t="s">
        <v>89</v>
      </c>
      <c r="D633">
        <v>11053.9</v>
      </c>
      <c r="E633">
        <v>2020</v>
      </c>
      <c r="F633" s="168" t="s">
        <v>592</v>
      </c>
      <c r="G633" s="168" t="s">
        <v>622</v>
      </c>
      <c r="H633" s="168" t="s">
        <v>609</v>
      </c>
      <c r="I633">
        <v>0</v>
      </c>
    </row>
    <row r="634" spans="1:9" x14ac:dyDescent="0.3">
      <c r="A634">
        <v>61</v>
      </c>
      <c r="B634" s="168" t="s">
        <v>90</v>
      </c>
      <c r="C634" s="168" t="s">
        <v>91</v>
      </c>
      <c r="D634">
        <v>17563.900000000001</v>
      </c>
      <c r="E634">
        <v>2020</v>
      </c>
      <c r="F634" s="168" t="s">
        <v>592</v>
      </c>
      <c r="G634" s="168" t="s">
        <v>612</v>
      </c>
      <c r="H634" s="168" t="s">
        <v>608</v>
      </c>
      <c r="I634">
        <v>0</v>
      </c>
    </row>
    <row r="635" spans="1:9" x14ac:dyDescent="0.3">
      <c r="A635">
        <v>61</v>
      </c>
      <c r="B635" s="168" t="s">
        <v>90</v>
      </c>
      <c r="C635" s="168" t="s">
        <v>91</v>
      </c>
      <c r="D635">
        <v>17563.900000000001</v>
      </c>
      <c r="E635">
        <v>2020</v>
      </c>
      <c r="F635" s="168" t="s">
        <v>592</v>
      </c>
      <c r="G635" s="168" t="s">
        <v>612</v>
      </c>
      <c r="H635" s="168" t="s">
        <v>609</v>
      </c>
      <c r="I635">
        <v>89808.708507664298</v>
      </c>
    </row>
    <row r="636" spans="1:9" x14ac:dyDescent="0.3">
      <c r="A636">
        <v>61</v>
      </c>
      <c r="B636" s="168" t="s">
        <v>90</v>
      </c>
      <c r="C636" s="168" t="s">
        <v>91</v>
      </c>
      <c r="D636">
        <v>17563.900000000001</v>
      </c>
      <c r="E636">
        <v>2020</v>
      </c>
      <c r="F636" s="168" t="s">
        <v>592</v>
      </c>
      <c r="G636" s="168" t="s">
        <v>616</v>
      </c>
      <c r="H636" s="168" t="s">
        <v>608</v>
      </c>
      <c r="I636">
        <v>0</v>
      </c>
    </row>
    <row r="637" spans="1:9" x14ac:dyDescent="0.3">
      <c r="A637">
        <v>61</v>
      </c>
      <c r="B637" s="168" t="s">
        <v>90</v>
      </c>
      <c r="C637" s="168" t="s">
        <v>91</v>
      </c>
      <c r="D637">
        <v>17563.900000000001</v>
      </c>
      <c r="E637">
        <v>2020</v>
      </c>
      <c r="F637" s="168" t="s">
        <v>592</v>
      </c>
      <c r="G637" s="168" t="s">
        <v>616</v>
      </c>
      <c r="H637" s="168" t="s">
        <v>609</v>
      </c>
      <c r="I637">
        <v>298973</v>
      </c>
    </row>
    <row r="638" spans="1:9" x14ac:dyDescent="0.3">
      <c r="A638">
        <v>61</v>
      </c>
      <c r="B638" s="168" t="s">
        <v>90</v>
      </c>
      <c r="C638" s="168" t="s">
        <v>91</v>
      </c>
      <c r="D638">
        <v>17563.900000000001</v>
      </c>
      <c r="E638">
        <v>2020</v>
      </c>
      <c r="F638" s="168" t="s">
        <v>592</v>
      </c>
      <c r="G638" s="168" t="s">
        <v>617</v>
      </c>
      <c r="H638" s="168" t="s">
        <v>608</v>
      </c>
      <c r="I638">
        <v>11863.215630316037</v>
      </c>
    </row>
    <row r="639" spans="1:9" x14ac:dyDescent="0.3">
      <c r="A639">
        <v>61</v>
      </c>
      <c r="B639" s="168" t="s">
        <v>90</v>
      </c>
      <c r="C639" s="168" t="s">
        <v>91</v>
      </c>
      <c r="D639">
        <v>17563.900000000001</v>
      </c>
      <c r="E639">
        <v>2020</v>
      </c>
      <c r="F639" s="168" t="s">
        <v>592</v>
      </c>
      <c r="G639" s="168" t="s">
        <v>617</v>
      </c>
      <c r="H639" s="168" t="s">
        <v>609</v>
      </c>
      <c r="I639">
        <v>69089.711722737033</v>
      </c>
    </row>
    <row r="640" spans="1:9" x14ac:dyDescent="0.3">
      <c r="A640">
        <v>61</v>
      </c>
      <c r="B640" s="168" t="s">
        <v>90</v>
      </c>
      <c r="C640" s="168" t="s">
        <v>91</v>
      </c>
      <c r="D640">
        <v>17563.900000000001</v>
      </c>
      <c r="E640">
        <v>2020</v>
      </c>
      <c r="F640" s="168" t="s">
        <v>592</v>
      </c>
      <c r="G640" s="168" t="s">
        <v>610</v>
      </c>
      <c r="H640" s="168" t="s">
        <v>608</v>
      </c>
      <c r="I640">
        <v>0</v>
      </c>
    </row>
    <row r="641" spans="1:9" x14ac:dyDescent="0.3">
      <c r="A641">
        <v>61</v>
      </c>
      <c r="B641" s="168" t="s">
        <v>90</v>
      </c>
      <c r="C641" s="168" t="s">
        <v>91</v>
      </c>
      <c r="D641">
        <v>17563.900000000001</v>
      </c>
      <c r="E641">
        <v>2020</v>
      </c>
      <c r="F641" s="168" t="s">
        <v>592</v>
      </c>
      <c r="G641" s="168" t="s">
        <v>610</v>
      </c>
      <c r="H641" s="168" t="s">
        <v>609</v>
      </c>
      <c r="I641">
        <v>6545.454545454545</v>
      </c>
    </row>
    <row r="642" spans="1:9" x14ac:dyDescent="0.3">
      <c r="A642">
        <v>61</v>
      </c>
      <c r="B642" s="168" t="s">
        <v>90</v>
      </c>
      <c r="C642" s="168" t="s">
        <v>91</v>
      </c>
      <c r="D642">
        <v>17563.900000000001</v>
      </c>
      <c r="E642">
        <v>2020</v>
      </c>
      <c r="F642" s="168" t="s">
        <v>592</v>
      </c>
      <c r="G642" s="168" t="s">
        <v>620</v>
      </c>
      <c r="H642" s="168" t="s">
        <v>608</v>
      </c>
      <c r="I642">
        <v>163524.12419354837</v>
      </c>
    </row>
    <row r="643" spans="1:9" x14ac:dyDescent="0.3">
      <c r="A643">
        <v>61</v>
      </c>
      <c r="B643" s="168" t="s">
        <v>90</v>
      </c>
      <c r="C643" s="168" t="s">
        <v>91</v>
      </c>
      <c r="D643">
        <v>17563.900000000001</v>
      </c>
      <c r="E643">
        <v>2020</v>
      </c>
      <c r="F643" s="168" t="s">
        <v>592</v>
      </c>
      <c r="G643" s="168" t="s">
        <v>620</v>
      </c>
      <c r="H643" s="168" t="s">
        <v>609</v>
      </c>
      <c r="I643">
        <v>0</v>
      </c>
    </row>
    <row r="644" spans="1:9" x14ac:dyDescent="0.3">
      <c r="A644">
        <v>61</v>
      </c>
      <c r="B644" s="168" t="s">
        <v>90</v>
      </c>
      <c r="C644" s="168" t="s">
        <v>91</v>
      </c>
      <c r="D644">
        <v>17563.900000000001</v>
      </c>
      <c r="E644">
        <v>2020</v>
      </c>
      <c r="F644" s="168" t="s">
        <v>592</v>
      </c>
      <c r="G644" s="168" t="s">
        <v>623</v>
      </c>
      <c r="H644" s="168" t="s">
        <v>608</v>
      </c>
      <c r="I644">
        <v>97634.615384615405</v>
      </c>
    </row>
    <row r="645" spans="1:9" x14ac:dyDescent="0.3">
      <c r="A645">
        <v>61</v>
      </c>
      <c r="B645" s="168" t="s">
        <v>90</v>
      </c>
      <c r="C645" s="168" t="s">
        <v>91</v>
      </c>
      <c r="D645">
        <v>17563.900000000001</v>
      </c>
      <c r="E645">
        <v>2020</v>
      </c>
      <c r="F645" s="168" t="s">
        <v>592</v>
      </c>
      <c r="G645" s="168" t="s">
        <v>623</v>
      </c>
      <c r="H645" s="168" t="s">
        <v>609</v>
      </c>
      <c r="I645">
        <v>71020.782500000001</v>
      </c>
    </row>
    <row r="646" spans="1:9" x14ac:dyDescent="0.3">
      <c r="A646">
        <v>61</v>
      </c>
      <c r="B646" s="168" t="s">
        <v>90</v>
      </c>
      <c r="C646" s="168" t="s">
        <v>91</v>
      </c>
      <c r="D646">
        <v>17563.900000000001</v>
      </c>
      <c r="E646">
        <v>2020</v>
      </c>
      <c r="F646" s="168" t="s">
        <v>592</v>
      </c>
      <c r="G646" s="168" t="s">
        <v>615</v>
      </c>
      <c r="H646" s="168" t="s">
        <v>608</v>
      </c>
      <c r="I646">
        <v>0</v>
      </c>
    </row>
    <row r="647" spans="1:9" x14ac:dyDescent="0.3">
      <c r="A647">
        <v>61</v>
      </c>
      <c r="B647" s="168" t="s">
        <v>90</v>
      </c>
      <c r="C647" s="168" t="s">
        <v>91</v>
      </c>
      <c r="D647">
        <v>17563.900000000001</v>
      </c>
      <c r="E647">
        <v>2020</v>
      </c>
      <c r="F647" s="168" t="s">
        <v>592</v>
      </c>
      <c r="G647" s="168" t="s">
        <v>615</v>
      </c>
      <c r="H647" s="168" t="s">
        <v>609</v>
      </c>
      <c r="I647">
        <v>15073.170731707318</v>
      </c>
    </row>
    <row r="648" spans="1:9" x14ac:dyDescent="0.3">
      <c r="A648">
        <v>61</v>
      </c>
      <c r="B648" s="168" t="s">
        <v>90</v>
      </c>
      <c r="C648" s="168" t="s">
        <v>91</v>
      </c>
      <c r="D648">
        <v>17563.900000000001</v>
      </c>
      <c r="E648">
        <v>2020</v>
      </c>
      <c r="F648" s="168" t="s">
        <v>592</v>
      </c>
      <c r="G648" s="168" t="s">
        <v>624</v>
      </c>
      <c r="H648" s="168" t="s">
        <v>608</v>
      </c>
      <c r="I648">
        <v>328577.54665955459</v>
      </c>
    </row>
    <row r="649" spans="1:9" x14ac:dyDescent="0.3">
      <c r="A649">
        <v>61</v>
      </c>
      <c r="B649" s="168" t="s">
        <v>90</v>
      </c>
      <c r="C649" s="168" t="s">
        <v>91</v>
      </c>
      <c r="D649">
        <v>17563.900000000001</v>
      </c>
      <c r="E649">
        <v>2020</v>
      </c>
      <c r="F649" s="168" t="s">
        <v>592</v>
      </c>
      <c r="G649" s="168" t="s">
        <v>624</v>
      </c>
      <c r="H649" s="168" t="s">
        <v>609</v>
      </c>
      <c r="I649">
        <v>345658.15374240757</v>
      </c>
    </row>
    <row r="650" spans="1:9" x14ac:dyDescent="0.3">
      <c r="A650">
        <v>61</v>
      </c>
      <c r="B650" s="168" t="s">
        <v>90</v>
      </c>
      <c r="C650" s="168" t="s">
        <v>91</v>
      </c>
      <c r="D650">
        <v>17563.900000000001</v>
      </c>
      <c r="E650">
        <v>2020</v>
      </c>
      <c r="F650" s="168" t="s">
        <v>592</v>
      </c>
      <c r="G650" s="168" t="s">
        <v>611</v>
      </c>
      <c r="H650" s="168" t="s">
        <v>608</v>
      </c>
      <c r="I650">
        <v>0</v>
      </c>
    </row>
    <row r="651" spans="1:9" x14ac:dyDescent="0.3">
      <c r="A651">
        <v>61</v>
      </c>
      <c r="B651" s="168" t="s">
        <v>90</v>
      </c>
      <c r="C651" s="168" t="s">
        <v>91</v>
      </c>
      <c r="D651">
        <v>17563.900000000001</v>
      </c>
      <c r="E651">
        <v>2020</v>
      </c>
      <c r="F651" s="168" t="s">
        <v>592</v>
      </c>
      <c r="G651" s="168" t="s">
        <v>611</v>
      </c>
      <c r="H651" s="168" t="s">
        <v>609</v>
      </c>
      <c r="I651">
        <v>7346.2379803167878</v>
      </c>
    </row>
    <row r="652" spans="1:9" x14ac:dyDescent="0.3">
      <c r="A652">
        <v>61</v>
      </c>
      <c r="B652" s="168" t="s">
        <v>90</v>
      </c>
      <c r="C652" s="168" t="s">
        <v>91</v>
      </c>
      <c r="D652">
        <v>17563.900000000001</v>
      </c>
      <c r="E652">
        <v>2020</v>
      </c>
      <c r="F652" s="168" t="s">
        <v>592</v>
      </c>
      <c r="G652" s="168" t="s">
        <v>621</v>
      </c>
      <c r="H652" s="168" t="s">
        <v>608</v>
      </c>
      <c r="I652">
        <v>0</v>
      </c>
    </row>
    <row r="653" spans="1:9" x14ac:dyDescent="0.3">
      <c r="A653">
        <v>61</v>
      </c>
      <c r="B653" s="168" t="s">
        <v>90</v>
      </c>
      <c r="C653" s="168" t="s">
        <v>91</v>
      </c>
      <c r="D653">
        <v>17563.900000000001</v>
      </c>
      <c r="E653">
        <v>2020</v>
      </c>
      <c r="F653" s="168" t="s">
        <v>592</v>
      </c>
      <c r="G653" s="168" t="s">
        <v>621</v>
      </c>
      <c r="H653" s="168" t="s">
        <v>609</v>
      </c>
      <c r="I653">
        <v>640942.24</v>
      </c>
    </row>
    <row r="654" spans="1:9" x14ac:dyDescent="0.3">
      <c r="A654">
        <v>61</v>
      </c>
      <c r="B654" s="168" t="s">
        <v>90</v>
      </c>
      <c r="C654" s="168" t="s">
        <v>91</v>
      </c>
      <c r="D654">
        <v>17563.900000000001</v>
      </c>
      <c r="E654">
        <v>2020</v>
      </c>
      <c r="F654" s="168" t="s">
        <v>592</v>
      </c>
      <c r="G654" s="168" t="s">
        <v>613</v>
      </c>
      <c r="H654" s="168" t="s">
        <v>608</v>
      </c>
      <c r="I654">
        <v>663003.77323670534</v>
      </c>
    </row>
    <row r="655" spans="1:9" x14ac:dyDescent="0.3">
      <c r="A655">
        <v>61</v>
      </c>
      <c r="B655" s="168" t="s">
        <v>90</v>
      </c>
      <c r="C655" s="168" t="s">
        <v>91</v>
      </c>
      <c r="D655">
        <v>17563.900000000001</v>
      </c>
      <c r="E655">
        <v>2020</v>
      </c>
      <c r="F655" s="168" t="s">
        <v>592</v>
      </c>
      <c r="G655" s="168" t="s">
        <v>613</v>
      </c>
      <c r="H655" s="168" t="s">
        <v>609</v>
      </c>
      <c r="I655">
        <v>134569.8749330155</v>
      </c>
    </row>
    <row r="656" spans="1:9" x14ac:dyDescent="0.3">
      <c r="A656">
        <v>61</v>
      </c>
      <c r="B656" s="168" t="s">
        <v>90</v>
      </c>
      <c r="C656" s="168" t="s">
        <v>91</v>
      </c>
      <c r="D656">
        <v>17563.900000000001</v>
      </c>
      <c r="E656">
        <v>2020</v>
      </c>
      <c r="F656" s="168" t="s">
        <v>592</v>
      </c>
      <c r="G656" s="168" t="s">
        <v>622</v>
      </c>
      <c r="H656" s="168" t="s">
        <v>608</v>
      </c>
      <c r="I656">
        <v>114480.34839278714</v>
      </c>
    </row>
    <row r="657" spans="1:9" x14ac:dyDescent="0.3">
      <c r="A657">
        <v>61</v>
      </c>
      <c r="B657" s="168" t="s">
        <v>90</v>
      </c>
      <c r="C657" s="168" t="s">
        <v>91</v>
      </c>
      <c r="D657">
        <v>17563.900000000001</v>
      </c>
      <c r="E657">
        <v>2020</v>
      </c>
      <c r="F657" s="168" t="s">
        <v>592</v>
      </c>
      <c r="G657" s="168" t="s">
        <v>622</v>
      </c>
      <c r="H657" s="168" t="s">
        <v>609</v>
      </c>
      <c r="I657">
        <v>0</v>
      </c>
    </row>
    <row r="658" spans="1:9" x14ac:dyDescent="0.3">
      <c r="A658">
        <v>62</v>
      </c>
      <c r="B658" s="168" t="s">
        <v>92</v>
      </c>
      <c r="C658" s="168" t="s">
        <v>93</v>
      </c>
      <c r="D658">
        <v>21448.3</v>
      </c>
      <c r="E658">
        <v>2020</v>
      </c>
      <c r="F658" s="168" t="s">
        <v>592</v>
      </c>
      <c r="G658" s="168" t="s">
        <v>612</v>
      </c>
      <c r="H658" s="168" t="s">
        <v>608</v>
      </c>
      <c r="I658">
        <v>0</v>
      </c>
    </row>
    <row r="659" spans="1:9" x14ac:dyDescent="0.3">
      <c r="A659">
        <v>62</v>
      </c>
      <c r="B659" s="168" t="s">
        <v>92</v>
      </c>
      <c r="C659" s="168" t="s">
        <v>93</v>
      </c>
      <c r="D659">
        <v>21448.3</v>
      </c>
      <c r="E659">
        <v>2020</v>
      </c>
      <c r="F659" s="168" t="s">
        <v>592</v>
      </c>
      <c r="G659" s="168" t="s">
        <v>612</v>
      </c>
      <c r="H659" s="168" t="s">
        <v>609</v>
      </c>
      <c r="I659">
        <v>26876.114227758979</v>
      </c>
    </row>
    <row r="660" spans="1:9" x14ac:dyDescent="0.3">
      <c r="A660">
        <v>62</v>
      </c>
      <c r="B660" s="168" t="s">
        <v>92</v>
      </c>
      <c r="C660" s="168" t="s">
        <v>93</v>
      </c>
      <c r="D660">
        <v>21448.3</v>
      </c>
      <c r="E660">
        <v>2020</v>
      </c>
      <c r="F660" s="168" t="s">
        <v>592</v>
      </c>
      <c r="G660" s="168" t="s">
        <v>616</v>
      </c>
      <c r="H660" s="168" t="s">
        <v>608</v>
      </c>
      <c r="I660">
        <v>2959761.6282088547</v>
      </c>
    </row>
    <row r="661" spans="1:9" x14ac:dyDescent="0.3">
      <c r="A661">
        <v>62</v>
      </c>
      <c r="B661" s="168" t="s">
        <v>92</v>
      </c>
      <c r="C661" s="168" t="s">
        <v>93</v>
      </c>
      <c r="D661">
        <v>21448.3</v>
      </c>
      <c r="E661">
        <v>2020</v>
      </c>
      <c r="F661" s="168" t="s">
        <v>592</v>
      </c>
      <c r="G661" s="168" t="s">
        <v>616</v>
      </c>
      <c r="H661" s="168" t="s">
        <v>609</v>
      </c>
      <c r="I661">
        <v>526705.84861780563</v>
      </c>
    </row>
    <row r="662" spans="1:9" x14ac:dyDescent="0.3">
      <c r="A662">
        <v>62</v>
      </c>
      <c r="B662" s="168" t="s">
        <v>92</v>
      </c>
      <c r="C662" s="168" t="s">
        <v>93</v>
      </c>
      <c r="D662">
        <v>21448.3</v>
      </c>
      <c r="E662">
        <v>2020</v>
      </c>
      <c r="F662" s="168" t="s">
        <v>592</v>
      </c>
      <c r="G662" s="168" t="s">
        <v>617</v>
      </c>
      <c r="H662" s="168" t="s">
        <v>608</v>
      </c>
      <c r="I662">
        <v>14486.862701547345</v>
      </c>
    </row>
    <row r="663" spans="1:9" x14ac:dyDescent="0.3">
      <c r="A663">
        <v>62</v>
      </c>
      <c r="B663" s="168" t="s">
        <v>92</v>
      </c>
      <c r="C663" s="168" t="s">
        <v>93</v>
      </c>
      <c r="D663">
        <v>21448.3</v>
      </c>
      <c r="E663">
        <v>2020</v>
      </c>
      <c r="F663" s="168" t="s">
        <v>592</v>
      </c>
      <c r="G663" s="168" t="s">
        <v>617</v>
      </c>
      <c r="H663" s="168" t="s">
        <v>609</v>
      </c>
      <c r="I663">
        <v>10865.14702616051</v>
      </c>
    </row>
    <row r="664" spans="1:9" x14ac:dyDescent="0.3">
      <c r="A664">
        <v>62</v>
      </c>
      <c r="B664" s="168" t="s">
        <v>92</v>
      </c>
      <c r="C664" s="168" t="s">
        <v>93</v>
      </c>
      <c r="D664">
        <v>21448.3</v>
      </c>
      <c r="E664">
        <v>2020</v>
      </c>
      <c r="F664" s="168" t="s">
        <v>592</v>
      </c>
      <c r="G664" s="168" t="s">
        <v>618</v>
      </c>
      <c r="H664" s="168" t="s">
        <v>608</v>
      </c>
      <c r="I664">
        <v>0</v>
      </c>
    </row>
    <row r="665" spans="1:9" x14ac:dyDescent="0.3">
      <c r="A665">
        <v>62</v>
      </c>
      <c r="B665" s="168" t="s">
        <v>92</v>
      </c>
      <c r="C665" s="168" t="s">
        <v>93</v>
      </c>
      <c r="D665">
        <v>21448.3</v>
      </c>
      <c r="E665">
        <v>2020</v>
      </c>
      <c r="F665" s="168" t="s">
        <v>592</v>
      </c>
      <c r="G665" s="168" t="s">
        <v>618</v>
      </c>
      <c r="H665" s="168" t="s">
        <v>609</v>
      </c>
      <c r="I665">
        <v>10651.685393258427</v>
      </c>
    </row>
    <row r="666" spans="1:9" x14ac:dyDescent="0.3">
      <c r="A666">
        <v>62</v>
      </c>
      <c r="B666" s="168" t="s">
        <v>92</v>
      </c>
      <c r="C666" s="168" t="s">
        <v>93</v>
      </c>
      <c r="D666">
        <v>21448.3</v>
      </c>
      <c r="E666">
        <v>2020</v>
      </c>
      <c r="F666" s="168" t="s">
        <v>592</v>
      </c>
      <c r="G666" s="168" t="s">
        <v>610</v>
      </c>
      <c r="H666" s="168" t="s">
        <v>608</v>
      </c>
      <c r="I666">
        <v>0</v>
      </c>
    </row>
    <row r="667" spans="1:9" x14ac:dyDescent="0.3">
      <c r="A667">
        <v>62</v>
      </c>
      <c r="B667" s="168" t="s">
        <v>92</v>
      </c>
      <c r="C667" s="168" t="s">
        <v>93</v>
      </c>
      <c r="D667">
        <v>21448.3</v>
      </c>
      <c r="E667">
        <v>2020</v>
      </c>
      <c r="F667" s="168" t="s">
        <v>592</v>
      </c>
      <c r="G667" s="168" t="s">
        <v>610</v>
      </c>
      <c r="H667" s="168" t="s">
        <v>609</v>
      </c>
      <c r="I667">
        <v>26181.81818181818</v>
      </c>
    </row>
    <row r="668" spans="1:9" x14ac:dyDescent="0.3">
      <c r="A668">
        <v>62</v>
      </c>
      <c r="B668" s="168" t="s">
        <v>92</v>
      </c>
      <c r="C668" s="168" t="s">
        <v>93</v>
      </c>
      <c r="D668">
        <v>21448.3</v>
      </c>
      <c r="E668">
        <v>2020</v>
      </c>
      <c r="F668" s="168" t="s">
        <v>592</v>
      </c>
      <c r="G668" s="168" t="s">
        <v>620</v>
      </c>
      <c r="H668" s="168" t="s">
        <v>608</v>
      </c>
      <c r="I668">
        <v>76952.529032258055</v>
      </c>
    </row>
    <row r="669" spans="1:9" x14ac:dyDescent="0.3">
      <c r="A669">
        <v>62</v>
      </c>
      <c r="B669" s="168" t="s">
        <v>92</v>
      </c>
      <c r="C669" s="168" t="s">
        <v>93</v>
      </c>
      <c r="D669">
        <v>21448.3</v>
      </c>
      <c r="E669">
        <v>2020</v>
      </c>
      <c r="F669" s="168" t="s">
        <v>592</v>
      </c>
      <c r="G669" s="168" t="s">
        <v>620</v>
      </c>
      <c r="H669" s="168" t="s">
        <v>609</v>
      </c>
      <c r="I669">
        <v>0</v>
      </c>
    </row>
    <row r="670" spans="1:9" x14ac:dyDescent="0.3">
      <c r="A670">
        <v>62</v>
      </c>
      <c r="B670" s="168" t="s">
        <v>92</v>
      </c>
      <c r="C670" s="168" t="s">
        <v>93</v>
      </c>
      <c r="D670">
        <v>21448.3</v>
      </c>
      <c r="E670">
        <v>2020</v>
      </c>
      <c r="F670" s="168" t="s">
        <v>592</v>
      </c>
      <c r="G670" s="168" t="s">
        <v>623</v>
      </c>
      <c r="H670" s="168" t="s">
        <v>608</v>
      </c>
      <c r="I670">
        <v>48817.307692307702</v>
      </c>
    </row>
    <row r="671" spans="1:9" x14ac:dyDescent="0.3">
      <c r="A671">
        <v>62</v>
      </c>
      <c r="B671" s="168" t="s">
        <v>92</v>
      </c>
      <c r="C671" s="168" t="s">
        <v>93</v>
      </c>
      <c r="D671">
        <v>21448.3</v>
      </c>
      <c r="E671">
        <v>2020</v>
      </c>
      <c r="F671" s="168" t="s">
        <v>592</v>
      </c>
      <c r="G671" s="168" t="s">
        <v>623</v>
      </c>
      <c r="H671" s="168" t="s">
        <v>609</v>
      </c>
      <c r="I671">
        <v>35510.391250000001</v>
      </c>
    </row>
    <row r="672" spans="1:9" x14ac:dyDescent="0.3">
      <c r="A672">
        <v>62</v>
      </c>
      <c r="B672" s="168" t="s">
        <v>92</v>
      </c>
      <c r="C672" s="168" t="s">
        <v>93</v>
      </c>
      <c r="D672">
        <v>21448.3</v>
      </c>
      <c r="E672">
        <v>2020</v>
      </c>
      <c r="F672" s="168" t="s">
        <v>592</v>
      </c>
      <c r="G672" s="168" t="s">
        <v>625</v>
      </c>
      <c r="H672" s="168" t="s">
        <v>608</v>
      </c>
      <c r="I672">
        <v>0</v>
      </c>
    </row>
    <row r="673" spans="1:9" x14ac:dyDescent="0.3">
      <c r="A673">
        <v>62</v>
      </c>
      <c r="B673" s="168" t="s">
        <v>92</v>
      </c>
      <c r="C673" s="168" t="s">
        <v>93</v>
      </c>
      <c r="D673">
        <v>21448.3</v>
      </c>
      <c r="E673">
        <v>2020</v>
      </c>
      <c r="F673" s="168" t="s">
        <v>592</v>
      </c>
      <c r="G673" s="168" t="s">
        <v>625</v>
      </c>
      <c r="H673" s="168" t="s">
        <v>609</v>
      </c>
      <c r="I673">
        <v>101498</v>
      </c>
    </row>
    <row r="674" spans="1:9" x14ac:dyDescent="0.3">
      <c r="A674">
        <v>62</v>
      </c>
      <c r="B674" s="168" t="s">
        <v>92</v>
      </c>
      <c r="C674" s="168" t="s">
        <v>93</v>
      </c>
      <c r="D674">
        <v>21448.3</v>
      </c>
      <c r="E674">
        <v>2020</v>
      </c>
      <c r="F674" s="168" t="s">
        <v>592</v>
      </c>
      <c r="G674" s="168" t="s">
        <v>615</v>
      </c>
      <c r="H674" s="168" t="s">
        <v>608</v>
      </c>
      <c r="I674">
        <v>0</v>
      </c>
    </row>
    <row r="675" spans="1:9" x14ac:dyDescent="0.3">
      <c r="A675">
        <v>62</v>
      </c>
      <c r="B675" s="168" t="s">
        <v>92</v>
      </c>
      <c r="C675" s="168" t="s">
        <v>93</v>
      </c>
      <c r="D675">
        <v>21448.3</v>
      </c>
      <c r="E675">
        <v>2020</v>
      </c>
      <c r="F675" s="168" t="s">
        <v>592</v>
      </c>
      <c r="G675" s="168" t="s">
        <v>615</v>
      </c>
      <c r="H675" s="168" t="s">
        <v>609</v>
      </c>
      <c r="I675">
        <v>7536.5853658536589</v>
      </c>
    </row>
    <row r="676" spans="1:9" x14ac:dyDescent="0.3">
      <c r="A676">
        <v>62</v>
      </c>
      <c r="B676" s="168" t="s">
        <v>92</v>
      </c>
      <c r="C676" s="168" t="s">
        <v>93</v>
      </c>
      <c r="D676">
        <v>21448.3</v>
      </c>
      <c r="E676">
        <v>2020</v>
      </c>
      <c r="F676" s="168" t="s">
        <v>592</v>
      </c>
      <c r="G676" s="168" t="s">
        <v>624</v>
      </c>
      <c r="H676" s="168" t="s">
        <v>608</v>
      </c>
      <c r="I676">
        <v>401245.15591742838</v>
      </c>
    </row>
    <row r="677" spans="1:9" x14ac:dyDescent="0.3">
      <c r="A677">
        <v>62</v>
      </c>
      <c r="B677" s="168" t="s">
        <v>92</v>
      </c>
      <c r="C677" s="168" t="s">
        <v>93</v>
      </c>
      <c r="D677">
        <v>21448.3</v>
      </c>
      <c r="E677">
        <v>2020</v>
      </c>
      <c r="F677" s="168" t="s">
        <v>592</v>
      </c>
      <c r="G677" s="168" t="s">
        <v>624</v>
      </c>
      <c r="H677" s="168" t="s">
        <v>609</v>
      </c>
      <c r="I677">
        <v>422103.27882265742</v>
      </c>
    </row>
    <row r="678" spans="1:9" x14ac:dyDescent="0.3">
      <c r="A678">
        <v>62</v>
      </c>
      <c r="B678" s="168" t="s">
        <v>92</v>
      </c>
      <c r="C678" s="168" t="s">
        <v>93</v>
      </c>
      <c r="D678">
        <v>21448.3</v>
      </c>
      <c r="E678">
        <v>2020</v>
      </c>
      <c r="F678" s="168" t="s">
        <v>592</v>
      </c>
      <c r="G678" s="168" t="s">
        <v>613</v>
      </c>
      <c r="H678" s="168" t="s">
        <v>608</v>
      </c>
      <c r="I678">
        <v>1519918.820942651</v>
      </c>
    </row>
    <row r="679" spans="1:9" x14ac:dyDescent="0.3">
      <c r="A679">
        <v>62</v>
      </c>
      <c r="B679" s="168" t="s">
        <v>92</v>
      </c>
      <c r="C679" s="168" t="s">
        <v>93</v>
      </c>
      <c r="D679">
        <v>21448.3</v>
      </c>
      <c r="E679">
        <v>2020</v>
      </c>
      <c r="F679" s="168" t="s">
        <v>592</v>
      </c>
      <c r="G679" s="168" t="s">
        <v>613</v>
      </c>
      <c r="H679" s="168" t="s">
        <v>609</v>
      </c>
      <c r="I679">
        <v>619743.03149632702</v>
      </c>
    </row>
    <row r="680" spans="1:9" x14ac:dyDescent="0.3">
      <c r="A680">
        <v>62</v>
      </c>
      <c r="B680" s="168" t="s">
        <v>92</v>
      </c>
      <c r="C680" s="168" t="s">
        <v>93</v>
      </c>
      <c r="D680">
        <v>21448.3</v>
      </c>
      <c r="E680">
        <v>2020</v>
      </c>
      <c r="F680" s="168" t="s">
        <v>592</v>
      </c>
      <c r="G680" s="168" t="s">
        <v>622</v>
      </c>
      <c r="H680" s="168" t="s">
        <v>608</v>
      </c>
      <c r="I680">
        <v>21624.065807526462</v>
      </c>
    </row>
    <row r="681" spans="1:9" x14ac:dyDescent="0.3">
      <c r="A681">
        <v>62</v>
      </c>
      <c r="B681" s="168" t="s">
        <v>92</v>
      </c>
      <c r="C681" s="168" t="s">
        <v>93</v>
      </c>
      <c r="D681">
        <v>21448.3</v>
      </c>
      <c r="E681">
        <v>2020</v>
      </c>
      <c r="F681" s="168" t="s">
        <v>592</v>
      </c>
      <c r="G681" s="168" t="s">
        <v>622</v>
      </c>
      <c r="H681" s="168" t="s">
        <v>609</v>
      </c>
      <c r="I681">
        <v>0</v>
      </c>
    </row>
    <row r="682" spans="1:9" hidden="1" x14ac:dyDescent="0.3">
      <c r="A682">
        <v>63</v>
      </c>
      <c r="B682" s="168" t="s">
        <v>94</v>
      </c>
      <c r="C682" s="168" t="s">
        <v>95</v>
      </c>
      <c r="D682">
        <v>348.4</v>
      </c>
      <c r="E682">
        <v>2020</v>
      </c>
      <c r="F682" s="168" t="s">
        <v>593</v>
      </c>
      <c r="G682" s="168" t="s">
        <v>612</v>
      </c>
      <c r="H682" s="168" t="s">
        <v>608</v>
      </c>
      <c r="I682">
        <v>0</v>
      </c>
    </row>
    <row r="683" spans="1:9" hidden="1" x14ac:dyDescent="0.3">
      <c r="A683">
        <v>63</v>
      </c>
      <c r="B683" s="168" t="s">
        <v>94</v>
      </c>
      <c r="C683" s="168" t="s">
        <v>95</v>
      </c>
      <c r="D683">
        <v>348.4</v>
      </c>
      <c r="E683">
        <v>2020</v>
      </c>
      <c r="F683" s="168" t="s">
        <v>593</v>
      </c>
      <c r="G683" s="168" t="s">
        <v>612</v>
      </c>
      <c r="H683" s="168" t="s">
        <v>609</v>
      </c>
      <c r="I683">
        <v>436.56784905802459</v>
      </c>
    </row>
    <row r="684" spans="1:9" hidden="1" x14ac:dyDescent="0.3">
      <c r="A684">
        <v>63</v>
      </c>
      <c r="B684" s="168" t="s">
        <v>94</v>
      </c>
      <c r="C684" s="168" t="s">
        <v>95</v>
      </c>
      <c r="D684">
        <v>348.4</v>
      </c>
      <c r="E684">
        <v>2020</v>
      </c>
      <c r="F684" s="168" t="s">
        <v>593</v>
      </c>
      <c r="G684" s="168" t="s">
        <v>617</v>
      </c>
      <c r="H684" s="168" t="s">
        <v>608</v>
      </c>
      <c r="I684">
        <v>235.32042004350438</v>
      </c>
    </row>
    <row r="685" spans="1:9" hidden="1" x14ac:dyDescent="0.3">
      <c r="A685">
        <v>63</v>
      </c>
      <c r="B685" s="168" t="s">
        <v>94</v>
      </c>
      <c r="C685" s="168" t="s">
        <v>95</v>
      </c>
      <c r="D685">
        <v>348.4</v>
      </c>
      <c r="E685">
        <v>2020</v>
      </c>
      <c r="F685" s="168" t="s">
        <v>593</v>
      </c>
      <c r="G685" s="168" t="s">
        <v>617</v>
      </c>
      <c r="H685" s="168" t="s">
        <v>609</v>
      </c>
      <c r="I685">
        <v>176.49031503262827</v>
      </c>
    </row>
    <row r="686" spans="1:9" hidden="1" x14ac:dyDescent="0.3">
      <c r="A686">
        <v>63</v>
      </c>
      <c r="B686" s="168" t="s">
        <v>94</v>
      </c>
      <c r="C686" s="168" t="s">
        <v>95</v>
      </c>
      <c r="D686">
        <v>348.4</v>
      </c>
      <c r="E686">
        <v>2020</v>
      </c>
      <c r="F686" s="168" t="s">
        <v>593</v>
      </c>
      <c r="G686" s="168" t="s">
        <v>620</v>
      </c>
      <c r="H686" s="168" t="s">
        <v>608</v>
      </c>
      <c r="I686">
        <v>56867.04285780908</v>
      </c>
    </row>
    <row r="687" spans="1:9" hidden="1" x14ac:dyDescent="0.3">
      <c r="A687">
        <v>63</v>
      </c>
      <c r="B687" s="168" t="s">
        <v>94</v>
      </c>
      <c r="C687" s="168" t="s">
        <v>95</v>
      </c>
      <c r="D687">
        <v>348.4</v>
      </c>
      <c r="E687">
        <v>2020</v>
      </c>
      <c r="F687" s="168" t="s">
        <v>593</v>
      </c>
      <c r="G687" s="168" t="s">
        <v>620</v>
      </c>
      <c r="H687" s="168" t="s">
        <v>609</v>
      </c>
      <c r="I687">
        <v>104303.36093830156</v>
      </c>
    </row>
    <row r="688" spans="1:9" hidden="1" x14ac:dyDescent="0.3">
      <c r="A688">
        <v>63</v>
      </c>
      <c r="B688" s="168" t="s">
        <v>94</v>
      </c>
      <c r="C688" s="168" t="s">
        <v>95</v>
      </c>
      <c r="D688">
        <v>348.4</v>
      </c>
      <c r="E688">
        <v>2020</v>
      </c>
      <c r="F688" s="168" t="s">
        <v>593</v>
      </c>
      <c r="G688" s="168" t="s">
        <v>624</v>
      </c>
      <c r="H688" s="168" t="s">
        <v>608</v>
      </c>
      <c r="I688">
        <v>5208.9828632035233</v>
      </c>
    </row>
    <row r="689" spans="1:9" hidden="1" x14ac:dyDescent="0.3">
      <c r="A689">
        <v>63</v>
      </c>
      <c r="B689" s="168" t="s">
        <v>94</v>
      </c>
      <c r="C689" s="168" t="s">
        <v>95</v>
      </c>
      <c r="D689">
        <v>348.4</v>
      </c>
      <c r="E689">
        <v>2020</v>
      </c>
      <c r="F689" s="168" t="s">
        <v>593</v>
      </c>
      <c r="G689" s="168" t="s">
        <v>624</v>
      </c>
      <c r="H689" s="168" t="s">
        <v>609</v>
      </c>
      <c r="I689">
        <v>5547.7961966696748</v>
      </c>
    </row>
    <row r="690" spans="1:9" hidden="1" x14ac:dyDescent="0.3">
      <c r="A690">
        <v>63</v>
      </c>
      <c r="B690" s="168" t="s">
        <v>94</v>
      </c>
      <c r="C690" s="168" t="s">
        <v>95</v>
      </c>
      <c r="D690">
        <v>348.4</v>
      </c>
      <c r="E690">
        <v>2020</v>
      </c>
      <c r="F690" s="168" t="s">
        <v>593</v>
      </c>
      <c r="G690" s="168" t="s">
        <v>613</v>
      </c>
      <c r="H690" s="168" t="s">
        <v>608</v>
      </c>
      <c r="I690">
        <v>24689.1230175081</v>
      </c>
    </row>
    <row r="691" spans="1:9" hidden="1" x14ac:dyDescent="0.3">
      <c r="A691">
        <v>63</v>
      </c>
      <c r="B691" s="168" t="s">
        <v>94</v>
      </c>
      <c r="C691" s="168" t="s">
        <v>95</v>
      </c>
      <c r="D691">
        <v>348.4</v>
      </c>
      <c r="E691">
        <v>2020</v>
      </c>
      <c r="F691" s="168" t="s">
        <v>593</v>
      </c>
      <c r="G691" s="168" t="s">
        <v>613</v>
      </c>
      <c r="H691" s="168" t="s">
        <v>609</v>
      </c>
      <c r="I691">
        <v>10066.927083886379</v>
      </c>
    </row>
    <row r="692" spans="1:9" x14ac:dyDescent="0.3">
      <c r="A692">
        <v>64</v>
      </c>
      <c r="B692" s="168" t="s">
        <v>81</v>
      </c>
      <c r="C692" s="168" t="s">
        <v>96</v>
      </c>
      <c r="D692">
        <v>60.7</v>
      </c>
      <c r="E692">
        <v>2020</v>
      </c>
      <c r="F692" s="168" t="s">
        <v>592</v>
      </c>
      <c r="G692" s="168" t="s">
        <v>612</v>
      </c>
      <c r="H692" s="168" t="s">
        <v>608</v>
      </c>
      <c r="I692">
        <v>0</v>
      </c>
    </row>
    <row r="693" spans="1:9" x14ac:dyDescent="0.3">
      <c r="A693">
        <v>64</v>
      </c>
      <c r="B693" s="168" t="s">
        <v>81</v>
      </c>
      <c r="C693" s="168" t="s">
        <v>96</v>
      </c>
      <c r="D693">
        <v>60.7</v>
      </c>
      <c r="E693">
        <v>2020</v>
      </c>
      <c r="F693" s="168" t="s">
        <v>592</v>
      </c>
      <c r="G693" s="168" t="s">
        <v>612</v>
      </c>
      <c r="H693" s="168" t="s">
        <v>609</v>
      </c>
      <c r="I693">
        <v>76.061046032784432</v>
      </c>
    </row>
    <row r="694" spans="1:9" x14ac:dyDescent="0.3">
      <c r="A694">
        <v>64</v>
      </c>
      <c r="B694" s="168" t="s">
        <v>81</v>
      </c>
      <c r="C694" s="168" t="s">
        <v>96</v>
      </c>
      <c r="D694">
        <v>60.7</v>
      </c>
      <c r="E694">
        <v>2020</v>
      </c>
      <c r="F694" s="168" t="s">
        <v>592</v>
      </c>
      <c r="G694" s="168" t="s">
        <v>617</v>
      </c>
      <c r="H694" s="168" t="s">
        <v>608</v>
      </c>
      <c r="I694">
        <v>40.998706936397006</v>
      </c>
    </row>
    <row r="695" spans="1:9" x14ac:dyDescent="0.3">
      <c r="A695">
        <v>64</v>
      </c>
      <c r="B695" s="168" t="s">
        <v>81</v>
      </c>
      <c r="C695" s="168" t="s">
        <v>96</v>
      </c>
      <c r="D695">
        <v>60.7</v>
      </c>
      <c r="E695">
        <v>2020</v>
      </c>
      <c r="F695" s="168" t="s">
        <v>592</v>
      </c>
      <c r="G695" s="168" t="s">
        <v>617</v>
      </c>
      <c r="H695" s="168" t="s">
        <v>609</v>
      </c>
      <c r="I695">
        <v>30.749030202297757</v>
      </c>
    </row>
    <row r="696" spans="1:9" x14ac:dyDescent="0.3">
      <c r="A696">
        <v>64</v>
      </c>
      <c r="B696" s="168" t="s">
        <v>81</v>
      </c>
      <c r="C696" s="168" t="s">
        <v>96</v>
      </c>
      <c r="D696">
        <v>60.7</v>
      </c>
      <c r="E696">
        <v>2020</v>
      </c>
      <c r="F696" s="168" t="s">
        <v>592</v>
      </c>
      <c r="G696" s="168" t="s">
        <v>620</v>
      </c>
      <c r="H696" s="168" t="s">
        <v>608</v>
      </c>
      <c r="I696">
        <v>9907.6621741360832</v>
      </c>
    </row>
    <row r="697" spans="1:9" x14ac:dyDescent="0.3">
      <c r="A697">
        <v>64</v>
      </c>
      <c r="B697" s="168" t="s">
        <v>81</v>
      </c>
      <c r="C697" s="168" t="s">
        <v>96</v>
      </c>
      <c r="D697">
        <v>60.7</v>
      </c>
      <c r="E697">
        <v>2020</v>
      </c>
      <c r="F697" s="168" t="s">
        <v>592</v>
      </c>
      <c r="G697" s="168" t="s">
        <v>620</v>
      </c>
      <c r="H697" s="168" t="s">
        <v>609</v>
      </c>
      <c r="I697">
        <v>18172.256053257479</v>
      </c>
    </row>
    <row r="698" spans="1:9" x14ac:dyDescent="0.3">
      <c r="A698">
        <v>64</v>
      </c>
      <c r="B698" s="168" t="s">
        <v>81</v>
      </c>
      <c r="C698" s="168" t="s">
        <v>96</v>
      </c>
      <c r="D698">
        <v>60.7</v>
      </c>
      <c r="E698">
        <v>2020</v>
      </c>
      <c r="F698" s="168" t="s">
        <v>592</v>
      </c>
      <c r="G698" s="168" t="s">
        <v>615</v>
      </c>
      <c r="H698" s="168" t="s">
        <v>608</v>
      </c>
      <c r="I698">
        <v>0</v>
      </c>
    </row>
    <row r="699" spans="1:9" x14ac:dyDescent="0.3">
      <c r="A699">
        <v>64</v>
      </c>
      <c r="B699" s="168" t="s">
        <v>81</v>
      </c>
      <c r="C699" s="168" t="s">
        <v>96</v>
      </c>
      <c r="D699">
        <v>60.7</v>
      </c>
      <c r="E699">
        <v>2020</v>
      </c>
      <c r="F699" s="168" t="s">
        <v>592</v>
      </c>
      <c r="G699" s="168" t="s">
        <v>615</v>
      </c>
      <c r="H699" s="168" t="s">
        <v>609</v>
      </c>
      <c r="I699">
        <v>150731.70731707316</v>
      </c>
    </row>
    <row r="700" spans="1:9" x14ac:dyDescent="0.3">
      <c r="A700">
        <v>64</v>
      </c>
      <c r="B700" s="168" t="s">
        <v>81</v>
      </c>
      <c r="C700" s="168" t="s">
        <v>96</v>
      </c>
      <c r="D700">
        <v>60.7</v>
      </c>
      <c r="E700">
        <v>2020</v>
      </c>
      <c r="F700" s="168" t="s">
        <v>592</v>
      </c>
      <c r="G700" s="168" t="s">
        <v>613</v>
      </c>
      <c r="H700" s="168" t="s">
        <v>608</v>
      </c>
      <c r="I700">
        <v>2010.1537740655308</v>
      </c>
    </row>
    <row r="701" spans="1:9" x14ac:dyDescent="0.3">
      <c r="A701">
        <v>64</v>
      </c>
      <c r="B701" s="168" t="s">
        <v>81</v>
      </c>
      <c r="C701" s="168" t="s">
        <v>96</v>
      </c>
      <c r="D701">
        <v>60.7</v>
      </c>
      <c r="E701">
        <v>2020</v>
      </c>
      <c r="F701" s="168" t="s">
        <v>592</v>
      </c>
      <c r="G701" s="168" t="s">
        <v>613</v>
      </c>
      <c r="H701" s="168" t="s">
        <v>609</v>
      </c>
      <c r="I701">
        <v>1288.8435959641595</v>
      </c>
    </row>
    <row r="702" spans="1:9" x14ac:dyDescent="0.3">
      <c r="A702">
        <v>65</v>
      </c>
      <c r="B702" s="168" t="s">
        <v>73</v>
      </c>
      <c r="C702" s="168" t="s">
        <v>97</v>
      </c>
      <c r="D702">
        <v>358.3</v>
      </c>
      <c r="E702">
        <v>2020</v>
      </c>
      <c r="F702" s="168" t="s">
        <v>592</v>
      </c>
      <c r="G702" s="168" t="s">
        <v>612</v>
      </c>
      <c r="H702" s="168" t="s">
        <v>608</v>
      </c>
      <c r="I702">
        <v>0</v>
      </c>
    </row>
    <row r="703" spans="1:9" x14ac:dyDescent="0.3">
      <c r="A703">
        <v>65</v>
      </c>
      <c r="B703" s="168" t="s">
        <v>73</v>
      </c>
      <c r="C703" s="168" t="s">
        <v>97</v>
      </c>
      <c r="D703">
        <v>358.3</v>
      </c>
      <c r="E703">
        <v>2020</v>
      </c>
      <c r="F703" s="168" t="s">
        <v>592</v>
      </c>
      <c r="G703" s="168" t="s">
        <v>612</v>
      </c>
      <c r="H703" s="168" t="s">
        <v>609</v>
      </c>
      <c r="I703">
        <v>448.97319264492029</v>
      </c>
    </row>
    <row r="704" spans="1:9" x14ac:dyDescent="0.3">
      <c r="A704">
        <v>65</v>
      </c>
      <c r="B704" s="168" t="s">
        <v>73</v>
      </c>
      <c r="C704" s="168" t="s">
        <v>97</v>
      </c>
      <c r="D704">
        <v>358.3</v>
      </c>
      <c r="E704">
        <v>2020</v>
      </c>
      <c r="F704" s="168" t="s">
        <v>592</v>
      </c>
      <c r="G704" s="168" t="s">
        <v>617</v>
      </c>
      <c r="H704" s="168" t="s">
        <v>608</v>
      </c>
      <c r="I704">
        <v>242.00719432143407</v>
      </c>
    </row>
    <row r="705" spans="1:9" x14ac:dyDescent="0.3">
      <c r="A705">
        <v>65</v>
      </c>
      <c r="B705" s="168" t="s">
        <v>73</v>
      </c>
      <c r="C705" s="168" t="s">
        <v>97</v>
      </c>
      <c r="D705">
        <v>358.3</v>
      </c>
      <c r="E705">
        <v>2020</v>
      </c>
      <c r="F705" s="168" t="s">
        <v>592</v>
      </c>
      <c r="G705" s="168" t="s">
        <v>617</v>
      </c>
      <c r="H705" s="168" t="s">
        <v>609</v>
      </c>
      <c r="I705">
        <v>181.50539574107555</v>
      </c>
    </row>
    <row r="706" spans="1:9" x14ac:dyDescent="0.3">
      <c r="A706">
        <v>65</v>
      </c>
      <c r="B706" s="168" t="s">
        <v>73</v>
      </c>
      <c r="C706" s="168" t="s">
        <v>97</v>
      </c>
      <c r="D706">
        <v>358.3</v>
      </c>
      <c r="E706">
        <v>2020</v>
      </c>
      <c r="F706" s="168" t="s">
        <v>592</v>
      </c>
      <c r="G706" s="168" t="s">
        <v>610</v>
      </c>
      <c r="H706" s="168" t="s">
        <v>608</v>
      </c>
      <c r="I706">
        <v>0</v>
      </c>
    </row>
    <row r="707" spans="1:9" x14ac:dyDescent="0.3">
      <c r="A707">
        <v>65</v>
      </c>
      <c r="B707" s="168" t="s">
        <v>73</v>
      </c>
      <c r="C707" s="168" t="s">
        <v>97</v>
      </c>
      <c r="D707">
        <v>358.3</v>
      </c>
      <c r="E707">
        <v>2020</v>
      </c>
      <c r="F707" s="168" t="s">
        <v>592</v>
      </c>
      <c r="G707" s="168" t="s">
        <v>610</v>
      </c>
      <c r="H707" s="168" t="s">
        <v>609</v>
      </c>
      <c r="I707">
        <v>6545.454545454545</v>
      </c>
    </row>
    <row r="708" spans="1:9" x14ac:dyDescent="0.3">
      <c r="A708">
        <v>65</v>
      </c>
      <c r="B708" s="168" t="s">
        <v>73</v>
      </c>
      <c r="C708" s="168" t="s">
        <v>97</v>
      </c>
      <c r="D708">
        <v>358.3</v>
      </c>
      <c r="E708">
        <v>2020</v>
      </c>
      <c r="F708" s="168" t="s">
        <v>592</v>
      </c>
      <c r="G708" s="168" t="s">
        <v>620</v>
      </c>
      <c r="H708" s="168" t="s">
        <v>608</v>
      </c>
      <c r="I708">
        <v>58482.954810427655</v>
      </c>
    </row>
    <row r="709" spans="1:9" x14ac:dyDescent="0.3">
      <c r="A709">
        <v>65</v>
      </c>
      <c r="B709" s="168" t="s">
        <v>73</v>
      </c>
      <c r="C709" s="168" t="s">
        <v>97</v>
      </c>
      <c r="D709">
        <v>358.3</v>
      </c>
      <c r="E709">
        <v>2020</v>
      </c>
      <c r="F709" s="168" t="s">
        <v>592</v>
      </c>
      <c r="G709" s="168" t="s">
        <v>620</v>
      </c>
      <c r="H709" s="168" t="s">
        <v>609</v>
      </c>
      <c r="I709">
        <v>107267.20500629579</v>
      </c>
    </row>
    <row r="710" spans="1:9" x14ac:dyDescent="0.3">
      <c r="A710">
        <v>65</v>
      </c>
      <c r="B710" s="168" t="s">
        <v>73</v>
      </c>
      <c r="C710" s="168" t="s">
        <v>97</v>
      </c>
      <c r="D710">
        <v>358.3</v>
      </c>
      <c r="E710">
        <v>2020</v>
      </c>
      <c r="F710" s="168" t="s">
        <v>592</v>
      </c>
      <c r="G710" s="168" t="s">
        <v>624</v>
      </c>
      <c r="H710" s="168" t="s">
        <v>608</v>
      </c>
      <c r="I710">
        <v>5356.9993108089056</v>
      </c>
    </row>
    <row r="711" spans="1:9" x14ac:dyDescent="0.3">
      <c r="A711">
        <v>65</v>
      </c>
      <c r="B711" s="168" t="s">
        <v>73</v>
      </c>
      <c r="C711" s="168" t="s">
        <v>97</v>
      </c>
      <c r="D711">
        <v>358.3</v>
      </c>
      <c r="E711">
        <v>2020</v>
      </c>
      <c r="F711" s="168" t="s">
        <v>592</v>
      </c>
      <c r="G711" s="168" t="s">
        <v>624</v>
      </c>
      <c r="H711" s="168" t="s">
        <v>609</v>
      </c>
      <c r="I711">
        <v>5705.4402332570171</v>
      </c>
    </row>
    <row r="712" spans="1:9" x14ac:dyDescent="0.3">
      <c r="A712">
        <v>65</v>
      </c>
      <c r="B712" s="168" t="s">
        <v>73</v>
      </c>
      <c r="C712" s="168" t="s">
        <v>97</v>
      </c>
      <c r="D712">
        <v>358.3</v>
      </c>
      <c r="E712">
        <v>2020</v>
      </c>
      <c r="F712" s="168" t="s">
        <v>592</v>
      </c>
      <c r="G712" s="168" t="s">
        <v>613</v>
      </c>
      <c r="H712" s="168" t="s">
        <v>608</v>
      </c>
      <c r="I712">
        <v>13525.142590809075</v>
      </c>
    </row>
    <row r="713" spans="1:9" x14ac:dyDescent="0.3">
      <c r="A713">
        <v>65</v>
      </c>
      <c r="B713" s="168" t="s">
        <v>73</v>
      </c>
      <c r="C713" s="168" t="s">
        <v>97</v>
      </c>
      <c r="D713">
        <v>358.3</v>
      </c>
      <c r="E713">
        <v>2020</v>
      </c>
      <c r="F713" s="168" t="s">
        <v>592</v>
      </c>
      <c r="G713" s="168" t="s">
        <v>613</v>
      </c>
      <c r="H713" s="168" t="s">
        <v>609</v>
      </c>
      <c r="I713">
        <v>2745.1981728715978</v>
      </c>
    </row>
    <row r="714" spans="1:9" x14ac:dyDescent="0.3">
      <c r="A714">
        <v>66</v>
      </c>
      <c r="B714" s="168" t="s">
        <v>98</v>
      </c>
      <c r="C714" s="168" t="s">
        <v>99</v>
      </c>
      <c r="D714">
        <v>196.6</v>
      </c>
      <c r="E714">
        <v>2020</v>
      </c>
      <c r="F714" s="168" t="s">
        <v>592</v>
      </c>
      <c r="G714" s="168" t="s">
        <v>612</v>
      </c>
      <c r="H714" s="168" t="s">
        <v>608</v>
      </c>
      <c r="I714">
        <v>0</v>
      </c>
    </row>
    <row r="715" spans="1:9" x14ac:dyDescent="0.3">
      <c r="A715">
        <v>66</v>
      </c>
      <c r="B715" s="168" t="s">
        <v>98</v>
      </c>
      <c r="C715" s="168" t="s">
        <v>99</v>
      </c>
      <c r="D715">
        <v>196.6</v>
      </c>
      <c r="E715">
        <v>2020</v>
      </c>
      <c r="F715" s="168" t="s">
        <v>592</v>
      </c>
      <c r="G715" s="168" t="s">
        <v>612</v>
      </c>
      <c r="H715" s="168" t="s">
        <v>609</v>
      </c>
      <c r="I715">
        <v>246.35258072562468</v>
      </c>
    </row>
    <row r="716" spans="1:9" x14ac:dyDescent="0.3">
      <c r="A716">
        <v>66</v>
      </c>
      <c r="B716" s="168" t="s">
        <v>98</v>
      </c>
      <c r="C716" s="168" t="s">
        <v>99</v>
      </c>
      <c r="D716">
        <v>196.6</v>
      </c>
      <c r="E716">
        <v>2020</v>
      </c>
      <c r="F716" s="168" t="s">
        <v>592</v>
      </c>
      <c r="G716" s="168" t="s">
        <v>617</v>
      </c>
      <c r="H716" s="168" t="s">
        <v>608</v>
      </c>
      <c r="I716">
        <v>132.78988111524961</v>
      </c>
    </row>
    <row r="717" spans="1:9" x14ac:dyDescent="0.3">
      <c r="A717">
        <v>66</v>
      </c>
      <c r="B717" s="168" t="s">
        <v>98</v>
      </c>
      <c r="C717" s="168" t="s">
        <v>99</v>
      </c>
      <c r="D717">
        <v>196.6</v>
      </c>
      <c r="E717">
        <v>2020</v>
      </c>
      <c r="F717" s="168" t="s">
        <v>592</v>
      </c>
      <c r="G717" s="168" t="s">
        <v>617</v>
      </c>
      <c r="H717" s="168" t="s">
        <v>609</v>
      </c>
      <c r="I717">
        <v>99.59241083643721</v>
      </c>
    </row>
    <row r="718" spans="1:9" x14ac:dyDescent="0.3">
      <c r="A718">
        <v>67</v>
      </c>
      <c r="B718" s="168" t="s">
        <v>81</v>
      </c>
      <c r="C718" s="168" t="s">
        <v>100</v>
      </c>
      <c r="D718">
        <v>54.4</v>
      </c>
      <c r="E718">
        <v>2020</v>
      </c>
      <c r="F718" s="168" t="s">
        <v>592</v>
      </c>
      <c r="G718" s="168" t="s">
        <v>612</v>
      </c>
      <c r="H718" s="168" t="s">
        <v>608</v>
      </c>
      <c r="I718">
        <v>0</v>
      </c>
    </row>
    <row r="719" spans="1:9" x14ac:dyDescent="0.3">
      <c r="A719">
        <v>67</v>
      </c>
      <c r="B719" s="168" t="s">
        <v>81</v>
      </c>
      <c r="C719" s="168" t="s">
        <v>100</v>
      </c>
      <c r="D719">
        <v>54.4</v>
      </c>
      <c r="E719">
        <v>2020</v>
      </c>
      <c r="F719" s="168" t="s">
        <v>592</v>
      </c>
      <c r="G719" s="168" t="s">
        <v>612</v>
      </c>
      <c r="H719" s="168" t="s">
        <v>609</v>
      </c>
      <c r="I719">
        <v>68.166736477487191</v>
      </c>
    </row>
    <row r="720" spans="1:9" x14ac:dyDescent="0.3">
      <c r="A720">
        <v>67</v>
      </c>
      <c r="B720" s="168" t="s">
        <v>81</v>
      </c>
      <c r="C720" s="168" t="s">
        <v>100</v>
      </c>
      <c r="D720">
        <v>54.4</v>
      </c>
      <c r="E720">
        <v>2020</v>
      </c>
      <c r="F720" s="168" t="s">
        <v>592</v>
      </c>
      <c r="G720" s="168" t="s">
        <v>617</v>
      </c>
      <c r="H720" s="168" t="s">
        <v>608</v>
      </c>
      <c r="I720">
        <v>36.743486941350859</v>
      </c>
    </row>
    <row r="721" spans="1:9" x14ac:dyDescent="0.3">
      <c r="A721">
        <v>67</v>
      </c>
      <c r="B721" s="168" t="s">
        <v>81</v>
      </c>
      <c r="C721" s="168" t="s">
        <v>100</v>
      </c>
      <c r="D721">
        <v>54.4</v>
      </c>
      <c r="E721">
        <v>2020</v>
      </c>
      <c r="F721" s="168" t="s">
        <v>592</v>
      </c>
      <c r="G721" s="168" t="s">
        <v>617</v>
      </c>
      <c r="H721" s="168" t="s">
        <v>609</v>
      </c>
      <c r="I721">
        <v>27.557615206013146</v>
      </c>
    </row>
    <row r="722" spans="1:9" hidden="1" x14ac:dyDescent="0.3">
      <c r="A722">
        <v>68</v>
      </c>
      <c r="B722" s="168" t="s">
        <v>101</v>
      </c>
      <c r="C722" s="168" t="s">
        <v>102</v>
      </c>
      <c r="D722">
        <v>217</v>
      </c>
      <c r="E722">
        <v>2020</v>
      </c>
      <c r="F722" s="168" t="s">
        <v>593</v>
      </c>
      <c r="G722" s="168" t="s">
        <v>612</v>
      </c>
      <c r="H722" s="168" t="s">
        <v>608</v>
      </c>
      <c r="I722">
        <v>0</v>
      </c>
    </row>
    <row r="723" spans="1:9" hidden="1" x14ac:dyDescent="0.3">
      <c r="A723">
        <v>68</v>
      </c>
      <c r="B723" s="168" t="s">
        <v>101</v>
      </c>
      <c r="C723" s="168" t="s">
        <v>102</v>
      </c>
      <c r="D723">
        <v>217</v>
      </c>
      <c r="E723">
        <v>2020</v>
      </c>
      <c r="F723" s="168" t="s">
        <v>593</v>
      </c>
      <c r="G723" s="168" t="s">
        <v>612</v>
      </c>
      <c r="H723" s="168" t="s">
        <v>609</v>
      </c>
      <c r="I723">
        <v>271.91510690468237</v>
      </c>
    </row>
    <row r="724" spans="1:9" hidden="1" x14ac:dyDescent="0.3">
      <c r="A724">
        <v>68</v>
      </c>
      <c r="B724" s="168" t="s">
        <v>101</v>
      </c>
      <c r="C724" s="168" t="s">
        <v>102</v>
      </c>
      <c r="D724">
        <v>217</v>
      </c>
      <c r="E724">
        <v>2020</v>
      </c>
      <c r="F724" s="168" t="s">
        <v>593</v>
      </c>
      <c r="G724" s="168" t="s">
        <v>617</v>
      </c>
      <c r="H724" s="168" t="s">
        <v>608</v>
      </c>
      <c r="I724">
        <v>146.56868871825617</v>
      </c>
    </row>
    <row r="725" spans="1:9" hidden="1" x14ac:dyDescent="0.3">
      <c r="A725">
        <v>68</v>
      </c>
      <c r="B725" s="168" t="s">
        <v>101</v>
      </c>
      <c r="C725" s="168" t="s">
        <v>102</v>
      </c>
      <c r="D725">
        <v>217</v>
      </c>
      <c r="E725">
        <v>2020</v>
      </c>
      <c r="F725" s="168" t="s">
        <v>593</v>
      </c>
      <c r="G725" s="168" t="s">
        <v>617</v>
      </c>
      <c r="H725" s="168" t="s">
        <v>609</v>
      </c>
      <c r="I725">
        <v>109.92651653869213</v>
      </c>
    </row>
    <row r="726" spans="1:9" hidden="1" x14ac:dyDescent="0.3">
      <c r="A726">
        <v>68</v>
      </c>
      <c r="B726" s="168" t="s">
        <v>101</v>
      </c>
      <c r="C726" s="168" t="s">
        <v>102</v>
      </c>
      <c r="D726">
        <v>217</v>
      </c>
      <c r="E726">
        <v>2020</v>
      </c>
      <c r="F726" s="168" t="s">
        <v>593</v>
      </c>
      <c r="G726" s="168" t="s">
        <v>624</v>
      </c>
      <c r="H726" s="168" t="s">
        <v>608</v>
      </c>
      <c r="I726">
        <v>815.13754158540451</v>
      </c>
    </row>
    <row r="727" spans="1:9" hidden="1" x14ac:dyDescent="0.3">
      <c r="A727">
        <v>68</v>
      </c>
      <c r="B727" s="168" t="s">
        <v>101</v>
      </c>
      <c r="C727" s="168" t="s">
        <v>102</v>
      </c>
      <c r="D727">
        <v>217</v>
      </c>
      <c r="E727">
        <v>2020</v>
      </c>
      <c r="F727" s="168" t="s">
        <v>593</v>
      </c>
      <c r="G727" s="168" t="s">
        <v>624</v>
      </c>
      <c r="H727" s="168" t="s">
        <v>609</v>
      </c>
      <c r="I727">
        <v>815.13754158540451</v>
      </c>
    </row>
    <row r="728" spans="1:9" hidden="1" x14ac:dyDescent="0.3">
      <c r="A728">
        <v>69</v>
      </c>
      <c r="B728" s="168" t="s">
        <v>291</v>
      </c>
      <c r="C728" s="168" t="s">
        <v>103</v>
      </c>
      <c r="D728">
        <v>482.8</v>
      </c>
      <c r="E728">
        <v>2020</v>
      </c>
      <c r="F728" s="168" t="s">
        <v>593</v>
      </c>
      <c r="G728" s="168" t="s">
        <v>616</v>
      </c>
      <c r="H728" s="168" t="s">
        <v>608</v>
      </c>
      <c r="I728">
        <v>450000</v>
      </c>
    </row>
    <row r="729" spans="1:9" hidden="1" x14ac:dyDescent="0.3">
      <c r="A729">
        <v>69</v>
      </c>
      <c r="B729" s="168" t="s">
        <v>291</v>
      </c>
      <c r="C729" s="168" t="s">
        <v>103</v>
      </c>
      <c r="D729">
        <v>482.8</v>
      </c>
      <c r="E729">
        <v>2020</v>
      </c>
      <c r="F729" s="168" t="s">
        <v>593</v>
      </c>
      <c r="G729" s="168" t="s">
        <v>616</v>
      </c>
      <c r="H729" s="168" t="s">
        <v>609</v>
      </c>
      <c r="I729">
        <v>6358</v>
      </c>
    </row>
    <row r="730" spans="1:9" hidden="1" x14ac:dyDescent="0.3">
      <c r="A730">
        <v>69</v>
      </c>
      <c r="B730" s="168" t="s">
        <v>291</v>
      </c>
      <c r="C730" s="168" t="s">
        <v>103</v>
      </c>
      <c r="D730">
        <v>482.8</v>
      </c>
      <c r="E730">
        <v>2020</v>
      </c>
      <c r="F730" s="168" t="s">
        <v>593</v>
      </c>
      <c r="G730" s="168" t="s">
        <v>617</v>
      </c>
      <c r="H730" s="168" t="s">
        <v>608</v>
      </c>
      <c r="I730">
        <v>326.09844660448891</v>
      </c>
    </row>
    <row r="731" spans="1:9" hidden="1" x14ac:dyDescent="0.3">
      <c r="A731">
        <v>69</v>
      </c>
      <c r="B731" s="168" t="s">
        <v>291</v>
      </c>
      <c r="C731" s="168" t="s">
        <v>103</v>
      </c>
      <c r="D731">
        <v>482.8</v>
      </c>
      <c r="E731">
        <v>2020</v>
      </c>
      <c r="F731" s="168" t="s">
        <v>593</v>
      </c>
      <c r="G731" s="168" t="s">
        <v>617</v>
      </c>
      <c r="H731" s="168" t="s">
        <v>609</v>
      </c>
      <c r="I731">
        <v>244.57383495336668</v>
      </c>
    </row>
    <row r="732" spans="1:9" hidden="1" x14ac:dyDescent="0.3">
      <c r="A732">
        <v>69</v>
      </c>
      <c r="B732" s="168" t="s">
        <v>291</v>
      </c>
      <c r="C732" s="168" t="s">
        <v>103</v>
      </c>
      <c r="D732">
        <v>482.8</v>
      </c>
      <c r="E732">
        <v>2020</v>
      </c>
      <c r="F732" s="168" t="s">
        <v>593</v>
      </c>
      <c r="G732" s="168" t="s">
        <v>610</v>
      </c>
      <c r="H732" s="168" t="s">
        <v>608</v>
      </c>
      <c r="I732">
        <v>0</v>
      </c>
    </row>
    <row r="733" spans="1:9" hidden="1" x14ac:dyDescent="0.3">
      <c r="A733">
        <v>69</v>
      </c>
      <c r="B733" s="168" t="s">
        <v>291</v>
      </c>
      <c r="C733" s="168" t="s">
        <v>103</v>
      </c>
      <c r="D733">
        <v>482.8</v>
      </c>
      <c r="E733">
        <v>2020</v>
      </c>
      <c r="F733" s="168" t="s">
        <v>593</v>
      </c>
      <c r="G733" s="168" t="s">
        <v>610</v>
      </c>
      <c r="H733" s="168" t="s">
        <v>609</v>
      </c>
      <c r="I733">
        <v>3272.7272727272725</v>
      </c>
    </row>
    <row r="734" spans="1:9" hidden="1" x14ac:dyDescent="0.3">
      <c r="A734">
        <v>69</v>
      </c>
      <c r="B734" s="168" t="s">
        <v>291</v>
      </c>
      <c r="C734" s="168" t="s">
        <v>103</v>
      </c>
      <c r="D734">
        <v>482.8</v>
      </c>
      <c r="E734">
        <v>2020</v>
      </c>
      <c r="F734" s="168" t="s">
        <v>593</v>
      </c>
      <c r="G734" s="168" t="s">
        <v>624</v>
      </c>
      <c r="H734" s="168" t="s">
        <v>608</v>
      </c>
      <c r="I734">
        <v>7218.4182731190049</v>
      </c>
    </row>
    <row r="735" spans="1:9" hidden="1" x14ac:dyDescent="0.3">
      <c r="A735">
        <v>69</v>
      </c>
      <c r="B735" s="168" t="s">
        <v>291</v>
      </c>
      <c r="C735" s="168" t="s">
        <v>103</v>
      </c>
      <c r="D735">
        <v>482.8</v>
      </c>
      <c r="E735">
        <v>2020</v>
      </c>
      <c r="F735" s="168" t="s">
        <v>593</v>
      </c>
      <c r="G735" s="168" t="s">
        <v>624</v>
      </c>
      <c r="H735" s="168" t="s">
        <v>609</v>
      </c>
      <c r="I735">
        <v>7687.9334206432814</v>
      </c>
    </row>
    <row r="736" spans="1:9" hidden="1" x14ac:dyDescent="0.3">
      <c r="A736">
        <v>69</v>
      </c>
      <c r="B736" s="168" t="s">
        <v>291</v>
      </c>
      <c r="C736" s="168" t="s">
        <v>103</v>
      </c>
      <c r="D736">
        <v>482.8</v>
      </c>
      <c r="E736">
        <v>2020</v>
      </c>
      <c r="F736" s="168" t="s">
        <v>593</v>
      </c>
      <c r="G736" s="168" t="s">
        <v>621</v>
      </c>
      <c r="H736" s="168" t="s">
        <v>608</v>
      </c>
      <c r="I736">
        <v>6230898.6399999997</v>
      </c>
    </row>
    <row r="737" spans="1:9" hidden="1" x14ac:dyDescent="0.3">
      <c r="A737">
        <v>69</v>
      </c>
      <c r="B737" s="168" t="s">
        <v>291</v>
      </c>
      <c r="C737" s="168" t="s">
        <v>103</v>
      </c>
      <c r="D737">
        <v>482.8</v>
      </c>
      <c r="E737">
        <v>2020</v>
      </c>
      <c r="F737" s="168" t="s">
        <v>593</v>
      </c>
      <c r="G737" s="168" t="s">
        <v>621</v>
      </c>
      <c r="H737" s="168" t="s">
        <v>609</v>
      </c>
      <c r="I737">
        <v>0</v>
      </c>
    </row>
    <row r="738" spans="1:9" hidden="1" x14ac:dyDescent="0.3">
      <c r="A738">
        <v>69</v>
      </c>
      <c r="B738" s="168" t="s">
        <v>291</v>
      </c>
      <c r="C738" s="168" t="s">
        <v>103</v>
      </c>
      <c r="D738">
        <v>482.8</v>
      </c>
      <c r="E738">
        <v>2020</v>
      </c>
      <c r="F738" s="168" t="s">
        <v>593</v>
      </c>
      <c r="G738" s="168" t="s">
        <v>613</v>
      </c>
      <c r="H738" s="168" t="s">
        <v>608</v>
      </c>
      <c r="I738">
        <v>18224.780471232545</v>
      </c>
    </row>
    <row r="739" spans="1:9" hidden="1" x14ac:dyDescent="0.3">
      <c r="A739">
        <v>69</v>
      </c>
      <c r="B739" s="168" t="s">
        <v>291</v>
      </c>
      <c r="C739" s="168" t="s">
        <v>103</v>
      </c>
      <c r="D739">
        <v>482.8</v>
      </c>
      <c r="E739">
        <v>2020</v>
      </c>
      <c r="F739" s="168" t="s">
        <v>593</v>
      </c>
      <c r="G739" s="168" t="s">
        <v>613</v>
      </c>
      <c r="H739" s="168" t="s">
        <v>609</v>
      </c>
      <c r="I739">
        <v>3699.0836669338746</v>
      </c>
    </row>
    <row r="740" spans="1:9" hidden="1" x14ac:dyDescent="0.3">
      <c r="A740">
        <v>70</v>
      </c>
      <c r="B740" s="168" t="s">
        <v>104</v>
      </c>
      <c r="C740" s="168" t="s">
        <v>105</v>
      </c>
      <c r="D740">
        <v>11351</v>
      </c>
      <c r="E740">
        <v>2020</v>
      </c>
      <c r="F740" s="168" t="s">
        <v>591</v>
      </c>
      <c r="G740" s="168" t="s">
        <v>607</v>
      </c>
      <c r="H740" s="168" t="s">
        <v>608</v>
      </c>
      <c r="I740">
        <v>197502.68041237112</v>
      </c>
    </row>
    <row r="741" spans="1:9" hidden="1" x14ac:dyDescent="0.3">
      <c r="A741">
        <v>70</v>
      </c>
      <c r="B741" s="168" t="s">
        <v>104</v>
      </c>
      <c r="C741" s="168" t="s">
        <v>105</v>
      </c>
      <c r="D741">
        <v>11351</v>
      </c>
      <c r="E741">
        <v>2020</v>
      </c>
      <c r="F741" s="168" t="s">
        <v>591</v>
      </c>
      <c r="G741" s="168" t="s">
        <v>607</v>
      </c>
      <c r="H741" s="168" t="s">
        <v>609</v>
      </c>
      <c r="I741">
        <v>2027603.6804123709</v>
      </c>
    </row>
    <row r="742" spans="1:9" hidden="1" x14ac:dyDescent="0.3">
      <c r="A742">
        <v>70</v>
      </c>
      <c r="B742" s="168" t="s">
        <v>104</v>
      </c>
      <c r="C742" s="168" t="s">
        <v>105</v>
      </c>
      <c r="D742">
        <v>11351</v>
      </c>
      <c r="E742">
        <v>2020</v>
      </c>
      <c r="F742" s="168" t="s">
        <v>591</v>
      </c>
      <c r="G742" s="168" t="s">
        <v>612</v>
      </c>
      <c r="H742" s="168" t="s">
        <v>608</v>
      </c>
      <c r="I742">
        <v>814567.61</v>
      </c>
    </row>
    <row r="743" spans="1:9" hidden="1" x14ac:dyDescent="0.3">
      <c r="A743">
        <v>70</v>
      </c>
      <c r="B743" s="168" t="s">
        <v>104</v>
      </c>
      <c r="C743" s="168" t="s">
        <v>105</v>
      </c>
      <c r="D743">
        <v>11351</v>
      </c>
      <c r="E743">
        <v>2020</v>
      </c>
      <c r="F743" s="168" t="s">
        <v>591</v>
      </c>
      <c r="G743" s="168" t="s">
        <v>612</v>
      </c>
      <c r="H743" s="168" t="s">
        <v>609</v>
      </c>
      <c r="I743">
        <v>185432.39</v>
      </c>
    </row>
    <row r="744" spans="1:9" hidden="1" x14ac:dyDescent="0.3">
      <c r="A744">
        <v>70</v>
      </c>
      <c r="B744" s="168" t="s">
        <v>104</v>
      </c>
      <c r="C744" s="168" t="s">
        <v>105</v>
      </c>
      <c r="D744">
        <v>11351</v>
      </c>
      <c r="E744">
        <v>2020</v>
      </c>
      <c r="F744" s="168" t="s">
        <v>591</v>
      </c>
      <c r="G744" s="168" t="s">
        <v>616</v>
      </c>
      <c r="H744" s="168" t="s">
        <v>608</v>
      </c>
      <c r="I744">
        <v>1013243.63583247</v>
      </c>
    </row>
    <row r="745" spans="1:9" hidden="1" x14ac:dyDescent="0.3">
      <c r="A745">
        <v>70</v>
      </c>
      <c r="B745" s="168" t="s">
        <v>104</v>
      </c>
      <c r="C745" s="168" t="s">
        <v>105</v>
      </c>
      <c r="D745">
        <v>11351</v>
      </c>
      <c r="E745">
        <v>2020</v>
      </c>
      <c r="F745" s="168" t="s">
        <v>591</v>
      </c>
      <c r="G745" s="168" t="s">
        <v>616</v>
      </c>
      <c r="H745" s="168" t="s">
        <v>609</v>
      </c>
      <c r="I745">
        <v>1605243.6358324699</v>
      </c>
    </row>
    <row r="746" spans="1:9" hidden="1" x14ac:dyDescent="0.3">
      <c r="A746">
        <v>70</v>
      </c>
      <c r="B746" s="168" t="s">
        <v>104</v>
      </c>
      <c r="C746" s="168" t="s">
        <v>105</v>
      </c>
      <c r="D746">
        <v>11351</v>
      </c>
      <c r="E746">
        <v>2020</v>
      </c>
      <c r="F746" s="168" t="s">
        <v>591</v>
      </c>
      <c r="G746" s="168" t="s">
        <v>617</v>
      </c>
      <c r="H746" s="168" t="s">
        <v>608</v>
      </c>
      <c r="I746">
        <v>52210</v>
      </c>
    </row>
    <row r="747" spans="1:9" hidden="1" x14ac:dyDescent="0.3">
      <c r="A747">
        <v>70</v>
      </c>
      <c r="B747" s="168" t="s">
        <v>104</v>
      </c>
      <c r="C747" s="168" t="s">
        <v>105</v>
      </c>
      <c r="D747">
        <v>11351</v>
      </c>
      <c r="E747">
        <v>2020</v>
      </c>
      <c r="F747" s="168" t="s">
        <v>591</v>
      </c>
      <c r="G747" s="168" t="s">
        <v>617</v>
      </c>
      <c r="H747" s="168" t="s">
        <v>609</v>
      </c>
      <c r="I747">
        <v>18630</v>
      </c>
    </row>
    <row r="748" spans="1:9" hidden="1" x14ac:dyDescent="0.3">
      <c r="A748">
        <v>70</v>
      </c>
      <c r="B748" s="168" t="s">
        <v>104</v>
      </c>
      <c r="C748" s="168" t="s">
        <v>105</v>
      </c>
      <c r="D748">
        <v>11351</v>
      </c>
      <c r="E748">
        <v>2020</v>
      </c>
      <c r="F748" s="168" t="s">
        <v>591</v>
      </c>
      <c r="G748" s="168" t="s">
        <v>618</v>
      </c>
      <c r="H748" s="168" t="s">
        <v>608</v>
      </c>
      <c r="I748">
        <v>0</v>
      </c>
    </row>
    <row r="749" spans="1:9" hidden="1" x14ac:dyDescent="0.3">
      <c r="A749">
        <v>70</v>
      </c>
      <c r="B749" s="168" t="s">
        <v>104</v>
      </c>
      <c r="C749" s="168" t="s">
        <v>105</v>
      </c>
      <c r="D749">
        <v>11351</v>
      </c>
      <c r="E749">
        <v>2020</v>
      </c>
      <c r="F749" s="168" t="s">
        <v>591</v>
      </c>
      <c r="G749" s="168" t="s">
        <v>618</v>
      </c>
      <c r="H749" s="168" t="s">
        <v>609</v>
      </c>
      <c r="I749">
        <v>226129.2134831461</v>
      </c>
    </row>
    <row r="750" spans="1:9" hidden="1" x14ac:dyDescent="0.3">
      <c r="A750">
        <v>70</v>
      </c>
      <c r="B750" s="168" t="s">
        <v>104</v>
      </c>
      <c r="C750" s="168" t="s">
        <v>105</v>
      </c>
      <c r="D750">
        <v>11351</v>
      </c>
      <c r="E750">
        <v>2020</v>
      </c>
      <c r="F750" s="168" t="s">
        <v>591</v>
      </c>
      <c r="G750" s="168" t="s">
        <v>610</v>
      </c>
      <c r="H750" s="168" t="s">
        <v>608</v>
      </c>
      <c r="I750">
        <v>0</v>
      </c>
    </row>
    <row r="751" spans="1:9" hidden="1" x14ac:dyDescent="0.3">
      <c r="A751">
        <v>70</v>
      </c>
      <c r="B751" s="168" t="s">
        <v>104</v>
      </c>
      <c r="C751" s="168" t="s">
        <v>105</v>
      </c>
      <c r="D751">
        <v>11351</v>
      </c>
      <c r="E751">
        <v>2020</v>
      </c>
      <c r="F751" s="168" t="s">
        <v>591</v>
      </c>
      <c r="G751" s="168" t="s">
        <v>610</v>
      </c>
      <c r="H751" s="168" t="s">
        <v>609</v>
      </c>
      <c r="I751">
        <v>6545.454545454545</v>
      </c>
    </row>
    <row r="752" spans="1:9" hidden="1" x14ac:dyDescent="0.3">
      <c r="A752">
        <v>70</v>
      </c>
      <c r="B752" s="168" t="s">
        <v>104</v>
      </c>
      <c r="C752" s="168" t="s">
        <v>105</v>
      </c>
      <c r="D752">
        <v>11351</v>
      </c>
      <c r="E752">
        <v>2020</v>
      </c>
      <c r="F752" s="168" t="s">
        <v>591</v>
      </c>
      <c r="G752" s="168" t="s">
        <v>633</v>
      </c>
      <c r="H752" s="168" t="s">
        <v>608</v>
      </c>
      <c r="I752">
        <v>43931.185486393493</v>
      </c>
    </row>
    <row r="753" spans="1:9" hidden="1" x14ac:dyDescent="0.3">
      <c r="A753">
        <v>70</v>
      </c>
      <c r="B753" s="168" t="s">
        <v>104</v>
      </c>
      <c r="C753" s="168" t="s">
        <v>105</v>
      </c>
      <c r="D753">
        <v>11351</v>
      </c>
      <c r="E753">
        <v>2020</v>
      </c>
      <c r="F753" s="168" t="s">
        <v>591</v>
      </c>
      <c r="G753" s="168" t="s">
        <v>633</v>
      </c>
      <c r="H753" s="168" t="s">
        <v>609</v>
      </c>
      <c r="I753">
        <v>18827.650922740071</v>
      </c>
    </row>
    <row r="754" spans="1:9" hidden="1" x14ac:dyDescent="0.3">
      <c r="A754">
        <v>70</v>
      </c>
      <c r="B754" s="168" t="s">
        <v>104</v>
      </c>
      <c r="C754" s="168" t="s">
        <v>105</v>
      </c>
      <c r="D754">
        <v>11351</v>
      </c>
      <c r="E754">
        <v>2020</v>
      </c>
      <c r="F754" s="168" t="s">
        <v>591</v>
      </c>
      <c r="G754" s="168" t="s">
        <v>623</v>
      </c>
      <c r="H754" s="168" t="s">
        <v>608</v>
      </c>
      <c r="I754">
        <v>276442.30769230769</v>
      </c>
    </row>
    <row r="755" spans="1:9" hidden="1" x14ac:dyDescent="0.3">
      <c r="A755">
        <v>70</v>
      </c>
      <c r="B755" s="168" t="s">
        <v>104</v>
      </c>
      <c r="C755" s="168" t="s">
        <v>105</v>
      </c>
      <c r="D755">
        <v>11351</v>
      </c>
      <c r="E755">
        <v>2020</v>
      </c>
      <c r="F755" s="168" t="s">
        <v>591</v>
      </c>
      <c r="G755" s="168" t="s">
        <v>623</v>
      </c>
      <c r="H755" s="168" t="s">
        <v>609</v>
      </c>
      <c r="I755">
        <v>213062.3475</v>
      </c>
    </row>
    <row r="756" spans="1:9" hidden="1" x14ac:dyDescent="0.3">
      <c r="A756">
        <v>70</v>
      </c>
      <c r="B756" s="168" t="s">
        <v>104</v>
      </c>
      <c r="C756" s="168" t="s">
        <v>105</v>
      </c>
      <c r="D756">
        <v>11351</v>
      </c>
      <c r="E756">
        <v>2020</v>
      </c>
      <c r="F756" s="168" t="s">
        <v>591</v>
      </c>
      <c r="G756" s="168" t="s">
        <v>615</v>
      </c>
      <c r="H756" s="168" t="s">
        <v>608</v>
      </c>
      <c r="I756">
        <v>0</v>
      </c>
    </row>
    <row r="757" spans="1:9" hidden="1" x14ac:dyDescent="0.3">
      <c r="A757">
        <v>70</v>
      </c>
      <c r="B757" s="168" t="s">
        <v>104</v>
      </c>
      <c r="C757" s="168" t="s">
        <v>105</v>
      </c>
      <c r="D757">
        <v>11351</v>
      </c>
      <c r="E757">
        <v>2020</v>
      </c>
      <c r="F757" s="168" t="s">
        <v>591</v>
      </c>
      <c r="G757" s="168" t="s">
        <v>615</v>
      </c>
      <c r="H757" s="168" t="s">
        <v>609</v>
      </c>
      <c r="I757">
        <v>7536.5853658536589</v>
      </c>
    </row>
    <row r="758" spans="1:9" hidden="1" x14ac:dyDescent="0.3">
      <c r="A758">
        <v>70</v>
      </c>
      <c r="B758" s="168" t="s">
        <v>104</v>
      </c>
      <c r="C758" s="168" t="s">
        <v>105</v>
      </c>
      <c r="D758">
        <v>11351</v>
      </c>
      <c r="E758">
        <v>2020</v>
      </c>
      <c r="F758" s="168" t="s">
        <v>591</v>
      </c>
      <c r="G758" s="168" t="s">
        <v>624</v>
      </c>
      <c r="H758" s="168" t="s">
        <v>608</v>
      </c>
      <c r="I758">
        <v>212349.40600507832</v>
      </c>
    </row>
    <row r="759" spans="1:9" hidden="1" x14ac:dyDescent="0.3">
      <c r="A759">
        <v>70</v>
      </c>
      <c r="B759" s="168" t="s">
        <v>104</v>
      </c>
      <c r="C759" s="168" t="s">
        <v>105</v>
      </c>
      <c r="D759">
        <v>11351</v>
      </c>
      <c r="E759">
        <v>2020</v>
      </c>
      <c r="F759" s="168" t="s">
        <v>591</v>
      </c>
      <c r="G759" s="168" t="s">
        <v>624</v>
      </c>
      <c r="H759" s="168" t="s">
        <v>609</v>
      </c>
      <c r="I759">
        <v>223388.06888732431</v>
      </c>
    </row>
    <row r="760" spans="1:9" hidden="1" x14ac:dyDescent="0.3">
      <c r="A760">
        <v>70</v>
      </c>
      <c r="B760" s="168" t="s">
        <v>104</v>
      </c>
      <c r="C760" s="168" t="s">
        <v>105</v>
      </c>
      <c r="D760">
        <v>11351</v>
      </c>
      <c r="E760">
        <v>2020</v>
      </c>
      <c r="F760" s="168" t="s">
        <v>591</v>
      </c>
      <c r="G760" s="168" t="s">
        <v>611</v>
      </c>
      <c r="H760" s="168" t="s">
        <v>608</v>
      </c>
      <c r="I760">
        <v>0</v>
      </c>
    </row>
    <row r="761" spans="1:9" hidden="1" x14ac:dyDescent="0.3">
      <c r="A761">
        <v>70</v>
      </c>
      <c r="B761" s="168" t="s">
        <v>104</v>
      </c>
      <c r="C761" s="168" t="s">
        <v>105</v>
      </c>
      <c r="D761">
        <v>11351</v>
      </c>
      <c r="E761">
        <v>2020</v>
      </c>
      <c r="F761" s="168" t="s">
        <v>591</v>
      </c>
      <c r="G761" s="168" t="s">
        <v>611</v>
      </c>
      <c r="H761" s="168" t="s">
        <v>609</v>
      </c>
      <c r="I761">
        <v>47442.429417768071</v>
      </c>
    </row>
    <row r="762" spans="1:9" hidden="1" x14ac:dyDescent="0.3">
      <c r="A762">
        <v>70</v>
      </c>
      <c r="B762" s="168" t="s">
        <v>104</v>
      </c>
      <c r="C762" s="168" t="s">
        <v>105</v>
      </c>
      <c r="D762">
        <v>11351</v>
      </c>
      <c r="E762">
        <v>2020</v>
      </c>
      <c r="F762" s="168" t="s">
        <v>591</v>
      </c>
      <c r="G762" s="168" t="s">
        <v>613</v>
      </c>
      <c r="H762" s="168" t="s">
        <v>608</v>
      </c>
      <c r="I762">
        <v>428478.63117017527</v>
      </c>
    </row>
    <row r="763" spans="1:9" hidden="1" x14ac:dyDescent="0.3">
      <c r="A763">
        <v>70</v>
      </c>
      <c r="B763" s="168" t="s">
        <v>104</v>
      </c>
      <c r="C763" s="168" t="s">
        <v>105</v>
      </c>
      <c r="D763">
        <v>11351</v>
      </c>
      <c r="E763">
        <v>2020</v>
      </c>
      <c r="F763" s="168" t="s">
        <v>591</v>
      </c>
      <c r="G763" s="168" t="s">
        <v>613</v>
      </c>
      <c r="H763" s="168" t="s">
        <v>609</v>
      </c>
      <c r="I763">
        <v>86968.307173501264</v>
      </c>
    </row>
    <row r="764" spans="1:9" hidden="1" x14ac:dyDescent="0.3">
      <c r="A764">
        <v>71</v>
      </c>
      <c r="B764" s="168" t="s">
        <v>106</v>
      </c>
      <c r="C764" s="168" t="s">
        <v>107</v>
      </c>
      <c r="D764">
        <v>8800.7000000000007</v>
      </c>
      <c r="E764">
        <v>2020</v>
      </c>
      <c r="F764" s="168" t="s">
        <v>591</v>
      </c>
      <c r="G764" s="168" t="s">
        <v>610</v>
      </c>
      <c r="H764" s="168" t="s">
        <v>608</v>
      </c>
      <c r="I764">
        <v>0</v>
      </c>
    </row>
    <row r="765" spans="1:9" hidden="1" x14ac:dyDescent="0.3">
      <c r="A765">
        <v>71</v>
      </c>
      <c r="B765" s="168" t="s">
        <v>106</v>
      </c>
      <c r="C765" s="168" t="s">
        <v>107</v>
      </c>
      <c r="D765">
        <v>8800.7000000000007</v>
      </c>
      <c r="E765">
        <v>2020</v>
      </c>
      <c r="F765" s="168" t="s">
        <v>591</v>
      </c>
      <c r="G765" s="168" t="s">
        <v>610</v>
      </c>
      <c r="H765" s="168" t="s">
        <v>609</v>
      </c>
      <c r="I765">
        <v>6545.454545454545</v>
      </c>
    </row>
    <row r="766" spans="1:9" hidden="1" x14ac:dyDescent="0.3">
      <c r="A766">
        <v>72</v>
      </c>
      <c r="B766" s="168" t="s">
        <v>108</v>
      </c>
      <c r="C766" s="168" t="s">
        <v>107</v>
      </c>
      <c r="D766">
        <v>6435.4</v>
      </c>
      <c r="E766">
        <v>2020</v>
      </c>
      <c r="F766" s="168" t="s">
        <v>591</v>
      </c>
      <c r="G766" s="168" t="s">
        <v>607</v>
      </c>
      <c r="H766" s="168" t="s">
        <v>608</v>
      </c>
      <c r="I766">
        <v>164585.56701030899</v>
      </c>
    </row>
    <row r="767" spans="1:9" hidden="1" x14ac:dyDescent="0.3">
      <c r="A767">
        <v>72</v>
      </c>
      <c r="B767" s="168" t="s">
        <v>108</v>
      </c>
      <c r="C767" s="168" t="s">
        <v>107</v>
      </c>
      <c r="D767">
        <v>6435.4</v>
      </c>
      <c r="E767">
        <v>2020</v>
      </c>
      <c r="F767" s="168" t="s">
        <v>591</v>
      </c>
      <c r="G767" s="168" t="s">
        <v>607</v>
      </c>
      <c r="H767" s="168" t="s">
        <v>609</v>
      </c>
      <c r="I767">
        <v>860585.56701030897</v>
      </c>
    </row>
    <row r="768" spans="1:9" hidden="1" x14ac:dyDescent="0.3">
      <c r="A768">
        <v>72</v>
      </c>
      <c r="B768" s="168" t="s">
        <v>108</v>
      </c>
      <c r="C768" s="168" t="s">
        <v>107</v>
      </c>
      <c r="D768">
        <v>6435.4</v>
      </c>
      <c r="E768">
        <v>2020</v>
      </c>
      <c r="F768" s="168" t="s">
        <v>591</v>
      </c>
      <c r="G768" s="168" t="s">
        <v>612</v>
      </c>
      <c r="H768" s="168" t="s">
        <v>608</v>
      </c>
      <c r="I768">
        <v>447525</v>
      </c>
    </row>
    <row r="769" spans="1:9" hidden="1" x14ac:dyDescent="0.3">
      <c r="A769">
        <v>72</v>
      </c>
      <c r="B769" s="168" t="s">
        <v>108</v>
      </c>
      <c r="C769" s="168" t="s">
        <v>107</v>
      </c>
      <c r="D769">
        <v>6435.4</v>
      </c>
      <c r="E769">
        <v>2020</v>
      </c>
      <c r="F769" s="168" t="s">
        <v>591</v>
      </c>
      <c r="G769" s="168" t="s">
        <v>612</v>
      </c>
      <c r="H769" s="168" t="s">
        <v>609</v>
      </c>
      <c r="I769">
        <v>0</v>
      </c>
    </row>
    <row r="770" spans="1:9" hidden="1" x14ac:dyDescent="0.3">
      <c r="A770">
        <v>72</v>
      </c>
      <c r="B770" s="168" t="s">
        <v>108</v>
      </c>
      <c r="C770" s="168" t="s">
        <v>107</v>
      </c>
      <c r="D770">
        <v>6435.4</v>
      </c>
      <c r="E770">
        <v>2020</v>
      </c>
      <c r="F770" s="168" t="s">
        <v>591</v>
      </c>
      <c r="G770" s="168" t="s">
        <v>616</v>
      </c>
      <c r="H770" s="168" t="s">
        <v>608</v>
      </c>
      <c r="I770">
        <v>0</v>
      </c>
    </row>
    <row r="771" spans="1:9" hidden="1" x14ac:dyDescent="0.3">
      <c r="A771">
        <v>72</v>
      </c>
      <c r="B771" s="168" t="s">
        <v>108</v>
      </c>
      <c r="C771" s="168" t="s">
        <v>107</v>
      </c>
      <c r="D771">
        <v>6435.4</v>
      </c>
      <c r="E771">
        <v>2020</v>
      </c>
      <c r="F771" s="168" t="s">
        <v>591</v>
      </c>
      <c r="G771" s="168" t="s">
        <v>616</v>
      </c>
      <c r="H771" s="168" t="s">
        <v>609</v>
      </c>
      <c r="I771">
        <v>705500</v>
      </c>
    </row>
    <row r="772" spans="1:9" hidden="1" x14ac:dyDescent="0.3">
      <c r="A772">
        <v>72</v>
      </c>
      <c r="B772" s="168" t="s">
        <v>108</v>
      </c>
      <c r="C772" s="168" t="s">
        <v>107</v>
      </c>
      <c r="D772">
        <v>6435.4</v>
      </c>
      <c r="E772">
        <v>2020</v>
      </c>
      <c r="F772" s="168" t="s">
        <v>591</v>
      </c>
      <c r="G772" s="168" t="s">
        <v>617</v>
      </c>
      <c r="H772" s="168" t="s">
        <v>608</v>
      </c>
      <c r="I772">
        <v>20400</v>
      </c>
    </row>
    <row r="773" spans="1:9" hidden="1" x14ac:dyDescent="0.3">
      <c r="A773">
        <v>72</v>
      </c>
      <c r="B773" s="168" t="s">
        <v>108</v>
      </c>
      <c r="C773" s="168" t="s">
        <v>107</v>
      </c>
      <c r="D773">
        <v>6435.4</v>
      </c>
      <c r="E773">
        <v>2020</v>
      </c>
      <c r="F773" s="168" t="s">
        <v>591</v>
      </c>
      <c r="G773" s="168" t="s">
        <v>617</v>
      </c>
      <c r="H773" s="168" t="s">
        <v>609</v>
      </c>
      <c r="I773">
        <v>7300</v>
      </c>
    </row>
    <row r="774" spans="1:9" hidden="1" x14ac:dyDescent="0.3">
      <c r="A774">
        <v>72</v>
      </c>
      <c r="B774" s="168" t="s">
        <v>108</v>
      </c>
      <c r="C774" s="168" t="s">
        <v>107</v>
      </c>
      <c r="D774">
        <v>6435.4</v>
      </c>
      <c r="E774">
        <v>2020</v>
      </c>
      <c r="F774" s="168" t="s">
        <v>591</v>
      </c>
      <c r="G774" s="168" t="s">
        <v>618</v>
      </c>
      <c r="H774" s="168" t="s">
        <v>608</v>
      </c>
      <c r="I774">
        <v>0</v>
      </c>
    </row>
    <row r="775" spans="1:9" hidden="1" x14ac:dyDescent="0.3">
      <c r="A775">
        <v>72</v>
      </c>
      <c r="B775" s="168" t="s">
        <v>108</v>
      </c>
      <c r="C775" s="168" t="s">
        <v>107</v>
      </c>
      <c r="D775">
        <v>6435.4</v>
      </c>
      <c r="E775">
        <v>2020</v>
      </c>
      <c r="F775" s="168" t="s">
        <v>591</v>
      </c>
      <c r="G775" s="168" t="s">
        <v>618</v>
      </c>
      <c r="H775" s="168" t="s">
        <v>609</v>
      </c>
      <c r="I775">
        <v>10651.685393258427</v>
      </c>
    </row>
    <row r="776" spans="1:9" hidden="1" x14ac:dyDescent="0.3">
      <c r="A776">
        <v>72</v>
      </c>
      <c r="B776" s="168" t="s">
        <v>108</v>
      </c>
      <c r="C776" s="168" t="s">
        <v>107</v>
      </c>
      <c r="D776">
        <v>6435.4</v>
      </c>
      <c r="E776">
        <v>2020</v>
      </c>
      <c r="F776" s="168" t="s">
        <v>591</v>
      </c>
      <c r="G776" s="168" t="s">
        <v>619</v>
      </c>
      <c r="H776" s="168" t="s">
        <v>608</v>
      </c>
      <c r="I776">
        <v>0</v>
      </c>
    </row>
    <row r="777" spans="1:9" hidden="1" x14ac:dyDescent="0.3">
      <c r="A777">
        <v>72</v>
      </c>
      <c r="B777" s="168" t="s">
        <v>108</v>
      </c>
      <c r="C777" s="168" t="s">
        <v>107</v>
      </c>
      <c r="D777">
        <v>6435.4</v>
      </c>
      <c r="E777">
        <v>2020</v>
      </c>
      <c r="F777" s="168" t="s">
        <v>591</v>
      </c>
      <c r="G777" s="168" t="s">
        <v>619</v>
      </c>
      <c r="H777" s="168" t="s">
        <v>609</v>
      </c>
      <c r="I777">
        <v>79990</v>
      </c>
    </row>
    <row r="778" spans="1:9" hidden="1" x14ac:dyDescent="0.3">
      <c r="A778">
        <v>72</v>
      </c>
      <c r="B778" s="168" t="s">
        <v>108</v>
      </c>
      <c r="C778" s="168" t="s">
        <v>107</v>
      </c>
      <c r="D778">
        <v>6435.4</v>
      </c>
      <c r="E778">
        <v>2020</v>
      </c>
      <c r="F778" s="168" t="s">
        <v>591</v>
      </c>
      <c r="G778" s="168" t="s">
        <v>610</v>
      </c>
      <c r="H778" s="168" t="s">
        <v>608</v>
      </c>
      <c r="I778">
        <v>0</v>
      </c>
    </row>
    <row r="779" spans="1:9" hidden="1" x14ac:dyDescent="0.3">
      <c r="A779">
        <v>72</v>
      </c>
      <c r="B779" s="168" t="s">
        <v>108</v>
      </c>
      <c r="C779" s="168" t="s">
        <v>107</v>
      </c>
      <c r="D779">
        <v>6435.4</v>
      </c>
      <c r="E779">
        <v>2020</v>
      </c>
      <c r="F779" s="168" t="s">
        <v>591</v>
      </c>
      <c r="G779" s="168" t="s">
        <v>610</v>
      </c>
      <c r="H779" s="168" t="s">
        <v>609</v>
      </c>
      <c r="I779">
        <v>6545.454545454545</v>
      </c>
    </row>
    <row r="780" spans="1:9" hidden="1" x14ac:dyDescent="0.3">
      <c r="A780">
        <v>72</v>
      </c>
      <c r="B780" s="168" t="s">
        <v>108</v>
      </c>
      <c r="C780" s="168" t="s">
        <v>107</v>
      </c>
      <c r="D780">
        <v>6435.4</v>
      </c>
      <c r="E780">
        <v>2020</v>
      </c>
      <c r="F780" s="168" t="s">
        <v>591</v>
      </c>
      <c r="G780" s="168" t="s">
        <v>633</v>
      </c>
      <c r="H780" s="168" t="s">
        <v>608</v>
      </c>
      <c r="I780">
        <v>19272.44291523303</v>
      </c>
    </row>
    <row r="781" spans="1:9" hidden="1" x14ac:dyDescent="0.3">
      <c r="A781">
        <v>72</v>
      </c>
      <c r="B781" s="168" t="s">
        <v>108</v>
      </c>
      <c r="C781" s="168" t="s">
        <v>107</v>
      </c>
      <c r="D781">
        <v>6435.4</v>
      </c>
      <c r="E781">
        <v>2020</v>
      </c>
      <c r="F781" s="168" t="s">
        <v>591</v>
      </c>
      <c r="G781" s="168" t="s">
        <v>633</v>
      </c>
      <c r="H781" s="168" t="s">
        <v>609</v>
      </c>
      <c r="I781">
        <v>29859.599999999999</v>
      </c>
    </row>
    <row r="782" spans="1:9" hidden="1" x14ac:dyDescent="0.3">
      <c r="A782">
        <v>72</v>
      </c>
      <c r="B782" s="168" t="s">
        <v>108</v>
      </c>
      <c r="C782" s="168" t="s">
        <v>107</v>
      </c>
      <c r="D782">
        <v>6435.4</v>
      </c>
      <c r="E782">
        <v>2020</v>
      </c>
      <c r="F782" s="168" t="s">
        <v>591</v>
      </c>
      <c r="G782" s="168" t="s">
        <v>623</v>
      </c>
      <c r="H782" s="168" t="s">
        <v>608</v>
      </c>
      <c r="I782">
        <v>48817.307692307702</v>
      </c>
    </row>
    <row r="783" spans="1:9" hidden="1" x14ac:dyDescent="0.3">
      <c r="A783">
        <v>72</v>
      </c>
      <c r="B783" s="168" t="s">
        <v>108</v>
      </c>
      <c r="C783" s="168" t="s">
        <v>107</v>
      </c>
      <c r="D783">
        <v>6435.4</v>
      </c>
      <c r="E783">
        <v>2020</v>
      </c>
      <c r="F783" s="168" t="s">
        <v>591</v>
      </c>
      <c r="G783" s="168" t="s">
        <v>623</v>
      </c>
      <c r="H783" s="168" t="s">
        <v>609</v>
      </c>
      <c r="I783">
        <v>35510.391250000001</v>
      </c>
    </row>
    <row r="784" spans="1:9" hidden="1" x14ac:dyDescent="0.3">
      <c r="A784">
        <v>72</v>
      </c>
      <c r="B784" s="168" t="s">
        <v>108</v>
      </c>
      <c r="C784" s="168" t="s">
        <v>107</v>
      </c>
      <c r="D784">
        <v>6435.4</v>
      </c>
      <c r="E784">
        <v>2020</v>
      </c>
      <c r="F784" s="168" t="s">
        <v>591</v>
      </c>
      <c r="G784" s="168" t="s">
        <v>625</v>
      </c>
      <c r="H784" s="168" t="s">
        <v>608</v>
      </c>
      <c r="I784">
        <v>0</v>
      </c>
    </row>
    <row r="785" spans="1:9" hidden="1" x14ac:dyDescent="0.3">
      <c r="A785">
        <v>72</v>
      </c>
      <c r="B785" s="168" t="s">
        <v>108</v>
      </c>
      <c r="C785" s="168" t="s">
        <v>107</v>
      </c>
      <c r="D785">
        <v>6435.4</v>
      </c>
      <c r="E785">
        <v>2020</v>
      </c>
      <c r="F785" s="168" t="s">
        <v>591</v>
      </c>
      <c r="G785" s="168" t="s">
        <v>625</v>
      </c>
      <c r="H785" s="168" t="s">
        <v>609</v>
      </c>
      <c r="I785">
        <v>51464.1</v>
      </c>
    </row>
    <row r="786" spans="1:9" hidden="1" x14ac:dyDescent="0.3">
      <c r="A786">
        <v>72</v>
      </c>
      <c r="B786" s="168" t="s">
        <v>108</v>
      </c>
      <c r="C786" s="168" t="s">
        <v>107</v>
      </c>
      <c r="D786">
        <v>6435.4</v>
      </c>
      <c r="E786">
        <v>2020</v>
      </c>
      <c r="F786" s="168" t="s">
        <v>591</v>
      </c>
      <c r="G786" s="168" t="s">
        <v>624</v>
      </c>
      <c r="H786" s="168" t="s">
        <v>608</v>
      </c>
      <c r="I786">
        <v>120390.5706462058</v>
      </c>
    </row>
    <row r="787" spans="1:9" hidden="1" x14ac:dyDescent="0.3">
      <c r="A787">
        <v>72</v>
      </c>
      <c r="B787" s="168" t="s">
        <v>108</v>
      </c>
      <c r="C787" s="168" t="s">
        <v>107</v>
      </c>
      <c r="D787">
        <v>6435.4</v>
      </c>
      <c r="E787">
        <v>2020</v>
      </c>
      <c r="F787" s="168" t="s">
        <v>591</v>
      </c>
      <c r="G787" s="168" t="s">
        <v>624</v>
      </c>
      <c r="H787" s="168" t="s">
        <v>609</v>
      </c>
      <c r="I787">
        <v>126648.89247797441</v>
      </c>
    </row>
    <row r="788" spans="1:9" hidden="1" x14ac:dyDescent="0.3">
      <c r="A788">
        <v>72</v>
      </c>
      <c r="B788" s="168" t="s">
        <v>108</v>
      </c>
      <c r="C788" s="168" t="s">
        <v>107</v>
      </c>
      <c r="D788">
        <v>6435.4</v>
      </c>
      <c r="E788">
        <v>2020</v>
      </c>
      <c r="F788" s="168" t="s">
        <v>591</v>
      </c>
      <c r="G788" s="168" t="s">
        <v>611</v>
      </c>
      <c r="H788" s="168" t="s">
        <v>608</v>
      </c>
      <c r="I788">
        <v>0</v>
      </c>
    </row>
    <row r="789" spans="1:9" hidden="1" x14ac:dyDescent="0.3">
      <c r="A789">
        <v>72</v>
      </c>
      <c r="B789" s="168" t="s">
        <v>108</v>
      </c>
      <c r="C789" s="168" t="s">
        <v>107</v>
      </c>
      <c r="D789">
        <v>6435.4</v>
      </c>
      <c r="E789">
        <v>2020</v>
      </c>
      <c r="F789" s="168" t="s">
        <v>591</v>
      </c>
      <c r="G789" s="168" t="s">
        <v>611</v>
      </c>
      <c r="H789" s="168" t="s">
        <v>609</v>
      </c>
      <c r="I789">
        <v>26897.278678099257</v>
      </c>
    </row>
    <row r="790" spans="1:9" hidden="1" x14ac:dyDescent="0.3">
      <c r="A790">
        <v>72</v>
      </c>
      <c r="B790" s="168" t="s">
        <v>108</v>
      </c>
      <c r="C790" s="168" t="s">
        <v>107</v>
      </c>
      <c r="D790">
        <v>6435.4</v>
      </c>
      <c r="E790">
        <v>2020</v>
      </c>
      <c r="F790" s="168" t="s">
        <v>591</v>
      </c>
      <c r="G790" s="168" t="s">
        <v>613</v>
      </c>
      <c r="H790" s="168" t="s">
        <v>608</v>
      </c>
      <c r="I790">
        <v>456040.13279813901</v>
      </c>
    </row>
    <row r="791" spans="1:9" hidden="1" x14ac:dyDescent="0.3">
      <c r="A791">
        <v>72</v>
      </c>
      <c r="B791" s="168" t="s">
        <v>108</v>
      </c>
      <c r="C791" s="168" t="s">
        <v>107</v>
      </c>
      <c r="D791">
        <v>6435.4</v>
      </c>
      <c r="E791">
        <v>2020</v>
      </c>
      <c r="F791" s="168" t="s">
        <v>591</v>
      </c>
      <c r="G791" s="168" t="s">
        <v>613</v>
      </c>
      <c r="H791" s="168" t="s">
        <v>609</v>
      </c>
      <c r="I791">
        <v>185949.20366143071</v>
      </c>
    </row>
    <row r="792" spans="1:9" hidden="1" x14ac:dyDescent="0.3">
      <c r="A792">
        <v>73</v>
      </c>
      <c r="B792" s="168" t="s">
        <v>109</v>
      </c>
      <c r="C792" s="168" t="s">
        <v>110</v>
      </c>
      <c r="D792">
        <v>6896.7</v>
      </c>
      <c r="E792">
        <v>2020</v>
      </c>
      <c r="F792" s="168" t="s">
        <v>593</v>
      </c>
      <c r="G792" s="168" t="s">
        <v>607</v>
      </c>
      <c r="H792" s="168" t="s">
        <v>608</v>
      </c>
      <c r="I792">
        <v>498000</v>
      </c>
    </row>
    <row r="793" spans="1:9" hidden="1" x14ac:dyDescent="0.3">
      <c r="A793">
        <v>73</v>
      </c>
      <c r="B793" s="168" t="s">
        <v>109</v>
      </c>
      <c r="C793" s="168" t="s">
        <v>110</v>
      </c>
      <c r="D793">
        <v>6896.7</v>
      </c>
      <c r="E793">
        <v>2020</v>
      </c>
      <c r="F793" s="168" t="s">
        <v>593</v>
      </c>
      <c r="G793" s="168" t="s">
        <v>607</v>
      </c>
      <c r="H793" s="168" t="s">
        <v>609</v>
      </c>
      <c r="I793">
        <v>7826.086956521739</v>
      </c>
    </row>
    <row r="794" spans="1:9" hidden="1" x14ac:dyDescent="0.3">
      <c r="A794">
        <v>73</v>
      </c>
      <c r="B794" s="168" t="s">
        <v>109</v>
      </c>
      <c r="C794" s="168" t="s">
        <v>110</v>
      </c>
      <c r="D794">
        <v>6896.7</v>
      </c>
      <c r="E794">
        <v>2020</v>
      </c>
      <c r="F794" s="168" t="s">
        <v>593</v>
      </c>
      <c r="G794" s="168" t="s">
        <v>617</v>
      </c>
      <c r="H794" s="168" t="s">
        <v>608</v>
      </c>
      <c r="I794">
        <v>4658.2501174340896</v>
      </c>
    </row>
    <row r="795" spans="1:9" hidden="1" x14ac:dyDescent="0.3">
      <c r="A795">
        <v>73</v>
      </c>
      <c r="B795" s="168" t="s">
        <v>109</v>
      </c>
      <c r="C795" s="168" t="s">
        <v>110</v>
      </c>
      <c r="D795">
        <v>6896.7</v>
      </c>
      <c r="E795">
        <v>2020</v>
      </c>
      <c r="F795" s="168" t="s">
        <v>593</v>
      </c>
      <c r="G795" s="168" t="s">
        <v>617</v>
      </c>
      <c r="H795" s="168" t="s">
        <v>609</v>
      </c>
      <c r="I795">
        <v>3493.6875880755674</v>
      </c>
    </row>
    <row r="796" spans="1:9" hidden="1" x14ac:dyDescent="0.3">
      <c r="A796">
        <v>73</v>
      </c>
      <c r="B796" s="168" t="s">
        <v>109</v>
      </c>
      <c r="C796" s="168" t="s">
        <v>110</v>
      </c>
      <c r="D796">
        <v>6896.7</v>
      </c>
      <c r="E796">
        <v>2020</v>
      </c>
      <c r="F796" s="168" t="s">
        <v>593</v>
      </c>
      <c r="G796" s="168" t="s">
        <v>618</v>
      </c>
      <c r="H796" s="168" t="s">
        <v>608</v>
      </c>
      <c r="I796">
        <v>0</v>
      </c>
    </row>
    <row r="797" spans="1:9" hidden="1" x14ac:dyDescent="0.3">
      <c r="A797">
        <v>73</v>
      </c>
      <c r="B797" s="168" t="s">
        <v>109</v>
      </c>
      <c r="C797" s="168" t="s">
        <v>110</v>
      </c>
      <c r="D797">
        <v>6896.7</v>
      </c>
      <c r="E797">
        <v>2020</v>
      </c>
      <c r="F797" s="168" t="s">
        <v>593</v>
      </c>
      <c r="G797" s="168" t="s">
        <v>618</v>
      </c>
      <c r="H797" s="168" t="s">
        <v>609</v>
      </c>
      <c r="I797">
        <v>5325.8426966292136</v>
      </c>
    </row>
    <row r="798" spans="1:9" hidden="1" x14ac:dyDescent="0.3">
      <c r="A798">
        <v>73</v>
      </c>
      <c r="B798" s="168" t="s">
        <v>109</v>
      </c>
      <c r="C798" s="168" t="s">
        <v>110</v>
      </c>
      <c r="D798">
        <v>6896.7</v>
      </c>
      <c r="E798">
        <v>2020</v>
      </c>
      <c r="F798" s="168" t="s">
        <v>593</v>
      </c>
      <c r="G798" s="168" t="s">
        <v>610</v>
      </c>
      <c r="H798" s="168" t="s">
        <v>608</v>
      </c>
      <c r="I798">
        <v>0</v>
      </c>
    </row>
    <row r="799" spans="1:9" hidden="1" x14ac:dyDescent="0.3">
      <c r="A799">
        <v>73</v>
      </c>
      <c r="B799" s="168" t="s">
        <v>109</v>
      </c>
      <c r="C799" s="168" t="s">
        <v>110</v>
      </c>
      <c r="D799">
        <v>6896.7</v>
      </c>
      <c r="E799">
        <v>2020</v>
      </c>
      <c r="F799" s="168" t="s">
        <v>593</v>
      </c>
      <c r="G799" s="168" t="s">
        <v>610</v>
      </c>
      <c r="H799" s="168" t="s">
        <v>609</v>
      </c>
      <c r="I799">
        <v>6545.454545454545</v>
      </c>
    </row>
    <row r="800" spans="1:9" hidden="1" x14ac:dyDescent="0.3">
      <c r="A800">
        <v>73</v>
      </c>
      <c r="B800" s="168" t="s">
        <v>109</v>
      </c>
      <c r="C800" s="168" t="s">
        <v>110</v>
      </c>
      <c r="D800">
        <v>6896.7</v>
      </c>
      <c r="E800">
        <v>2020</v>
      </c>
      <c r="F800" s="168" t="s">
        <v>593</v>
      </c>
      <c r="G800" s="168" t="s">
        <v>620</v>
      </c>
      <c r="H800" s="168" t="s">
        <v>608</v>
      </c>
      <c r="I800">
        <v>76952.529032258055</v>
      </c>
    </row>
    <row r="801" spans="1:9" hidden="1" x14ac:dyDescent="0.3">
      <c r="A801">
        <v>73</v>
      </c>
      <c r="B801" s="168" t="s">
        <v>109</v>
      </c>
      <c r="C801" s="168" t="s">
        <v>110</v>
      </c>
      <c r="D801">
        <v>6896.7</v>
      </c>
      <c r="E801">
        <v>2020</v>
      </c>
      <c r="F801" s="168" t="s">
        <v>593</v>
      </c>
      <c r="G801" s="168" t="s">
        <v>620</v>
      </c>
      <c r="H801" s="168" t="s">
        <v>609</v>
      </c>
      <c r="I801">
        <v>0</v>
      </c>
    </row>
    <row r="802" spans="1:9" hidden="1" x14ac:dyDescent="0.3">
      <c r="A802">
        <v>73</v>
      </c>
      <c r="B802" s="168" t="s">
        <v>109</v>
      </c>
      <c r="C802" s="168" t="s">
        <v>110</v>
      </c>
      <c r="D802">
        <v>6896.7</v>
      </c>
      <c r="E802">
        <v>2020</v>
      </c>
      <c r="F802" s="168" t="s">
        <v>593</v>
      </c>
      <c r="G802" s="168" t="s">
        <v>633</v>
      </c>
      <c r="H802" s="168" t="s">
        <v>608</v>
      </c>
      <c r="I802">
        <v>0</v>
      </c>
    </row>
    <row r="803" spans="1:9" hidden="1" x14ac:dyDescent="0.3">
      <c r="A803">
        <v>73</v>
      </c>
      <c r="B803" s="168" t="s">
        <v>109</v>
      </c>
      <c r="C803" s="168" t="s">
        <v>110</v>
      </c>
      <c r="D803">
        <v>6896.7</v>
      </c>
      <c r="E803">
        <v>2020</v>
      </c>
      <c r="F803" s="168" t="s">
        <v>593</v>
      </c>
      <c r="G803" s="168" t="s">
        <v>633</v>
      </c>
      <c r="H803" s="168" t="s">
        <v>609</v>
      </c>
      <c r="I803">
        <v>8814.1592920353978</v>
      </c>
    </row>
    <row r="804" spans="1:9" hidden="1" x14ac:dyDescent="0.3">
      <c r="A804">
        <v>73</v>
      </c>
      <c r="B804" s="168" t="s">
        <v>109</v>
      </c>
      <c r="C804" s="168" t="s">
        <v>110</v>
      </c>
      <c r="D804">
        <v>6896.7</v>
      </c>
      <c r="E804">
        <v>2020</v>
      </c>
      <c r="F804" s="168" t="s">
        <v>593</v>
      </c>
      <c r="G804" s="168" t="s">
        <v>615</v>
      </c>
      <c r="H804" s="168" t="s">
        <v>608</v>
      </c>
      <c r="I804">
        <v>0</v>
      </c>
    </row>
    <row r="805" spans="1:9" hidden="1" x14ac:dyDescent="0.3">
      <c r="A805">
        <v>73</v>
      </c>
      <c r="B805" s="168" t="s">
        <v>109</v>
      </c>
      <c r="C805" s="168" t="s">
        <v>110</v>
      </c>
      <c r="D805">
        <v>6896.7</v>
      </c>
      <c r="E805">
        <v>2020</v>
      </c>
      <c r="F805" s="168" t="s">
        <v>593</v>
      </c>
      <c r="G805" s="168" t="s">
        <v>615</v>
      </c>
      <c r="H805" s="168" t="s">
        <v>609</v>
      </c>
      <c r="I805">
        <v>7536.5853658536589</v>
      </c>
    </row>
    <row r="806" spans="1:9" hidden="1" x14ac:dyDescent="0.3">
      <c r="A806">
        <v>73</v>
      </c>
      <c r="B806" s="168" t="s">
        <v>109</v>
      </c>
      <c r="C806" s="168" t="s">
        <v>110</v>
      </c>
      <c r="D806">
        <v>6896.7</v>
      </c>
      <c r="E806">
        <v>2020</v>
      </c>
      <c r="F806" s="168" t="s">
        <v>593</v>
      </c>
      <c r="G806" s="168" t="s">
        <v>624</v>
      </c>
      <c r="H806" s="168" t="s">
        <v>608</v>
      </c>
      <c r="I806">
        <v>103113.63981818526</v>
      </c>
    </row>
    <row r="807" spans="1:9" hidden="1" x14ac:dyDescent="0.3">
      <c r="A807">
        <v>73</v>
      </c>
      <c r="B807" s="168" t="s">
        <v>109</v>
      </c>
      <c r="C807" s="168" t="s">
        <v>110</v>
      </c>
      <c r="D807">
        <v>6896.7</v>
      </c>
      <c r="E807">
        <v>2020</v>
      </c>
      <c r="F807" s="168" t="s">
        <v>593</v>
      </c>
      <c r="G807" s="168" t="s">
        <v>624</v>
      </c>
      <c r="H807" s="168" t="s">
        <v>609</v>
      </c>
      <c r="I807">
        <v>109820.56839716346</v>
      </c>
    </row>
    <row r="808" spans="1:9" hidden="1" x14ac:dyDescent="0.3">
      <c r="A808">
        <v>73</v>
      </c>
      <c r="B808" s="168" t="s">
        <v>109</v>
      </c>
      <c r="C808" s="168" t="s">
        <v>110</v>
      </c>
      <c r="D808">
        <v>6896.7</v>
      </c>
      <c r="E808">
        <v>2020</v>
      </c>
      <c r="F808" s="168" t="s">
        <v>593</v>
      </c>
      <c r="G808" s="168" t="s">
        <v>613</v>
      </c>
      <c r="H808" s="168" t="s">
        <v>608</v>
      </c>
      <c r="I808">
        <v>488729.83557648701</v>
      </c>
    </row>
    <row r="809" spans="1:9" hidden="1" x14ac:dyDescent="0.3">
      <c r="A809">
        <v>73</v>
      </c>
      <c r="B809" s="168" t="s">
        <v>109</v>
      </c>
      <c r="C809" s="168" t="s">
        <v>110</v>
      </c>
      <c r="D809">
        <v>6896.7</v>
      </c>
      <c r="E809">
        <v>2020</v>
      </c>
      <c r="F809" s="168" t="s">
        <v>593</v>
      </c>
      <c r="G809" s="168" t="s">
        <v>613</v>
      </c>
      <c r="H809" s="168" t="s">
        <v>609</v>
      </c>
      <c r="I809">
        <v>199278.34678369461</v>
      </c>
    </row>
    <row r="810" spans="1:9" hidden="1" x14ac:dyDescent="0.3">
      <c r="A810">
        <v>75</v>
      </c>
      <c r="B810" s="168" t="s">
        <v>113</v>
      </c>
      <c r="C810" s="168" t="s">
        <v>114</v>
      </c>
      <c r="D810">
        <v>3455.5</v>
      </c>
      <c r="E810">
        <v>2020</v>
      </c>
      <c r="F810" s="168" t="s">
        <v>593</v>
      </c>
      <c r="G810" s="168" t="s">
        <v>607</v>
      </c>
      <c r="H810" s="168" t="s">
        <v>608</v>
      </c>
      <c r="I810">
        <v>27098.639999999999</v>
      </c>
    </row>
    <row r="811" spans="1:9" hidden="1" x14ac:dyDescent="0.3">
      <c r="A811">
        <v>75</v>
      </c>
      <c r="B811" s="168" t="s">
        <v>113</v>
      </c>
      <c r="C811" s="168" t="s">
        <v>114</v>
      </c>
      <c r="D811">
        <v>3455.5</v>
      </c>
      <c r="E811">
        <v>2020</v>
      </c>
      <c r="F811" s="168" t="s">
        <v>593</v>
      </c>
      <c r="G811" s="168" t="s">
        <v>607</v>
      </c>
      <c r="H811" s="168" t="s">
        <v>609</v>
      </c>
      <c r="I811">
        <v>551706.75020210177</v>
      </c>
    </row>
    <row r="812" spans="1:9" hidden="1" x14ac:dyDescent="0.3">
      <c r="A812">
        <v>75</v>
      </c>
      <c r="B812" s="168" t="s">
        <v>113</v>
      </c>
      <c r="C812" s="168" t="s">
        <v>114</v>
      </c>
      <c r="D812">
        <v>3455.5</v>
      </c>
      <c r="E812">
        <v>2020</v>
      </c>
      <c r="F812" s="168" t="s">
        <v>593</v>
      </c>
      <c r="G812" s="168" t="s">
        <v>612</v>
      </c>
      <c r="H812" s="168" t="s">
        <v>608</v>
      </c>
      <c r="I812">
        <v>0</v>
      </c>
    </row>
    <row r="813" spans="1:9" hidden="1" x14ac:dyDescent="0.3">
      <c r="A813">
        <v>75</v>
      </c>
      <c r="B813" s="168" t="s">
        <v>113</v>
      </c>
      <c r="C813" s="168" t="s">
        <v>114</v>
      </c>
      <c r="D813">
        <v>3455.5</v>
      </c>
      <c r="E813">
        <v>2020</v>
      </c>
      <c r="F813" s="168" t="s">
        <v>593</v>
      </c>
      <c r="G813" s="168" t="s">
        <v>612</v>
      </c>
      <c r="H813" s="168" t="s">
        <v>609</v>
      </c>
      <c r="I813">
        <v>4329.9661378300925</v>
      </c>
    </row>
    <row r="814" spans="1:9" hidden="1" x14ac:dyDescent="0.3">
      <c r="A814">
        <v>75</v>
      </c>
      <c r="B814" s="168" t="s">
        <v>113</v>
      </c>
      <c r="C814" s="168" t="s">
        <v>114</v>
      </c>
      <c r="D814">
        <v>3455.5</v>
      </c>
      <c r="E814">
        <v>2020</v>
      </c>
      <c r="F814" s="168" t="s">
        <v>593</v>
      </c>
      <c r="G814" s="168" t="s">
        <v>616</v>
      </c>
      <c r="H814" s="168" t="s">
        <v>608</v>
      </c>
      <c r="I814">
        <v>0</v>
      </c>
    </row>
    <row r="815" spans="1:9" hidden="1" x14ac:dyDescent="0.3">
      <c r="A815">
        <v>75</v>
      </c>
      <c r="B815" s="168" t="s">
        <v>113</v>
      </c>
      <c r="C815" s="168" t="s">
        <v>114</v>
      </c>
      <c r="D815">
        <v>3455.5</v>
      </c>
      <c r="E815">
        <v>2020</v>
      </c>
      <c r="F815" s="168" t="s">
        <v>593</v>
      </c>
      <c r="G815" s="168" t="s">
        <v>616</v>
      </c>
      <c r="H815" s="168" t="s">
        <v>609</v>
      </c>
      <c r="I815">
        <v>661278.9602503319</v>
      </c>
    </row>
    <row r="816" spans="1:9" hidden="1" x14ac:dyDescent="0.3">
      <c r="A816">
        <v>75</v>
      </c>
      <c r="B816" s="168" t="s">
        <v>113</v>
      </c>
      <c r="C816" s="168" t="s">
        <v>114</v>
      </c>
      <c r="D816">
        <v>3455.5</v>
      </c>
      <c r="E816">
        <v>2020</v>
      </c>
      <c r="F816" s="168" t="s">
        <v>593</v>
      </c>
      <c r="G816" s="168" t="s">
        <v>617</v>
      </c>
      <c r="H816" s="168" t="s">
        <v>608</v>
      </c>
      <c r="I816">
        <v>2333.9543956955495</v>
      </c>
    </row>
    <row r="817" spans="1:9" hidden="1" x14ac:dyDescent="0.3">
      <c r="A817">
        <v>75</v>
      </c>
      <c r="B817" s="168" t="s">
        <v>113</v>
      </c>
      <c r="C817" s="168" t="s">
        <v>114</v>
      </c>
      <c r="D817">
        <v>3455.5</v>
      </c>
      <c r="E817">
        <v>2020</v>
      </c>
      <c r="F817" s="168" t="s">
        <v>593</v>
      </c>
      <c r="G817" s="168" t="s">
        <v>617</v>
      </c>
      <c r="H817" s="168" t="s">
        <v>609</v>
      </c>
      <c r="I817">
        <v>1750.4657967716621</v>
      </c>
    </row>
    <row r="818" spans="1:9" hidden="1" x14ac:dyDescent="0.3">
      <c r="A818">
        <v>75</v>
      </c>
      <c r="B818" s="168" t="s">
        <v>113</v>
      </c>
      <c r="C818" s="168" t="s">
        <v>114</v>
      </c>
      <c r="D818">
        <v>3455.5</v>
      </c>
      <c r="E818">
        <v>2020</v>
      </c>
      <c r="F818" s="168" t="s">
        <v>593</v>
      </c>
      <c r="G818" s="168" t="s">
        <v>618</v>
      </c>
      <c r="H818" s="168" t="s">
        <v>608</v>
      </c>
      <c r="I818">
        <v>0</v>
      </c>
    </row>
    <row r="819" spans="1:9" hidden="1" x14ac:dyDescent="0.3">
      <c r="A819">
        <v>75</v>
      </c>
      <c r="B819" s="168" t="s">
        <v>113</v>
      </c>
      <c r="C819" s="168" t="s">
        <v>114</v>
      </c>
      <c r="D819">
        <v>3455.5</v>
      </c>
      <c r="E819">
        <v>2020</v>
      </c>
      <c r="F819" s="168" t="s">
        <v>593</v>
      </c>
      <c r="G819" s="168" t="s">
        <v>618</v>
      </c>
      <c r="H819" s="168" t="s">
        <v>609</v>
      </c>
      <c r="I819">
        <v>324045.84000000003</v>
      </c>
    </row>
    <row r="820" spans="1:9" hidden="1" x14ac:dyDescent="0.3">
      <c r="A820">
        <v>75</v>
      </c>
      <c r="B820" s="168" t="s">
        <v>113</v>
      </c>
      <c r="C820" s="168" t="s">
        <v>114</v>
      </c>
      <c r="D820">
        <v>3455.5</v>
      </c>
      <c r="E820">
        <v>2020</v>
      </c>
      <c r="F820" s="168" t="s">
        <v>593</v>
      </c>
      <c r="G820" s="168" t="s">
        <v>610</v>
      </c>
      <c r="H820" s="168" t="s">
        <v>608</v>
      </c>
      <c r="I820">
        <v>0</v>
      </c>
    </row>
    <row r="821" spans="1:9" hidden="1" x14ac:dyDescent="0.3">
      <c r="A821">
        <v>75</v>
      </c>
      <c r="B821" s="168" t="s">
        <v>113</v>
      </c>
      <c r="C821" s="168" t="s">
        <v>114</v>
      </c>
      <c r="D821">
        <v>3455.5</v>
      </c>
      <c r="E821">
        <v>2020</v>
      </c>
      <c r="F821" s="168" t="s">
        <v>593</v>
      </c>
      <c r="G821" s="168" t="s">
        <v>610</v>
      </c>
      <c r="H821" s="168" t="s">
        <v>609</v>
      </c>
      <c r="I821">
        <v>3272.7272727272725</v>
      </c>
    </row>
    <row r="822" spans="1:9" hidden="1" x14ac:dyDescent="0.3">
      <c r="A822">
        <v>75</v>
      </c>
      <c r="B822" s="168" t="s">
        <v>113</v>
      </c>
      <c r="C822" s="168" t="s">
        <v>114</v>
      </c>
      <c r="D822">
        <v>3455.5</v>
      </c>
      <c r="E822">
        <v>2020</v>
      </c>
      <c r="F822" s="168" t="s">
        <v>593</v>
      </c>
      <c r="G822" s="168" t="s">
        <v>620</v>
      </c>
      <c r="H822" s="168" t="s">
        <v>608</v>
      </c>
      <c r="I822">
        <v>76952.529032258055</v>
      </c>
    </row>
    <row r="823" spans="1:9" hidden="1" x14ac:dyDescent="0.3">
      <c r="A823">
        <v>75</v>
      </c>
      <c r="B823" s="168" t="s">
        <v>113</v>
      </c>
      <c r="C823" s="168" t="s">
        <v>114</v>
      </c>
      <c r="D823">
        <v>3455.5</v>
      </c>
      <c r="E823">
        <v>2020</v>
      </c>
      <c r="F823" s="168" t="s">
        <v>593</v>
      </c>
      <c r="G823" s="168" t="s">
        <v>620</v>
      </c>
      <c r="H823" s="168" t="s">
        <v>609</v>
      </c>
      <c r="I823">
        <v>0</v>
      </c>
    </row>
    <row r="824" spans="1:9" hidden="1" x14ac:dyDescent="0.3">
      <c r="A824">
        <v>75</v>
      </c>
      <c r="B824" s="168" t="s">
        <v>113</v>
      </c>
      <c r="C824" s="168" t="s">
        <v>114</v>
      </c>
      <c r="D824">
        <v>3455.5</v>
      </c>
      <c r="E824">
        <v>2020</v>
      </c>
      <c r="F824" s="168" t="s">
        <v>593</v>
      </c>
      <c r="G824" s="168" t="s">
        <v>625</v>
      </c>
      <c r="H824" s="168" t="s">
        <v>608</v>
      </c>
      <c r="I824">
        <v>0</v>
      </c>
    </row>
    <row r="825" spans="1:9" hidden="1" x14ac:dyDescent="0.3">
      <c r="A825">
        <v>75</v>
      </c>
      <c r="B825" s="168" t="s">
        <v>113</v>
      </c>
      <c r="C825" s="168" t="s">
        <v>114</v>
      </c>
      <c r="D825">
        <v>3455.5</v>
      </c>
      <c r="E825">
        <v>2020</v>
      </c>
      <c r="F825" s="168" t="s">
        <v>593</v>
      </c>
      <c r="G825" s="168" t="s">
        <v>625</v>
      </c>
      <c r="H825" s="168" t="s">
        <v>609</v>
      </c>
      <c r="I825">
        <v>247500</v>
      </c>
    </row>
    <row r="826" spans="1:9" hidden="1" x14ac:dyDescent="0.3">
      <c r="A826">
        <v>75</v>
      </c>
      <c r="B826" s="168" t="s">
        <v>113</v>
      </c>
      <c r="C826" s="168" t="s">
        <v>114</v>
      </c>
      <c r="D826">
        <v>3455.5</v>
      </c>
      <c r="E826">
        <v>2020</v>
      </c>
      <c r="F826" s="168" t="s">
        <v>593</v>
      </c>
      <c r="G826" s="168" t="s">
        <v>624</v>
      </c>
      <c r="H826" s="168" t="s">
        <v>608</v>
      </c>
      <c r="I826">
        <v>51663.720676807621</v>
      </c>
    </row>
    <row r="827" spans="1:9" hidden="1" x14ac:dyDescent="0.3">
      <c r="A827">
        <v>75</v>
      </c>
      <c r="B827" s="168" t="s">
        <v>113</v>
      </c>
      <c r="C827" s="168" t="s">
        <v>114</v>
      </c>
      <c r="D827">
        <v>3455.5</v>
      </c>
      <c r="E827">
        <v>2020</v>
      </c>
      <c r="F827" s="168" t="s">
        <v>593</v>
      </c>
      <c r="G827" s="168" t="s">
        <v>624</v>
      </c>
      <c r="H827" s="168" t="s">
        <v>609</v>
      </c>
      <c r="I827">
        <v>55024.138225005918</v>
      </c>
    </row>
    <row r="828" spans="1:9" hidden="1" x14ac:dyDescent="0.3">
      <c r="A828">
        <v>75</v>
      </c>
      <c r="B828" s="168" t="s">
        <v>113</v>
      </c>
      <c r="C828" s="168" t="s">
        <v>114</v>
      </c>
      <c r="D828">
        <v>3455.5</v>
      </c>
      <c r="E828">
        <v>2020</v>
      </c>
      <c r="F828" s="168" t="s">
        <v>593</v>
      </c>
      <c r="G828" s="168" t="s">
        <v>621</v>
      </c>
      <c r="H828" s="168" t="s">
        <v>608</v>
      </c>
      <c r="I828">
        <v>0</v>
      </c>
    </row>
    <row r="829" spans="1:9" hidden="1" x14ac:dyDescent="0.3">
      <c r="A829">
        <v>75</v>
      </c>
      <c r="B829" s="168" t="s">
        <v>113</v>
      </c>
      <c r="C829" s="168" t="s">
        <v>114</v>
      </c>
      <c r="D829">
        <v>3455.5</v>
      </c>
      <c r="E829">
        <v>2020</v>
      </c>
      <c r="F829" s="168" t="s">
        <v>593</v>
      </c>
      <c r="G829" s="168" t="s">
        <v>621</v>
      </c>
      <c r="H829" s="168" t="s">
        <v>609</v>
      </c>
      <c r="I829">
        <v>291603.55527485802</v>
      </c>
    </row>
    <row r="830" spans="1:9" hidden="1" x14ac:dyDescent="0.3">
      <c r="A830">
        <v>75</v>
      </c>
      <c r="B830" s="168" t="s">
        <v>113</v>
      </c>
      <c r="C830" s="168" t="s">
        <v>114</v>
      </c>
      <c r="D830">
        <v>3455.5</v>
      </c>
      <c r="E830">
        <v>2020</v>
      </c>
      <c r="F830" s="168" t="s">
        <v>593</v>
      </c>
      <c r="G830" s="168" t="s">
        <v>626</v>
      </c>
      <c r="H830" s="168" t="s">
        <v>608</v>
      </c>
      <c r="I830">
        <v>0</v>
      </c>
    </row>
    <row r="831" spans="1:9" hidden="1" x14ac:dyDescent="0.3">
      <c r="A831">
        <v>75</v>
      </c>
      <c r="B831" s="168" t="s">
        <v>113</v>
      </c>
      <c r="C831" s="168" t="s">
        <v>114</v>
      </c>
      <c r="D831">
        <v>3455.5</v>
      </c>
      <c r="E831">
        <v>2020</v>
      </c>
      <c r="F831" s="168" t="s">
        <v>593</v>
      </c>
      <c r="G831" s="168" t="s">
        <v>626</v>
      </c>
      <c r="H831" s="168" t="s">
        <v>609</v>
      </c>
      <c r="I831">
        <v>2160000</v>
      </c>
    </row>
    <row r="832" spans="1:9" hidden="1" x14ac:dyDescent="0.3">
      <c r="A832">
        <v>75</v>
      </c>
      <c r="B832" s="168" t="s">
        <v>113</v>
      </c>
      <c r="C832" s="168" t="s">
        <v>114</v>
      </c>
      <c r="D832">
        <v>3455.5</v>
      </c>
      <c r="E832">
        <v>2020</v>
      </c>
      <c r="F832" s="168" t="s">
        <v>593</v>
      </c>
      <c r="G832" s="168" t="s">
        <v>613</v>
      </c>
      <c r="H832" s="168" t="s">
        <v>608</v>
      </c>
      <c r="I832">
        <v>130438.543741392</v>
      </c>
    </row>
    <row r="833" spans="1:9" hidden="1" x14ac:dyDescent="0.3">
      <c r="A833">
        <v>75</v>
      </c>
      <c r="B833" s="168" t="s">
        <v>113</v>
      </c>
      <c r="C833" s="168" t="s">
        <v>114</v>
      </c>
      <c r="D833">
        <v>3455.5</v>
      </c>
      <c r="E833">
        <v>2020</v>
      </c>
      <c r="F833" s="168" t="s">
        <v>593</v>
      </c>
      <c r="G833" s="168" t="s">
        <v>613</v>
      </c>
      <c r="H833" s="168" t="s">
        <v>609</v>
      </c>
      <c r="I833">
        <v>26475.111042025688</v>
      </c>
    </row>
    <row r="834" spans="1:9" hidden="1" x14ac:dyDescent="0.3">
      <c r="A834">
        <v>76</v>
      </c>
      <c r="B834" s="168" t="s">
        <v>115</v>
      </c>
      <c r="C834" s="168" t="s">
        <v>116</v>
      </c>
      <c r="D834">
        <v>2482.1</v>
      </c>
      <c r="E834">
        <v>2020</v>
      </c>
      <c r="F834" s="168" t="s">
        <v>593</v>
      </c>
      <c r="G834" s="168" t="s">
        <v>607</v>
      </c>
      <c r="H834" s="168" t="s">
        <v>608</v>
      </c>
      <c r="I834">
        <v>27098.639999999999</v>
      </c>
    </row>
    <row r="835" spans="1:9" hidden="1" x14ac:dyDescent="0.3">
      <c r="A835">
        <v>76</v>
      </c>
      <c r="B835" s="168" t="s">
        <v>115</v>
      </c>
      <c r="C835" s="168" t="s">
        <v>116</v>
      </c>
      <c r="D835">
        <v>2482.1</v>
      </c>
      <c r="E835">
        <v>2020</v>
      </c>
      <c r="F835" s="168" t="s">
        <v>593</v>
      </c>
      <c r="G835" s="168" t="s">
        <v>607</v>
      </c>
      <c r="H835" s="168" t="s">
        <v>609</v>
      </c>
      <c r="I835">
        <v>404119.33675441972</v>
      </c>
    </row>
    <row r="836" spans="1:9" hidden="1" x14ac:dyDescent="0.3">
      <c r="A836">
        <v>76</v>
      </c>
      <c r="B836" s="168" t="s">
        <v>115</v>
      </c>
      <c r="C836" s="168" t="s">
        <v>116</v>
      </c>
      <c r="D836">
        <v>2482.1</v>
      </c>
      <c r="E836">
        <v>2020</v>
      </c>
      <c r="F836" s="168" t="s">
        <v>593</v>
      </c>
      <c r="G836" s="168" t="s">
        <v>612</v>
      </c>
      <c r="H836" s="168" t="s">
        <v>608</v>
      </c>
      <c r="I836">
        <v>0</v>
      </c>
    </row>
    <row r="837" spans="1:9" hidden="1" x14ac:dyDescent="0.3">
      <c r="A837">
        <v>76</v>
      </c>
      <c r="B837" s="168" t="s">
        <v>115</v>
      </c>
      <c r="C837" s="168" t="s">
        <v>116</v>
      </c>
      <c r="D837">
        <v>2482.1</v>
      </c>
      <c r="E837">
        <v>2020</v>
      </c>
      <c r="F837" s="168" t="s">
        <v>593</v>
      </c>
      <c r="G837" s="168" t="s">
        <v>612</v>
      </c>
      <c r="H837" s="168" t="s">
        <v>609</v>
      </c>
      <c r="I837">
        <v>3110.2326582862306</v>
      </c>
    </row>
    <row r="838" spans="1:9" hidden="1" x14ac:dyDescent="0.3">
      <c r="A838">
        <v>76</v>
      </c>
      <c r="B838" s="168" t="s">
        <v>115</v>
      </c>
      <c r="C838" s="168" t="s">
        <v>116</v>
      </c>
      <c r="D838">
        <v>2482.1</v>
      </c>
      <c r="E838">
        <v>2020</v>
      </c>
      <c r="F838" s="168" t="s">
        <v>593</v>
      </c>
      <c r="G838" s="168" t="s">
        <v>616</v>
      </c>
      <c r="H838" s="168" t="s">
        <v>608</v>
      </c>
      <c r="I838">
        <v>0</v>
      </c>
    </row>
    <row r="839" spans="1:9" hidden="1" x14ac:dyDescent="0.3">
      <c r="A839">
        <v>76</v>
      </c>
      <c r="B839" s="168" t="s">
        <v>115</v>
      </c>
      <c r="C839" s="168" t="s">
        <v>116</v>
      </c>
      <c r="D839">
        <v>2482.1</v>
      </c>
      <c r="E839">
        <v>2020</v>
      </c>
      <c r="F839" s="168" t="s">
        <v>593</v>
      </c>
      <c r="G839" s="168" t="s">
        <v>616</v>
      </c>
      <c r="H839" s="168" t="s">
        <v>609</v>
      </c>
      <c r="I839">
        <v>970782.84652798995</v>
      </c>
    </row>
    <row r="840" spans="1:9" hidden="1" x14ac:dyDescent="0.3">
      <c r="A840">
        <v>76</v>
      </c>
      <c r="B840" s="168" t="s">
        <v>115</v>
      </c>
      <c r="C840" s="168" t="s">
        <v>116</v>
      </c>
      <c r="D840">
        <v>2482.1</v>
      </c>
      <c r="E840">
        <v>2020</v>
      </c>
      <c r="F840" s="168" t="s">
        <v>593</v>
      </c>
      <c r="G840" s="168" t="s">
        <v>617</v>
      </c>
      <c r="H840" s="168" t="s">
        <v>608</v>
      </c>
      <c r="I840">
        <v>1676.4891348736573</v>
      </c>
    </row>
    <row r="841" spans="1:9" hidden="1" x14ac:dyDescent="0.3">
      <c r="A841">
        <v>76</v>
      </c>
      <c r="B841" s="168" t="s">
        <v>115</v>
      </c>
      <c r="C841" s="168" t="s">
        <v>116</v>
      </c>
      <c r="D841">
        <v>2482.1</v>
      </c>
      <c r="E841">
        <v>2020</v>
      </c>
      <c r="F841" s="168" t="s">
        <v>593</v>
      </c>
      <c r="G841" s="168" t="s">
        <v>617</v>
      </c>
      <c r="H841" s="168" t="s">
        <v>609</v>
      </c>
      <c r="I841">
        <v>1257.366851155243</v>
      </c>
    </row>
    <row r="842" spans="1:9" hidden="1" x14ac:dyDescent="0.3">
      <c r="A842">
        <v>76</v>
      </c>
      <c r="B842" s="168" t="s">
        <v>115</v>
      </c>
      <c r="C842" s="168" t="s">
        <v>116</v>
      </c>
      <c r="D842">
        <v>2482.1</v>
      </c>
      <c r="E842">
        <v>2020</v>
      </c>
      <c r="F842" s="168" t="s">
        <v>593</v>
      </c>
      <c r="G842" s="168" t="s">
        <v>618</v>
      </c>
      <c r="H842" s="168" t="s">
        <v>608</v>
      </c>
      <c r="I842">
        <v>0</v>
      </c>
    </row>
    <row r="843" spans="1:9" hidden="1" x14ac:dyDescent="0.3">
      <c r="A843">
        <v>76</v>
      </c>
      <c r="B843" s="168" t="s">
        <v>115</v>
      </c>
      <c r="C843" s="168" t="s">
        <v>116</v>
      </c>
      <c r="D843">
        <v>2482.1</v>
      </c>
      <c r="E843">
        <v>2020</v>
      </c>
      <c r="F843" s="168" t="s">
        <v>593</v>
      </c>
      <c r="G843" s="168" t="s">
        <v>618</v>
      </c>
      <c r="H843" s="168" t="s">
        <v>609</v>
      </c>
      <c r="I843">
        <v>149400</v>
      </c>
    </row>
    <row r="844" spans="1:9" hidden="1" x14ac:dyDescent="0.3">
      <c r="A844">
        <v>76</v>
      </c>
      <c r="B844" s="168" t="s">
        <v>115</v>
      </c>
      <c r="C844" s="168" t="s">
        <v>116</v>
      </c>
      <c r="D844">
        <v>2482.1</v>
      </c>
      <c r="E844">
        <v>2020</v>
      </c>
      <c r="F844" s="168" t="s">
        <v>593</v>
      </c>
      <c r="G844" s="168" t="s">
        <v>610</v>
      </c>
      <c r="H844" s="168" t="s">
        <v>608</v>
      </c>
      <c r="I844">
        <v>0</v>
      </c>
    </row>
    <row r="845" spans="1:9" hidden="1" x14ac:dyDescent="0.3">
      <c r="A845">
        <v>76</v>
      </c>
      <c r="B845" s="168" t="s">
        <v>115</v>
      </c>
      <c r="C845" s="168" t="s">
        <v>116</v>
      </c>
      <c r="D845">
        <v>2482.1</v>
      </c>
      <c r="E845">
        <v>2020</v>
      </c>
      <c r="F845" s="168" t="s">
        <v>593</v>
      </c>
      <c r="G845" s="168" t="s">
        <v>610</v>
      </c>
      <c r="H845" s="168" t="s">
        <v>609</v>
      </c>
      <c r="I845">
        <v>3272.7272727272725</v>
      </c>
    </row>
    <row r="846" spans="1:9" hidden="1" x14ac:dyDescent="0.3">
      <c r="A846">
        <v>76</v>
      </c>
      <c r="B846" s="168" t="s">
        <v>115</v>
      </c>
      <c r="C846" s="168" t="s">
        <v>116</v>
      </c>
      <c r="D846">
        <v>2482.1</v>
      </c>
      <c r="E846">
        <v>2020</v>
      </c>
      <c r="F846" s="168" t="s">
        <v>593</v>
      </c>
      <c r="G846" s="168" t="s">
        <v>620</v>
      </c>
      <c r="H846" s="168" t="s">
        <v>608</v>
      </c>
      <c r="I846">
        <v>76952.529032258055</v>
      </c>
    </row>
    <row r="847" spans="1:9" hidden="1" x14ac:dyDescent="0.3">
      <c r="A847">
        <v>76</v>
      </c>
      <c r="B847" s="168" t="s">
        <v>115</v>
      </c>
      <c r="C847" s="168" t="s">
        <v>116</v>
      </c>
      <c r="D847">
        <v>2482.1</v>
      </c>
      <c r="E847">
        <v>2020</v>
      </c>
      <c r="F847" s="168" t="s">
        <v>593</v>
      </c>
      <c r="G847" s="168" t="s">
        <v>620</v>
      </c>
      <c r="H847" s="168" t="s">
        <v>609</v>
      </c>
      <c r="I847">
        <v>0</v>
      </c>
    </row>
    <row r="848" spans="1:9" hidden="1" x14ac:dyDescent="0.3">
      <c r="A848">
        <v>76</v>
      </c>
      <c r="B848" s="168" t="s">
        <v>115</v>
      </c>
      <c r="C848" s="168" t="s">
        <v>116</v>
      </c>
      <c r="D848">
        <v>2482.1</v>
      </c>
      <c r="E848">
        <v>2020</v>
      </c>
      <c r="F848" s="168" t="s">
        <v>593</v>
      </c>
      <c r="G848" s="168" t="s">
        <v>633</v>
      </c>
      <c r="H848" s="168" t="s">
        <v>608</v>
      </c>
      <c r="I848">
        <v>0</v>
      </c>
    </row>
    <row r="849" spans="1:9" hidden="1" x14ac:dyDescent="0.3">
      <c r="A849">
        <v>76</v>
      </c>
      <c r="B849" s="168" t="s">
        <v>115</v>
      </c>
      <c r="C849" s="168" t="s">
        <v>116</v>
      </c>
      <c r="D849">
        <v>2482.1</v>
      </c>
      <c r="E849">
        <v>2020</v>
      </c>
      <c r="F849" s="168" t="s">
        <v>593</v>
      </c>
      <c r="G849" s="168" t="s">
        <v>633</v>
      </c>
      <c r="H849" s="168" t="s">
        <v>609</v>
      </c>
      <c r="I849">
        <v>66106.194690265489</v>
      </c>
    </row>
    <row r="850" spans="1:9" hidden="1" x14ac:dyDescent="0.3">
      <c r="A850">
        <v>76</v>
      </c>
      <c r="B850" s="168" t="s">
        <v>115</v>
      </c>
      <c r="C850" s="168" t="s">
        <v>116</v>
      </c>
      <c r="D850">
        <v>2482.1</v>
      </c>
      <c r="E850">
        <v>2020</v>
      </c>
      <c r="F850" s="168" t="s">
        <v>593</v>
      </c>
      <c r="G850" s="168" t="s">
        <v>625</v>
      </c>
      <c r="H850" s="168" t="s">
        <v>608</v>
      </c>
      <c r="I850">
        <v>0</v>
      </c>
    </row>
    <row r="851" spans="1:9" hidden="1" x14ac:dyDescent="0.3">
      <c r="A851">
        <v>76</v>
      </c>
      <c r="B851" s="168" t="s">
        <v>115</v>
      </c>
      <c r="C851" s="168" t="s">
        <v>116</v>
      </c>
      <c r="D851">
        <v>2482.1</v>
      </c>
      <c r="E851">
        <v>2020</v>
      </c>
      <c r="F851" s="168" t="s">
        <v>593</v>
      </c>
      <c r="G851" s="168" t="s">
        <v>625</v>
      </c>
      <c r="H851" s="168" t="s">
        <v>609</v>
      </c>
      <c r="I851">
        <v>247500</v>
      </c>
    </row>
    <row r="852" spans="1:9" hidden="1" x14ac:dyDescent="0.3">
      <c r="A852">
        <v>76</v>
      </c>
      <c r="B852" s="168" t="s">
        <v>115</v>
      </c>
      <c r="C852" s="168" t="s">
        <v>116</v>
      </c>
      <c r="D852">
        <v>2482.1</v>
      </c>
      <c r="E852">
        <v>2020</v>
      </c>
      <c r="F852" s="168" t="s">
        <v>593</v>
      </c>
      <c r="G852" s="168" t="s">
        <v>624</v>
      </c>
      <c r="H852" s="168" t="s">
        <v>608</v>
      </c>
      <c r="I852">
        <v>37110.26511124416</v>
      </c>
    </row>
    <row r="853" spans="1:9" hidden="1" x14ac:dyDescent="0.3">
      <c r="A853">
        <v>76</v>
      </c>
      <c r="B853" s="168" t="s">
        <v>115</v>
      </c>
      <c r="C853" s="168" t="s">
        <v>116</v>
      </c>
      <c r="D853">
        <v>2482.1</v>
      </c>
      <c r="E853">
        <v>2020</v>
      </c>
      <c r="F853" s="168" t="s">
        <v>593</v>
      </c>
      <c r="G853" s="168" t="s">
        <v>624</v>
      </c>
      <c r="H853" s="168" t="s">
        <v>609</v>
      </c>
      <c r="I853">
        <v>39524.066991256601</v>
      </c>
    </row>
    <row r="854" spans="1:9" hidden="1" x14ac:dyDescent="0.3">
      <c r="A854">
        <v>76</v>
      </c>
      <c r="B854" s="168" t="s">
        <v>115</v>
      </c>
      <c r="C854" s="168" t="s">
        <v>116</v>
      </c>
      <c r="D854">
        <v>2482.1</v>
      </c>
      <c r="E854">
        <v>2020</v>
      </c>
      <c r="F854" s="168" t="s">
        <v>593</v>
      </c>
      <c r="G854" s="168" t="s">
        <v>621</v>
      </c>
      <c r="H854" s="168" t="s">
        <v>608</v>
      </c>
      <c r="I854">
        <v>0</v>
      </c>
    </row>
    <row r="855" spans="1:9" hidden="1" x14ac:dyDescent="0.3">
      <c r="A855">
        <v>76</v>
      </c>
      <c r="B855" s="168" t="s">
        <v>115</v>
      </c>
      <c r="C855" s="168" t="s">
        <v>116</v>
      </c>
      <c r="D855">
        <v>2482.1</v>
      </c>
      <c r="E855">
        <v>2020</v>
      </c>
      <c r="F855" s="168" t="s">
        <v>593</v>
      </c>
      <c r="G855" s="168" t="s">
        <v>621</v>
      </c>
      <c r="H855" s="168" t="s">
        <v>609</v>
      </c>
      <c r="I855">
        <v>307210.714725142</v>
      </c>
    </row>
    <row r="856" spans="1:9" hidden="1" x14ac:dyDescent="0.3">
      <c r="A856">
        <v>76</v>
      </c>
      <c r="B856" s="168" t="s">
        <v>115</v>
      </c>
      <c r="C856" s="168" t="s">
        <v>116</v>
      </c>
      <c r="D856">
        <v>2482.1</v>
      </c>
      <c r="E856">
        <v>2020</v>
      </c>
      <c r="F856" s="168" t="s">
        <v>593</v>
      </c>
      <c r="G856" s="168" t="s">
        <v>613</v>
      </c>
      <c r="H856" s="168" t="s">
        <v>608</v>
      </c>
      <c r="I856">
        <v>93694.547654611219</v>
      </c>
    </row>
    <row r="857" spans="1:9" hidden="1" x14ac:dyDescent="0.3">
      <c r="A857">
        <v>76</v>
      </c>
      <c r="B857" s="168" t="s">
        <v>115</v>
      </c>
      <c r="C857" s="168" t="s">
        <v>116</v>
      </c>
      <c r="D857">
        <v>2482.1</v>
      </c>
      <c r="E857">
        <v>2020</v>
      </c>
      <c r="F857" s="168" t="s">
        <v>593</v>
      </c>
      <c r="G857" s="168" t="s">
        <v>613</v>
      </c>
      <c r="H857" s="168" t="s">
        <v>609</v>
      </c>
      <c r="I857">
        <v>19017.182207325124</v>
      </c>
    </row>
    <row r="858" spans="1:9" hidden="1" x14ac:dyDescent="0.3">
      <c r="A858">
        <v>77</v>
      </c>
      <c r="B858" s="168" t="s">
        <v>117</v>
      </c>
      <c r="C858" s="168" t="s">
        <v>118</v>
      </c>
      <c r="D858">
        <v>404.9</v>
      </c>
      <c r="E858">
        <v>2020</v>
      </c>
      <c r="F858" s="168" t="s">
        <v>593</v>
      </c>
      <c r="G858" s="168" t="s">
        <v>607</v>
      </c>
      <c r="H858" s="168" t="s">
        <v>608</v>
      </c>
      <c r="I858">
        <v>54197.279999999999</v>
      </c>
    </row>
    <row r="859" spans="1:9" hidden="1" x14ac:dyDescent="0.3">
      <c r="A859">
        <v>77</v>
      </c>
      <c r="B859" s="168" t="s">
        <v>117</v>
      </c>
      <c r="C859" s="168" t="s">
        <v>118</v>
      </c>
      <c r="D859">
        <v>404.9</v>
      </c>
      <c r="E859">
        <v>2020</v>
      </c>
      <c r="F859" s="168" t="s">
        <v>593</v>
      </c>
      <c r="G859" s="168" t="s">
        <v>607</v>
      </c>
      <c r="H859" s="168" t="s">
        <v>609</v>
      </c>
      <c r="I859">
        <v>0</v>
      </c>
    </row>
    <row r="860" spans="1:9" hidden="1" x14ac:dyDescent="0.3">
      <c r="A860">
        <v>77</v>
      </c>
      <c r="B860" s="168" t="s">
        <v>117</v>
      </c>
      <c r="C860" s="168" t="s">
        <v>118</v>
      </c>
      <c r="D860">
        <v>404.9</v>
      </c>
      <c r="E860">
        <v>2020</v>
      </c>
      <c r="F860" s="168" t="s">
        <v>593</v>
      </c>
      <c r="G860" s="168" t="s">
        <v>612</v>
      </c>
      <c r="H860" s="168" t="s">
        <v>608</v>
      </c>
      <c r="I860">
        <v>0</v>
      </c>
    </row>
    <row r="861" spans="1:9" hidden="1" x14ac:dyDescent="0.3">
      <c r="A861">
        <v>77</v>
      </c>
      <c r="B861" s="168" t="s">
        <v>117</v>
      </c>
      <c r="C861" s="168" t="s">
        <v>118</v>
      </c>
      <c r="D861">
        <v>404.9</v>
      </c>
      <c r="E861">
        <v>2020</v>
      </c>
      <c r="F861" s="168" t="s">
        <v>593</v>
      </c>
      <c r="G861" s="168" t="s">
        <v>612</v>
      </c>
      <c r="H861" s="168" t="s">
        <v>609</v>
      </c>
      <c r="I861">
        <v>507.36602205394416</v>
      </c>
    </row>
    <row r="862" spans="1:9" hidden="1" x14ac:dyDescent="0.3">
      <c r="A862">
        <v>77</v>
      </c>
      <c r="B862" s="168" t="s">
        <v>117</v>
      </c>
      <c r="C862" s="168" t="s">
        <v>118</v>
      </c>
      <c r="D862">
        <v>404.9</v>
      </c>
      <c r="E862">
        <v>2020</v>
      </c>
      <c r="F862" s="168" t="s">
        <v>593</v>
      </c>
      <c r="G862" s="168" t="s">
        <v>611</v>
      </c>
      <c r="H862" s="168" t="s">
        <v>608</v>
      </c>
      <c r="I862">
        <v>0</v>
      </c>
    </row>
    <row r="863" spans="1:9" hidden="1" x14ac:dyDescent="0.3">
      <c r="A863">
        <v>77</v>
      </c>
      <c r="B863" s="168" t="s">
        <v>117</v>
      </c>
      <c r="C863" s="168" t="s">
        <v>118</v>
      </c>
      <c r="D863">
        <v>404.9</v>
      </c>
      <c r="E863">
        <v>2020</v>
      </c>
      <c r="F863" s="168" t="s">
        <v>593</v>
      </c>
      <c r="G863" s="168" t="s">
        <v>611</v>
      </c>
      <c r="H863" s="168" t="s">
        <v>609</v>
      </c>
      <c r="I863">
        <v>2884.5984934354437</v>
      </c>
    </row>
    <row r="864" spans="1:9" x14ac:dyDescent="0.3">
      <c r="A864">
        <v>78</v>
      </c>
      <c r="B864" s="168" t="s">
        <v>119</v>
      </c>
      <c r="C864" s="168" t="s">
        <v>120</v>
      </c>
      <c r="D864">
        <v>5741.2</v>
      </c>
      <c r="E864">
        <v>2020</v>
      </c>
      <c r="F864" s="168" t="s">
        <v>592</v>
      </c>
      <c r="G864" s="168" t="s">
        <v>612</v>
      </c>
      <c r="H864" s="168" t="s">
        <v>608</v>
      </c>
      <c r="I864">
        <v>0</v>
      </c>
    </row>
    <row r="865" spans="1:9" x14ac:dyDescent="0.3">
      <c r="A865">
        <v>78</v>
      </c>
      <c r="B865" s="168" t="s">
        <v>119</v>
      </c>
      <c r="C865" s="168" t="s">
        <v>120</v>
      </c>
      <c r="D865">
        <v>5741.2</v>
      </c>
      <c r="E865">
        <v>2020</v>
      </c>
      <c r="F865" s="168" t="s">
        <v>592</v>
      </c>
      <c r="G865" s="168" t="s">
        <v>612</v>
      </c>
      <c r="H865" s="168" t="s">
        <v>609</v>
      </c>
      <c r="I865">
        <v>7194.096828392454</v>
      </c>
    </row>
    <row r="866" spans="1:9" x14ac:dyDescent="0.3">
      <c r="A866">
        <v>78</v>
      </c>
      <c r="B866" s="168" t="s">
        <v>119</v>
      </c>
      <c r="C866" s="168" t="s">
        <v>120</v>
      </c>
      <c r="D866">
        <v>5741.2</v>
      </c>
      <c r="E866">
        <v>2020</v>
      </c>
      <c r="F866" s="168" t="s">
        <v>592</v>
      </c>
      <c r="G866" s="168" t="s">
        <v>617</v>
      </c>
      <c r="H866" s="168" t="s">
        <v>608</v>
      </c>
      <c r="I866">
        <v>3877.7887358030061</v>
      </c>
    </row>
    <row r="867" spans="1:9" x14ac:dyDescent="0.3">
      <c r="A867">
        <v>78</v>
      </c>
      <c r="B867" s="168" t="s">
        <v>119</v>
      </c>
      <c r="C867" s="168" t="s">
        <v>120</v>
      </c>
      <c r="D867">
        <v>5741.2</v>
      </c>
      <c r="E867">
        <v>2020</v>
      </c>
      <c r="F867" s="168" t="s">
        <v>592</v>
      </c>
      <c r="G867" s="168" t="s">
        <v>617</v>
      </c>
      <c r="H867" s="168" t="s">
        <v>609</v>
      </c>
      <c r="I867">
        <v>2908.3415518522547</v>
      </c>
    </row>
    <row r="868" spans="1:9" x14ac:dyDescent="0.3">
      <c r="A868">
        <v>78</v>
      </c>
      <c r="B868" s="168" t="s">
        <v>119</v>
      </c>
      <c r="C868" s="168" t="s">
        <v>120</v>
      </c>
      <c r="D868">
        <v>5741.2</v>
      </c>
      <c r="E868">
        <v>2020</v>
      </c>
      <c r="F868" s="168" t="s">
        <v>592</v>
      </c>
      <c r="G868" s="168" t="s">
        <v>610</v>
      </c>
      <c r="H868" s="168" t="s">
        <v>608</v>
      </c>
      <c r="I868">
        <v>0</v>
      </c>
    </row>
    <row r="869" spans="1:9" x14ac:dyDescent="0.3">
      <c r="A869">
        <v>78</v>
      </c>
      <c r="B869" s="168" t="s">
        <v>119</v>
      </c>
      <c r="C869" s="168" t="s">
        <v>120</v>
      </c>
      <c r="D869">
        <v>5741.2</v>
      </c>
      <c r="E869">
        <v>2020</v>
      </c>
      <c r="F869" s="168" t="s">
        <v>592</v>
      </c>
      <c r="G869" s="168" t="s">
        <v>610</v>
      </c>
      <c r="H869" s="168" t="s">
        <v>609</v>
      </c>
      <c r="I869">
        <v>6545.454545454545</v>
      </c>
    </row>
    <row r="870" spans="1:9" x14ac:dyDescent="0.3">
      <c r="A870">
        <v>78</v>
      </c>
      <c r="B870" s="168" t="s">
        <v>119</v>
      </c>
      <c r="C870" s="168" t="s">
        <v>120</v>
      </c>
      <c r="D870">
        <v>5741.2</v>
      </c>
      <c r="E870">
        <v>2020</v>
      </c>
      <c r="F870" s="168" t="s">
        <v>592</v>
      </c>
      <c r="G870" s="168" t="s">
        <v>620</v>
      </c>
      <c r="H870" s="168" t="s">
        <v>608</v>
      </c>
      <c r="I870">
        <v>19238.132258064514</v>
      </c>
    </row>
    <row r="871" spans="1:9" x14ac:dyDescent="0.3">
      <c r="A871">
        <v>78</v>
      </c>
      <c r="B871" s="168" t="s">
        <v>119</v>
      </c>
      <c r="C871" s="168" t="s">
        <v>120</v>
      </c>
      <c r="D871">
        <v>5741.2</v>
      </c>
      <c r="E871">
        <v>2020</v>
      </c>
      <c r="F871" s="168" t="s">
        <v>592</v>
      </c>
      <c r="G871" s="168" t="s">
        <v>620</v>
      </c>
      <c r="H871" s="168" t="s">
        <v>609</v>
      </c>
      <c r="I871">
        <v>0</v>
      </c>
    </row>
    <row r="872" spans="1:9" x14ac:dyDescent="0.3">
      <c r="A872">
        <v>78</v>
      </c>
      <c r="B872" s="168" t="s">
        <v>119</v>
      </c>
      <c r="C872" s="168" t="s">
        <v>120</v>
      </c>
      <c r="D872">
        <v>5741.2</v>
      </c>
      <c r="E872">
        <v>2020</v>
      </c>
      <c r="F872" s="168" t="s">
        <v>592</v>
      </c>
      <c r="G872" s="168" t="s">
        <v>615</v>
      </c>
      <c r="H872" s="168" t="s">
        <v>608</v>
      </c>
      <c r="I872">
        <v>0</v>
      </c>
    </row>
    <row r="873" spans="1:9" x14ac:dyDescent="0.3">
      <c r="A873">
        <v>78</v>
      </c>
      <c r="B873" s="168" t="s">
        <v>119</v>
      </c>
      <c r="C873" s="168" t="s">
        <v>120</v>
      </c>
      <c r="D873">
        <v>5741.2</v>
      </c>
      <c r="E873">
        <v>2020</v>
      </c>
      <c r="F873" s="168" t="s">
        <v>592</v>
      </c>
      <c r="G873" s="168" t="s">
        <v>615</v>
      </c>
      <c r="H873" s="168" t="s">
        <v>609</v>
      </c>
      <c r="I873">
        <v>15073.170731707318</v>
      </c>
    </row>
    <row r="874" spans="1:9" x14ac:dyDescent="0.3">
      <c r="A874">
        <v>78</v>
      </c>
      <c r="B874" s="168" t="s">
        <v>119</v>
      </c>
      <c r="C874" s="168" t="s">
        <v>120</v>
      </c>
      <c r="D874">
        <v>5741.2</v>
      </c>
      <c r="E874">
        <v>2020</v>
      </c>
      <c r="F874" s="168" t="s">
        <v>592</v>
      </c>
      <c r="G874" s="168" t="s">
        <v>624</v>
      </c>
      <c r="H874" s="168" t="s">
        <v>608</v>
      </c>
      <c r="I874">
        <v>107403.78907200749</v>
      </c>
    </row>
    <row r="875" spans="1:9" x14ac:dyDescent="0.3">
      <c r="A875">
        <v>78</v>
      </c>
      <c r="B875" s="168" t="s">
        <v>119</v>
      </c>
      <c r="C875" s="168" t="s">
        <v>120</v>
      </c>
      <c r="D875">
        <v>5741.2</v>
      </c>
      <c r="E875">
        <v>2020</v>
      </c>
      <c r="F875" s="168" t="s">
        <v>592</v>
      </c>
      <c r="G875" s="168" t="s">
        <v>624</v>
      </c>
      <c r="H875" s="168" t="s">
        <v>609</v>
      </c>
      <c r="I875">
        <v>112987.01269455589</v>
      </c>
    </row>
    <row r="876" spans="1:9" x14ac:dyDescent="0.3">
      <c r="A876">
        <v>78</v>
      </c>
      <c r="B876" s="168" t="s">
        <v>119</v>
      </c>
      <c r="C876" s="168" t="s">
        <v>120</v>
      </c>
      <c r="D876">
        <v>5741.2</v>
      </c>
      <c r="E876">
        <v>2020</v>
      </c>
      <c r="F876" s="168" t="s">
        <v>592</v>
      </c>
      <c r="G876" s="168" t="s">
        <v>613</v>
      </c>
      <c r="H876" s="168" t="s">
        <v>608</v>
      </c>
      <c r="I876">
        <v>216719.36545451594</v>
      </c>
    </row>
    <row r="877" spans="1:9" x14ac:dyDescent="0.3">
      <c r="A877">
        <v>78</v>
      </c>
      <c r="B877" s="168" t="s">
        <v>119</v>
      </c>
      <c r="C877" s="168" t="s">
        <v>120</v>
      </c>
      <c r="D877">
        <v>5741.2</v>
      </c>
      <c r="E877">
        <v>2020</v>
      </c>
      <c r="F877" s="168" t="s">
        <v>592</v>
      </c>
      <c r="G877" s="168" t="s">
        <v>613</v>
      </c>
      <c r="H877" s="168" t="s">
        <v>609</v>
      </c>
      <c r="I877">
        <v>43987.529305303979</v>
      </c>
    </row>
    <row r="878" spans="1:9" x14ac:dyDescent="0.3">
      <c r="A878">
        <v>78</v>
      </c>
      <c r="B878" s="168" t="s">
        <v>119</v>
      </c>
      <c r="C878" s="168" t="s">
        <v>120</v>
      </c>
      <c r="D878">
        <v>5741.2</v>
      </c>
      <c r="E878">
        <v>2020</v>
      </c>
      <c r="F878" s="168" t="s">
        <v>592</v>
      </c>
      <c r="G878" s="168" t="s">
        <v>622</v>
      </c>
      <c r="H878" s="168" t="s">
        <v>608</v>
      </c>
      <c r="I878">
        <v>78457.198765190129</v>
      </c>
    </row>
    <row r="879" spans="1:9" x14ac:dyDescent="0.3">
      <c r="A879">
        <v>78</v>
      </c>
      <c r="B879" s="168" t="s">
        <v>119</v>
      </c>
      <c r="C879" s="168" t="s">
        <v>120</v>
      </c>
      <c r="D879">
        <v>5741.2</v>
      </c>
      <c r="E879">
        <v>2020</v>
      </c>
      <c r="F879" s="168" t="s">
        <v>592</v>
      </c>
      <c r="G879" s="168" t="s">
        <v>622</v>
      </c>
      <c r="H879" s="168" t="s">
        <v>609</v>
      </c>
      <c r="I879">
        <v>0</v>
      </c>
    </row>
    <row r="880" spans="1:9" hidden="1" x14ac:dyDescent="0.3">
      <c r="A880">
        <v>79</v>
      </c>
      <c r="B880" s="168" t="s">
        <v>121</v>
      </c>
      <c r="C880" s="168" t="s">
        <v>122</v>
      </c>
      <c r="D880">
        <v>9.1999999999999993</v>
      </c>
      <c r="E880">
        <v>2020</v>
      </c>
      <c r="F880" s="168" t="s">
        <v>593</v>
      </c>
      <c r="G880" s="168" t="s">
        <v>612</v>
      </c>
      <c r="H880" s="168" t="s">
        <v>608</v>
      </c>
      <c r="I880">
        <v>0</v>
      </c>
    </row>
    <row r="881" spans="1:9" hidden="1" x14ac:dyDescent="0.3">
      <c r="A881">
        <v>79</v>
      </c>
      <c r="B881" s="168" t="s">
        <v>121</v>
      </c>
      <c r="C881" s="168" t="s">
        <v>122</v>
      </c>
      <c r="D881">
        <v>9.1999999999999993</v>
      </c>
      <c r="E881">
        <v>2020</v>
      </c>
      <c r="F881" s="168" t="s">
        <v>593</v>
      </c>
      <c r="G881" s="168" t="s">
        <v>612</v>
      </c>
      <c r="H881" s="168" t="s">
        <v>609</v>
      </c>
      <c r="I881">
        <v>11.52819808075151</v>
      </c>
    </row>
    <row r="882" spans="1:9" hidden="1" x14ac:dyDescent="0.3">
      <c r="A882">
        <v>79</v>
      </c>
      <c r="B882" s="168" t="s">
        <v>121</v>
      </c>
      <c r="C882" s="168" t="s">
        <v>122</v>
      </c>
      <c r="D882">
        <v>9.1999999999999993</v>
      </c>
      <c r="E882">
        <v>2020</v>
      </c>
      <c r="F882" s="168" t="s">
        <v>593</v>
      </c>
      <c r="G882" s="168" t="s">
        <v>617</v>
      </c>
      <c r="H882" s="168" t="s">
        <v>608</v>
      </c>
      <c r="I882">
        <v>6.213972056257866</v>
      </c>
    </row>
    <row r="883" spans="1:9" hidden="1" x14ac:dyDescent="0.3">
      <c r="A883">
        <v>79</v>
      </c>
      <c r="B883" s="168" t="s">
        <v>121</v>
      </c>
      <c r="C883" s="168" t="s">
        <v>122</v>
      </c>
      <c r="D883">
        <v>9.1999999999999993</v>
      </c>
      <c r="E883">
        <v>2020</v>
      </c>
      <c r="F883" s="168" t="s">
        <v>593</v>
      </c>
      <c r="G883" s="168" t="s">
        <v>617</v>
      </c>
      <c r="H883" s="168" t="s">
        <v>609</v>
      </c>
      <c r="I883">
        <v>4.6604790421933995</v>
      </c>
    </row>
    <row r="884" spans="1:9" hidden="1" x14ac:dyDescent="0.3">
      <c r="A884">
        <v>79</v>
      </c>
      <c r="B884" s="168" t="s">
        <v>121</v>
      </c>
      <c r="C884" s="168" t="s">
        <v>122</v>
      </c>
      <c r="D884">
        <v>9.1999999999999993</v>
      </c>
      <c r="E884">
        <v>2020</v>
      </c>
      <c r="F884" s="168" t="s">
        <v>593</v>
      </c>
      <c r="G884" s="168" t="s">
        <v>624</v>
      </c>
      <c r="H884" s="168" t="s">
        <v>608</v>
      </c>
      <c r="I884">
        <v>34.558826647860464</v>
      </c>
    </row>
    <row r="885" spans="1:9" hidden="1" x14ac:dyDescent="0.3">
      <c r="A885">
        <v>79</v>
      </c>
      <c r="B885" s="168" t="s">
        <v>121</v>
      </c>
      <c r="C885" s="168" t="s">
        <v>122</v>
      </c>
      <c r="D885">
        <v>9.1999999999999993</v>
      </c>
      <c r="E885">
        <v>2020</v>
      </c>
      <c r="F885" s="168" t="s">
        <v>593</v>
      </c>
      <c r="G885" s="168" t="s">
        <v>624</v>
      </c>
      <c r="H885" s="168" t="s">
        <v>609</v>
      </c>
      <c r="I885">
        <v>34.558826647860464</v>
      </c>
    </row>
    <row r="886" spans="1:9" hidden="1" x14ac:dyDescent="0.3">
      <c r="A886">
        <v>80</v>
      </c>
      <c r="B886" s="168" t="s">
        <v>123</v>
      </c>
      <c r="C886" s="168" t="s">
        <v>124</v>
      </c>
      <c r="D886">
        <v>43</v>
      </c>
      <c r="E886">
        <v>2020</v>
      </c>
      <c r="F886" s="168" t="s">
        <v>593</v>
      </c>
      <c r="G886" s="168" t="s">
        <v>612</v>
      </c>
      <c r="H886" s="168" t="s">
        <v>608</v>
      </c>
      <c r="I886">
        <v>0</v>
      </c>
    </row>
    <row r="887" spans="1:9" hidden="1" x14ac:dyDescent="0.3">
      <c r="A887">
        <v>80</v>
      </c>
      <c r="B887" s="168" t="s">
        <v>123</v>
      </c>
      <c r="C887" s="168" t="s">
        <v>124</v>
      </c>
      <c r="D887">
        <v>43</v>
      </c>
      <c r="E887">
        <v>2020</v>
      </c>
      <c r="F887" s="168" t="s">
        <v>593</v>
      </c>
      <c r="G887" s="168" t="s">
        <v>612</v>
      </c>
      <c r="H887" s="168" t="s">
        <v>609</v>
      </c>
      <c r="I887">
        <v>53.88179537742554</v>
      </c>
    </row>
    <row r="888" spans="1:9" hidden="1" x14ac:dyDescent="0.3">
      <c r="A888">
        <v>80</v>
      </c>
      <c r="B888" s="168" t="s">
        <v>123</v>
      </c>
      <c r="C888" s="168" t="s">
        <v>124</v>
      </c>
      <c r="D888">
        <v>43</v>
      </c>
      <c r="E888">
        <v>2020</v>
      </c>
      <c r="F888" s="168" t="s">
        <v>593</v>
      </c>
      <c r="G888" s="168" t="s">
        <v>617</v>
      </c>
      <c r="H888" s="168" t="s">
        <v>608</v>
      </c>
      <c r="I888">
        <v>29.04356504555307</v>
      </c>
    </row>
    <row r="889" spans="1:9" hidden="1" x14ac:dyDescent="0.3">
      <c r="A889">
        <v>80</v>
      </c>
      <c r="B889" s="168" t="s">
        <v>123</v>
      </c>
      <c r="C889" s="168" t="s">
        <v>124</v>
      </c>
      <c r="D889">
        <v>43</v>
      </c>
      <c r="E889">
        <v>2020</v>
      </c>
      <c r="F889" s="168" t="s">
        <v>593</v>
      </c>
      <c r="G889" s="168" t="s">
        <v>617</v>
      </c>
      <c r="H889" s="168" t="s">
        <v>609</v>
      </c>
      <c r="I889">
        <v>21.782673784164803</v>
      </c>
    </row>
    <row r="890" spans="1:9" hidden="1" x14ac:dyDescent="0.3">
      <c r="A890">
        <v>80</v>
      </c>
      <c r="B890" s="168" t="s">
        <v>123</v>
      </c>
      <c r="C890" s="168" t="s">
        <v>124</v>
      </c>
      <c r="D890">
        <v>43</v>
      </c>
      <c r="E890">
        <v>2020</v>
      </c>
      <c r="F890" s="168" t="s">
        <v>593</v>
      </c>
      <c r="G890" s="168" t="s">
        <v>624</v>
      </c>
      <c r="H890" s="168" t="s">
        <v>608</v>
      </c>
      <c r="I890">
        <v>161.52495063673913</v>
      </c>
    </row>
    <row r="891" spans="1:9" hidden="1" x14ac:dyDescent="0.3">
      <c r="A891">
        <v>80</v>
      </c>
      <c r="B891" s="168" t="s">
        <v>123</v>
      </c>
      <c r="C891" s="168" t="s">
        <v>124</v>
      </c>
      <c r="D891">
        <v>43</v>
      </c>
      <c r="E891">
        <v>2020</v>
      </c>
      <c r="F891" s="168" t="s">
        <v>593</v>
      </c>
      <c r="G891" s="168" t="s">
        <v>624</v>
      </c>
      <c r="H891" s="168" t="s">
        <v>609</v>
      </c>
      <c r="I891">
        <v>161.52495063673913</v>
      </c>
    </row>
    <row r="892" spans="1:9" hidden="1" x14ac:dyDescent="0.3">
      <c r="A892">
        <v>81</v>
      </c>
      <c r="B892" s="168" t="s">
        <v>123</v>
      </c>
      <c r="C892" s="168" t="s">
        <v>125</v>
      </c>
      <c r="D892">
        <v>31.6</v>
      </c>
      <c r="E892">
        <v>2020</v>
      </c>
      <c r="F892" s="168" t="s">
        <v>593</v>
      </c>
      <c r="G892" s="168" t="s">
        <v>612</v>
      </c>
      <c r="H892" s="168" t="s">
        <v>608</v>
      </c>
      <c r="I892">
        <v>0</v>
      </c>
    </row>
    <row r="893" spans="1:9" hidden="1" x14ac:dyDescent="0.3">
      <c r="A893">
        <v>81</v>
      </c>
      <c r="B893" s="168" t="s">
        <v>123</v>
      </c>
      <c r="C893" s="168" t="s">
        <v>125</v>
      </c>
      <c r="D893">
        <v>31.6</v>
      </c>
      <c r="E893">
        <v>2020</v>
      </c>
      <c r="F893" s="168" t="s">
        <v>593</v>
      </c>
      <c r="G893" s="168" t="s">
        <v>612</v>
      </c>
      <c r="H893" s="168" t="s">
        <v>609</v>
      </c>
      <c r="I893">
        <v>39.596854277363889</v>
      </c>
    </row>
    <row r="894" spans="1:9" hidden="1" x14ac:dyDescent="0.3">
      <c r="A894">
        <v>81</v>
      </c>
      <c r="B894" s="168" t="s">
        <v>123</v>
      </c>
      <c r="C894" s="168" t="s">
        <v>125</v>
      </c>
      <c r="D894">
        <v>31.6</v>
      </c>
      <c r="E894">
        <v>2020</v>
      </c>
      <c r="F894" s="168" t="s">
        <v>593</v>
      </c>
      <c r="G894" s="168" t="s">
        <v>617</v>
      </c>
      <c r="H894" s="168" t="s">
        <v>608</v>
      </c>
      <c r="I894">
        <v>21.34364314975528</v>
      </c>
    </row>
    <row r="895" spans="1:9" hidden="1" x14ac:dyDescent="0.3">
      <c r="A895">
        <v>81</v>
      </c>
      <c r="B895" s="168" t="s">
        <v>123</v>
      </c>
      <c r="C895" s="168" t="s">
        <v>125</v>
      </c>
      <c r="D895">
        <v>31.6</v>
      </c>
      <c r="E895">
        <v>2020</v>
      </c>
      <c r="F895" s="168" t="s">
        <v>593</v>
      </c>
      <c r="G895" s="168" t="s">
        <v>617</v>
      </c>
      <c r="H895" s="168" t="s">
        <v>609</v>
      </c>
      <c r="I895">
        <v>16.00773236231646</v>
      </c>
    </row>
    <row r="896" spans="1:9" hidden="1" x14ac:dyDescent="0.3">
      <c r="A896">
        <v>81</v>
      </c>
      <c r="B896" s="168" t="s">
        <v>123</v>
      </c>
      <c r="C896" s="168" t="s">
        <v>125</v>
      </c>
      <c r="D896">
        <v>31.6</v>
      </c>
      <c r="E896">
        <v>2020</v>
      </c>
      <c r="F896" s="168" t="s">
        <v>593</v>
      </c>
      <c r="G896" s="168" t="s">
        <v>624</v>
      </c>
      <c r="H896" s="168" t="s">
        <v>608</v>
      </c>
      <c r="I896">
        <v>118.70205674699901</v>
      </c>
    </row>
    <row r="897" spans="1:9" hidden="1" x14ac:dyDescent="0.3">
      <c r="A897">
        <v>81</v>
      </c>
      <c r="B897" s="168" t="s">
        <v>123</v>
      </c>
      <c r="C897" s="168" t="s">
        <v>125</v>
      </c>
      <c r="D897">
        <v>31.6</v>
      </c>
      <c r="E897">
        <v>2020</v>
      </c>
      <c r="F897" s="168" t="s">
        <v>593</v>
      </c>
      <c r="G897" s="168" t="s">
        <v>624</v>
      </c>
      <c r="H897" s="168" t="s">
        <v>609</v>
      </c>
      <c r="I897">
        <v>118.70205674699901</v>
      </c>
    </row>
    <row r="898" spans="1:9" hidden="1" x14ac:dyDescent="0.3">
      <c r="A898">
        <v>82</v>
      </c>
      <c r="B898" s="168" t="s">
        <v>126</v>
      </c>
      <c r="C898" s="168" t="s">
        <v>127</v>
      </c>
      <c r="D898">
        <v>147.5</v>
      </c>
      <c r="E898">
        <v>2020</v>
      </c>
      <c r="F898" s="168" t="s">
        <v>593</v>
      </c>
      <c r="G898" s="168" t="s">
        <v>612</v>
      </c>
      <c r="H898" s="168" t="s">
        <v>608</v>
      </c>
      <c r="I898">
        <v>0</v>
      </c>
    </row>
    <row r="899" spans="1:9" hidden="1" x14ac:dyDescent="0.3">
      <c r="A899">
        <v>82</v>
      </c>
      <c r="B899" s="168" t="s">
        <v>126</v>
      </c>
      <c r="C899" s="168" t="s">
        <v>127</v>
      </c>
      <c r="D899">
        <v>147.5</v>
      </c>
      <c r="E899">
        <v>2020</v>
      </c>
      <c r="F899" s="168" t="s">
        <v>593</v>
      </c>
      <c r="G899" s="168" t="s">
        <v>612</v>
      </c>
      <c r="H899" s="168" t="s">
        <v>609</v>
      </c>
      <c r="I899">
        <v>184.82708879465739</v>
      </c>
    </row>
    <row r="900" spans="1:9" hidden="1" x14ac:dyDescent="0.3">
      <c r="A900">
        <v>82</v>
      </c>
      <c r="B900" s="168" t="s">
        <v>126</v>
      </c>
      <c r="C900" s="168" t="s">
        <v>127</v>
      </c>
      <c r="D900">
        <v>147.5</v>
      </c>
      <c r="E900">
        <v>2020</v>
      </c>
      <c r="F900" s="168" t="s">
        <v>593</v>
      </c>
      <c r="G900" s="168" t="s">
        <v>617</v>
      </c>
      <c r="H900" s="168" t="s">
        <v>608</v>
      </c>
      <c r="I900">
        <v>99.626182423699476</v>
      </c>
    </row>
    <row r="901" spans="1:9" hidden="1" x14ac:dyDescent="0.3">
      <c r="A901">
        <v>82</v>
      </c>
      <c r="B901" s="168" t="s">
        <v>126</v>
      </c>
      <c r="C901" s="168" t="s">
        <v>127</v>
      </c>
      <c r="D901">
        <v>147.5</v>
      </c>
      <c r="E901">
        <v>2020</v>
      </c>
      <c r="F901" s="168" t="s">
        <v>593</v>
      </c>
      <c r="G901" s="168" t="s">
        <v>617</v>
      </c>
      <c r="H901" s="168" t="s">
        <v>609</v>
      </c>
      <c r="I901">
        <v>74.7196368177746</v>
      </c>
    </row>
    <row r="902" spans="1:9" hidden="1" x14ac:dyDescent="0.3">
      <c r="A902">
        <v>82</v>
      </c>
      <c r="B902" s="168" t="s">
        <v>126</v>
      </c>
      <c r="C902" s="168" t="s">
        <v>127</v>
      </c>
      <c r="D902">
        <v>147.5</v>
      </c>
      <c r="E902">
        <v>2020</v>
      </c>
      <c r="F902" s="168" t="s">
        <v>593</v>
      </c>
      <c r="G902" s="168" t="s">
        <v>624</v>
      </c>
      <c r="H902" s="168" t="s">
        <v>608</v>
      </c>
      <c r="I902">
        <v>554.06814462602381</v>
      </c>
    </row>
    <row r="903" spans="1:9" hidden="1" x14ac:dyDescent="0.3">
      <c r="A903">
        <v>82</v>
      </c>
      <c r="B903" s="168" t="s">
        <v>126</v>
      </c>
      <c r="C903" s="168" t="s">
        <v>127</v>
      </c>
      <c r="D903">
        <v>147.5</v>
      </c>
      <c r="E903">
        <v>2020</v>
      </c>
      <c r="F903" s="168" t="s">
        <v>593</v>
      </c>
      <c r="G903" s="168" t="s">
        <v>624</v>
      </c>
      <c r="H903" s="168" t="s">
        <v>609</v>
      </c>
      <c r="I903">
        <v>554.06814462602381</v>
      </c>
    </row>
    <row r="904" spans="1:9" x14ac:dyDescent="0.3">
      <c r="A904">
        <v>83</v>
      </c>
      <c r="B904" s="168" t="s">
        <v>128</v>
      </c>
      <c r="C904" s="168" t="s">
        <v>129</v>
      </c>
      <c r="D904">
        <v>3106.9</v>
      </c>
      <c r="E904">
        <v>2020</v>
      </c>
      <c r="F904" s="168" t="s">
        <v>592</v>
      </c>
      <c r="G904" s="168" t="s">
        <v>612</v>
      </c>
      <c r="H904" s="168" t="s">
        <v>608</v>
      </c>
      <c r="I904">
        <v>33656</v>
      </c>
    </row>
    <row r="905" spans="1:9" x14ac:dyDescent="0.3">
      <c r="A905">
        <v>83</v>
      </c>
      <c r="B905" s="168" t="s">
        <v>128</v>
      </c>
      <c r="C905" s="168" t="s">
        <v>129</v>
      </c>
      <c r="D905">
        <v>3106.9</v>
      </c>
      <c r="E905">
        <v>2020</v>
      </c>
      <c r="F905" s="168" t="s">
        <v>592</v>
      </c>
      <c r="G905" s="168" t="s">
        <v>612</v>
      </c>
      <c r="H905" s="168" t="s">
        <v>609</v>
      </c>
      <c r="I905">
        <v>53893.147675770313</v>
      </c>
    </row>
    <row r="906" spans="1:9" x14ac:dyDescent="0.3">
      <c r="A906">
        <v>83</v>
      </c>
      <c r="B906" s="168" t="s">
        <v>128</v>
      </c>
      <c r="C906" s="168" t="s">
        <v>129</v>
      </c>
      <c r="D906">
        <v>3106.9</v>
      </c>
      <c r="E906">
        <v>2020</v>
      </c>
      <c r="F906" s="168" t="s">
        <v>592</v>
      </c>
      <c r="G906" s="168" t="s">
        <v>616</v>
      </c>
      <c r="H906" s="168" t="s">
        <v>608</v>
      </c>
      <c r="I906">
        <v>0</v>
      </c>
    </row>
    <row r="907" spans="1:9" x14ac:dyDescent="0.3">
      <c r="A907">
        <v>83</v>
      </c>
      <c r="B907" s="168" t="s">
        <v>128</v>
      </c>
      <c r="C907" s="168" t="s">
        <v>129</v>
      </c>
      <c r="D907">
        <v>3106.9</v>
      </c>
      <c r="E907">
        <v>2020</v>
      </c>
      <c r="F907" s="168" t="s">
        <v>592</v>
      </c>
      <c r="G907" s="168" t="s">
        <v>616</v>
      </c>
      <c r="H907" s="168" t="s">
        <v>609</v>
      </c>
      <c r="I907">
        <v>259290.32</v>
      </c>
    </row>
    <row r="908" spans="1:9" x14ac:dyDescent="0.3">
      <c r="A908">
        <v>83</v>
      </c>
      <c r="B908" s="168" t="s">
        <v>128</v>
      </c>
      <c r="C908" s="168" t="s">
        <v>129</v>
      </c>
      <c r="D908">
        <v>3106.9</v>
      </c>
      <c r="E908">
        <v>2020</v>
      </c>
      <c r="F908" s="168" t="s">
        <v>592</v>
      </c>
      <c r="G908" s="168" t="s">
        <v>617</v>
      </c>
      <c r="H908" s="168" t="s">
        <v>608</v>
      </c>
      <c r="I908">
        <v>2098.4988893029963</v>
      </c>
    </row>
    <row r="909" spans="1:9" x14ac:dyDescent="0.3">
      <c r="A909">
        <v>83</v>
      </c>
      <c r="B909" s="168" t="s">
        <v>128</v>
      </c>
      <c r="C909" s="168" t="s">
        <v>129</v>
      </c>
      <c r="D909">
        <v>3106.9</v>
      </c>
      <c r="E909">
        <v>2020</v>
      </c>
      <c r="F909" s="168" t="s">
        <v>592</v>
      </c>
      <c r="G909" s="168" t="s">
        <v>617</v>
      </c>
      <c r="H909" s="168" t="s">
        <v>609</v>
      </c>
      <c r="I909">
        <v>1573.8741669772501</v>
      </c>
    </row>
    <row r="910" spans="1:9" x14ac:dyDescent="0.3">
      <c r="A910">
        <v>83</v>
      </c>
      <c r="B910" s="168" t="s">
        <v>128</v>
      </c>
      <c r="C910" s="168" t="s">
        <v>129</v>
      </c>
      <c r="D910">
        <v>3106.9</v>
      </c>
      <c r="E910">
        <v>2020</v>
      </c>
      <c r="F910" s="168" t="s">
        <v>592</v>
      </c>
      <c r="G910" s="168" t="s">
        <v>618</v>
      </c>
      <c r="H910" s="168" t="s">
        <v>608</v>
      </c>
      <c r="I910">
        <v>0</v>
      </c>
    </row>
    <row r="911" spans="1:9" x14ac:dyDescent="0.3">
      <c r="A911">
        <v>83</v>
      </c>
      <c r="B911" s="168" t="s">
        <v>128</v>
      </c>
      <c r="C911" s="168" t="s">
        <v>129</v>
      </c>
      <c r="D911">
        <v>3106.9</v>
      </c>
      <c r="E911">
        <v>2020</v>
      </c>
      <c r="F911" s="168" t="s">
        <v>592</v>
      </c>
      <c r="G911" s="168" t="s">
        <v>618</v>
      </c>
      <c r="H911" s="168" t="s">
        <v>609</v>
      </c>
      <c r="I911">
        <v>15977.528089887641</v>
      </c>
    </row>
    <row r="912" spans="1:9" x14ac:dyDescent="0.3">
      <c r="A912">
        <v>83</v>
      </c>
      <c r="B912" s="168" t="s">
        <v>128</v>
      </c>
      <c r="C912" s="168" t="s">
        <v>129</v>
      </c>
      <c r="D912">
        <v>3106.9</v>
      </c>
      <c r="E912">
        <v>2020</v>
      </c>
      <c r="F912" s="168" t="s">
        <v>592</v>
      </c>
      <c r="G912" s="168" t="s">
        <v>610</v>
      </c>
      <c r="H912" s="168" t="s">
        <v>608</v>
      </c>
      <c r="I912">
        <v>0</v>
      </c>
    </row>
    <row r="913" spans="1:9" x14ac:dyDescent="0.3">
      <c r="A913">
        <v>83</v>
      </c>
      <c r="B913" s="168" t="s">
        <v>128</v>
      </c>
      <c r="C913" s="168" t="s">
        <v>129</v>
      </c>
      <c r="D913">
        <v>3106.9</v>
      </c>
      <c r="E913">
        <v>2020</v>
      </c>
      <c r="F913" s="168" t="s">
        <v>592</v>
      </c>
      <c r="G913" s="168" t="s">
        <v>610</v>
      </c>
      <c r="H913" s="168" t="s">
        <v>609</v>
      </c>
      <c r="I913">
        <v>6545.454545454545</v>
      </c>
    </row>
    <row r="914" spans="1:9" x14ac:dyDescent="0.3">
      <c r="A914">
        <v>83</v>
      </c>
      <c r="B914" s="168" t="s">
        <v>128</v>
      </c>
      <c r="C914" s="168" t="s">
        <v>129</v>
      </c>
      <c r="D914">
        <v>3106.9</v>
      </c>
      <c r="E914">
        <v>2020</v>
      </c>
      <c r="F914" s="168" t="s">
        <v>592</v>
      </c>
      <c r="G914" s="168" t="s">
        <v>620</v>
      </c>
      <c r="H914" s="168" t="s">
        <v>608</v>
      </c>
      <c r="I914">
        <v>19238.132258064514</v>
      </c>
    </row>
    <row r="915" spans="1:9" x14ac:dyDescent="0.3">
      <c r="A915">
        <v>83</v>
      </c>
      <c r="B915" s="168" t="s">
        <v>128</v>
      </c>
      <c r="C915" s="168" t="s">
        <v>129</v>
      </c>
      <c r="D915">
        <v>3106.9</v>
      </c>
      <c r="E915">
        <v>2020</v>
      </c>
      <c r="F915" s="168" t="s">
        <v>592</v>
      </c>
      <c r="G915" s="168" t="s">
        <v>620</v>
      </c>
      <c r="H915" s="168" t="s">
        <v>609</v>
      </c>
      <c r="I915">
        <v>0</v>
      </c>
    </row>
    <row r="916" spans="1:9" x14ac:dyDescent="0.3">
      <c r="A916">
        <v>83</v>
      </c>
      <c r="B916" s="168" t="s">
        <v>128</v>
      </c>
      <c r="C916" s="168" t="s">
        <v>129</v>
      </c>
      <c r="D916">
        <v>3106.9</v>
      </c>
      <c r="E916">
        <v>2020</v>
      </c>
      <c r="F916" s="168" t="s">
        <v>592</v>
      </c>
      <c r="G916" s="168" t="s">
        <v>633</v>
      </c>
      <c r="H916" s="168" t="s">
        <v>608</v>
      </c>
      <c r="I916">
        <v>0</v>
      </c>
    </row>
    <row r="917" spans="1:9" x14ac:dyDescent="0.3">
      <c r="A917">
        <v>83</v>
      </c>
      <c r="B917" s="168" t="s">
        <v>128</v>
      </c>
      <c r="C917" s="168" t="s">
        <v>129</v>
      </c>
      <c r="D917">
        <v>3106.9</v>
      </c>
      <c r="E917">
        <v>2020</v>
      </c>
      <c r="F917" s="168" t="s">
        <v>592</v>
      </c>
      <c r="G917" s="168" t="s">
        <v>633</v>
      </c>
      <c r="H917" s="168" t="s">
        <v>609</v>
      </c>
      <c r="I917">
        <v>70513.274336283182</v>
      </c>
    </row>
    <row r="918" spans="1:9" x14ac:dyDescent="0.3">
      <c r="A918">
        <v>83</v>
      </c>
      <c r="B918" s="168" t="s">
        <v>128</v>
      </c>
      <c r="C918" s="168" t="s">
        <v>129</v>
      </c>
      <c r="D918">
        <v>3106.9</v>
      </c>
      <c r="E918">
        <v>2020</v>
      </c>
      <c r="F918" s="168" t="s">
        <v>592</v>
      </c>
      <c r="G918" s="168" t="s">
        <v>623</v>
      </c>
      <c r="H918" s="168" t="s">
        <v>608</v>
      </c>
      <c r="I918">
        <v>97634.615384615405</v>
      </c>
    </row>
    <row r="919" spans="1:9" x14ac:dyDescent="0.3">
      <c r="A919">
        <v>83</v>
      </c>
      <c r="B919" s="168" t="s">
        <v>128</v>
      </c>
      <c r="C919" s="168" t="s">
        <v>129</v>
      </c>
      <c r="D919">
        <v>3106.9</v>
      </c>
      <c r="E919">
        <v>2020</v>
      </c>
      <c r="F919" s="168" t="s">
        <v>592</v>
      </c>
      <c r="G919" s="168" t="s">
        <v>623</v>
      </c>
      <c r="H919" s="168" t="s">
        <v>609</v>
      </c>
      <c r="I919">
        <v>71020.782500000001</v>
      </c>
    </row>
    <row r="920" spans="1:9" x14ac:dyDescent="0.3">
      <c r="A920">
        <v>83</v>
      </c>
      <c r="B920" s="168" t="s">
        <v>128</v>
      </c>
      <c r="C920" s="168" t="s">
        <v>129</v>
      </c>
      <c r="D920">
        <v>3106.9</v>
      </c>
      <c r="E920">
        <v>2020</v>
      </c>
      <c r="F920" s="168" t="s">
        <v>592</v>
      </c>
      <c r="G920" s="168" t="s">
        <v>615</v>
      </c>
      <c r="H920" s="168" t="s">
        <v>608</v>
      </c>
      <c r="I920">
        <v>0</v>
      </c>
    </row>
    <row r="921" spans="1:9" x14ac:dyDescent="0.3">
      <c r="A921">
        <v>83</v>
      </c>
      <c r="B921" s="168" t="s">
        <v>128</v>
      </c>
      <c r="C921" s="168" t="s">
        <v>129</v>
      </c>
      <c r="D921">
        <v>3106.9</v>
      </c>
      <c r="E921">
        <v>2020</v>
      </c>
      <c r="F921" s="168" t="s">
        <v>592</v>
      </c>
      <c r="G921" s="168" t="s">
        <v>615</v>
      </c>
      <c r="H921" s="168" t="s">
        <v>609</v>
      </c>
      <c r="I921">
        <v>7536.5853658536589</v>
      </c>
    </row>
    <row r="922" spans="1:9" x14ac:dyDescent="0.3">
      <c r="A922">
        <v>83</v>
      </c>
      <c r="B922" s="168" t="s">
        <v>128</v>
      </c>
      <c r="C922" s="168" t="s">
        <v>129</v>
      </c>
      <c r="D922">
        <v>3106.9</v>
      </c>
      <c r="E922">
        <v>2020</v>
      </c>
      <c r="F922" s="168" t="s">
        <v>592</v>
      </c>
      <c r="G922" s="168" t="s">
        <v>624</v>
      </c>
      <c r="H922" s="168" t="s">
        <v>608</v>
      </c>
      <c r="I922">
        <v>58122.488724973897</v>
      </c>
    </row>
    <row r="923" spans="1:9" x14ac:dyDescent="0.3">
      <c r="A923">
        <v>83</v>
      </c>
      <c r="B923" s="168" t="s">
        <v>128</v>
      </c>
      <c r="C923" s="168" t="s">
        <v>129</v>
      </c>
      <c r="D923">
        <v>3106.9</v>
      </c>
      <c r="E923">
        <v>2020</v>
      </c>
      <c r="F923" s="168" t="s">
        <v>592</v>
      </c>
      <c r="G923" s="168" t="s">
        <v>624</v>
      </c>
      <c r="H923" s="168" t="s">
        <v>609</v>
      </c>
      <c r="I923">
        <v>61143.898442958896</v>
      </c>
    </row>
    <row r="924" spans="1:9" x14ac:dyDescent="0.3">
      <c r="A924">
        <v>83</v>
      </c>
      <c r="B924" s="168" t="s">
        <v>128</v>
      </c>
      <c r="C924" s="168" t="s">
        <v>129</v>
      </c>
      <c r="D924">
        <v>3106.9</v>
      </c>
      <c r="E924">
        <v>2020</v>
      </c>
      <c r="F924" s="168" t="s">
        <v>592</v>
      </c>
      <c r="G924" s="168" t="s">
        <v>613</v>
      </c>
      <c r="H924" s="168" t="s">
        <v>608</v>
      </c>
      <c r="I924">
        <v>220168.30167363898</v>
      </c>
    </row>
    <row r="925" spans="1:9" x14ac:dyDescent="0.3">
      <c r="A925">
        <v>83</v>
      </c>
      <c r="B925" s="168" t="s">
        <v>128</v>
      </c>
      <c r="C925" s="168" t="s">
        <v>129</v>
      </c>
      <c r="D925">
        <v>3106.9</v>
      </c>
      <c r="E925">
        <v>2020</v>
      </c>
      <c r="F925" s="168" t="s">
        <v>592</v>
      </c>
      <c r="G925" s="168" t="s">
        <v>613</v>
      </c>
      <c r="H925" s="168" t="s">
        <v>609</v>
      </c>
      <c r="I925">
        <v>89773.064744335803</v>
      </c>
    </row>
    <row r="926" spans="1:9" x14ac:dyDescent="0.3">
      <c r="A926">
        <v>83</v>
      </c>
      <c r="B926" s="168" t="s">
        <v>128</v>
      </c>
      <c r="C926" s="168" t="s">
        <v>129</v>
      </c>
      <c r="D926">
        <v>3106.9</v>
      </c>
      <c r="E926">
        <v>2020</v>
      </c>
      <c r="F926" s="168" t="s">
        <v>592</v>
      </c>
      <c r="G926" s="168" t="s">
        <v>622</v>
      </c>
      <c r="H926" s="168" t="s">
        <v>608</v>
      </c>
      <c r="I926">
        <v>28213.045859466878</v>
      </c>
    </row>
    <row r="927" spans="1:9" x14ac:dyDescent="0.3">
      <c r="A927">
        <v>83</v>
      </c>
      <c r="B927" s="168" t="s">
        <v>128</v>
      </c>
      <c r="C927" s="168" t="s">
        <v>129</v>
      </c>
      <c r="D927">
        <v>3106.9</v>
      </c>
      <c r="E927">
        <v>2020</v>
      </c>
      <c r="F927" s="168" t="s">
        <v>592</v>
      </c>
      <c r="G927" s="168" t="s">
        <v>622</v>
      </c>
      <c r="H927" s="168" t="s">
        <v>609</v>
      </c>
      <c r="I927">
        <v>0</v>
      </c>
    </row>
    <row r="928" spans="1:9" x14ac:dyDescent="0.3">
      <c r="A928">
        <v>84</v>
      </c>
      <c r="B928" s="168" t="s">
        <v>130</v>
      </c>
      <c r="C928" s="168" t="s">
        <v>131</v>
      </c>
      <c r="D928">
        <v>18213.3</v>
      </c>
      <c r="E928">
        <v>2020</v>
      </c>
      <c r="F928" s="168" t="s">
        <v>592</v>
      </c>
      <c r="G928" s="168" t="s">
        <v>612</v>
      </c>
      <c r="H928" s="168" t="s">
        <v>608</v>
      </c>
      <c r="I928">
        <v>0</v>
      </c>
    </row>
    <row r="929" spans="1:9" x14ac:dyDescent="0.3">
      <c r="A929">
        <v>84</v>
      </c>
      <c r="B929" s="168" t="s">
        <v>130</v>
      </c>
      <c r="C929" s="168" t="s">
        <v>131</v>
      </c>
      <c r="D929">
        <v>18213.3</v>
      </c>
      <c r="E929">
        <v>2020</v>
      </c>
      <c r="F929" s="168" t="s">
        <v>592</v>
      </c>
      <c r="G929" s="168" t="s">
        <v>612</v>
      </c>
      <c r="H929" s="168" t="s">
        <v>609</v>
      </c>
      <c r="I929">
        <v>22822.448924364293</v>
      </c>
    </row>
    <row r="930" spans="1:9" x14ac:dyDescent="0.3">
      <c r="A930">
        <v>84</v>
      </c>
      <c r="B930" s="168" t="s">
        <v>130</v>
      </c>
      <c r="C930" s="168" t="s">
        <v>131</v>
      </c>
      <c r="D930">
        <v>18213.3</v>
      </c>
      <c r="E930">
        <v>2020</v>
      </c>
      <c r="F930" s="168" t="s">
        <v>592</v>
      </c>
      <c r="G930" s="168" t="s">
        <v>617</v>
      </c>
      <c r="H930" s="168" t="s">
        <v>608</v>
      </c>
      <c r="I930">
        <v>12301.841005678411</v>
      </c>
    </row>
    <row r="931" spans="1:9" x14ac:dyDescent="0.3">
      <c r="A931">
        <v>84</v>
      </c>
      <c r="B931" s="168" t="s">
        <v>130</v>
      </c>
      <c r="C931" s="168" t="s">
        <v>131</v>
      </c>
      <c r="D931">
        <v>18213.3</v>
      </c>
      <c r="E931">
        <v>2020</v>
      </c>
      <c r="F931" s="168" t="s">
        <v>592</v>
      </c>
      <c r="G931" s="168" t="s">
        <v>617</v>
      </c>
      <c r="H931" s="168" t="s">
        <v>609</v>
      </c>
      <c r="I931">
        <v>9226.3807542588074</v>
      </c>
    </row>
    <row r="932" spans="1:9" x14ac:dyDescent="0.3">
      <c r="A932">
        <v>84</v>
      </c>
      <c r="B932" s="168" t="s">
        <v>130</v>
      </c>
      <c r="C932" s="168" t="s">
        <v>131</v>
      </c>
      <c r="D932">
        <v>18213.3</v>
      </c>
      <c r="E932">
        <v>2020</v>
      </c>
      <c r="F932" s="168" t="s">
        <v>592</v>
      </c>
      <c r="G932" s="168" t="s">
        <v>618</v>
      </c>
      <c r="H932" s="168" t="s">
        <v>608</v>
      </c>
      <c r="I932">
        <v>0</v>
      </c>
    </row>
    <row r="933" spans="1:9" x14ac:dyDescent="0.3">
      <c r="A933">
        <v>84</v>
      </c>
      <c r="B933" s="168" t="s">
        <v>130</v>
      </c>
      <c r="C933" s="168" t="s">
        <v>131</v>
      </c>
      <c r="D933">
        <v>18213.3</v>
      </c>
      <c r="E933">
        <v>2020</v>
      </c>
      <c r="F933" s="168" t="s">
        <v>592</v>
      </c>
      <c r="G933" s="168" t="s">
        <v>618</v>
      </c>
      <c r="H933" s="168" t="s">
        <v>609</v>
      </c>
      <c r="I933">
        <v>21303.370786516854</v>
      </c>
    </row>
    <row r="934" spans="1:9" x14ac:dyDescent="0.3">
      <c r="A934">
        <v>84</v>
      </c>
      <c r="B934" s="168" t="s">
        <v>130</v>
      </c>
      <c r="C934" s="168" t="s">
        <v>131</v>
      </c>
      <c r="D934">
        <v>18213.3</v>
      </c>
      <c r="E934">
        <v>2020</v>
      </c>
      <c r="F934" s="168" t="s">
        <v>592</v>
      </c>
      <c r="G934" s="168" t="s">
        <v>610</v>
      </c>
      <c r="H934" s="168" t="s">
        <v>608</v>
      </c>
      <c r="I934">
        <v>0</v>
      </c>
    </row>
    <row r="935" spans="1:9" x14ac:dyDescent="0.3">
      <c r="A935">
        <v>84</v>
      </c>
      <c r="B935" s="168" t="s">
        <v>130</v>
      </c>
      <c r="C935" s="168" t="s">
        <v>131</v>
      </c>
      <c r="D935">
        <v>18213.3</v>
      </c>
      <c r="E935">
        <v>2020</v>
      </c>
      <c r="F935" s="168" t="s">
        <v>592</v>
      </c>
      <c r="G935" s="168" t="s">
        <v>610</v>
      </c>
      <c r="H935" s="168" t="s">
        <v>609</v>
      </c>
      <c r="I935">
        <v>13090.90909090909</v>
      </c>
    </row>
    <row r="936" spans="1:9" x14ac:dyDescent="0.3">
      <c r="A936">
        <v>84</v>
      </c>
      <c r="B936" s="168" t="s">
        <v>130</v>
      </c>
      <c r="C936" s="168" t="s">
        <v>131</v>
      </c>
      <c r="D936">
        <v>18213.3</v>
      </c>
      <c r="E936">
        <v>2020</v>
      </c>
      <c r="F936" s="168" t="s">
        <v>592</v>
      </c>
      <c r="G936" s="168" t="s">
        <v>633</v>
      </c>
      <c r="H936" s="168" t="s">
        <v>608</v>
      </c>
      <c r="I936">
        <v>0</v>
      </c>
    </row>
    <row r="937" spans="1:9" x14ac:dyDescent="0.3">
      <c r="A937">
        <v>84</v>
      </c>
      <c r="B937" s="168" t="s">
        <v>130</v>
      </c>
      <c r="C937" s="168" t="s">
        <v>131</v>
      </c>
      <c r="D937">
        <v>18213.3</v>
      </c>
      <c r="E937">
        <v>2020</v>
      </c>
      <c r="F937" s="168" t="s">
        <v>592</v>
      </c>
      <c r="G937" s="168" t="s">
        <v>633</v>
      </c>
      <c r="H937" s="168" t="s">
        <v>609</v>
      </c>
      <c r="I937">
        <v>79327.433628318584</v>
      </c>
    </row>
    <row r="938" spans="1:9" x14ac:dyDescent="0.3">
      <c r="A938">
        <v>84</v>
      </c>
      <c r="B938" s="168" t="s">
        <v>130</v>
      </c>
      <c r="C938" s="168" t="s">
        <v>131</v>
      </c>
      <c r="D938">
        <v>18213.3</v>
      </c>
      <c r="E938">
        <v>2020</v>
      </c>
      <c r="F938" s="168" t="s">
        <v>592</v>
      </c>
      <c r="G938" s="168" t="s">
        <v>623</v>
      </c>
      <c r="H938" s="168" t="s">
        <v>608</v>
      </c>
      <c r="I938">
        <v>227625</v>
      </c>
    </row>
    <row r="939" spans="1:9" x14ac:dyDescent="0.3">
      <c r="A939">
        <v>84</v>
      </c>
      <c r="B939" s="168" t="s">
        <v>130</v>
      </c>
      <c r="C939" s="168" t="s">
        <v>131</v>
      </c>
      <c r="D939">
        <v>18213.3</v>
      </c>
      <c r="E939">
        <v>2020</v>
      </c>
      <c r="F939" s="168" t="s">
        <v>592</v>
      </c>
      <c r="G939" s="168" t="s">
        <v>623</v>
      </c>
      <c r="H939" s="168" t="s">
        <v>609</v>
      </c>
      <c r="I939">
        <v>177551.95625000002</v>
      </c>
    </row>
    <row r="940" spans="1:9" x14ac:dyDescent="0.3">
      <c r="A940">
        <v>84</v>
      </c>
      <c r="B940" s="168" t="s">
        <v>130</v>
      </c>
      <c r="C940" s="168" t="s">
        <v>131</v>
      </c>
      <c r="D940">
        <v>18213.3</v>
      </c>
      <c r="E940">
        <v>2020</v>
      </c>
      <c r="F940" s="168" t="s">
        <v>592</v>
      </c>
      <c r="G940" s="168" t="s">
        <v>615</v>
      </c>
      <c r="H940" s="168" t="s">
        <v>608</v>
      </c>
      <c r="I940">
        <v>0</v>
      </c>
    </row>
    <row r="941" spans="1:9" x14ac:dyDescent="0.3">
      <c r="A941">
        <v>84</v>
      </c>
      <c r="B941" s="168" t="s">
        <v>130</v>
      </c>
      <c r="C941" s="168" t="s">
        <v>131</v>
      </c>
      <c r="D941">
        <v>18213.3</v>
      </c>
      <c r="E941">
        <v>2020</v>
      </c>
      <c r="F941" s="168" t="s">
        <v>592</v>
      </c>
      <c r="G941" s="168" t="s">
        <v>615</v>
      </c>
      <c r="H941" s="168" t="s">
        <v>609</v>
      </c>
      <c r="I941">
        <v>7536.5853658536589</v>
      </c>
    </row>
    <row r="942" spans="1:9" x14ac:dyDescent="0.3">
      <c r="A942">
        <v>84</v>
      </c>
      <c r="B942" s="168" t="s">
        <v>130</v>
      </c>
      <c r="C942" s="168" t="s">
        <v>131</v>
      </c>
      <c r="D942">
        <v>18213.3</v>
      </c>
      <c r="E942">
        <v>2020</v>
      </c>
      <c r="F942" s="168" t="s">
        <v>592</v>
      </c>
      <c r="G942" s="168" t="s">
        <v>624</v>
      </c>
      <c r="H942" s="168" t="s">
        <v>608</v>
      </c>
      <c r="I942">
        <v>340726.22997024941</v>
      </c>
    </row>
    <row r="943" spans="1:9" x14ac:dyDescent="0.3">
      <c r="A943">
        <v>84</v>
      </c>
      <c r="B943" s="168" t="s">
        <v>130</v>
      </c>
      <c r="C943" s="168" t="s">
        <v>131</v>
      </c>
      <c r="D943">
        <v>18213.3</v>
      </c>
      <c r="E943">
        <v>2020</v>
      </c>
      <c r="F943" s="168" t="s">
        <v>592</v>
      </c>
      <c r="G943" s="168" t="s">
        <v>624</v>
      </c>
      <c r="H943" s="168" t="s">
        <v>609</v>
      </c>
      <c r="I943">
        <v>358438.36799096939</v>
      </c>
    </row>
    <row r="944" spans="1:9" x14ac:dyDescent="0.3">
      <c r="A944">
        <v>84</v>
      </c>
      <c r="B944" s="168" t="s">
        <v>130</v>
      </c>
      <c r="C944" s="168" t="s">
        <v>131</v>
      </c>
      <c r="D944">
        <v>18213.3</v>
      </c>
      <c r="E944">
        <v>2020</v>
      </c>
      <c r="F944" s="168" t="s">
        <v>592</v>
      </c>
      <c r="G944" s="168" t="s">
        <v>621</v>
      </c>
      <c r="H944" s="168" t="s">
        <v>608</v>
      </c>
      <c r="I944">
        <v>0</v>
      </c>
    </row>
    <row r="945" spans="1:9" x14ac:dyDescent="0.3">
      <c r="A945">
        <v>84</v>
      </c>
      <c r="B945" s="168" t="s">
        <v>130</v>
      </c>
      <c r="C945" s="168" t="s">
        <v>131</v>
      </c>
      <c r="D945">
        <v>18213.3</v>
      </c>
      <c r="E945">
        <v>2020</v>
      </c>
      <c r="F945" s="168" t="s">
        <v>592</v>
      </c>
      <c r="G945" s="168" t="s">
        <v>621</v>
      </c>
      <c r="H945" s="168" t="s">
        <v>609</v>
      </c>
      <c r="I945">
        <v>622300</v>
      </c>
    </row>
    <row r="946" spans="1:9" x14ac:dyDescent="0.3">
      <c r="A946">
        <v>84</v>
      </c>
      <c r="B946" s="168" t="s">
        <v>130</v>
      </c>
      <c r="C946" s="168" t="s">
        <v>131</v>
      </c>
      <c r="D946">
        <v>18213.3</v>
      </c>
      <c r="E946">
        <v>2020</v>
      </c>
      <c r="F946" s="168" t="s">
        <v>592</v>
      </c>
      <c r="G946" s="168" t="s">
        <v>613</v>
      </c>
      <c r="H946" s="168" t="s">
        <v>608</v>
      </c>
      <c r="I946">
        <v>687517.38640575798</v>
      </c>
    </row>
    <row r="947" spans="1:9" x14ac:dyDescent="0.3">
      <c r="A947">
        <v>84</v>
      </c>
      <c r="B947" s="168" t="s">
        <v>130</v>
      </c>
      <c r="C947" s="168" t="s">
        <v>131</v>
      </c>
      <c r="D947">
        <v>18213.3</v>
      </c>
      <c r="E947">
        <v>2020</v>
      </c>
      <c r="F947" s="168" t="s">
        <v>592</v>
      </c>
      <c r="G947" s="168" t="s">
        <v>613</v>
      </c>
      <c r="H947" s="168" t="s">
        <v>609</v>
      </c>
      <c r="I947">
        <v>139545.40296389101</v>
      </c>
    </row>
    <row r="948" spans="1:9" hidden="1" x14ac:dyDescent="0.3">
      <c r="A948">
        <v>85</v>
      </c>
      <c r="B948" s="168" t="s">
        <v>132</v>
      </c>
      <c r="C948" s="168" t="s">
        <v>133</v>
      </c>
      <c r="D948">
        <v>14009.5</v>
      </c>
      <c r="E948">
        <v>2020</v>
      </c>
      <c r="F948" s="168" t="s">
        <v>591</v>
      </c>
      <c r="G948" s="168" t="s">
        <v>607</v>
      </c>
      <c r="H948" s="168" t="s">
        <v>608</v>
      </c>
      <c r="I948">
        <v>347687.01030927838</v>
      </c>
    </row>
    <row r="949" spans="1:9" hidden="1" x14ac:dyDescent="0.3">
      <c r="A949">
        <v>85</v>
      </c>
      <c r="B949" s="168" t="s">
        <v>132</v>
      </c>
      <c r="C949" s="168" t="s">
        <v>133</v>
      </c>
      <c r="D949">
        <v>14009.5</v>
      </c>
      <c r="E949">
        <v>2020</v>
      </c>
      <c r="F949" s="168" t="s">
        <v>591</v>
      </c>
      <c r="G949" s="168" t="s">
        <v>607</v>
      </c>
      <c r="H949" s="168" t="s">
        <v>609</v>
      </c>
      <c r="I949">
        <v>347687.01030927838</v>
      </c>
    </row>
    <row r="950" spans="1:9" hidden="1" x14ac:dyDescent="0.3">
      <c r="A950">
        <v>85</v>
      </c>
      <c r="B950" s="168" t="s">
        <v>132</v>
      </c>
      <c r="C950" s="168" t="s">
        <v>133</v>
      </c>
      <c r="D950">
        <v>14009.5</v>
      </c>
      <c r="E950">
        <v>2020</v>
      </c>
      <c r="F950" s="168" t="s">
        <v>591</v>
      </c>
      <c r="G950" s="168" t="s">
        <v>612</v>
      </c>
      <c r="H950" s="168" t="s">
        <v>608</v>
      </c>
      <c r="I950">
        <v>560000</v>
      </c>
    </row>
    <row r="951" spans="1:9" hidden="1" x14ac:dyDescent="0.3">
      <c r="A951">
        <v>85</v>
      </c>
      <c r="B951" s="168" t="s">
        <v>132</v>
      </c>
      <c r="C951" s="168" t="s">
        <v>133</v>
      </c>
      <c r="D951">
        <v>14009.5</v>
      </c>
      <c r="E951">
        <v>2020</v>
      </c>
      <c r="F951" s="168" t="s">
        <v>591</v>
      </c>
      <c r="G951" s="168" t="s">
        <v>612</v>
      </c>
      <c r="H951" s="168" t="s">
        <v>609</v>
      </c>
      <c r="I951">
        <v>0</v>
      </c>
    </row>
    <row r="952" spans="1:9" hidden="1" x14ac:dyDescent="0.3">
      <c r="A952">
        <v>85</v>
      </c>
      <c r="B952" s="168" t="s">
        <v>132</v>
      </c>
      <c r="C952" s="168" t="s">
        <v>133</v>
      </c>
      <c r="D952">
        <v>14009.5</v>
      </c>
      <c r="E952">
        <v>2020</v>
      </c>
      <c r="F952" s="168" t="s">
        <v>591</v>
      </c>
      <c r="G952" s="168" t="s">
        <v>617</v>
      </c>
      <c r="H952" s="168" t="s">
        <v>608</v>
      </c>
      <c r="I952">
        <v>55640</v>
      </c>
    </row>
    <row r="953" spans="1:9" hidden="1" x14ac:dyDescent="0.3">
      <c r="A953">
        <v>85</v>
      </c>
      <c r="B953" s="168" t="s">
        <v>132</v>
      </c>
      <c r="C953" s="168" t="s">
        <v>133</v>
      </c>
      <c r="D953">
        <v>14009.5</v>
      </c>
      <c r="E953">
        <v>2020</v>
      </c>
      <c r="F953" s="168" t="s">
        <v>591</v>
      </c>
      <c r="G953" s="168" t="s">
        <v>617</v>
      </c>
      <c r="H953" s="168" t="s">
        <v>609</v>
      </c>
      <c r="I953">
        <v>19860</v>
      </c>
    </row>
    <row r="954" spans="1:9" hidden="1" x14ac:dyDescent="0.3">
      <c r="A954">
        <v>85</v>
      </c>
      <c r="B954" s="168" t="s">
        <v>132</v>
      </c>
      <c r="C954" s="168" t="s">
        <v>133</v>
      </c>
      <c r="D954">
        <v>14009.5</v>
      </c>
      <c r="E954">
        <v>2020</v>
      </c>
      <c r="F954" s="168" t="s">
        <v>591</v>
      </c>
      <c r="G954" s="168" t="s">
        <v>610</v>
      </c>
      <c r="H954" s="168" t="s">
        <v>608</v>
      </c>
      <c r="I954">
        <v>0</v>
      </c>
    </row>
    <row r="955" spans="1:9" hidden="1" x14ac:dyDescent="0.3">
      <c r="A955">
        <v>85</v>
      </c>
      <c r="B955" s="168" t="s">
        <v>132</v>
      </c>
      <c r="C955" s="168" t="s">
        <v>133</v>
      </c>
      <c r="D955">
        <v>14009.5</v>
      </c>
      <c r="E955">
        <v>2020</v>
      </c>
      <c r="F955" s="168" t="s">
        <v>591</v>
      </c>
      <c r="G955" s="168" t="s">
        <v>610</v>
      </c>
      <c r="H955" s="168" t="s">
        <v>609</v>
      </c>
      <c r="I955">
        <v>13090.90909090909</v>
      </c>
    </row>
    <row r="956" spans="1:9" hidden="1" x14ac:dyDescent="0.3">
      <c r="A956">
        <v>85</v>
      </c>
      <c r="B956" s="168" t="s">
        <v>132</v>
      </c>
      <c r="C956" s="168" t="s">
        <v>133</v>
      </c>
      <c r="D956">
        <v>14009.5</v>
      </c>
      <c r="E956">
        <v>2020</v>
      </c>
      <c r="F956" s="168" t="s">
        <v>591</v>
      </c>
      <c r="G956" s="168" t="s">
        <v>623</v>
      </c>
      <c r="H956" s="168" t="s">
        <v>608</v>
      </c>
      <c r="I956">
        <v>319210.2</v>
      </c>
    </row>
    <row r="957" spans="1:9" hidden="1" x14ac:dyDescent="0.3">
      <c r="A957">
        <v>85</v>
      </c>
      <c r="B957" s="168" t="s">
        <v>132</v>
      </c>
      <c r="C957" s="168" t="s">
        <v>133</v>
      </c>
      <c r="D957">
        <v>14009.5</v>
      </c>
      <c r="E957">
        <v>2020</v>
      </c>
      <c r="F957" s="168" t="s">
        <v>591</v>
      </c>
      <c r="G957" s="168" t="s">
        <v>623</v>
      </c>
      <c r="H957" s="168" t="s">
        <v>609</v>
      </c>
      <c r="I957">
        <v>111535.67999999999</v>
      </c>
    </row>
    <row r="958" spans="1:9" hidden="1" x14ac:dyDescent="0.3">
      <c r="A958">
        <v>85</v>
      </c>
      <c r="B958" s="168" t="s">
        <v>132</v>
      </c>
      <c r="C958" s="168" t="s">
        <v>133</v>
      </c>
      <c r="D958">
        <v>14009.5</v>
      </c>
      <c r="E958">
        <v>2020</v>
      </c>
      <c r="F958" s="168" t="s">
        <v>591</v>
      </c>
      <c r="G958" s="168" t="s">
        <v>624</v>
      </c>
      <c r="H958" s="168" t="s">
        <v>608</v>
      </c>
      <c r="I958">
        <v>262083.4290748077</v>
      </c>
    </row>
    <row r="959" spans="1:9" hidden="1" x14ac:dyDescent="0.3">
      <c r="A959">
        <v>85</v>
      </c>
      <c r="B959" s="168" t="s">
        <v>132</v>
      </c>
      <c r="C959" s="168" t="s">
        <v>133</v>
      </c>
      <c r="D959">
        <v>14009.5</v>
      </c>
      <c r="E959">
        <v>2020</v>
      </c>
      <c r="F959" s="168" t="s">
        <v>591</v>
      </c>
      <c r="G959" s="168" t="s">
        <v>624</v>
      </c>
      <c r="H959" s="168" t="s">
        <v>609</v>
      </c>
      <c r="I959">
        <v>275707.43996801769</v>
      </c>
    </row>
    <row r="960" spans="1:9" hidden="1" x14ac:dyDescent="0.3">
      <c r="A960">
        <v>85</v>
      </c>
      <c r="B960" s="168" t="s">
        <v>132</v>
      </c>
      <c r="C960" s="168" t="s">
        <v>133</v>
      </c>
      <c r="D960">
        <v>14009.5</v>
      </c>
      <c r="E960">
        <v>2020</v>
      </c>
      <c r="F960" s="168" t="s">
        <v>591</v>
      </c>
      <c r="G960" s="168" t="s">
        <v>611</v>
      </c>
      <c r="H960" s="168" t="s">
        <v>608</v>
      </c>
      <c r="I960">
        <v>0</v>
      </c>
    </row>
    <row r="961" spans="1:9" hidden="1" x14ac:dyDescent="0.3">
      <c r="A961">
        <v>85</v>
      </c>
      <c r="B961" s="168" t="s">
        <v>132</v>
      </c>
      <c r="C961" s="168" t="s">
        <v>133</v>
      </c>
      <c r="D961">
        <v>14009.5</v>
      </c>
      <c r="E961">
        <v>2020</v>
      </c>
      <c r="F961" s="168" t="s">
        <v>591</v>
      </c>
      <c r="G961" s="168" t="s">
        <v>611</v>
      </c>
      <c r="H961" s="168" t="s">
        <v>609</v>
      </c>
      <c r="I961">
        <v>58553.846791315467</v>
      </c>
    </row>
    <row r="962" spans="1:9" hidden="1" x14ac:dyDescent="0.3">
      <c r="A962">
        <v>85</v>
      </c>
      <c r="B962" s="168" t="s">
        <v>132</v>
      </c>
      <c r="C962" s="168" t="s">
        <v>133</v>
      </c>
      <c r="D962">
        <v>14009.5</v>
      </c>
      <c r="E962">
        <v>2020</v>
      </c>
      <c r="F962" s="168" t="s">
        <v>591</v>
      </c>
      <c r="G962" s="168" t="s">
        <v>628</v>
      </c>
      <c r="H962" s="168" t="s">
        <v>608</v>
      </c>
      <c r="I962">
        <v>0</v>
      </c>
    </row>
    <row r="963" spans="1:9" hidden="1" x14ac:dyDescent="0.3">
      <c r="A963">
        <v>85</v>
      </c>
      <c r="B963" s="168" t="s">
        <v>132</v>
      </c>
      <c r="C963" s="168" t="s">
        <v>133</v>
      </c>
      <c r="D963">
        <v>14009.5</v>
      </c>
      <c r="E963">
        <v>2020</v>
      </c>
      <c r="F963" s="168" t="s">
        <v>591</v>
      </c>
      <c r="G963" s="168" t="s">
        <v>628</v>
      </c>
      <c r="H963" s="168" t="s">
        <v>609</v>
      </c>
      <c r="I963">
        <v>492000</v>
      </c>
    </row>
    <row r="964" spans="1:9" hidden="1" x14ac:dyDescent="0.3">
      <c r="A964">
        <v>85</v>
      </c>
      <c r="B964" s="168" t="s">
        <v>132</v>
      </c>
      <c r="C964" s="168" t="s">
        <v>133</v>
      </c>
      <c r="D964">
        <v>14009.5</v>
      </c>
      <c r="E964">
        <v>2020</v>
      </c>
      <c r="F964" s="168" t="s">
        <v>591</v>
      </c>
      <c r="G964" s="168" t="s">
        <v>613</v>
      </c>
      <c r="H964" s="168" t="s">
        <v>608</v>
      </c>
      <c r="I964">
        <v>992773.44693966699</v>
      </c>
    </row>
    <row r="965" spans="1:9" hidden="1" x14ac:dyDescent="0.3">
      <c r="A965">
        <v>85</v>
      </c>
      <c r="B965" s="168" t="s">
        <v>132</v>
      </c>
      <c r="C965" s="168" t="s">
        <v>133</v>
      </c>
      <c r="D965">
        <v>14009.5</v>
      </c>
      <c r="E965">
        <v>2020</v>
      </c>
      <c r="F965" s="168" t="s">
        <v>591</v>
      </c>
      <c r="G965" s="168" t="s">
        <v>613</v>
      </c>
      <c r="H965" s="168" t="s">
        <v>609</v>
      </c>
      <c r="I965">
        <v>404800.84667539096</v>
      </c>
    </row>
    <row r="966" spans="1:9" hidden="1" x14ac:dyDescent="0.3">
      <c r="A966">
        <v>86</v>
      </c>
      <c r="B966" s="168" t="s">
        <v>134</v>
      </c>
      <c r="C966" s="168" t="s">
        <v>135</v>
      </c>
      <c r="D966">
        <v>11408</v>
      </c>
      <c r="E966">
        <v>2020</v>
      </c>
      <c r="F966" s="168" t="s">
        <v>591</v>
      </c>
      <c r="G966" s="168" t="s">
        <v>607</v>
      </c>
      <c r="H966" s="168" t="s">
        <v>608</v>
      </c>
      <c r="I966">
        <v>197502.68041237112</v>
      </c>
    </row>
    <row r="967" spans="1:9" hidden="1" x14ac:dyDescent="0.3">
      <c r="A967">
        <v>86</v>
      </c>
      <c r="B967" s="168" t="s">
        <v>134</v>
      </c>
      <c r="C967" s="168" t="s">
        <v>135</v>
      </c>
      <c r="D967">
        <v>11408</v>
      </c>
      <c r="E967">
        <v>2020</v>
      </c>
      <c r="F967" s="168" t="s">
        <v>591</v>
      </c>
      <c r="G967" s="168" t="s">
        <v>607</v>
      </c>
      <c r="H967" s="168" t="s">
        <v>609</v>
      </c>
      <c r="I967">
        <v>197502.68041237112</v>
      </c>
    </row>
    <row r="968" spans="1:9" hidden="1" x14ac:dyDescent="0.3">
      <c r="A968">
        <v>86</v>
      </c>
      <c r="B968" s="168" t="s">
        <v>134</v>
      </c>
      <c r="C968" s="168" t="s">
        <v>135</v>
      </c>
      <c r="D968">
        <v>11408</v>
      </c>
      <c r="E968">
        <v>2020</v>
      </c>
      <c r="F968" s="168" t="s">
        <v>591</v>
      </c>
      <c r="G968" s="168" t="s">
        <v>612</v>
      </c>
      <c r="H968" s="168" t="s">
        <v>608</v>
      </c>
      <c r="I968">
        <v>447525</v>
      </c>
    </row>
    <row r="969" spans="1:9" hidden="1" x14ac:dyDescent="0.3">
      <c r="A969">
        <v>86</v>
      </c>
      <c r="B969" s="168" t="s">
        <v>134</v>
      </c>
      <c r="C969" s="168" t="s">
        <v>135</v>
      </c>
      <c r="D969">
        <v>11408</v>
      </c>
      <c r="E969">
        <v>2020</v>
      </c>
      <c r="F969" s="168" t="s">
        <v>591</v>
      </c>
      <c r="G969" s="168" t="s">
        <v>612</v>
      </c>
      <c r="H969" s="168" t="s">
        <v>609</v>
      </c>
      <c r="I969">
        <v>0</v>
      </c>
    </row>
    <row r="970" spans="1:9" hidden="1" x14ac:dyDescent="0.3">
      <c r="A970">
        <v>86</v>
      </c>
      <c r="B970" s="168" t="s">
        <v>134</v>
      </c>
      <c r="C970" s="168" t="s">
        <v>135</v>
      </c>
      <c r="D970">
        <v>11408</v>
      </c>
      <c r="E970">
        <v>2020</v>
      </c>
      <c r="F970" s="168" t="s">
        <v>591</v>
      </c>
      <c r="G970" s="168" t="s">
        <v>617</v>
      </c>
      <c r="H970" s="168" t="s">
        <v>608</v>
      </c>
      <c r="I970">
        <v>49670</v>
      </c>
    </row>
    <row r="971" spans="1:9" hidden="1" x14ac:dyDescent="0.3">
      <c r="A971">
        <v>86</v>
      </c>
      <c r="B971" s="168" t="s">
        <v>134</v>
      </c>
      <c r="C971" s="168" t="s">
        <v>135</v>
      </c>
      <c r="D971">
        <v>11408</v>
      </c>
      <c r="E971">
        <v>2020</v>
      </c>
      <c r="F971" s="168" t="s">
        <v>591</v>
      </c>
      <c r="G971" s="168" t="s">
        <v>617</v>
      </c>
      <c r="H971" s="168" t="s">
        <v>609</v>
      </c>
      <c r="I971">
        <v>17730</v>
      </c>
    </row>
    <row r="972" spans="1:9" hidden="1" x14ac:dyDescent="0.3">
      <c r="A972">
        <v>86</v>
      </c>
      <c r="B972" s="168" t="s">
        <v>134</v>
      </c>
      <c r="C972" s="168" t="s">
        <v>135</v>
      </c>
      <c r="D972">
        <v>11408</v>
      </c>
      <c r="E972">
        <v>2020</v>
      </c>
      <c r="F972" s="168" t="s">
        <v>591</v>
      </c>
      <c r="G972" s="168" t="s">
        <v>618</v>
      </c>
      <c r="H972" s="168" t="s">
        <v>608</v>
      </c>
      <c r="I972">
        <v>0</v>
      </c>
    </row>
    <row r="973" spans="1:9" hidden="1" x14ac:dyDescent="0.3">
      <c r="A973">
        <v>86</v>
      </c>
      <c r="B973" s="168" t="s">
        <v>134</v>
      </c>
      <c r="C973" s="168" t="s">
        <v>135</v>
      </c>
      <c r="D973">
        <v>11408</v>
      </c>
      <c r="E973">
        <v>2020</v>
      </c>
      <c r="F973" s="168" t="s">
        <v>591</v>
      </c>
      <c r="G973" s="168" t="s">
        <v>618</v>
      </c>
      <c r="H973" s="168" t="s">
        <v>609</v>
      </c>
      <c r="I973">
        <v>35205.839999999997</v>
      </c>
    </row>
    <row r="974" spans="1:9" hidden="1" x14ac:dyDescent="0.3">
      <c r="A974">
        <v>86</v>
      </c>
      <c r="B974" s="168" t="s">
        <v>134</v>
      </c>
      <c r="C974" s="168" t="s">
        <v>135</v>
      </c>
      <c r="D974">
        <v>11408</v>
      </c>
      <c r="E974">
        <v>2020</v>
      </c>
      <c r="F974" s="168" t="s">
        <v>591</v>
      </c>
      <c r="G974" s="168" t="s">
        <v>610</v>
      </c>
      <c r="H974" s="168" t="s">
        <v>608</v>
      </c>
      <c r="I974">
        <v>0</v>
      </c>
    </row>
    <row r="975" spans="1:9" hidden="1" x14ac:dyDescent="0.3">
      <c r="A975">
        <v>86</v>
      </c>
      <c r="B975" s="168" t="s">
        <v>134</v>
      </c>
      <c r="C975" s="168" t="s">
        <v>135</v>
      </c>
      <c r="D975">
        <v>11408</v>
      </c>
      <c r="E975">
        <v>2020</v>
      </c>
      <c r="F975" s="168" t="s">
        <v>591</v>
      </c>
      <c r="G975" s="168" t="s">
        <v>610</v>
      </c>
      <c r="H975" s="168" t="s">
        <v>609</v>
      </c>
      <c r="I975">
        <v>9818.181818181818</v>
      </c>
    </row>
    <row r="976" spans="1:9" hidden="1" x14ac:dyDescent="0.3">
      <c r="A976">
        <v>86</v>
      </c>
      <c r="B976" s="168" t="s">
        <v>134</v>
      </c>
      <c r="C976" s="168" t="s">
        <v>135</v>
      </c>
      <c r="D976">
        <v>11408</v>
      </c>
      <c r="E976">
        <v>2020</v>
      </c>
      <c r="F976" s="168" t="s">
        <v>591</v>
      </c>
      <c r="G976" s="168" t="s">
        <v>623</v>
      </c>
      <c r="H976" s="168" t="s">
        <v>608</v>
      </c>
      <c r="I976">
        <v>333321.2</v>
      </c>
    </row>
    <row r="977" spans="1:9" hidden="1" x14ac:dyDescent="0.3">
      <c r="A977">
        <v>86</v>
      </c>
      <c r="B977" s="168" t="s">
        <v>134</v>
      </c>
      <c r="C977" s="168" t="s">
        <v>135</v>
      </c>
      <c r="D977">
        <v>11408</v>
      </c>
      <c r="E977">
        <v>2020</v>
      </c>
      <c r="F977" s="168" t="s">
        <v>591</v>
      </c>
      <c r="G977" s="168" t="s">
        <v>623</v>
      </c>
      <c r="H977" s="168" t="s">
        <v>609</v>
      </c>
      <c r="I977">
        <v>116754.43999999999</v>
      </c>
    </row>
    <row r="978" spans="1:9" hidden="1" x14ac:dyDescent="0.3">
      <c r="A978">
        <v>86</v>
      </c>
      <c r="B978" s="168" t="s">
        <v>134</v>
      </c>
      <c r="C978" s="168" t="s">
        <v>135</v>
      </c>
      <c r="D978">
        <v>11408</v>
      </c>
      <c r="E978">
        <v>2020</v>
      </c>
      <c r="F978" s="168" t="s">
        <v>591</v>
      </c>
      <c r="G978" s="168" t="s">
        <v>615</v>
      </c>
      <c r="H978" s="168" t="s">
        <v>608</v>
      </c>
      <c r="I978">
        <v>0</v>
      </c>
    </row>
    <row r="979" spans="1:9" hidden="1" x14ac:dyDescent="0.3">
      <c r="A979">
        <v>86</v>
      </c>
      <c r="B979" s="168" t="s">
        <v>134</v>
      </c>
      <c r="C979" s="168" t="s">
        <v>135</v>
      </c>
      <c r="D979">
        <v>11408</v>
      </c>
      <c r="E979">
        <v>2020</v>
      </c>
      <c r="F979" s="168" t="s">
        <v>591</v>
      </c>
      <c r="G979" s="168" t="s">
        <v>615</v>
      </c>
      <c r="H979" s="168" t="s">
        <v>609</v>
      </c>
      <c r="I979">
        <v>7536.5853658536589</v>
      </c>
    </row>
    <row r="980" spans="1:9" hidden="1" x14ac:dyDescent="0.3">
      <c r="A980">
        <v>86</v>
      </c>
      <c r="B980" s="168" t="s">
        <v>134</v>
      </c>
      <c r="C980" s="168" t="s">
        <v>135</v>
      </c>
      <c r="D980">
        <v>11408</v>
      </c>
      <c r="E980">
        <v>2020</v>
      </c>
      <c r="F980" s="168" t="s">
        <v>591</v>
      </c>
      <c r="G980" s="168" t="s">
        <v>624</v>
      </c>
      <c r="H980" s="168" t="s">
        <v>608</v>
      </c>
      <c r="I980">
        <v>213415.73638498198</v>
      </c>
    </row>
    <row r="981" spans="1:9" hidden="1" x14ac:dyDescent="0.3">
      <c r="A981">
        <v>86</v>
      </c>
      <c r="B981" s="168" t="s">
        <v>134</v>
      </c>
      <c r="C981" s="168" t="s">
        <v>135</v>
      </c>
      <c r="D981">
        <v>11408</v>
      </c>
      <c r="E981">
        <v>2020</v>
      </c>
      <c r="F981" s="168" t="s">
        <v>591</v>
      </c>
      <c r="G981" s="168" t="s">
        <v>624</v>
      </c>
      <c r="H981" s="168" t="s">
        <v>609</v>
      </c>
      <c r="I981">
        <v>224509.830840154</v>
      </c>
    </row>
    <row r="982" spans="1:9" hidden="1" x14ac:dyDescent="0.3">
      <c r="A982">
        <v>86</v>
      </c>
      <c r="B982" s="168" t="s">
        <v>134</v>
      </c>
      <c r="C982" s="168" t="s">
        <v>135</v>
      </c>
      <c r="D982">
        <v>11408</v>
      </c>
      <c r="E982">
        <v>2020</v>
      </c>
      <c r="F982" s="168" t="s">
        <v>591</v>
      </c>
      <c r="G982" s="168" t="s">
        <v>611</v>
      </c>
      <c r="H982" s="168" t="s">
        <v>608</v>
      </c>
      <c r="I982">
        <v>0</v>
      </c>
    </row>
    <row r="983" spans="1:9" hidden="1" x14ac:dyDescent="0.3">
      <c r="A983">
        <v>86</v>
      </c>
      <c r="B983" s="168" t="s">
        <v>134</v>
      </c>
      <c r="C983" s="168" t="s">
        <v>135</v>
      </c>
      <c r="D983">
        <v>11408</v>
      </c>
      <c r="E983">
        <v>2020</v>
      </c>
      <c r="F983" s="168" t="s">
        <v>591</v>
      </c>
      <c r="G983" s="168" t="s">
        <v>611</v>
      </c>
      <c r="H983" s="168" t="s">
        <v>609</v>
      </c>
      <c r="I983">
        <v>47680.665562320341</v>
      </c>
    </row>
    <row r="984" spans="1:9" hidden="1" x14ac:dyDescent="0.3">
      <c r="A984">
        <v>86</v>
      </c>
      <c r="B984" s="168" t="s">
        <v>134</v>
      </c>
      <c r="C984" s="168" t="s">
        <v>135</v>
      </c>
      <c r="D984">
        <v>11408</v>
      </c>
      <c r="E984">
        <v>2020</v>
      </c>
      <c r="F984" s="168" t="s">
        <v>591</v>
      </c>
      <c r="G984" s="168" t="s">
        <v>621</v>
      </c>
      <c r="H984" s="168" t="s">
        <v>608</v>
      </c>
      <c r="I984">
        <v>0</v>
      </c>
    </row>
    <row r="985" spans="1:9" hidden="1" x14ac:dyDescent="0.3">
      <c r="A985">
        <v>86</v>
      </c>
      <c r="B985" s="168" t="s">
        <v>134</v>
      </c>
      <c r="C985" s="168" t="s">
        <v>135</v>
      </c>
      <c r="D985">
        <v>11408</v>
      </c>
      <c r="E985">
        <v>2020</v>
      </c>
      <c r="F985" s="168" t="s">
        <v>591</v>
      </c>
      <c r="G985" s="168" t="s">
        <v>621</v>
      </c>
      <c r="H985" s="168" t="s">
        <v>609</v>
      </c>
      <c r="I985">
        <v>1099980</v>
      </c>
    </row>
    <row r="986" spans="1:9" hidden="1" x14ac:dyDescent="0.3">
      <c r="A986">
        <v>86</v>
      </c>
      <c r="B986" s="168" t="s">
        <v>134</v>
      </c>
      <c r="C986" s="168" t="s">
        <v>135</v>
      </c>
      <c r="D986">
        <v>11408</v>
      </c>
      <c r="E986">
        <v>2020</v>
      </c>
      <c r="F986" s="168" t="s">
        <v>591</v>
      </c>
      <c r="G986" s="168" t="s">
        <v>613</v>
      </c>
      <c r="H986" s="168" t="s">
        <v>608</v>
      </c>
      <c r="I986">
        <v>808419.96378798096</v>
      </c>
    </row>
    <row r="987" spans="1:9" hidden="1" x14ac:dyDescent="0.3">
      <c r="A987">
        <v>86</v>
      </c>
      <c r="B987" s="168" t="s">
        <v>134</v>
      </c>
      <c r="C987" s="168" t="s">
        <v>135</v>
      </c>
      <c r="D987">
        <v>11408</v>
      </c>
      <c r="E987">
        <v>2020</v>
      </c>
      <c r="F987" s="168" t="s">
        <v>591</v>
      </c>
      <c r="G987" s="168" t="s">
        <v>613</v>
      </c>
      <c r="H987" s="168" t="s">
        <v>609</v>
      </c>
      <c r="I987">
        <v>329631.1830452804</v>
      </c>
    </row>
    <row r="988" spans="1:9" hidden="1" x14ac:dyDescent="0.3">
      <c r="A988">
        <v>88</v>
      </c>
      <c r="B988" s="168" t="s">
        <v>138</v>
      </c>
      <c r="C988" s="168" t="s">
        <v>139</v>
      </c>
      <c r="D988">
        <v>7858.3</v>
      </c>
      <c r="E988">
        <v>2020</v>
      </c>
      <c r="F988" s="168" t="s">
        <v>591</v>
      </c>
      <c r="G988" s="168" t="s">
        <v>607</v>
      </c>
      <c r="H988" s="168" t="s">
        <v>608</v>
      </c>
      <c r="I988">
        <v>1701714.2809526739</v>
      </c>
    </row>
    <row r="989" spans="1:9" hidden="1" x14ac:dyDescent="0.3">
      <c r="A989">
        <v>88</v>
      </c>
      <c r="B989" s="168" t="s">
        <v>138</v>
      </c>
      <c r="C989" s="168" t="s">
        <v>139</v>
      </c>
      <c r="D989">
        <v>7858.3</v>
      </c>
      <c r="E989">
        <v>2020</v>
      </c>
      <c r="F989" s="168" t="s">
        <v>591</v>
      </c>
      <c r="G989" s="168" t="s">
        <v>607</v>
      </c>
      <c r="H989" s="168" t="s">
        <v>609</v>
      </c>
      <c r="I989">
        <v>845182.02355093195</v>
      </c>
    </row>
    <row r="990" spans="1:9" hidden="1" x14ac:dyDescent="0.3">
      <c r="A990">
        <v>88</v>
      </c>
      <c r="B990" s="168" t="s">
        <v>138</v>
      </c>
      <c r="C990" s="168" t="s">
        <v>139</v>
      </c>
      <c r="D990">
        <v>7858.3</v>
      </c>
      <c r="E990">
        <v>2020</v>
      </c>
      <c r="F990" s="168" t="s">
        <v>591</v>
      </c>
      <c r="G990" s="168" t="s">
        <v>612</v>
      </c>
      <c r="H990" s="168" t="s">
        <v>608</v>
      </c>
      <c r="I990">
        <v>447525</v>
      </c>
    </row>
    <row r="991" spans="1:9" hidden="1" x14ac:dyDescent="0.3">
      <c r="A991">
        <v>88</v>
      </c>
      <c r="B991" s="168" t="s">
        <v>138</v>
      </c>
      <c r="C991" s="168" t="s">
        <v>139</v>
      </c>
      <c r="D991">
        <v>7858.3</v>
      </c>
      <c r="E991">
        <v>2020</v>
      </c>
      <c r="F991" s="168" t="s">
        <v>591</v>
      </c>
      <c r="G991" s="168" t="s">
        <v>612</v>
      </c>
      <c r="H991" s="168" t="s">
        <v>609</v>
      </c>
      <c r="I991">
        <v>0</v>
      </c>
    </row>
    <row r="992" spans="1:9" hidden="1" x14ac:dyDescent="0.3">
      <c r="A992">
        <v>88</v>
      </c>
      <c r="B992" s="168" t="s">
        <v>138</v>
      </c>
      <c r="C992" s="168" t="s">
        <v>139</v>
      </c>
      <c r="D992">
        <v>7858.3</v>
      </c>
      <c r="E992">
        <v>2020</v>
      </c>
      <c r="F992" s="168" t="s">
        <v>591</v>
      </c>
      <c r="G992" s="168" t="s">
        <v>616</v>
      </c>
      <c r="H992" s="168" t="s">
        <v>608</v>
      </c>
      <c r="I992">
        <v>2050705.7493528002</v>
      </c>
    </row>
    <row r="993" spans="1:9" hidden="1" x14ac:dyDescent="0.3">
      <c r="A993">
        <v>88</v>
      </c>
      <c r="B993" s="168" t="s">
        <v>138</v>
      </c>
      <c r="C993" s="168" t="s">
        <v>139</v>
      </c>
      <c r="D993">
        <v>7858.3</v>
      </c>
      <c r="E993">
        <v>2020</v>
      </c>
      <c r="F993" s="168" t="s">
        <v>591</v>
      </c>
      <c r="G993" s="168" t="s">
        <v>616</v>
      </c>
      <c r="H993" s="168" t="s">
        <v>609</v>
      </c>
      <c r="I993">
        <v>936511.87489001092</v>
      </c>
    </row>
    <row r="994" spans="1:9" hidden="1" x14ac:dyDescent="0.3">
      <c r="A994">
        <v>88</v>
      </c>
      <c r="B994" s="168" t="s">
        <v>138</v>
      </c>
      <c r="C994" s="168" t="s">
        <v>139</v>
      </c>
      <c r="D994">
        <v>7858.3</v>
      </c>
      <c r="E994">
        <v>2020</v>
      </c>
      <c r="F994" s="168" t="s">
        <v>591</v>
      </c>
      <c r="G994" s="168" t="s">
        <v>617</v>
      </c>
      <c r="H994" s="168" t="s">
        <v>608</v>
      </c>
      <c r="I994">
        <v>42215</v>
      </c>
    </row>
    <row r="995" spans="1:9" hidden="1" x14ac:dyDescent="0.3">
      <c r="A995">
        <v>88</v>
      </c>
      <c r="B995" s="168" t="s">
        <v>138</v>
      </c>
      <c r="C995" s="168" t="s">
        <v>139</v>
      </c>
      <c r="D995">
        <v>7858.3</v>
      </c>
      <c r="E995">
        <v>2020</v>
      </c>
      <c r="F995" s="168" t="s">
        <v>591</v>
      </c>
      <c r="G995" s="168" t="s">
        <v>617</v>
      </c>
      <c r="H995" s="168" t="s">
        <v>609</v>
      </c>
      <c r="I995">
        <v>15075</v>
      </c>
    </row>
    <row r="996" spans="1:9" hidden="1" x14ac:dyDescent="0.3">
      <c r="A996">
        <v>88</v>
      </c>
      <c r="B996" s="168" t="s">
        <v>138</v>
      </c>
      <c r="C996" s="168" t="s">
        <v>139</v>
      </c>
      <c r="D996">
        <v>7858.3</v>
      </c>
      <c r="E996">
        <v>2020</v>
      </c>
      <c r="F996" s="168" t="s">
        <v>591</v>
      </c>
      <c r="G996" s="168" t="s">
        <v>618</v>
      </c>
      <c r="H996" s="168" t="s">
        <v>608</v>
      </c>
      <c r="I996">
        <v>0</v>
      </c>
    </row>
    <row r="997" spans="1:9" hidden="1" x14ac:dyDescent="0.3">
      <c r="A997">
        <v>88</v>
      </c>
      <c r="B997" s="168" t="s">
        <v>138</v>
      </c>
      <c r="C997" s="168" t="s">
        <v>139</v>
      </c>
      <c r="D997">
        <v>7858.3</v>
      </c>
      <c r="E997">
        <v>2020</v>
      </c>
      <c r="F997" s="168" t="s">
        <v>591</v>
      </c>
      <c r="G997" s="168" t="s">
        <v>618</v>
      </c>
      <c r="H997" s="168" t="s">
        <v>609</v>
      </c>
      <c r="I997">
        <v>37280.898876404492</v>
      </c>
    </row>
    <row r="998" spans="1:9" hidden="1" x14ac:dyDescent="0.3">
      <c r="A998">
        <v>88</v>
      </c>
      <c r="B998" s="168" t="s">
        <v>138</v>
      </c>
      <c r="C998" s="168" t="s">
        <v>139</v>
      </c>
      <c r="D998">
        <v>7858.3</v>
      </c>
      <c r="E998">
        <v>2020</v>
      </c>
      <c r="F998" s="168" t="s">
        <v>591</v>
      </c>
      <c r="G998" s="168" t="s">
        <v>610</v>
      </c>
      <c r="H998" s="168" t="s">
        <v>608</v>
      </c>
      <c r="I998">
        <v>0</v>
      </c>
    </row>
    <row r="999" spans="1:9" hidden="1" x14ac:dyDescent="0.3">
      <c r="A999">
        <v>88</v>
      </c>
      <c r="B999" s="168" t="s">
        <v>138</v>
      </c>
      <c r="C999" s="168" t="s">
        <v>139</v>
      </c>
      <c r="D999">
        <v>7858.3</v>
      </c>
      <c r="E999">
        <v>2020</v>
      </c>
      <c r="F999" s="168" t="s">
        <v>591</v>
      </c>
      <c r="G999" s="168" t="s">
        <v>610</v>
      </c>
      <c r="H999" s="168" t="s">
        <v>609</v>
      </c>
      <c r="I999">
        <v>9818.181818181818</v>
      </c>
    </row>
    <row r="1000" spans="1:9" hidden="1" x14ac:dyDescent="0.3">
      <c r="A1000">
        <v>88</v>
      </c>
      <c r="B1000" s="168" t="s">
        <v>138</v>
      </c>
      <c r="C1000" s="168" t="s">
        <v>139</v>
      </c>
      <c r="D1000">
        <v>7858.3</v>
      </c>
      <c r="E1000">
        <v>2020</v>
      </c>
      <c r="F1000" s="168" t="s">
        <v>591</v>
      </c>
      <c r="G1000" s="168" t="s">
        <v>623</v>
      </c>
      <c r="H1000" s="168" t="s">
        <v>608</v>
      </c>
      <c r="I1000">
        <v>311517</v>
      </c>
    </row>
    <row r="1001" spans="1:9" hidden="1" x14ac:dyDescent="0.3">
      <c r="A1001">
        <v>88</v>
      </c>
      <c r="B1001" s="168" t="s">
        <v>138</v>
      </c>
      <c r="C1001" s="168" t="s">
        <v>139</v>
      </c>
      <c r="D1001">
        <v>7858.3</v>
      </c>
      <c r="E1001">
        <v>2020</v>
      </c>
      <c r="F1001" s="168" t="s">
        <v>591</v>
      </c>
      <c r="G1001" s="168" t="s">
        <v>623</v>
      </c>
      <c r="H1001" s="168" t="s">
        <v>609</v>
      </c>
      <c r="I1001">
        <v>108184.87999999999</v>
      </c>
    </row>
    <row r="1002" spans="1:9" hidden="1" x14ac:dyDescent="0.3">
      <c r="A1002">
        <v>88</v>
      </c>
      <c r="B1002" s="168" t="s">
        <v>138</v>
      </c>
      <c r="C1002" s="168" t="s">
        <v>139</v>
      </c>
      <c r="D1002">
        <v>7858.3</v>
      </c>
      <c r="E1002">
        <v>2020</v>
      </c>
      <c r="F1002" s="168" t="s">
        <v>591</v>
      </c>
      <c r="G1002" s="168" t="s">
        <v>624</v>
      </c>
      <c r="H1002" s="168" t="s">
        <v>608</v>
      </c>
      <c r="I1002">
        <v>147009.5442877021</v>
      </c>
    </row>
    <row r="1003" spans="1:9" hidden="1" x14ac:dyDescent="0.3">
      <c r="A1003">
        <v>88</v>
      </c>
      <c r="B1003" s="168" t="s">
        <v>138</v>
      </c>
      <c r="C1003" s="168" t="s">
        <v>139</v>
      </c>
      <c r="D1003">
        <v>7858.3</v>
      </c>
      <c r="E1003">
        <v>2020</v>
      </c>
      <c r="F1003" s="168" t="s">
        <v>591</v>
      </c>
      <c r="G1003" s="168" t="s">
        <v>624</v>
      </c>
      <c r="H1003" s="168" t="s">
        <v>609</v>
      </c>
      <c r="I1003">
        <v>154651.6132267871</v>
      </c>
    </row>
    <row r="1004" spans="1:9" hidden="1" x14ac:dyDescent="0.3">
      <c r="A1004">
        <v>88</v>
      </c>
      <c r="B1004" s="168" t="s">
        <v>138</v>
      </c>
      <c r="C1004" s="168" t="s">
        <v>139</v>
      </c>
      <c r="D1004">
        <v>7858.3</v>
      </c>
      <c r="E1004">
        <v>2020</v>
      </c>
      <c r="F1004" s="168" t="s">
        <v>591</v>
      </c>
      <c r="G1004" s="168" t="s">
        <v>611</v>
      </c>
      <c r="H1004" s="168" t="s">
        <v>608</v>
      </c>
      <c r="I1004">
        <v>0</v>
      </c>
    </row>
    <row r="1005" spans="1:9" hidden="1" x14ac:dyDescent="0.3">
      <c r="A1005">
        <v>88</v>
      </c>
      <c r="B1005" s="168" t="s">
        <v>138</v>
      </c>
      <c r="C1005" s="168" t="s">
        <v>139</v>
      </c>
      <c r="D1005">
        <v>7858.3</v>
      </c>
      <c r="E1005">
        <v>2020</v>
      </c>
      <c r="F1005" s="168" t="s">
        <v>591</v>
      </c>
      <c r="G1005" s="168" t="s">
        <v>611</v>
      </c>
      <c r="H1005" s="168" t="s">
        <v>609</v>
      </c>
      <c r="I1005">
        <v>32844.405170790844</v>
      </c>
    </row>
    <row r="1006" spans="1:9" hidden="1" x14ac:dyDescent="0.3">
      <c r="A1006">
        <v>88</v>
      </c>
      <c r="B1006" s="168" t="s">
        <v>138</v>
      </c>
      <c r="C1006" s="168" t="s">
        <v>139</v>
      </c>
      <c r="D1006">
        <v>7858.3</v>
      </c>
      <c r="E1006">
        <v>2020</v>
      </c>
      <c r="F1006" s="168" t="s">
        <v>591</v>
      </c>
      <c r="G1006" s="168" t="s">
        <v>613</v>
      </c>
      <c r="H1006" s="168" t="s">
        <v>608</v>
      </c>
      <c r="I1006">
        <v>296635.85827897</v>
      </c>
    </row>
    <row r="1007" spans="1:9" hidden="1" x14ac:dyDescent="0.3">
      <c r="A1007">
        <v>88</v>
      </c>
      <c r="B1007" s="168" t="s">
        <v>138</v>
      </c>
      <c r="C1007" s="168" t="s">
        <v>139</v>
      </c>
      <c r="D1007">
        <v>7858.3</v>
      </c>
      <c r="E1007">
        <v>2020</v>
      </c>
      <c r="F1007" s="168" t="s">
        <v>591</v>
      </c>
      <c r="G1007" s="168" t="s">
        <v>613</v>
      </c>
      <c r="H1007" s="168" t="s">
        <v>609</v>
      </c>
      <c r="I1007">
        <v>60208.179742888293</v>
      </c>
    </row>
    <row r="1008" spans="1:9" hidden="1" x14ac:dyDescent="0.3">
      <c r="A1008">
        <v>89</v>
      </c>
      <c r="B1008" s="168" t="s">
        <v>140</v>
      </c>
      <c r="C1008" s="168" t="s">
        <v>141</v>
      </c>
      <c r="D1008">
        <v>7847.8</v>
      </c>
      <c r="E1008">
        <v>2020</v>
      </c>
      <c r="F1008" s="168" t="s">
        <v>591</v>
      </c>
      <c r="G1008" s="168" t="s">
        <v>607</v>
      </c>
      <c r="H1008" s="168" t="s">
        <v>608</v>
      </c>
      <c r="I1008">
        <v>1699720.8968019439</v>
      </c>
    </row>
    <row r="1009" spans="1:9" hidden="1" x14ac:dyDescent="0.3">
      <c r="A1009">
        <v>89</v>
      </c>
      <c r="B1009" s="168" t="s">
        <v>140</v>
      </c>
      <c r="C1009" s="168" t="s">
        <v>141</v>
      </c>
      <c r="D1009">
        <v>7847.8</v>
      </c>
      <c r="E1009">
        <v>2020</v>
      </c>
      <c r="F1009" s="168" t="s">
        <v>591</v>
      </c>
      <c r="G1009" s="168" t="s">
        <v>607</v>
      </c>
      <c r="H1009" s="168" t="s">
        <v>609</v>
      </c>
      <c r="I1009">
        <v>844333.10941315</v>
      </c>
    </row>
    <row r="1010" spans="1:9" hidden="1" x14ac:dyDescent="0.3">
      <c r="A1010">
        <v>89</v>
      </c>
      <c r="B1010" s="168" t="s">
        <v>140</v>
      </c>
      <c r="C1010" s="168" t="s">
        <v>141</v>
      </c>
      <c r="D1010">
        <v>7847.8</v>
      </c>
      <c r="E1010">
        <v>2020</v>
      </c>
      <c r="F1010" s="168" t="s">
        <v>591</v>
      </c>
      <c r="G1010" s="168" t="s">
        <v>612</v>
      </c>
      <c r="H1010" s="168" t="s">
        <v>608</v>
      </c>
      <c r="I1010">
        <v>447525</v>
      </c>
    </row>
    <row r="1011" spans="1:9" hidden="1" x14ac:dyDescent="0.3">
      <c r="A1011">
        <v>89</v>
      </c>
      <c r="B1011" s="168" t="s">
        <v>140</v>
      </c>
      <c r="C1011" s="168" t="s">
        <v>141</v>
      </c>
      <c r="D1011">
        <v>7847.8</v>
      </c>
      <c r="E1011">
        <v>2020</v>
      </c>
      <c r="F1011" s="168" t="s">
        <v>591</v>
      </c>
      <c r="G1011" s="168" t="s">
        <v>612</v>
      </c>
      <c r="H1011" s="168" t="s">
        <v>609</v>
      </c>
      <c r="I1011">
        <v>0</v>
      </c>
    </row>
    <row r="1012" spans="1:9" hidden="1" x14ac:dyDescent="0.3">
      <c r="A1012">
        <v>89</v>
      </c>
      <c r="B1012" s="168" t="s">
        <v>140</v>
      </c>
      <c r="C1012" s="168" t="s">
        <v>141</v>
      </c>
      <c r="D1012">
        <v>7847.8</v>
      </c>
      <c r="E1012">
        <v>2020</v>
      </c>
      <c r="F1012" s="168" t="s">
        <v>591</v>
      </c>
      <c r="G1012" s="168" t="s">
        <v>616</v>
      </c>
      <c r="H1012" s="168" t="s">
        <v>608</v>
      </c>
      <c r="I1012">
        <v>2048122.9506472</v>
      </c>
    </row>
    <row r="1013" spans="1:9" hidden="1" x14ac:dyDescent="0.3">
      <c r="A1013">
        <v>89</v>
      </c>
      <c r="B1013" s="168" t="s">
        <v>140</v>
      </c>
      <c r="C1013" s="168" t="s">
        <v>141</v>
      </c>
      <c r="D1013">
        <v>7847.8</v>
      </c>
      <c r="E1013">
        <v>2020</v>
      </c>
      <c r="F1013" s="168" t="s">
        <v>591</v>
      </c>
      <c r="G1013" s="168" t="s">
        <v>616</v>
      </c>
      <c r="H1013" s="168" t="s">
        <v>609</v>
      </c>
      <c r="I1013">
        <v>935417.82510998903</v>
      </c>
    </row>
    <row r="1014" spans="1:9" hidden="1" x14ac:dyDescent="0.3">
      <c r="A1014">
        <v>89</v>
      </c>
      <c r="B1014" s="168" t="s">
        <v>140</v>
      </c>
      <c r="C1014" s="168" t="s">
        <v>141</v>
      </c>
      <c r="D1014">
        <v>7847.8</v>
      </c>
      <c r="E1014">
        <v>2020</v>
      </c>
      <c r="F1014" s="168" t="s">
        <v>591</v>
      </c>
      <c r="G1014" s="168" t="s">
        <v>617</v>
      </c>
      <c r="H1014" s="168" t="s">
        <v>608</v>
      </c>
      <c r="I1014">
        <v>42215</v>
      </c>
    </row>
    <row r="1015" spans="1:9" hidden="1" x14ac:dyDescent="0.3">
      <c r="A1015">
        <v>89</v>
      </c>
      <c r="B1015" s="168" t="s">
        <v>140</v>
      </c>
      <c r="C1015" s="168" t="s">
        <v>141</v>
      </c>
      <c r="D1015">
        <v>7847.8</v>
      </c>
      <c r="E1015">
        <v>2020</v>
      </c>
      <c r="F1015" s="168" t="s">
        <v>591</v>
      </c>
      <c r="G1015" s="168" t="s">
        <v>617</v>
      </c>
      <c r="H1015" s="168" t="s">
        <v>609</v>
      </c>
      <c r="I1015">
        <v>15075</v>
      </c>
    </row>
    <row r="1016" spans="1:9" hidden="1" x14ac:dyDescent="0.3">
      <c r="A1016">
        <v>89</v>
      </c>
      <c r="B1016" s="168" t="s">
        <v>140</v>
      </c>
      <c r="C1016" s="168" t="s">
        <v>141</v>
      </c>
      <c r="D1016">
        <v>7847.8</v>
      </c>
      <c r="E1016">
        <v>2020</v>
      </c>
      <c r="F1016" s="168" t="s">
        <v>591</v>
      </c>
      <c r="G1016" s="168" t="s">
        <v>618</v>
      </c>
      <c r="H1016" s="168" t="s">
        <v>608</v>
      </c>
      <c r="I1016">
        <v>0</v>
      </c>
    </row>
    <row r="1017" spans="1:9" hidden="1" x14ac:dyDescent="0.3">
      <c r="A1017">
        <v>89</v>
      </c>
      <c r="B1017" s="168" t="s">
        <v>140</v>
      </c>
      <c r="C1017" s="168" t="s">
        <v>141</v>
      </c>
      <c r="D1017">
        <v>7847.8</v>
      </c>
      <c r="E1017">
        <v>2020</v>
      </c>
      <c r="F1017" s="168" t="s">
        <v>591</v>
      </c>
      <c r="G1017" s="168" t="s">
        <v>618</v>
      </c>
      <c r="H1017" s="168" t="s">
        <v>609</v>
      </c>
      <c r="I1017">
        <v>37280.898876404492</v>
      </c>
    </row>
    <row r="1018" spans="1:9" hidden="1" x14ac:dyDescent="0.3">
      <c r="A1018">
        <v>89</v>
      </c>
      <c r="B1018" s="168" t="s">
        <v>140</v>
      </c>
      <c r="C1018" s="168" t="s">
        <v>141</v>
      </c>
      <c r="D1018">
        <v>7847.8</v>
      </c>
      <c r="E1018">
        <v>2020</v>
      </c>
      <c r="F1018" s="168" t="s">
        <v>591</v>
      </c>
      <c r="G1018" s="168" t="s">
        <v>610</v>
      </c>
      <c r="H1018" s="168" t="s">
        <v>608</v>
      </c>
      <c r="I1018">
        <v>0</v>
      </c>
    </row>
    <row r="1019" spans="1:9" hidden="1" x14ac:dyDescent="0.3">
      <c r="A1019">
        <v>89</v>
      </c>
      <c r="B1019" s="168" t="s">
        <v>140</v>
      </c>
      <c r="C1019" s="168" t="s">
        <v>141</v>
      </c>
      <c r="D1019">
        <v>7847.8</v>
      </c>
      <c r="E1019">
        <v>2020</v>
      </c>
      <c r="F1019" s="168" t="s">
        <v>591</v>
      </c>
      <c r="G1019" s="168" t="s">
        <v>610</v>
      </c>
      <c r="H1019" s="168" t="s">
        <v>609</v>
      </c>
      <c r="I1019">
        <v>9818.181818181818</v>
      </c>
    </row>
    <row r="1020" spans="1:9" hidden="1" x14ac:dyDescent="0.3">
      <c r="A1020">
        <v>89</v>
      </c>
      <c r="B1020" s="168" t="s">
        <v>140</v>
      </c>
      <c r="C1020" s="168" t="s">
        <v>141</v>
      </c>
      <c r="D1020">
        <v>7847.8</v>
      </c>
      <c r="E1020">
        <v>2020</v>
      </c>
      <c r="F1020" s="168" t="s">
        <v>591</v>
      </c>
      <c r="G1020" s="168" t="s">
        <v>623</v>
      </c>
      <c r="H1020" s="168" t="s">
        <v>608</v>
      </c>
      <c r="I1020">
        <v>311517</v>
      </c>
    </row>
    <row r="1021" spans="1:9" hidden="1" x14ac:dyDescent="0.3">
      <c r="A1021">
        <v>89</v>
      </c>
      <c r="B1021" s="168" t="s">
        <v>140</v>
      </c>
      <c r="C1021" s="168" t="s">
        <v>141</v>
      </c>
      <c r="D1021">
        <v>7847.8</v>
      </c>
      <c r="E1021">
        <v>2020</v>
      </c>
      <c r="F1021" s="168" t="s">
        <v>591</v>
      </c>
      <c r="G1021" s="168" t="s">
        <v>623</v>
      </c>
      <c r="H1021" s="168" t="s">
        <v>609</v>
      </c>
      <c r="I1021">
        <v>198184.88</v>
      </c>
    </row>
    <row r="1022" spans="1:9" hidden="1" x14ac:dyDescent="0.3">
      <c r="A1022">
        <v>89</v>
      </c>
      <c r="B1022" s="168" t="s">
        <v>140</v>
      </c>
      <c r="C1022" s="168" t="s">
        <v>141</v>
      </c>
      <c r="D1022">
        <v>7847.8</v>
      </c>
      <c r="E1022">
        <v>2020</v>
      </c>
      <c r="F1022" s="168" t="s">
        <v>591</v>
      </c>
      <c r="G1022" s="168" t="s">
        <v>624</v>
      </c>
      <c r="H1022" s="168" t="s">
        <v>608</v>
      </c>
      <c r="I1022">
        <v>146813.11500719411</v>
      </c>
    </row>
    <row r="1023" spans="1:9" hidden="1" x14ac:dyDescent="0.3">
      <c r="A1023">
        <v>89</v>
      </c>
      <c r="B1023" s="168" t="s">
        <v>140</v>
      </c>
      <c r="C1023" s="168" t="s">
        <v>141</v>
      </c>
      <c r="D1023">
        <v>7847.8</v>
      </c>
      <c r="E1023">
        <v>2020</v>
      </c>
      <c r="F1023" s="168" t="s">
        <v>591</v>
      </c>
      <c r="G1023" s="168" t="s">
        <v>624</v>
      </c>
      <c r="H1023" s="168" t="s">
        <v>609</v>
      </c>
      <c r="I1023">
        <v>154444.9728670551</v>
      </c>
    </row>
    <row r="1024" spans="1:9" hidden="1" x14ac:dyDescent="0.3">
      <c r="A1024">
        <v>89</v>
      </c>
      <c r="B1024" s="168" t="s">
        <v>140</v>
      </c>
      <c r="C1024" s="168" t="s">
        <v>141</v>
      </c>
      <c r="D1024">
        <v>7847.8</v>
      </c>
      <c r="E1024">
        <v>2020</v>
      </c>
      <c r="F1024" s="168" t="s">
        <v>591</v>
      </c>
      <c r="G1024" s="168" t="s">
        <v>611</v>
      </c>
      <c r="H1024" s="168" t="s">
        <v>608</v>
      </c>
      <c r="I1024">
        <v>0</v>
      </c>
    </row>
    <row r="1025" spans="1:9" hidden="1" x14ac:dyDescent="0.3">
      <c r="A1025">
        <v>89</v>
      </c>
      <c r="B1025" s="168" t="s">
        <v>140</v>
      </c>
      <c r="C1025" s="168" t="s">
        <v>141</v>
      </c>
      <c r="D1025">
        <v>7847.8</v>
      </c>
      <c r="E1025">
        <v>2020</v>
      </c>
      <c r="F1025" s="168" t="s">
        <v>591</v>
      </c>
      <c r="G1025" s="168" t="s">
        <v>611</v>
      </c>
      <c r="H1025" s="168" t="s">
        <v>609</v>
      </c>
      <c r="I1025">
        <v>32800.519565215422</v>
      </c>
    </row>
    <row r="1026" spans="1:9" hidden="1" x14ac:dyDescent="0.3">
      <c r="A1026">
        <v>89</v>
      </c>
      <c r="B1026" s="168" t="s">
        <v>140</v>
      </c>
      <c r="C1026" s="168" t="s">
        <v>141</v>
      </c>
      <c r="D1026">
        <v>7847.8</v>
      </c>
      <c r="E1026">
        <v>2020</v>
      </c>
      <c r="F1026" s="168" t="s">
        <v>591</v>
      </c>
      <c r="G1026" s="168" t="s">
        <v>613</v>
      </c>
      <c r="H1026" s="168" t="s">
        <v>608</v>
      </c>
      <c r="I1026">
        <v>296239.50327700662</v>
      </c>
    </row>
    <row r="1027" spans="1:9" hidden="1" x14ac:dyDescent="0.3">
      <c r="A1027">
        <v>89</v>
      </c>
      <c r="B1027" s="168" t="s">
        <v>140</v>
      </c>
      <c r="C1027" s="168" t="s">
        <v>141</v>
      </c>
      <c r="D1027">
        <v>7847.8</v>
      </c>
      <c r="E1027">
        <v>2020</v>
      </c>
      <c r="F1027" s="168" t="s">
        <v>591</v>
      </c>
      <c r="G1027" s="168" t="s">
        <v>613</v>
      </c>
      <c r="H1027" s="168" t="s">
        <v>609</v>
      </c>
      <c r="I1027">
        <v>60127.731568690273</v>
      </c>
    </row>
    <row r="1028" spans="1:9" x14ac:dyDescent="0.3">
      <c r="A1028">
        <v>90</v>
      </c>
      <c r="B1028" s="168" t="s">
        <v>142</v>
      </c>
      <c r="C1028" s="168" t="s">
        <v>143</v>
      </c>
      <c r="D1028">
        <v>1453.6</v>
      </c>
      <c r="E1028">
        <v>2020</v>
      </c>
      <c r="F1028" s="168" t="s">
        <v>592</v>
      </c>
      <c r="G1028" s="168" t="s">
        <v>618</v>
      </c>
      <c r="H1028" s="168" t="s">
        <v>608</v>
      </c>
      <c r="I1028">
        <v>0</v>
      </c>
    </row>
    <row r="1029" spans="1:9" x14ac:dyDescent="0.3">
      <c r="A1029">
        <v>90</v>
      </c>
      <c r="B1029" s="168" t="s">
        <v>142</v>
      </c>
      <c r="C1029" s="168" t="s">
        <v>143</v>
      </c>
      <c r="D1029">
        <v>1453.6</v>
      </c>
      <c r="E1029">
        <v>2020</v>
      </c>
      <c r="F1029" s="168" t="s">
        <v>592</v>
      </c>
      <c r="G1029" s="168" t="s">
        <v>618</v>
      </c>
      <c r="H1029" s="168" t="s">
        <v>609</v>
      </c>
      <c r="I1029">
        <v>10651.685393258427</v>
      </c>
    </row>
    <row r="1030" spans="1:9" x14ac:dyDescent="0.3">
      <c r="A1030">
        <v>90</v>
      </c>
      <c r="B1030" s="168" t="s">
        <v>142</v>
      </c>
      <c r="C1030" s="168" t="s">
        <v>143</v>
      </c>
      <c r="D1030">
        <v>1453.6</v>
      </c>
      <c r="E1030">
        <v>2020</v>
      </c>
      <c r="F1030" s="168" t="s">
        <v>592</v>
      </c>
      <c r="G1030" s="168" t="s">
        <v>610</v>
      </c>
      <c r="H1030" s="168" t="s">
        <v>608</v>
      </c>
      <c r="I1030">
        <v>0</v>
      </c>
    </row>
    <row r="1031" spans="1:9" x14ac:dyDescent="0.3">
      <c r="A1031">
        <v>90</v>
      </c>
      <c r="B1031" s="168" t="s">
        <v>142</v>
      </c>
      <c r="C1031" s="168" t="s">
        <v>143</v>
      </c>
      <c r="D1031">
        <v>1453.6</v>
      </c>
      <c r="E1031">
        <v>2020</v>
      </c>
      <c r="F1031" s="168" t="s">
        <v>592</v>
      </c>
      <c r="G1031" s="168" t="s">
        <v>610</v>
      </c>
      <c r="H1031" s="168" t="s">
        <v>609</v>
      </c>
      <c r="I1031">
        <v>13090.90909090909</v>
      </c>
    </row>
    <row r="1032" spans="1:9" x14ac:dyDescent="0.3">
      <c r="A1032">
        <v>90</v>
      </c>
      <c r="B1032" s="168" t="s">
        <v>142</v>
      </c>
      <c r="C1032" s="168" t="s">
        <v>143</v>
      </c>
      <c r="D1032">
        <v>1453.6</v>
      </c>
      <c r="E1032">
        <v>2020</v>
      </c>
      <c r="F1032" s="168" t="s">
        <v>592</v>
      </c>
      <c r="G1032" s="168" t="s">
        <v>624</v>
      </c>
      <c r="H1032" s="168" t="s">
        <v>608</v>
      </c>
      <c r="I1032">
        <v>21733.00083224065</v>
      </c>
    </row>
    <row r="1033" spans="1:9" x14ac:dyDescent="0.3">
      <c r="A1033">
        <v>90</v>
      </c>
      <c r="B1033" s="168" t="s">
        <v>142</v>
      </c>
      <c r="C1033" s="168" t="s">
        <v>143</v>
      </c>
      <c r="D1033">
        <v>1453.6</v>
      </c>
      <c r="E1033">
        <v>2020</v>
      </c>
      <c r="F1033" s="168" t="s">
        <v>592</v>
      </c>
      <c r="G1033" s="168" t="s">
        <v>624</v>
      </c>
      <c r="H1033" s="168" t="s">
        <v>609</v>
      </c>
      <c r="I1033">
        <v>23146.603190238344</v>
      </c>
    </row>
    <row r="1034" spans="1:9" x14ac:dyDescent="0.3">
      <c r="A1034">
        <v>90</v>
      </c>
      <c r="B1034" s="168" t="s">
        <v>142</v>
      </c>
      <c r="C1034" s="168" t="s">
        <v>143</v>
      </c>
      <c r="D1034">
        <v>1453.6</v>
      </c>
      <c r="E1034">
        <v>2020</v>
      </c>
      <c r="F1034" s="168" t="s">
        <v>592</v>
      </c>
      <c r="G1034" s="168" t="s">
        <v>613</v>
      </c>
      <c r="H1034" s="168" t="s">
        <v>608</v>
      </c>
      <c r="I1034">
        <v>54870.631509908097</v>
      </c>
    </row>
    <row r="1035" spans="1:9" x14ac:dyDescent="0.3">
      <c r="A1035">
        <v>90</v>
      </c>
      <c r="B1035" s="168" t="s">
        <v>142</v>
      </c>
      <c r="C1035" s="168" t="s">
        <v>143</v>
      </c>
      <c r="D1035">
        <v>1453.6</v>
      </c>
      <c r="E1035">
        <v>2020</v>
      </c>
      <c r="F1035" s="168" t="s">
        <v>592</v>
      </c>
      <c r="G1035" s="168" t="s">
        <v>613</v>
      </c>
      <c r="H1035" s="168" t="s">
        <v>609</v>
      </c>
      <c r="I1035">
        <v>11137.092001356836</v>
      </c>
    </row>
    <row r="1036" spans="1:9" x14ac:dyDescent="0.3">
      <c r="A1036">
        <v>91</v>
      </c>
      <c r="B1036" s="168" t="s">
        <v>144</v>
      </c>
      <c r="C1036" s="168" t="s">
        <v>145</v>
      </c>
      <c r="D1036">
        <v>6172.3</v>
      </c>
      <c r="E1036">
        <v>2020</v>
      </c>
      <c r="F1036" s="168" t="s">
        <v>592</v>
      </c>
      <c r="G1036" s="168" t="s">
        <v>607</v>
      </c>
      <c r="H1036" s="168" t="s">
        <v>608</v>
      </c>
      <c r="I1036">
        <v>0</v>
      </c>
    </row>
    <row r="1037" spans="1:9" x14ac:dyDescent="0.3">
      <c r="A1037">
        <v>91</v>
      </c>
      <c r="B1037" s="168" t="s">
        <v>144</v>
      </c>
      <c r="C1037" s="168" t="s">
        <v>145</v>
      </c>
      <c r="D1037">
        <v>6172.3</v>
      </c>
      <c r="E1037">
        <v>2020</v>
      </c>
      <c r="F1037" s="168" t="s">
        <v>592</v>
      </c>
      <c r="G1037" s="168" t="s">
        <v>607</v>
      </c>
      <c r="H1037" s="168" t="s">
        <v>609</v>
      </c>
      <c r="I1037">
        <v>905850</v>
      </c>
    </row>
    <row r="1038" spans="1:9" x14ac:dyDescent="0.3">
      <c r="A1038">
        <v>91</v>
      </c>
      <c r="B1038" s="168" t="s">
        <v>144</v>
      </c>
      <c r="C1038" s="168" t="s">
        <v>145</v>
      </c>
      <c r="D1038">
        <v>6172.3</v>
      </c>
      <c r="E1038">
        <v>2020</v>
      </c>
      <c r="F1038" s="168" t="s">
        <v>592</v>
      </c>
      <c r="G1038" s="168" t="s">
        <v>612</v>
      </c>
      <c r="H1038" s="168" t="s">
        <v>608</v>
      </c>
      <c r="I1038">
        <v>0</v>
      </c>
    </row>
    <row r="1039" spans="1:9" x14ac:dyDescent="0.3">
      <c r="A1039">
        <v>91</v>
      </c>
      <c r="B1039" s="168" t="s">
        <v>144</v>
      </c>
      <c r="C1039" s="168" t="s">
        <v>145</v>
      </c>
      <c r="D1039">
        <v>6172.3</v>
      </c>
      <c r="E1039">
        <v>2020</v>
      </c>
      <c r="F1039" s="168" t="s">
        <v>592</v>
      </c>
      <c r="G1039" s="168" t="s">
        <v>612</v>
      </c>
      <c r="H1039" s="168" t="s">
        <v>609</v>
      </c>
      <c r="I1039">
        <v>86786</v>
      </c>
    </row>
    <row r="1040" spans="1:9" x14ac:dyDescent="0.3">
      <c r="A1040">
        <v>91</v>
      </c>
      <c r="B1040" s="168" t="s">
        <v>144</v>
      </c>
      <c r="C1040" s="168" t="s">
        <v>145</v>
      </c>
      <c r="D1040">
        <v>6172.3</v>
      </c>
      <c r="E1040">
        <v>2020</v>
      </c>
      <c r="F1040" s="168" t="s">
        <v>592</v>
      </c>
      <c r="G1040" s="168" t="s">
        <v>616</v>
      </c>
      <c r="H1040" s="168" t="s">
        <v>608</v>
      </c>
      <c r="I1040">
        <v>0</v>
      </c>
    </row>
    <row r="1041" spans="1:9" x14ac:dyDescent="0.3">
      <c r="A1041">
        <v>91</v>
      </c>
      <c r="B1041" s="168" t="s">
        <v>144</v>
      </c>
      <c r="C1041" s="168" t="s">
        <v>145</v>
      </c>
      <c r="D1041">
        <v>6172.3</v>
      </c>
      <c r="E1041">
        <v>2020</v>
      </c>
      <c r="F1041" s="168" t="s">
        <v>592</v>
      </c>
      <c r="G1041" s="168" t="s">
        <v>616</v>
      </c>
      <c r="H1041" s="168" t="s">
        <v>609</v>
      </c>
      <c r="I1041">
        <v>1033793.85</v>
      </c>
    </row>
    <row r="1042" spans="1:9" x14ac:dyDescent="0.3">
      <c r="A1042">
        <v>91</v>
      </c>
      <c r="B1042" s="168" t="s">
        <v>144</v>
      </c>
      <c r="C1042" s="168" t="s">
        <v>145</v>
      </c>
      <c r="D1042">
        <v>6172.3</v>
      </c>
      <c r="E1042">
        <v>2020</v>
      </c>
      <c r="F1042" s="168" t="s">
        <v>592</v>
      </c>
      <c r="G1042" s="168" t="s">
        <v>617</v>
      </c>
      <c r="H1042" s="168" t="s">
        <v>608</v>
      </c>
      <c r="I1042">
        <v>0</v>
      </c>
    </row>
    <row r="1043" spans="1:9" x14ac:dyDescent="0.3">
      <c r="A1043">
        <v>91</v>
      </c>
      <c r="B1043" s="168" t="s">
        <v>144</v>
      </c>
      <c r="C1043" s="168" t="s">
        <v>145</v>
      </c>
      <c r="D1043">
        <v>6172.3</v>
      </c>
      <c r="E1043">
        <v>2020</v>
      </c>
      <c r="F1043" s="168" t="s">
        <v>592</v>
      </c>
      <c r="G1043" s="168" t="s">
        <v>617</v>
      </c>
      <c r="H1043" s="168" t="s">
        <v>609</v>
      </c>
      <c r="I1043">
        <v>26200</v>
      </c>
    </row>
    <row r="1044" spans="1:9" x14ac:dyDescent="0.3">
      <c r="A1044">
        <v>91</v>
      </c>
      <c r="B1044" s="168" t="s">
        <v>144</v>
      </c>
      <c r="C1044" s="168" t="s">
        <v>145</v>
      </c>
      <c r="D1044">
        <v>6172.3</v>
      </c>
      <c r="E1044">
        <v>2020</v>
      </c>
      <c r="F1044" s="168" t="s">
        <v>592</v>
      </c>
      <c r="G1044" s="168" t="s">
        <v>618</v>
      </c>
      <c r="H1044" s="168" t="s">
        <v>608</v>
      </c>
      <c r="I1044">
        <v>0</v>
      </c>
    </row>
    <row r="1045" spans="1:9" x14ac:dyDescent="0.3">
      <c r="A1045">
        <v>91</v>
      </c>
      <c r="B1045" s="168" t="s">
        <v>144</v>
      </c>
      <c r="C1045" s="168" t="s">
        <v>145</v>
      </c>
      <c r="D1045">
        <v>6172.3</v>
      </c>
      <c r="E1045">
        <v>2020</v>
      </c>
      <c r="F1045" s="168" t="s">
        <v>592</v>
      </c>
      <c r="G1045" s="168" t="s">
        <v>618</v>
      </c>
      <c r="H1045" s="168" t="s">
        <v>609</v>
      </c>
      <c r="I1045">
        <v>260000</v>
      </c>
    </row>
    <row r="1046" spans="1:9" x14ac:dyDescent="0.3">
      <c r="A1046">
        <v>91</v>
      </c>
      <c r="B1046" s="168" t="s">
        <v>144</v>
      </c>
      <c r="C1046" s="168" t="s">
        <v>145</v>
      </c>
      <c r="D1046">
        <v>6172.3</v>
      </c>
      <c r="E1046">
        <v>2020</v>
      </c>
      <c r="F1046" s="168" t="s">
        <v>592</v>
      </c>
      <c r="G1046" s="168" t="s">
        <v>619</v>
      </c>
      <c r="H1046" s="168" t="s">
        <v>608</v>
      </c>
      <c r="I1046">
        <v>0</v>
      </c>
    </row>
    <row r="1047" spans="1:9" x14ac:dyDescent="0.3">
      <c r="A1047">
        <v>91</v>
      </c>
      <c r="B1047" s="168" t="s">
        <v>144</v>
      </c>
      <c r="C1047" s="168" t="s">
        <v>145</v>
      </c>
      <c r="D1047">
        <v>6172.3</v>
      </c>
      <c r="E1047">
        <v>2020</v>
      </c>
      <c r="F1047" s="168" t="s">
        <v>592</v>
      </c>
      <c r="G1047" s="168" t="s">
        <v>619</v>
      </c>
      <c r="H1047" s="168" t="s">
        <v>609</v>
      </c>
      <c r="I1047">
        <v>786040</v>
      </c>
    </row>
    <row r="1048" spans="1:9" x14ac:dyDescent="0.3">
      <c r="A1048">
        <v>91</v>
      </c>
      <c r="B1048" s="168" t="s">
        <v>144</v>
      </c>
      <c r="C1048" s="168" t="s">
        <v>145</v>
      </c>
      <c r="D1048">
        <v>6172.3</v>
      </c>
      <c r="E1048">
        <v>2020</v>
      </c>
      <c r="F1048" s="168" t="s">
        <v>592</v>
      </c>
      <c r="G1048" s="168" t="s">
        <v>610</v>
      </c>
      <c r="H1048" s="168" t="s">
        <v>608</v>
      </c>
      <c r="I1048">
        <v>0</v>
      </c>
    </row>
    <row r="1049" spans="1:9" x14ac:dyDescent="0.3">
      <c r="A1049">
        <v>91</v>
      </c>
      <c r="B1049" s="168" t="s">
        <v>144</v>
      </c>
      <c r="C1049" s="168" t="s">
        <v>145</v>
      </c>
      <c r="D1049">
        <v>6172.3</v>
      </c>
      <c r="E1049">
        <v>2020</v>
      </c>
      <c r="F1049" s="168" t="s">
        <v>592</v>
      </c>
      <c r="G1049" s="168" t="s">
        <v>610</v>
      </c>
      <c r="H1049" s="168" t="s">
        <v>609</v>
      </c>
      <c r="I1049">
        <v>6545.454545454545</v>
      </c>
    </row>
    <row r="1050" spans="1:9" x14ac:dyDescent="0.3">
      <c r="A1050">
        <v>91</v>
      </c>
      <c r="B1050" s="168" t="s">
        <v>144</v>
      </c>
      <c r="C1050" s="168" t="s">
        <v>145</v>
      </c>
      <c r="D1050">
        <v>6172.3</v>
      </c>
      <c r="E1050">
        <v>2020</v>
      </c>
      <c r="F1050" s="168" t="s">
        <v>592</v>
      </c>
      <c r="G1050" s="168" t="s">
        <v>620</v>
      </c>
      <c r="H1050" s="168" t="s">
        <v>608</v>
      </c>
      <c r="I1050">
        <v>0</v>
      </c>
    </row>
    <row r="1051" spans="1:9" x14ac:dyDescent="0.3">
      <c r="A1051">
        <v>91</v>
      </c>
      <c r="B1051" s="168" t="s">
        <v>144</v>
      </c>
      <c r="C1051" s="168" t="s">
        <v>145</v>
      </c>
      <c r="D1051">
        <v>6172.3</v>
      </c>
      <c r="E1051">
        <v>2020</v>
      </c>
      <c r="F1051" s="168" t="s">
        <v>592</v>
      </c>
      <c r="G1051" s="168" t="s">
        <v>620</v>
      </c>
      <c r="H1051" s="168" t="s">
        <v>609</v>
      </c>
      <c r="I1051">
        <v>32400</v>
      </c>
    </row>
    <row r="1052" spans="1:9" x14ac:dyDescent="0.3">
      <c r="A1052">
        <v>91</v>
      </c>
      <c r="B1052" s="168" t="s">
        <v>144</v>
      </c>
      <c r="C1052" s="168" t="s">
        <v>145</v>
      </c>
      <c r="D1052">
        <v>6172.3</v>
      </c>
      <c r="E1052">
        <v>2020</v>
      </c>
      <c r="F1052" s="168" t="s">
        <v>592</v>
      </c>
      <c r="G1052" s="168" t="s">
        <v>633</v>
      </c>
      <c r="H1052" s="168" t="s">
        <v>608</v>
      </c>
      <c r="I1052">
        <v>0</v>
      </c>
    </row>
    <row r="1053" spans="1:9" x14ac:dyDescent="0.3">
      <c r="A1053">
        <v>91</v>
      </c>
      <c r="B1053" s="168" t="s">
        <v>144</v>
      </c>
      <c r="C1053" s="168" t="s">
        <v>145</v>
      </c>
      <c r="D1053">
        <v>6172.3</v>
      </c>
      <c r="E1053">
        <v>2020</v>
      </c>
      <c r="F1053" s="168" t="s">
        <v>592</v>
      </c>
      <c r="G1053" s="168" t="s">
        <v>633</v>
      </c>
      <c r="H1053" s="168" t="s">
        <v>609</v>
      </c>
      <c r="I1053">
        <v>199200</v>
      </c>
    </row>
    <row r="1054" spans="1:9" x14ac:dyDescent="0.3">
      <c r="A1054">
        <v>91</v>
      </c>
      <c r="B1054" s="168" t="s">
        <v>144</v>
      </c>
      <c r="C1054" s="168" t="s">
        <v>145</v>
      </c>
      <c r="D1054">
        <v>6172.3</v>
      </c>
      <c r="E1054">
        <v>2020</v>
      </c>
      <c r="F1054" s="168" t="s">
        <v>592</v>
      </c>
      <c r="G1054" s="168" t="s">
        <v>623</v>
      </c>
      <c r="H1054" s="168" t="s">
        <v>608</v>
      </c>
      <c r="I1054">
        <v>37500</v>
      </c>
    </row>
    <row r="1055" spans="1:9" x14ac:dyDescent="0.3">
      <c r="A1055">
        <v>91</v>
      </c>
      <c r="B1055" s="168" t="s">
        <v>144</v>
      </c>
      <c r="C1055" s="168" t="s">
        <v>145</v>
      </c>
      <c r="D1055">
        <v>6172.3</v>
      </c>
      <c r="E1055">
        <v>2020</v>
      </c>
      <c r="F1055" s="168" t="s">
        <v>592</v>
      </c>
      <c r="G1055" s="168" t="s">
        <v>623</v>
      </c>
      <c r="H1055" s="168" t="s">
        <v>609</v>
      </c>
      <c r="I1055">
        <v>35510.391250000001</v>
      </c>
    </row>
    <row r="1056" spans="1:9" x14ac:dyDescent="0.3">
      <c r="A1056">
        <v>91</v>
      </c>
      <c r="B1056" s="168" t="s">
        <v>144</v>
      </c>
      <c r="C1056" s="168" t="s">
        <v>145</v>
      </c>
      <c r="D1056">
        <v>6172.3</v>
      </c>
      <c r="E1056">
        <v>2020</v>
      </c>
      <c r="F1056" s="168" t="s">
        <v>592</v>
      </c>
      <c r="G1056" s="168" t="s">
        <v>611</v>
      </c>
      <c r="H1056" s="168" t="s">
        <v>608</v>
      </c>
      <c r="I1056">
        <v>0</v>
      </c>
    </row>
    <row r="1057" spans="1:9" x14ac:dyDescent="0.3">
      <c r="A1057">
        <v>91</v>
      </c>
      <c r="B1057" s="168" t="s">
        <v>144</v>
      </c>
      <c r="C1057" s="168" t="s">
        <v>145</v>
      </c>
      <c r="D1057">
        <v>6172.3</v>
      </c>
      <c r="E1057">
        <v>2020</v>
      </c>
      <c r="F1057" s="168" t="s">
        <v>592</v>
      </c>
      <c r="G1057" s="168" t="s">
        <v>611</v>
      </c>
      <c r="H1057" s="168" t="s">
        <v>609</v>
      </c>
      <c r="I1057">
        <v>2581.6125510797324</v>
      </c>
    </row>
    <row r="1058" spans="1:9" x14ac:dyDescent="0.3">
      <c r="A1058">
        <v>91</v>
      </c>
      <c r="B1058" s="168" t="s">
        <v>144</v>
      </c>
      <c r="C1058" s="168" t="s">
        <v>145</v>
      </c>
      <c r="D1058">
        <v>6172.3</v>
      </c>
      <c r="E1058">
        <v>2020</v>
      </c>
      <c r="F1058" s="168" t="s">
        <v>592</v>
      </c>
      <c r="G1058" s="168" t="s">
        <v>626</v>
      </c>
      <c r="H1058" s="168" t="s">
        <v>608</v>
      </c>
      <c r="I1058">
        <v>0</v>
      </c>
    </row>
    <row r="1059" spans="1:9" x14ac:dyDescent="0.3">
      <c r="A1059">
        <v>91</v>
      </c>
      <c r="B1059" s="168" t="s">
        <v>144</v>
      </c>
      <c r="C1059" s="168" t="s">
        <v>145</v>
      </c>
      <c r="D1059">
        <v>6172.3</v>
      </c>
      <c r="E1059">
        <v>2020</v>
      </c>
      <c r="F1059" s="168" t="s">
        <v>592</v>
      </c>
      <c r="G1059" s="168" t="s">
        <v>626</v>
      </c>
      <c r="H1059" s="168" t="s">
        <v>609</v>
      </c>
      <c r="I1059">
        <v>64636.35</v>
      </c>
    </row>
    <row r="1060" spans="1:9" x14ac:dyDescent="0.3">
      <c r="A1060">
        <v>91</v>
      </c>
      <c r="B1060" s="168" t="s">
        <v>144</v>
      </c>
      <c r="C1060" s="168" t="s">
        <v>145</v>
      </c>
      <c r="D1060">
        <v>6172.3</v>
      </c>
      <c r="E1060">
        <v>2020</v>
      </c>
      <c r="F1060" s="168" t="s">
        <v>592</v>
      </c>
      <c r="G1060" s="168" t="s">
        <v>613</v>
      </c>
      <c r="H1060" s="168" t="s">
        <v>608</v>
      </c>
      <c r="I1060">
        <v>0</v>
      </c>
    </row>
    <row r="1061" spans="1:9" x14ac:dyDescent="0.3">
      <c r="A1061">
        <v>91</v>
      </c>
      <c r="B1061" s="168" t="s">
        <v>144</v>
      </c>
      <c r="C1061" s="168" t="s">
        <v>145</v>
      </c>
      <c r="D1061">
        <v>6172.3</v>
      </c>
      <c r="E1061">
        <v>2020</v>
      </c>
      <c r="F1061" s="168" t="s">
        <v>592</v>
      </c>
      <c r="G1061" s="168" t="s">
        <v>613</v>
      </c>
      <c r="H1061" s="168" t="s">
        <v>609</v>
      </c>
      <c r="I1061">
        <v>169200</v>
      </c>
    </row>
    <row r="1062" spans="1:9" x14ac:dyDescent="0.3">
      <c r="A1062">
        <v>92</v>
      </c>
      <c r="B1062" s="168" t="s">
        <v>146</v>
      </c>
      <c r="C1062" s="168" t="s">
        <v>147</v>
      </c>
      <c r="D1062">
        <v>57815.38</v>
      </c>
      <c r="E1062">
        <v>2020</v>
      </c>
      <c r="F1062" s="168" t="s">
        <v>592</v>
      </c>
      <c r="G1062" s="168" t="s">
        <v>607</v>
      </c>
      <c r="H1062" s="168" t="s">
        <v>608</v>
      </c>
      <c r="I1062">
        <v>839276.40987978806</v>
      </c>
    </row>
    <row r="1063" spans="1:9" x14ac:dyDescent="0.3">
      <c r="A1063">
        <v>92</v>
      </c>
      <c r="B1063" s="168" t="s">
        <v>146</v>
      </c>
      <c r="C1063" s="168" t="s">
        <v>147</v>
      </c>
      <c r="D1063">
        <v>57815.38</v>
      </c>
      <c r="E1063">
        <v>2020</v>
      </c>
      <c r="F1063" s="168" t="s">
        <v>592</v>
      </c>
      <c r="G1063" s="168" t="s">
        <v>607</v>
      </c>
      <c r="H1063" s="168" t="s">
        <v>609</v>
      </c>
      <c r="I1063">
        <v>1028056.8205880978</v>
      </c>
    </row>
    <row r="1064" spans="1:9" x14ac:dyDescent="0.3">
      <c r="A1064">
        <v>92</v>
      </c>
      <c r="B1064" s="168" t="s">
        <v>146</v>
      </c>
      <c r="C1064" s="168" t="s">
        <v>147</v>
      </c>
      <c r="D1064">
        <v>57815.38</v>
      </c>
      <c r="E1064">
        <v>2020</v>
      </c>
      <c r="F1064" s="168" t="s">
        <v>592</v>
      </c>
      <c r="G1064" s="168" t="s">
        <v>612</v>
      </c>
      <c r="H1064" s="168" t="s">
        <v>608</v>
      </c>
      <c r="I1064">
        <v>167500</v>
      </c>
    </row>
    <row r="1065" spans="1:9" x14ac:dyDescent="0.3">
      <c r="A1065">
        <v>92</v>
      </c>
      <c r="B1065" s="168" t="s">
        <v>146</v>
      </c>
      <c r="C1065" s="168" t="s">
        <v>147</v>
      </c>
      <c r="D1065">
        <v>57815.38</v>
      </c>
      <c r="E1065">
        <v>2020</v>
      </c>
      <c r="F1065" s="168" t="s">
        <v>592</v>
      </c>
      <c r="G1065" s="168" t="s">
        <v>612</v>
      </c>
      <c r="H1065" s="168" t="s">
        <v>609</v>
      </c>
      <c r="I1065">
        <v>0</v>
      </c>
    </row>
    <row r="1066" spans="1:9" x14ac:dyDescent="0.3">
      <c r="A1066">
        <v>92</v>
      </c>
      <c r="B1066" s="168" t="s">
        <v>146</v>
      </c>
      <c r="C1066" s="168" t="s">
        <v>147</v>
      </c>
      <c r="D1066">
        <v>57815.38</v>
      </c>
      <c r="E1066">
        <v>2020</v>
      </c>
      <c r="F1066" s="168" t="s">
        <v>592</v>
      </c>
      <c r="G1066" s="168" t="s">
        <v>616</v>
      </c>
      <c r="H1066" s="168" t="s">
        <v>608</v>
      </c>
      <c r="I1066">
        <v>71573.597794766101</v>
      </c>
    </row>
    <row r="1067" spans="1:9" x14ac:dyDescent="0.3">
      <c r="A1067">
        <v>92</v>
      </c>
      <c r="B1067" s="168" t="s">
        <v>146</v>
      </c>
      <c r="C1067" s="168" t="s">
        <v>147</v>
      </c>
      <c r="D1067">
        <v>57815.38</v>
      </c>
      <c r="E1067">
        <v>2020</v>
      </c>
      <c r="F1067" s="168" t="s">
        <v>592</v>
      </c>
      <c r="G1067" s="168" t="s">
        <v>616</v>
      </c>
      <c r="H1067" s="168" t="s">
        <v>609</v>
      </c>
      <c r="I1067">
        <v>0</v>
      </c>
    </row>
    <row r="1068" spans="1:9" x14ac:dyDescent="0.3">
      <c r="A1068">
        <v>92</v>
      </c>
      <c r="B1068" s="168" t="s">
        <v>146</v>
      </c>
      <c r="C1068" s="168" t="s">
        <v>147</v>
      </c>
      <c r="D1068">
        <v>57815.38</v>
      </c>
      <c r="E1068">
        <v>2020</v>
      </c>
      <c r="F1068" s="168" t="s">
        <v>592</v>
      </c>
      <c r="G1068" s="168" t="s">
        <v>617</v>
      </c>
      <c r="H1068" s="168" t="s">
        <v>608</v>
      </c>
      <c r="I1068">
        <v>28800</v>
      </c>
    </row>
    <row r="1069" spans="1:9" x14ac:dyDescent="0.3">
      <c r="A1069">
        <v>92</v>
      </c>
      <c r="B1069" s="168" t="s">
        <v>146</v>
      </c>
      <c r="C1069" s="168" t="s">
        <v>147</v>
      </c>
      <c r="D1069">
        <v>57815.38</v>
      </c>
      <c r="E1069">
        <v>2020</v>
      </c>
      <c r="F1069" s="168" t="s">
        <v>592</v>
      </c>
      <c r="G1069" s="168" t="s">
        <v>617</v>
      </c>
      <c r="H1069" s="168" t="s">
        <v>609</v>
      </c>
      <c r="I1069">
        <v>49867.199999999997</v>
      </c>
    </row>
    <row r="1070" spans="1:9" x14ac:dyDescent="0.3">
      <c r="A1070">
        <v>92</v>
      </c>
      <c r="B1070" s="168" t="s">
        <v>146</v>
      </c>
      <c r="C1070" s="168" t="s">
        <v>147</v>
      </c>
      <c r="D1070">
        <v>57815.38</v>
      </c>
      <c r="E1070">
        <v>2020</v>
      </c>
      <c r="F1070" s="168" t="s">
        <v>592</v>
      </c>
      <c r="G1070" s="168" t="s">
        <v>618</v>
      </c>
      <c r="H1070" s="168" t="s">
        <v>608</v>
      </c>
      <c r="I1070">
        <v>0</v>
      </c>
    </row>
    <row r="1071" spans="1:9" x14ac:dyDescent="0.3">
      <c r="A1071">
        <v>92</v>
      </c>
      <c r="B1071" s="168" t="s">
        <v>146</v>
      </c>
      <c r="C1071" s="168" t="s">
        <v>147</v>
      </c>
      <c r="D1071">
        <v>57815.38</v>
      </c>
      <c r="E1071">
        <v>2020</v>
      </c>
      <c r="F1071" s="168" t="s">
        <v>592</v>
      </c>
      <c r="G1071" s="168" t="s">
        <v>618</v>
      </c>
      <c r="H1071" s="168" t="s">
        <v>609</v>
      </c>
      <c r="I1071">
        <v>5325.8426966292136</v>
      </c>
    </row>
    <row r="1072" spans="1:9" x14ac:dyDescent="0.3">
      <c r="A1072">
        <v>92</v>
      </c>
      <c r="B1072" s="168" t="s">
        <v>146</v>
      </c>
      <c r="C1072" s="168" t="s">
        <v>147</v>
      </c>
      <c r="D1072">
        <v>57815.38</v>
      </c>
      <c r="E1072">
        <v>2020</v>
      </c>
      <c r="F1072" s="168" t="s">
        <v>592</v>
      </c>
      <c r="G1072" s="168" t="s">
        <v>610</v>
      </c>
      <c r="H1072" s="168" t="s">
        <v>608</v>
      </c>
      <c r="I1072">
        <v>0</v>
      </c>
    </row>
    <row r="1073" spans="1:9" x14ac:dyDescent="0.3">
      <c r="A1073">
        <v>92</v>
      </c>
      <c r="B1073" s="168" t="s">
        <v>146</v>
      </c>
      <c r="C1073" s="168" t="s">
        <v>147</v>
      </c>
      <c r="D1073">
        <v>57815.38</v>
      </c>
      <c r="E1073">
        <v>2020</v>
      </c>
      <c r="F1073" s="168" t="s">
        <v>592</v>
      </c>
      <c r="G1073" s="168" t="s">
        <v>610</v>
      </c>
      <c r="H1073" s="168" t="s">
        <v>609</v>
      </c>
      <c r="I1073">
        <v>6545.454545454545</v>
      </c>
    </row>
    <row r="1074" spans="1:9" x14ac:dyDescent="0.3">
      <c r="A1074">
        <v>92</v>
      </c>
      <c r="B1074" s="168" t="s">
        <v>146</v>
      </c>
      <c r="C1074" s="168" t="s">
        <v>147</v>
      </c>
      <c r="D1074">
        <v>57815.38</v>
      </c>
      <c r="E1074">
        <v>2020</v>
      </c>
      <c r="F1074" s="168" t="s">
        <v>592</v>
      </c>
      <c r="G1074" s="168" t="s">
        <v>620</v>
      </c>
      <c r="H1074" s="168" t="s">
        <v>608</v>
      </c>
      <c r="I1074">
        <v>89820</v>
      </c>
    </row>
    <row r="1075" spans="1:9" x14ac:dyDescent="0.3">
      <c r="A1075">
        <v>92</v>
      </c>
      <c r="B1075" s="168" t="s">
        <v>146</v>
      </c>
      <c r="C1075" s="168" t="s">
        <v>147</v>
      </c>
      <c r="D1075">
        <v>57815.38</v>
      </c>
      <c r="E1075">
        <v>2020</v>
      </c>
      <c r="F1075" s="168" t="s">
        <v>592</v>
      </c>
      <c r="G1075" s="168" t="s">
        <v>620</v>
      </c>
      <c r="H1075" s="168" t="s">
        <v>609</v>
      </c>
      <c r="I1075">
        <v>159680</v>
      </c>
    </row>
    <row r="1076" spans="1:9" x14ac:dyDescent="0.3">
      <c r="A1076">
        <v>92</v>
      </c>
      <c r="B1076" s="168" t="s">
        <v>146</v>
      </c>
      <c r="C1076" s="168" t="s">
        <v>147</v>
      </c>
      <c r="D1076">
        <v>57815.38</v>
      </c>
      <c r="E1076">
        <v>2020</v>
      </c>
      <c r="F1076" s="168" t="s">
        <v>592</v>
      </c>
      <c r="G1076" s="168" t="s">
        <v>611</v>
      </c>
      <c r="H1076" s="168" t="s">
        <v>608</v>
      </c>
      <c r="I1076">
        <v>0</v>
      </c>
    </row>
    <row r="1077" spans="1:9" x14ac:dyDescent="0.3">
      <c r="A1077">
        <v>92</v>
      </c>
      <c r="B1077" s="168" t="s">
        <v>146</v>
      </c>
      <c r="C1077" s="168" t="s">
        <v>147</v>
      </c>
      <c r="D1077">
        <v>57815.38</v>
      </c>
      <c r="E1077">
        <v>2020</v>
      </c>
      <c r="F1077" s="168" t="s">
        <v>592</v>
      </c>
      <c r="G1077" s="168" t="s">
        <v>611</v>
      </c>
      <c r="H1077" s="168" t="s">
        <v>609</v>
      </c>
      <c r="I1077">
        <v>16892.143764992201</v>
      </c>
    </row>
    <row r="1078" spans="1:9" x14ac:dyDescent="0.3">
      <c r="A1078">
        <v>92</v>
      </c>
      <c r="B1078" s="168" t="s">
        <v>146</v>
      </c>
      <c r="C1078" s="168" t="s">
        <v>147</v>
      </c>
      <c r="D1078">
        <v>57815.38</v>
      </c>
      <c r="E1078">
        <v>2020</v>
      </c>
      <c r="F1078" s="168" t="s">
        <v>592</v>
      </c>
      <c r="G1078" s="168" t="s">
        <v>626</v>
      </c>
      <c r="H1078" s="168" t="s">
        <v>608</v>
      </c>
      <c r="I1078">
        <v>0</v>
      </c>
    </row>
    <row r="1079" spans="1:9" x14ac:dyDescent="0.3">
      <c r="A1079">
        <v>92</v>
      </c>
      <c r="B1079" s="168" t="s">
        <v>146</v>
      </c>
      <c r="C1079" s="168" t="s">
        <v>147</v>
      </c>
      <c r="D1079">
        <v>57815.38</v>
      </c>
      <c r="E1079">
        <v>2020</v>
      </c>
      <c r="F1079" s="168" t="s">
        <v>592</v>
      </c>
      <c r="G1079" s="168" t="s">
        <v>626</v>
      </c>
      <c r="H1079" s="168" t="s">
        <v>609</v>
      </c>
      <c r="I1079">
        <v>177172.69675494215</v>
      </c>
    </row>
    <row r="1080" spans="1:9" x14ac:dyDescent="0.3">
      <c r="A1080">
        <v>92</v>
      </c>
      <c r="B1080" s="168" t="s">
        <v>146</v>
      </c>
      <c r="C1080" s="168" t="s">
        <v>147</v>
      </c>
      <c r="D1080">
        <v>57815.38</v>
      </c>
      <c r="E1080">
        <v>2020</v>
      </c>
      <c r="F1080" s="168" t="s">
        <v>592</v>
      </c>
      <c r="G1080" s="168" t="s">
        <v>613</v>
      </c>
      <c r="H1080" s="168" t="s">
        <v>608</v>
      </c>
      <c r="I1080">
        <v>1914626.1005936211</v>
      </c>
    </row>
    <row r="1081" spans="1:9" x14ac:dyDescent="0.3">
      <c r="A1081">
        <v>92</v>
      </c>
      <c r="B1081" s="168" t="s">
        <v>146</v>
      </c>
      <c r="C1081" s="168" t="s">
        <v>147</v>
      </c>
      <c r="D1081">
        <v>57815.38</v>
      </c>
      <c r="E1081">
        <v>2020</v>
      </c>
      <c r="F1081" s="168" t="s">
        <v>592</v>
      </c>
      <c r="G1081" s="168" t="s">
        <v>613</v>
      </c>
      <c r="H1081" s="168" t="s">
        <v>609</v>
      </c>
      <c r="I1081">
        <v>1227594.4359346679</v>
      </c>
    </row>
    <row r="1082" spans="1:9" x14ac:dyDescent="0.3">
      <c r="A1082">
        <v>93</v>
      </c>
      <c r="B1082" s="168" t="s">
        <v>148</v>
      </c>
      <c r="C1082" s="168" t="s">
        <v>149</v>
      </c>
      <c r="D1082">
        <v>1556.1</v>
      </c>
      <c r="E1082">
        <v>2020</v>
      </c>
      <c r="F1082" s="168" t="s">
        <v>592</v>
      </c>
      <c r="G1082" s="168" t="s">
        <v>607</v>
      </c>
      <c r="H1082" s="168" t="s">
        <v>608</v>
      </c>
      <c r="I1082">
        <v>450275.51012021198</v>
      </c>
    </row>
    <row r="1083" spans="1:9" x14ac:dyDescent="0.3">
      <c r="A1083">
        <v>93</v>
      </c>
      <c r="B1083" s="168" t="s">
        <v>148</v>
      </c>
      <c r="C1083" s="168" t="s">
        <v>149</v>
      </c>
      <c r="D1083">
        <v>1556.1</v>
      </c>
      <c r="E1083">
        <v>2020</v>
      </c>
      <c r="F1083" s="168" t="s">
        <v>592</v>
      </c>
      <c r="G1083" s="168" t="s">
        <v>607</v>
      </c>
      <c r="H1083" s="168" t="s">
        <v>609</v>
      </c>
      <c r="I1083">
        <v>439910.57071624597</v>
      </c>
    </row>
    <row r="1084" spans="1:9" x14ac:dyDescent="0.3">
      <c r="A1084">
        <v>93</v>
      </c>
      <c r="B1084" s="168" t="s">
        <v>148</v>
      </c>
      <c r="C1084" s="168" t="s">
        <v>149</v>
      </c>
      <c r="D1084">
        <v>1556.1</v>
      </c>
      <c r="E1084">
        <v>2020</v>
      </c>
      <c r="F1084" s="168" t="s">
        <v>592</v>
      </c>
      <c r="G1084" s="168" t="s">
        <v>612</v>
      </c>
      <c r="H1084" s="168" t="s">
        <v>608</v>
      </c>
      <c r="I1084">
        <v>128000</v>
      </c>
    </row>
    <row r="1085" spans="1:9" x14ac:dyDescent="0.3">
      <c r="A1085">
        <v>93</v>
      </c>
      <c r="B1085" s="168" t="s">
        <v>148</v>
      </c>
      <c r="C1085" s="168" t="s">
        <v>149</v>
      </c>
      <c r="D1085">
        <v>1556.1</v>
      </c>
      <c r="E1085">
        <v>2020</v>
      </c>
      <c r="F1085" s="168" t="s">
        <v>592</v>
      </c>
      <c r="G1085" s="168" t="s">
        <v>612</v>
      </c>
      <c r="H1085" s="168" t="s">
        <v>609</v>
      </c>
      <c r="I1085">
        <v>0</v>
      </c>
    </row>
    <row r="1086" spans="1:9" x14ac:dyDescent="0.3">
      <c r="A1086">
        <v>93</v>
      </c>
      <c r="B1086" s="168" t="s">
        <v>148</v>
      </c>
      <c r="C1086" s="168" t="s">
        <v>149</v>
      </c>
      <c r="D1086">
        <v>1556.1</v>
      </c>
      <c r="E1086">
        <v>2020</v>
      </c>
      <c r="F1086" s="168" t="s">
        <v>592</v>
      </c>
      <c r="G1086" s="168" t="s">
        <v>616</v>
      </c>
      <c r="H1086" s="168" t="s">
        <v>608</v>
      </c>
      <c r="I1086">
        <v>1926.4022052338935</v>
      </c>
    </row>
    <row r="1087" spans="1:9" x14ac:dyDescent="0.3">
      <c r="A1087">
        <v>93</v>
      </c>
      <c r="B1087" s="168" t="s">
        <v>148</v>
      </c>
      <c r="C1087" s="168" t="s">
        <v>149</v>
      </c>
      <c r="D1087">
        <v>1556.1</v>
      </c>
      <c r="E1087">
        <v>2020</v>
      </c>
      <c r="F1087" s="168" t="s">
        <v>592</v>
      </c>
      <c r="G1087" s="168" t="s">
        <v>616</v>
      </c>
      <c r="H1087" s="168" t="s">
        <v>609</v>
      </c>
      <c r="I1087">
        <v>0</v>
      </c>
    </row>
    <row r="1088" spans="1:9" x14ac:dyDescent="0.3">
      <c r="A1088">
        <v>93</v>
      </c>
      <c r="B1088" s="168" t="s">
        <v>148</v>
      </c>
      <c r="C1088" s="168" t="s">
        <v>149</v>
      </c>
      <c r="D1088">
        <v>1556.1</v>
      </c>
      <c r="E1088">
        <v>2020</v>
      </c>
      <c r="F1088" s="168" t="s">
        <v>592</v>
      </c>
      <c r="G1088" s="168" t="s">
        <v>617</v>
      </c>
      <c r="H1088" s="168" t="s">
        <v>608</v>
      </c>
      <c r="I1088">
        <v>12211.2</v>
      </c>
    </row>
    <row r="1089" spans="1:9" x14ac:dyDescent="0.3">
      <c r="A1089">
        <v>93</v>
      </c>
      <c r="B1089" s="168" t="s">
        <v>148</v>
      </c>
      <c r="C1089" s="168" t="s">
        <v>149</v>
      </c>
      <c r="D1089">
        <v>1556.1</v>
      </c>
      <c r="E1089">
        <v>2020</v>
      </c>
      <c r="F1089" s="168" t="s">
        <v>592</v>
      </c>
      <c r="G1089" s="168" t="s">
        <v>617</v>
      </c>
      <c r="H1089" s="168" t="s">
        <v>609</v>
      </c>
      <c r="I1089">
        <v>49867.199999999997</v>
      </c>
    </row>
    <row r="1090" spans="1:9" x14ac:dyDescent="0.3">
      <c r="A1090">
        <v>93</v>
      </c>
      <c r="B1090" s="168" t="s">
        <v>148</v>
      </c>
      <c r="C1090" s="168" t="s">
        <v>149</v>
      </c>
      <c r="D1090">
        <v>1556.1</v>
      </c>
      <c r="E1090">
        <v>2020</v>
      </c>
      <c r="F1090" s="168" t="s">
        <v>592</v>
      </c>
      <c r="G1090" s="168" t="s">
        <v>618</v>
      </c>
      <c r="H1090" s="168" t="s">
        <v>608</v>
      </c>
      <c r="I1090">
        <v>0</v>
      </c>
    </row>
    <row r="1091" spans="1:9" x14ac:dyDescent="0.3">
      <c r="A1091">
        <v>93</v>
      </c>
      <c r="B1091" s="168" t="s">
        <v>148</v>
      </c>
      <c r="C1091" s="168" t="s">
        <v>149</v>
      </c>
      <c r="D1091">
        <v>1556.1</v>
      </c>
      <c r="E1091">
        <v>2020</v>
      </c>
      <c r="F1091" s="168" t="s">
        <v>592</v>
      </c>
      <c r="G1091" s="168" t="s">
        <v>618</v>
      </c>
      <c r="H1091" s="168" t="s">
        <v>609</v>
      </c>
      <c r="I1091">
        <v>5325.8426966292136</v>
      </c>
    </row>
    <row r="1092" spans="1:9" x14ac:dyDescent="0.3">
      <c r="A1092">
        <v>93</v>
      </c>
      <c r="B1092" s="168" t="s">
        <v>148</v>
      </c>
      <c r="C1092" s="168" t="s">
        <v>149</v>
      </c>
      <c r="D1092">
        <v>1556.1</v>
      </c>
      <c r="E1092">
        <v>2020</v>
      </c>
      <c r="F1092" s="168" t="s">
        <v>592</v>
      </c>
      <c r="G1092" s="168" t="s">
        <v>610</v>
      </c>
      <c r="H1092" s="168" t="s">
        <v>608</v>
      </c>
      <c r="I1092">
        <v>0</v>
      </c>
    </row>
    <row r="1093" spans="1:9" x14ac:dyDescent="0.3">
      <c r="A1093">
        <v>93</v>
      </c>
      <c r="B1093" s="168" t="s">
        <v>148</v>
      </c>
      <c r="C1093" s="168" t="s">
        <v>149</v>
      </c>
      <c r="D1093">
        <v>1556.1</v>
      </c>
      <c r="E1093">
        <v>2020</v>
      </c>
      <c r="F1093" s="168" t="s">
        <v>592</v>
      </c>
      <c r="G1093" s="168" t="s">
        <v>610</v>
      </c>
      <c r="H1093" s="168" t="s">
        <v>609</v>
      </c>
      <c r="I1093">
        <v>6545.454545454545</v>
      </c>
    </row>
    <row r="1094" spans="1:9" x14ac:dyDescent="0.3">
      <c r="A1094">
        <v>93</v>
      </c>
      <c r="B1094" s="168" t="s">
        <v>148</v>
      </c>
      <c r="C1094" s="168" t="s">
        <v>149</v>
      </c>
      <c r="D1094">
        <v>1556.1</v>
      </c>
      <c r="E1094">
        <v>2020</v>
      </c>
      <c r="F1094" s="168" t="s">
        <v>592</v>
      </c>
      <c r="G1094" s="168" t="s">
        <v>620</v>
      </c>
      <c r="H1094" s="168" t="s">
        <v>608</v>
      </c>
      <c r="I1094">
        <v>38484</v>
      </c>
    </row>
    <row r="1095" spans="1:9" x14ac:dyDescent="0.3">
      <c r="A1095">
        <v>93</v>
      </c>
      <c r="B1095" s="168" t="s">
        <v>148</v>
      </c>
      <c r="C1095" s="168" t="s">
        <v>149</v>
      </c>
      <c r="D1095">
        <v>1556.1</v>
      </c>
      <c r="E1095">
        <v>2020</v>
      </c>
      <c r="F1095" s="168" t="s">
        <v>592</v>
      </c>
      <c r="G1095" s="168" t="s">
        <v>620</v>
      </c>
      <c r="H1095" s="168" t="s">
        <v>609</v>
      </c>
      <c r="I1095">
        <v>68416</v>
      </c>
    </row>
    <row r="1096" spans="1:9" x14ac:dyDescent="0.3">
      <c r="A1096">
        <v>93</v>
      </c>
      <c r="B1096" s="168" t="s">
        <v>148</v>
      </c>
      <c r="C1096" s="168" t="s">
        <v>149</v>
      </c>
      <c r="D1096">
        <v>1556.1</v>
      </c>
      <c r="E1096">
        <v>2020</v>
      </c>
      <c r="F1096" s="168" t="s">
        <v>592</v>
      </c>
      <c r="G1096" s="168" t="s">
        <v>614</v>
      </c>
      <c r="H1096" s="168" t="s">
        <v>608</v>
      </c>
      <c r="I1096">
        <v>378700</v>
      </c>
    </row>
    <row r="1097" spans="1:9" x14ac:dyDescent="0.3">
      <c r="A1097">
        <v>93</v>
      </c>
      <c r="B1097" s="168" t="s">
        <v>148</v>
      </c>
      <c r="C1097" s="168" t="s">
        <v>149</v>
      </c>
      <c r="D1097">
        <v>1556.1</v>
      </c>
      <c r="E1097">
        <v>2020</v>
      </c>
      <c r="F1097" s="168" t="s">
        <v>592</v>
      </c>
      <c r="G1097" s="168" t="s">
        <v>614</v>
      </c>
      <c r="H1097" s="168" t="s">
        <v>609</v>
      </c>
      <c r="I1097">
        <v>0</v>
      </c>
    </row>
    <row r="1098" spans="1:9" x14ac:dyDescent="0.3">
      <c r="A1098">
        <v>93</v>
      </c>
      <c r="B1098" s="168" t="s">
        <v>148</v>
      </c>
      <c r="C1098" s="168" t="s">
        <v>149</v>
      </c>
      <c r="D1098">
        <v>1556.1</v>
      </c>
      <c r="E1098">
        <v>2020</v>
      </c>
      <c r="F1098" s="168" t="s">
        <v>592</v>
      </c>
      <c r="G1098" s="168" t="s">
        <v>611</v>
      </c>
      <c r="H1098" s="168" t="s">
        <v>608</v>
      </c>
      <c r="I1098">
        <v>0</v>
      </c>
    </row>
    <row r="1099" spans="1:9" x14ac:dyDescent="0.3">
      <c r="A1099">
        <v>93</v>
      </c>
      <c r="B1099" s="168" t="s">
        <v>148</v>
      </c>
      <c r="C1099" s="168" t="s">
        <v>149</v>
      </c>
      <c r="D1099">
        <v>1556.1</v>
      </c>
      <c r="E1099">
        <v>2020</v>
      </c>
      <c r="F1099" s="168" t="s">
        <v>592</v>
      </c>
      <c r="G1099" s="168" t="s">
        <v>611</v>
      </c>
      <c r="H1099" s="168" t="s">
        <v>609</v>
      </c>
      <c r="I1099">
        <v>8273.8467462768804</v>
      </c>
    </row>
    <row r="1100" spans="1:9" x14ac:dyDescent="0.3">
      <c r="A1100">
        <v>93</v>
      </c>
      <c r="B1100" s="168" t="s">
        <v>148</v>
      </c>
      <c r="C1100" s="168" t="s">
        <v>149</v>
      </c>
      <c r="D1100">
        <v>1556.1</v>
      </c>
      <c r="E1100">
        <v>2020</v>
      </c>
      <c r="F1100" s="168" t="s">
        <v>592</v>
      </c>
      <c r="G1100" s="168" t="s">
        <v>626</v>
      </c>
      <c r="H1100" s="168" t="s">
        <v>608</v>
      </c>
      <c r="I1100">
        <v>0</v>
      </c>
    </row>
    <row r="1101" spans="1:9" x14ac:dyDescent="0.3">
      <c r="A1101">
        <v>93</v>
      </c>
      <c r="B1101" s="168" t="s">
        <v>148</v>
      </c>
      <c r="C1101" s="168" t="s">
        <v>149</v>
      </c>
      <c r="D1101">
        <v>1556.1</v>
      </c>
      <c r="E1101">
        <v>2020</v>
      </c>
      <c r="F1101" s="168" t="s">
        <v>592</v>
      </c>
      <c r="G1101" s="168" t="s">
        <v>626</v>
      </c>
      <c r="H1101" s="168" t="s">
        <v>609</v>
      </c>
      <c r="I1101">
        <v>22827.303245057814</v>
      </c>
    </row>
    <row r="1102" spans="1:9" x14ac:dyDescent="0.3">
      <c r="A1102">
        <v>93</v>
      </c>
      <c r="B1102" s="168" t="s">
        <v>148</v>
      </c>
      <c r="C1102" s="168" t="s">
        <v>149</v>
      </c>
      <c r="D1102">
        <v>1556.1</v>
      </c>
      <c r="E1102">
        <v>2020</v>
      </c>
      <c r="F1102" s="168" t="s">
        <v>592</v>
      </c>
      <c r="G1102" s="168" t="s">
        <v>613</v>
      </c>
      <c r="H1102" s="168" t="s">
        <v>608</v>
      </c>
      <c r="I1102">
        <v>51532.129947666755</v>
      </c>
    </row>
    <row r="1103" spans="1:9" x14ac:dyDescent="0.3">
      <c r="A1103">
        <v>93</v>
      </c>
      <c r="B1103" s="168" t="s">
        <v>148</v>
      </c>
      <c r="C1103" s="168" t="s">
        <v>149</v>
      </c>
      <c r="D1103">
        <v>1556.1</v>
      </c>
      <c r="E1103">
        <v>2020</v>
      </c>
      <c r="F1103" s="168" t="s">
        <v>592</v>
      </c>
      <c r="G1103" s="168" t="s">
        <v>613</v>
      </c>
      <c r="H1103" s="168" t="s">
        <v>609</v>
      </c>
      <c r="I1103">
        <v>33040.684014494698</v>
      </c>
    </row>
    <row r="1104" spans="1:9" x14ac:dyDescent="0.3">
      <c r="A1104">
        <v>94</v>
      </c>
      <c r="B1104" s="168" t="s">
        <v>150</v>
      </c>
      <c r="C1104" s="168" t="s">
        <v>151</v>
      </c>
      <c r="D1104">
        <v>2615.5</v>
      </c>
      <c r="E1104">
        <v>2020</v>
      </c>
      <c r="F1104" s="168" t="s">
        <v>592</v>
      </c>
      <c r="G1104" s="168" t="s">
        <v>607</v>
      </c>
      <c r="H1104" s="168" t="s">
        <v>608</v>
      </c>
      <c r="I1104">
        <v>1000000</v>
      </c>
    </row>
    <row r="1105" spans="1:9" x14ac:dyDescent="0.3">
      <c r="A1105">
        <v>94</v>
      </c>
      <c r="B1105" s="168" t="s">
        <v>150</v>
      </c>
      <c r="C1105" s="168" t="s">
        <v>151</v>
      </c>
      <c r="D1105">
        <v>2615.5</v>
      </c>
      <c r="E1105">
        <v>2020</v>
      </c>
      <c r="F1105" s="168" t="s">
        <v>592</v>
      </c>
      <c r="G1105" s="168" t="s">
        <v>607</v>
      </c>
      <c r="H1105" s="168" t="s">
        <v>609</v>
      </c>
      <c r="I1105">
        <v>457104.8</v>
      </c>
    </row>
    <row r="1106" spans="1:9" x14ac:dyDescent="0.3">
      <c r="A1106">
        <v>94</v>
      </c>
      <c r="B1106" s="168" t="s">
        <v>150</v>
      </c>
      <c r="C1106" s="168" t="s">
        <v>151</v>
      </c>
      <c r="D1106">
        <v>2615.5</v>
      </c>
      <c r="E1106">
        <v>2020</v>
      </c>
      <c r="F1106" s="168" t="s">
        <v>592</v>
      </c>
      <c r="G1106" s="168" t="s">
        <v>612</v>
      </c>
      <c r="H1106" s="168" t="s">
        <v>608</v>
      </c>
      <c r="I1106">
        <v>105704</v>
      </c>
    </row>
    <row r="1107" spans="1:9" x14ac:dyDescent="0.3">
      <c r="A1107">
        <v>94</v>
      </c>
      <c r="B1107" s="168" t="s">
        <v>150</v>
      </c>
      <c r="C1107" s="168" t="s">
        <v>151</v>
      </c>
      <c r="D1107">
        <v>2615.5</v>
      </c>
      <c r="E1107">
        <v>2020</v>
      </c>
      <c r="F1107" s="168" t="s">
        <v>592</v>
      </c>
      <c r="G1107" s="168" t="s">
        <v>612</v>
      </c>
      <c r="H1107" s="168" t="s">
        <v>609</v>
      </c>
      <c r="I1107">
        <v>50000</v>
      </c>
    </row>
    <row r="1108" spans="1:9" x14ac:dyDescent="0.3">
      <c r="A1108">
        <v>94</v>
      </c>
      <c r="B1108" s="168" t="s">
        <v>150</v>
      </c>
      <c r="C1108" s="168" t="s">
        <v>151</v>
      </c>
      <c r="D1108">
        <v>2615.5</v>
      </c>
      <c r="E1108">
        <v>2020</v>
      </c>
      <c r="F1108" s="168" t="s">
        <v>592</v>
      </c>
      <c r="G1108" s="168" t="s">
        <v>610</v>
      </c>
      <c r="H1108" s="168" t="s">
        <v>608</v>
      </c>
      <c r="I1108">
        <v>0</v>
      </c>
    </row>
    <row r="1109" spans="1:9" x14ac:dyDescent="0.3">
      <c r="A1109">
        <v>94</v>
      </c>
      <c r="B1109" s="168" t="s">
        <v>150</v>
      </c>
      <c r="C1109" s="168" t="s">
        <v>151</v>
      </c>
      <c r="D1109">
        <v>2615.5</v>
      </c>
      <c r="E1109">
        <v>2020</v>
      </c>
      <c r="F1109" s="168" t="s">
        <v>592</v>
      </c>
      <c r="G1109" s="168" t="s">
        <v>610</v>
      </c>
      <c r="H1109" s="168" t="s">
        <v>609</v>
      </c>
      <c r="I1109">
        <v>6545.454545454545</v>
      </c>
    </row>
    <row r="1110" spans="1:9" x14ac:dyDescent="0.3">
      <c r="A1110">
        <v>94</v>
      </c>
      <c r="B1110" s="168" t="s">
        <v>150</v>
      </c>
      <c r="C1110" s="168" t="s">
        <v>151</v>
      </c>
      <c r="D1110">
        <v>2615.5</v>
      </c>
      <c r="E1110">
        <v>2020</v>
      </c>
      <c r="F1110" s="168" t="s">
        <v>592</v>
      </c>
      <c r="G1110" s="168" t="s">
        <v>625</v>
      </c>
      <c r="H1110" s="168" t="s">
        <v>608</v>
      </c>
      <c r="I1110">
        <v>0</v>
      </c>
    </row>
    <row r="1111" spans="1:9" x14ac:dyDescent="0.3">
      <c r="A1111">
        <v>94</v>
      </c>
      <c r="B1111" s="168" t="s">
        <v>150</v>
      </c>
      <c r="C1111" s="168" t="s">
        <v>151</v>
      </c>
      <c r="D1111">
        <v>2615.5</v>
      </c>
      <c r="E1111">
        <v>2020</v>
      </c>
      <c r="F1111" s="168" t="s">
        <v>592</v>
      </c>
      <c r="G1111" s="168" t="s">
        <v>625</v>
      </c>
      <c r="H1111" s="168" t="s">
        <v>609</v>
      </c>
      <c r="I1111">
        <v>25732.05</v>
      </c>
    </row>
    <row r="1112" spans="1:9" x14ac:dyDescent="0.3">
      <c r="A1112">
        <v>94</v>
      </c>
      <c r="B1112" s="168" t="s">
        <v>150</v>
      </c>
      <c r="C1112" s="168" t="s">
        <v>151</v>
      </c>
      <c r="D1112">
        <v>2615.5</v>
      </c>
      <c r="E1112">
        <v>2020</v>
      </c>
      <c r="F1112" s="168" t="s">
        <v>592</v>
      </c>
      <c r="G1112" s="168" t="s">
        <v>611</v>
      </c>
      <c r="H1112" s="168" t="s">
        <v>608</v>
      </c>
      <c r="I1112">
        <v>0</v>
      </c>
    </row>
    <row r="1113" spans="1:9" x14ac:dyDescent="0.3">
      <c r="A1113">
        <v>94</v>
      </c>
      <c r="B1113" s="168" t="s">
        <v>150</v>
      </c>
      <c r="C1113" s="168" t="s">
        <v>151</v>
      </c>
      <c r="D1113">
        <v>2615.5</v>
      </c>
      <c r="E1113">
        <v>2020</v>
      </c>
      <c r="F1113" s="168" t="s">
        <v>592</v>
      </c>
      <c r="G1113" s="168" t="s">
        <v>611</v>
      </c>
      <c r="H1113" s="168" t="s">
        <v>609</v>
      </c>
      <c r="I1113">
        <v>10931.695369762347</v>
      </c>
    </row>
    <row r="1114" spans="1:9" x14ac:dyDescent="0.3">
      <c r="A1114">
        <v>94</v>
      </c>
      <c r="B1114" s="168" t="s">
        <v>150</v>
      </c>
      <c r="C1114" s="168" t="s">
        <v>151</v>
      </c>
      <c r="D1114">
        <v>2615.5</v>
      </c>
      <c r="E1114">
        <v>2020</v>
      </c>
      <c r="F1114" s="168" t="s">
        <v>592</v>
      </c>
      <c r="G1114" s="168" t="s">
        <v>622</v>
      </c>
      <c r="H1114" s="168" t="s">
        <v>608</v>
      </c>
      <c r="I1114">
        <v>763.20232261858098</v>
      </c>
    </row>
    <row r="1115" spans="1:9" x14ac:dyDescent="0.3">
      <c r="A1115">
        <v>94</v>
      </c>
      <c r="B1115" s="168" t="s">
        <v>150</v>
      </c>
      <c r="C1115" s="168" t="s">
        <v>151</v>
      </c>
      <c r="D1115">
        <v>2615.5</v>
      </c>
      <c r="E1115">
        <v>2020</v>
      </c>
      <c r="F1115" s="168" t="s">
        <v>592</v>
      </c>
      <c r="G1115" s="168" t="s">
        <v>622</v>
      </c>
      <c r="H1115" s="168" t="s">
        <v>609</v>
      </c>
      <c r="I1115">
        <v>0</v>
      </c>
    </row>
    <row r="1116" spans="1:9" x14ac:dyDescent="0.3">
      <c r="A1116">
        <v>95</v>
      </c>
      <c r="B1116" s="168" t="s">
        <v>152</v>
      </c>
      <c r="C1116" s="168" t="s">
        <v>153</v>
      </c>
      <c r="D1116">
        <v>22228.9</v>
      </c>
      <c r="E1116">
        <v>2020</v>
      </c>
      <c r="F1116" s="168" t="s">
        <v>592</v>
      </c>
      <c r="G1116" s="168" t="s">
        <v>607</v>
      </c>
      <c r="H1116" s="168" t="s">
        <v>608</v>
      </c>
      <c r="I1116">
        <v>0</v>
      </c>
    </row>
    <row r="1117" spans="1:9" x14ac:dyDescent="0.3">
      <c r="A1117">
        <v>95</v>
      </c>
      <c r="B1117" s="168" t="s">
        <v>152</v>
      </c>
      <c r="C1117" s="168" t="s">
        <v>153</v>
      </c>
      <c r="D1117">
        <v>22228.9</v>
      </c>
      <c r="E1117">
        <v>2020</v>
      </c>
      <c r="F1117" s="168" t="s">
        <v>592</v>
      </c>
      <c r="G1117" s="168" t="s">
        <v>607</v>
      </c>
      <c r="H1117" s="168" t="s">
        <v>609</v>
      </c>
      <c r="I1117">
        <v>4987077.9145169593</v>
      </c>
    </row>
    <row r="1118" spans="1:9" x14ac:dyDescent="0.3">
      <c r="A1118">
        <v>95</v>
      </c>
      <c r="B1118" s="168" t="s">
        <v>152</v>
      </c>
      <c r="C1118" s="168" t="s">
        <v>153</v>
      </c>
      <c r="D1118">
        <v>22228.9</v>
      </c>
      <c r="E1118">
        <v>2020</v>
      </c>
      <c r="F1118" s="168" t="s">
        <v>592</v>
      </c>
      <c r="G1118" s="168" t="s">
        <v>616</v>
      </c>
      <c r="H1118" s="168" t="s">
        <v>608</v>
      </c>
      <c r="I1118">
        <v>0</v>
      </c>
    </row>
    <row r="1119" spans="1:9" x14ac:dyDescent="0.3">
      <c r="A1119">
        <v>95</v>
      </c>
      <c r="B1119" s="168" t="s">
        <v>152</v>
      </c>
      <c r="C1119" s="168" t="s">
        <v>153</v>
      </c>
      <c r="D1119">
        <v>22228.9</v>
      </c>
      <c r="E1119">
        <v>2020</v>
      </c>
      <c r="F1119" s="168" t="s">
        <v>592</v>
      </c>
      <c r="G1119" s="168" t="s">
        <v>616</v>
      </c>
      <c r="H1119" s="168" t="s">
        <v>609</v>
      </c>
      <c r="I1119">
        <v>1396879.252543303</v>
      </c>
    </row>
    <row r="1120" spans="1:9" x14ac:dyDescent="0.3">
      <c r="A1120">
        <v>95</v>
      </c>
      <c r="B1120" s="168" t="s">
        <v>152</v>
      </c>
      <c r="C1120" s="168" t="s">
        <v>153</v>
      </c>
      <c r="D1120">
        <v>22228.9</v>
      </c>
      <c r="E1120">
        <v>2020</v>
      </c>
      <c r="F1120" s="168" t="s">
        <v>592</v>
      </c>
      <c r="G1120" s="168" t="s">
        <v>617</v>
      </c>
      <c r="H1120" s="168" t="s">
        <v>608</v>
      </c>
      <c r="I1120">
        <v>0</v>
      </c>
    </row>
    <row r="1121" spans="1:9" x14ac:dyDescent="0.3">
      <c r="A1121">
        <v>95</v>
      </c>
      <c r="B1121" s="168" t="s">
        <v>152</v>
      </c>
      <c r="C1121" s="168" t="s">
        <v>153</v>
      </c>
      <c r="D1121">
        <v>22228.9</v>
      </c>
      <c r="E1121">
        <v>2020</v>
      </c>
      <c r="F1121" s="168" t="s">
        <v>592</v>
      </c>
      <c r="G1121" s="168" t="s">
        <v>617</v>
      </c>
      <c r="H1121" s="168" t="s">
        <v>609</v>
      </c>
      <c r="I1121">
        <v>76172.665187759674</v>
      </c>
    </row>
    <row r="1122" spans="1:9" x14ac:dyDescent="0.3">
      <c r="A1122">
        <v>95</v>
      </c>
      <c r="B1122" s="168" t="s">
        <v>152</v>
      </c>
      <c r="C1122" s="168" t="s">
        <v>153</v>
      </c>
      <c r="D1122">
        <v>22228.9</v>
      </c>
      <c r="E1122">
        <v>2020</v>
      </c>
      <c r="F1122" s="168" t="s">
        <v>592</v>
      </c>
      <c r="G1122" s="168" t="s">
        <v>610</v>
      </c>
      <c r="H1122" s="168" t="s">
        <v>608</v>
      </c>
      <c r="I1122">
        <v>0</v>
      </c>
    </row>
    <row r="1123" spans="1:9" x14ac:dyDescent="0.3">
      <c r="A1123">
        <v>95</v>
      </c>
      <c r="B1123" s="168" t="s">
        <v>152</v>
      </c>
      <c r="C1123" s="168" t="s">
        <v>153</v>
      </c>
      <c r="D1123">
        <v>22228.9</v>
      </c>
      <c r="E1123">
        <v>2020</v>
      </c>
      <c r="F1123" s="168" t="s">
        <v>592</v>
      </c>
      <c r="G1123" s="168" t="s">
        <v>610</v>
      </c>
      <c r="H1123" s="168" t="s">
        <v>609</v>
      </c>
      <c r="I1123">
        <v>32727.272727272728</v>
      </c>
    </row>
    <row r="1124" spans="1:9" x14ac:dyDescent="0.3">
      <c r="A1124">
        <v>95</v>
      </c>
      <c r="B1124" s="168" t="s">
        <v>152</v>
      </c>
      <c r="C1124" s="168" t="s">
        <v>153</v>
      </c>
      <c r="D1124">
        <v>22228.9</v>
      </c>
      <c r="E1124">
        <v>2020</v>
      </c>
      <c r="F1124" s="168" t="s">
        <v>592</v>
      </c>
      <c r="G1124" s="168" t="s">
        <v>633</v>
      </c>
      <c r="H1124" s="168" t="s">
        <v>608</v>
      </c>
      <c r="I1124">
        <v>0</v>
      </c>
    </row>
    <row r="1125" spans="1:9" x14ac:dyDescent="0.3">
      <c r="A1125">
        <v>95</v>
      </c>
      <c r="B1125" s="168" t="s">
        <v>152</v>
      </c>
      <c r="C1125" s="168" t="s">
        <v>153</v>
      </c>
      <c r="D1125">
        <v>22228.9</v>
      </c>
      <c r="E1125">
        <v>2020</v>
      </c>
      <c r="F1125" s="168" t="s">
        <v>592</v>
      </c>
      <c r="G1125" s="168" t="s">
        <v>633</v>
      </c>
      <c r="H1125" s="168" t="s">
        <v>609</v>
      </c>
      <c r="I1125">
        <v>354974.56912338495</v>
      </c>
    </row>
    <row r="1126" spans="1:9" x14ac:dyDescent="0.3">
      <c r="A1126">
        <v>95</v>
      </c>
      <c r="B1126" s="168" t="s">
        <v>152</v>
      </c>
      <c r="C1126" s="168" t="s">
        <v>153</v>
      </c>
      <c r="D1126">
        <v>22228.9</v>
      </c>
      <c r="E1126">
        <v>2020</v>
      </c>
      <c r="F1126" s="168" t="s">
        <v>592</v>
      </c>
      <c r="G1126" s="168" t="s">
        <v>623</v>
      </c>
      <c r="H1126" s="168" t="s">
        <v>608</v>
      </c>
      <c r="I1126">
        <v>0</v>
      </c>
    </row>
    <row r="1127" spans="1:9" x14ac:dyDescent="0.3">
      <c r="A1127">
        <v>95</v>
      </c>
      <c r="B1127" s="168" t="s">
        <v>152</v>
      </c>
      <c r="C1127" s="168" t="s">
        <v>153</v>
      </c>
      <c r="D1127">
        <v>22228.9</v>
      </c>
      <c r="E1127">
        <v>2020</v>
      </c>
      <c r="F1127" s="168" t="s">
        <v>592</v>
      </c>
      <c r="G1127" s="168" t="s">
        <v>623</v>
      </c>
      <c r="H1127" s="168" t="s">
        <v>609</v>
      </c>
      <c r="I1127">
        <v>600000</v>
      </c>
    </row>
    <row r="1128" spans="1:9" x14ac:dyDescent="0.3">
      <c r="A1128">
        <v>95</v>
      </c>
      <c r="B1128" s="168" t="s">
        <v>152</v>
      </c>
      <c r="C1128" s="168" t="s">
        <v>153</v>
      </c>
      <c r="D1128">
        <v>22228.9</v>
      </c>
      <c r="E1128">
        <v>2020</v>
      </c>
      <c r="F1128" s="168" t="s">
        <v>592</v>
      </c>
      <c r="G1128" s="168" t="s">
        <v>615</v>
      </c>
      <c r="H1128" s="168" t="s">
        <v>608</v>
      </c>
      <c r="I1128">
        <v>0</v>
      </c>
    </row>
    <row r="1129" spans="1:9" x14ac:dyDescent="0.3">
      <c r="A1129">
        <v>95</v>
      </c>
      <c r="B1129" s="168" t="s">
        <v>152</v>
      </c>
      <c r="C1129" s="168" t="s">
        <v>153</v>
      </c>
      <c r="D1129">
        <v>22228.9</v>
      </c>
      <c r="E1129">
        <v>2020</v>
      </c>
      <c r="F1129" s="168" t="s">
        <v>592</v>
      </c>
      <c r="G1129" s="168" t="s">
        <v>615</v>
      </c>
      <c r="H1129" s="168" t="s">
        <v>609</v>
      </c>
      <c r="I1129">
        <v>7536.5853658536589</v>
      </c>
    </row>
    <row r="1130" spans="1:9" x14ac:dyDescent="0.3">
      <c r="A1130">
        <v>95</v>
      </c>
      <c r="B1130" s="168" t="s">
        <v>152</v>
      </c>
      <c r="C1130" s="168" t="s">
        <v>153</v>
      </c>
      <c r="D1130">
        <v>22228.9</v>
      </c>
      <c r="E1130">
        <v>2020</v>
      </c>
      <c r="F1130" s="168" t="s">
        <v>592</v>
      </c>
      <c r="G1130" s="168" t="s">
        <v>624</v>
      </c>
      <c r="H1130" s="168" t="s">
        <v>608</v>
      </c>
      <c r="I1130">
        <v>0</v>
      </c>
    </row>
    <row r="1131" spans="1:9" x14ac:dyDescent="0.3">
      <c r="A1131">
        <v>95</v>
      </c>
      <c r="B1131" s="168" t="s">
        <v>152</v>
      </c>
      <c r="C1131" s="168" t="s">
        <v>153</v>
      </c>
      <c r="D1131">
        <v>22228.9</v>
      </c>
      <c r="E1131">
        <v>2020</v>
      </c>
      <c r="F1131" s="168" t="s">
        <v>592</v>
      </c>
      <c r="G1131" s="168" t="s">
        <v>624</v>
      </c>
      <c r="H1131" s="168" t="s">
        <v>609</v>
      </c>
      <c r="I1131">
        <v>3900000</v>
      </c>
    </row>
    <row r="1132" spans="1:9" x14ac:dyDescent="0.3">
      <c r="A1132">
        <v>95</v>
      </c>
      <c r="B1132" s="168" t="s">
        <v>152</v>
      </c>
      <c r="C1132" s="168" t="s">
        <v>153</v>
      </c>
      <c r="D1132">
        <v>22228.9</v>
      </c>
      <c r="E1132">
        <v>2020</v>
      </c>
      <c r="F1132" s="168" t="s">
        <v>592</v>
      </c>
      <c r="G1132" s="168" t="s">
        <v>611</v>
      </c>
      <c r="H1132" s="168" t="s">
        <v>608</v>
      </c>
      <c r="I1132">
        <v>0</v>
      </c>
    </row>
    <row r="1133" spans="1:9" x14ac:dyDescent="0.3">
      <c r="A1133">
        <v>95</v>
      </c>
      <c r="B1133" s="168" t="s">
        <v>152</v>
      </c>
      <c r="C1133" s="168" t="s">
        <v>153</v>
      </c>
      <c r="D1133">
        <v>22228.9</v>
      </c>
      <c r="E1133">
        <v>2020</v>
      </c>
      <c r="F1133" s="168" t="s">
        <v>592</v>
      </c>
      <c r="G1133" s="168" t="s">
        <v>611</v>
      </c>
      <c r="H1133" s="168" t="s">
        <v>609</v>
      </c>
      <c r="I1133">
        <v>92907.49883575234</v>
      </c>
    </row>
    <row r="1134" spans="1:9" x14ac:dyDescent="0.3">
      <c r="A1134">
        <v>95</v>
      </c>
      <c r="B1134" s="168" t="s">
        <v>152</v>
      </c>
      <c r="C1134" s="168" t="s">
        <v>153</v>
      </c>
      <c r="D1134">
        <v>22228.9</v>
      </c>
      <c r="E1134">
        <v>2020</v>
      </c>
      <c r="F1134" s="168" t="s">
        <v>592</v>
      </c>
      <c r="G1134" s="168" t="s">
        <v>621</v>
      </c>
      <c r="H1134" s="168" t="s">
        <v>608</v>
      </c>
      <c r="I1134">
        <v>0</v>
      </c>
    </row>
    <row r="1135" spans="1:9" x14ac:dyDescent="0.3">
      <c r="A1135">
        <v>95</v>
      </c>
      <c r="B1135" s="168" t="s">
        <v>152</v>
      </c>
      <c r="C1135" s="168" t="s">
        <v>153</v>
      </c>
      <c r="D1135">
        <v>22228.9</v>
      </c>
      <c r="E1135">
        <v>2020</v>
      </c>
      <c r="F1135" s="168" t="s">
        <v>592</v>
      </c>
      <c r="G1135" s="168" t="s">
        <v>621</v>
      </c>
      <c r="H1135" s="168" t="s">
        <v>609</v>
      </c>
      <c r="I1135">
        <v>1403749.2</v>
      </c>
    </row>
    <row r="1136" spans="1:9" x14ac:dyDescent="0.3">
      <c r="A1136">
        <v>95</v>
      </c>
      <c r="B1136" s="168" t="s">
        <v>152</v>
      </c>
      <c r="C1136" s="168" t="s">
        <v>153</v>
      </c>
      <c r="D1136">
        <v>22228.9</v>
      </c>
      <c r="E1136">
        <v>2020</v>
      </c>
      <c r="F1136" s="168" t="s">
        <v>592</v>
      </c>
      <c r="G1136" s="168" t="s">
        <v>613</v>
      </c>
      <c r="H1136" s="168" t="s">
        <v>608</v>
      </c>
      <c r="I1136">
        <v>0</v>
      </c>
    </row>
    <row r="1137" spans="1:9" x14ac:dyDescent="0.3">
      <c r="A1137">
        <v>95</v>
      </c>
      <c r="B1137" s="168" t="s">
        <v>152</v>
      </c>
      <c r="C1137" s="168" t="s">
        <v>153</v>
      </c>
      <c r="D1137">
        <v>22228.9</v>
      </c>
      <c r="E1137">
        <v>2020</v>
      </c>
      <c r="F1137" s="168" t="s">
        <v>592</v>
      </c>
      <c r="G1137" s="168" t="s">
        <v>613</v>
      </c>
      <c r="H1137" s="168" t="s">
        <v>609</v>
      </c>
      <c r="I1137">
        <v>2780651.5710701784</v>
      </c>
    </row>
    <row r="1138" spans="1:9" hidden="1" x14ac:dyDescent="0.3">
      <c r="A1138">
        <v>96</v>
      </c>
      <c r="B1138" s="168" t="s">
        <v>154</v>
      </c>
      <c r="C1138" s="168" t="s">
        <v>155</v>
      </c>
      <c r="D1138">
        <v>481.3</v>
      </c>
      <c r="E1138">
        <v>2020</v>
      </c>
      <c r="F1138" s="168" t="s">
        <v>593</v>
      </c>
      <c r="G1138" s="168" t="s">
        <v>616</v>
      </c>
      <c r="H1138" s="168" t="s">
        <v>609</v>
      </c>
      <c r="I1138">
        <v>3477.9190141379913</v>
      </c>
    </row>
    <row r="1139" spans="1:9" hidden="1" x14ac:dyDescent="0.3">
      <c r="A1139">
        <v>96</v>
      </c>
      <c r="B1139" s="168" t="s">
        <v>154</v>
      </c>
      <c r="C1139" s="168" t="s">
        <v>155</v>
      </c>
      <c r="D1139">
        <v>481.3</v>
      </c>
      <c r="E1139">
        <v>2020</v>
      </c>
      <c r="F1139" s="168" t="s">
        <v>593</v>
      </c>
      <c r="G1139" s="168" t="s">
        <v>617</v>
      </c>
      <c r="H1139" s="168" t="s">
        <v>608</v>
      </c>
      <c r="I1139">
        <v>0</v>
      </c>
    </row>
    <row r="1140" spans="1:9" hidden="1" x14ac:dyDescent="0.3">
      <c r="A1140">
        <v>96</v>
      </c>
      <c r="B1140" s="168" t="s">
        <v>154</v>
      </c>
      <c r="C1140" s="168" t="s">
        <v>155</v>
      </c>
      <c r="D1140">
        <v>481.3</v>
      </c>
      <c r="E1140">
        <v>2020</v>
      </c>
      <c r="F1140" s="168" t="s">
        <v>593</v>
      </c>
      <c r="G1140" s="168" t="s">
        <v>617</v>
      </c>
      <c r="H1140" s="168" t="s">
        <v>609</v>
      </c>
      <c r="I1140">
        <v>13343.166586499658</v>
      </c>
    </row>
    <row r="1141" spans="1:9" hidden="1" x14ac:dyDescent="0.3">
      <c r="A1141">
        <v>97</v>
      </c>
      <c r="B1141" s="168" t="s">
        <v>156</v>
      </c>
      <c r="C1141" s="168" t="s">
        <v>157</v>
      </c>
      <c r="D1141">
        <v>140.9</v>
      </c>
      <c r="E1141">
        <v>2020</v>
      </c>
      <c r="F1141" s="168" t="s">
        <v>593</v>
      </c>
      <c r="G1141" s="168" t="s">
        <v>616</v>
      </c>
      <c r="H1141" s="168" t="s">
        <v>609</v>
      </c>
      <c r="I1141">
        <v>1018.1566363848805</v>
      </c>
    </row>
    <row r="1142" spans="1:9" hidden="1" x14ac:dyDescent="0.3">
      <c r="A1142">
        <v>97</v>
      </c>
      <c r="B1142" s="168" t="s">
        <v>156</v>
      </c>
      <c r="C1142" s="168" t="s">
        <v>157</v>
      </c>
      <c r="D1142">
        <v>140.9</v>
      </c>
      <c r="E1142">
        <v>2020</v>
      </c>
      <c r="F1142" s="168" t="s">
        <v>593</v>
      </c>
      <c r="G1142" s="168" t="s">
        <v>617</v>
      </c>
      <c r="H1142" s="168" t="s">
        <v>608</v>
      </c>
      <c r="I1142">
        <v>0</v>
      </c>
    </row>
    <row r="1143" spans="1:9" hidden="1" x14ac:dyDescent="0.3">
      <c r="A1143">
        <v>97</v>
      </c>
      <c r="B1143" s="168" t="s">
        <v>156</v>
      </c>
      <c r="C1143" s="168" t="s">
        <v>157</v>
      </c>
      <c r="D1143">
        <v>140.9</v>
      </c>
      <c r="E1143">
        <v>2020</v>
      </c>
      <c r="F1143" s="168" t="s">
        <v>593</v>
      </c>
      <c r="G1143" s="168" t="s">
        <v>617</v>
      </c>
      <c r="H1143" s="168" t="s">
        <v>609</v>
      </c>
      <c r="I1143">
        <v>6843.0815709988428</v>
      </c>
    </row>
    <row r="1144" spans="1:9" x14ac:dyDescent="0.3">
      <c r="A1144">
        <v>98</v>
      </c>
      <c r="B1144" s="168" t="s">
        <v>158</v>
      </c>
      <c r="C1144" s="168" t="s">
        <v>159</v>
      </c>
      <c r="D1144">
        <v>7998.2</v>
      </c>
      <c r="E1144">
        <v>2020</v>
      </c>
      <c r="F1144" s="168" t="s">
        <v>592</v>
      </c>
      <c r="G1144" s="168" t="s">
        <v>607</v>
      </c>
      <c r="H1144" s="168" t="s">
        <v>608</v>
      </c>
      <c r="I1144">
        <v>0</v>
      </c>
    </row>
    <row r="1145" spans="1:9" x14ac:dyDescent="0.3">
      <c r="A1145">
        <v>98</v>
      </c>
      <c r="B1145" s="168" t="s">
        <v>158</v>
      </c>
      <c r="C1145" s="168" t="s">
        <v>159</v>
      </c>
      <c r="D1145">
        <v>7998.2</v>
      </c>
      <c r="E1145">
        <v>2020</v>
      </c>
      <c r="F1145" s="168" t="s">
        <v>592</v>
      </c>
      <c r="G1145" s="168" t="s">
        <v>607</v>
      </c>
      <c r="H1145" s="168" t="s">
        <v>609</v>
      </c>
      <c r="I1145">
        <v>1263491.306716284</v>
      </c>
    </row>
    <row r="1146" spans="1:9" x14ac:dyDescent="0.3">
      <c r="A1146">
        <v>98</v>
      </c>
      <c r="B1146" s="168" t="s">
        <v>158</v>
      </c>
      <c r="C1146" s="168" t="s">
        <v>159</v>
      </c>
      <c r="D1146">
        <v>7998.2</v>
      </c>
      <c r="E1146">
        <v>2020</v>
      </c>
      <c r="F1146" s="168" t="s">
        <v>592</v>
      </c>
      <c r="G1146" s="168" t="s">
        <v>616</v>
      </c>
      <c r="H1146" s="168" t="s">
        <v>609</v>
      </c>
      <c r="I1146">
        <v>399434.82591725508</v>
      </c>
    </row>
    <row r="1147" spans="1:9" x14ac:dyDescent="0.3">
      <c r="A1147">
        <v>98</v>
      </c>
      <c r="B1147" s="168" t="s">
        <v>158</v>
      </c>
      <c r="C1147" s="168" t="s">
        <v>159</v>
      </c>
      <c r="D1147">
        <v>7998.2</v>
      </c>
      <c r="E1147">
        <v>2020</v>
      </c>
      <c r="F1147" s="168" t="s">
        <v>592</v>
      </c>
      <c r="G1147" s="168" t="s">
        <v>633</v>
      </c>
      <c r="H1147" s="168" t="s">
        <v>608</v>
      </c>
      <c r="I1147">
        <v>0</v>
      </c>
    </row>
    <row r="1148" spans="1:9" x14ac:dyDescent="0.3">
      <c r="A1148">
        <v>98</v>
      </c>
      <c r="B1148" s="168" t="s">
        <v>158</v>
      </c>
      <c r="C1148" s="168" t="s">
        <v>159</v>
      </c>
      <c r="D1148">
        <v>7998.2</v>
      </c>
      <c r="E1148">
        <v>2020</v>
      </c>
      <c r="F1148" s="168" t="s">
        <v>592</v>
      </c>
      <c r="G1148" s="168" t="s">
        <v>633</v>
      </c>
      <c r="H1148" s="168" t="s">
        <v>609</v>
      </c>
      <c r="I1148">
        <v>127723.71096917335</v>
      </c>
    </row>
    <row r="1149" spans="1:9" x14ac:dyDescent="0.3">
      <c r="A1149">
        <v>98</v>
      </c>
      <c r="B1149" s="168" t="s">
        <v>158</v>
      </c>
      <c r="C1149" s="168" t="s">
        <v>159</v>
      </c>
      <c r="D1149">
        <v>7998.2</v>
      </c>
      <c r="E1149">
        <v>2020</v>
      </c>
      <c r="F1149" s="168" t="s">
        <v>592</v>
      </c>
      <c r="G1149" s="168" t="s">
        <v>624</v>
      </c>
      <c r="H1149" s="168" t="s">
        <v>608</v>
      </c>
      <c r="I1149">
        <v>0</v>
      </c>
    </row>
    <row r="1150" spans="1:9" x14ac:dyDescent="0.3">
      <c r="A1150">
        <v>98</v>
      </c>
      <c r="B1150" s="168" t="s">
        <v>158</v>
      </c>
      <c r="C1150" s="168" t="s">
        <v>159</v>
      </c>
      <c r="D1150">
        <v>7998.2</v>
      </c>
      <c r="E1150">
        <v>2020</v>
      </c>
      <c r="F1150" s="168" t="s">
        <v>592</v>
      </c>
      <c r="G1150" s="168" t="s">
        <v>624</v>
      </c>
      <c r="H1150" s="168" t="s">
        <v>609</v>
      </c>
      <c r="I1150">
        <v>268672.88912349741</v>
      </c>
    </row>
    <row r="1151" spans="1:9" x14ac:dyDescent="0.3">
      <c r="A1151">
        <v>98</v>
      </c>
      <c r="B1151" s="168" t="s">
        <v>158</v>
      </c>
      <c r="C1151" s="168" t="s">
        <v>159</v>
      </c>
      <c r="D1151">
        <v>7998.2</v>
      </c>
      <c r="E1151">
        <v>2020</v>
      </c>
      <c r="F1151" s="168" t="s">
        <v>592</v>
      </c>
      <c r="G1151" s="168" t="s">
        <v>613</v>
      </c>
      <c r="H1151" s="168" t="s">
        <v>608</v>
      </c>
      <c r="I1151">
        <v>0</v>
      </c>
    </row>
    <row r="1152" spans="1:9" x14ac:dyDescent="0.3">
      <c r="A1152">
        <v>98</v>
      </c>
      <c r="B1152" s="168" t="s">
        <v>158</v>
      </c>
      <c r="C1152" s="168" t="s">
        <v>159</v>
      </c>
      <c r="D1152">
        <v>7998.2</v>
      </c>
      <c r="E1152">
        <v>2020</v>
      </c>
      <c r="F1152" s="168" t="s">
        <v>592</v>
      </c>
      <c r="G1152" s="168" t="s">
        <v>613</v>
      </c>
      <c r="H1152" s="168" t="s">
        <v>609</v>
      </c>
      <c r="I1152">
        <v>989993.82239574613</v>
      </c>
    </row>
    <row r="1153" spans="1:9" x14ac:dyDescent="0.3">
      <c r="A1153">
        <v>99</v>
      </c>
      <c r="B1153" s="168" t="s">
        <v>158</v>
      </c>
      <c r="C1153" s="168" t="s">
        <v>160</v>
      </c>
      <c r="D1153">
        <v>4101.8999999999996</v>
      </c>
      <c r="E1153">
        <v>2020</v>
      </c>
      <c r="F1153" s="168" t="s">
        <v>592</v>
      </c>
      <c r="G1153" s="168" t="s">
        <v>607</v>
      </c>
      <c r="H1153" s="168" t="s">
        <v>608</v>
      </c>
      <c r="I1153">
        <v>0</v>
      </c>
    </row>
    <row r="1154" spans="1:9" x14ac:dyDescent="0.3">
      <c r="A1154">
        <v>99</v>
      </c>
      <c r="B1154" s="168" t="s">
        <v>158</v>
      </c>
      <c r="C1154" s="168" t="s">
        <v>160</v>
      </c>
      <c r="D1154">
        <v>4101.8999999999996</v>
      </c>
      <c r="E1154">
        <v>2020</v>
      </c>
      <c r="F1154" s="168" t="s">
        <v>592</v>
      </c>
      <c r="G1154" s="168" t="s">
        <v>607</v>
      </c>
      <c r="H1154" s="168" t="s">
        <v>609</v>
      </c>
      <c r="I1154">
        <v>638942.35119812726</v>
      </c>
    </row>
    <row r="1155" spans="1:9" x14ac:dyDescent="0.3">
      <c r="A1155">
        <v>99</v>
      </c>
      <c r="B1155" s="168" t="s">
        <v>158</v>
      </c>
      <c r="C1155" s="168" t="s">
        <v>160</v>
      </c>
      <c r="D1155">
        <v>4101.8999999999996</v>
      </c>
      <c r="E1155">
        <v>2020</v>
      </c>
      <c r="F1155" s="168" t="s">
        <v>592</v>
      </c>
      <c r="G1155" s="168" t="s">
        <v>616</v>
      </c>
      <c r="H1155" s="168" t="s">
        <v>609</v>
      </c>
      <c r="I1155">
        <v>129865.66922521795</v>
      </c>
    </row>
    <row r="1156" spans="1:9" x14ac:dyDescent="0.3">
      <c r="A1156">
        <v>99</v>
      </c>
      <c r="B1156" s="168" t="s">
        <v>158</v>
      </c>
      <c r="C1156" s="168" t="s">
        <v>160</v>
      </c>
      <c r="D1156">
        <v>4101.8999999999996</v>
      </c>
      <c r="E1156">
        <v>2020</v>
      </c>
      <c r="F1156" s="168" t="s">
        <v>592</v>
      </c>
      <c r="G1156" s="168" t="s">
        <v>633</v>
      </c>
      <c r="H1156" s="168" t="s">
        <v>608</v>
      </c>
      <c r="I1156">
        <v>0</v>
      </c>
    </row>
    <row r="1157" spans="1:9" x14ac:dyDescent="0.3">
      <c r="A1157">
        <v>99</v>
      </c>
      <c r="B1157" s="168" t="s">
        <v>158</v>
      </c>
      <c r="C1157" s="168" t="s">
        <v>160</v>
      </c>
      <c r="D1157">
        <v>4101.8999999999996</v>
      </c>
      <c r="E1157">
        <v>2020</v>
      </c>
      <c r="F1157" s="168" t="s">
        <v>592</v>
      </c>
      <c r="G1157" s="168" t="s">
        <v>633</v>
      </c>
      <c r="H1157" s="168" t="s">
        <v>609</v>
      </c>
      <c r="I1157">
        <v>65503.474534826855</v>
      </c>
    </row>
    <row r="1158" spans="1:9" x14ac:dyDescent="0.3">
      <c r="A1158">
        <v>99</v>
      </c>
      <c r="B1158" s="168" t="s">
        <v>158</v>
      </c>
      <c r="C1158" s="168" t="s">
        <v>160</v>
      </c>
      <c r="D1158">
        <v>4101.8999999999996</v>
      </c>
      <c r="E1158">
        <v>2020</v>
      </c>
      <c r="F1158" s="168" t="s">
        <v>592</v>
      </c>
      <c r="G1158" s="168" t="s">
        <v>624</v>
      </c>
      <c r="H1158" s="168" t="s">
        <v>608</v>
      </c>
      <c r="I1158">
        <v>0</v>
      </c>
    </row>
    <row r="1159" spans="1:9" x14ac:dyDescent="0.3">
      <c r="A1159">
        <v>99</v>
      </c>
      <c r="B1159" s="168" t="s">
        <v>158</v>
      </c>
      <c r="C1159" s="168" t="s">
        <v>160</v>
      </c>
      <c r="D1159">
        <v>4101.8999999999996</v>
      </c>
      <c r="E1159">
        <v>2020</v>
      </c>
      <c r="F1159" s="168" t="s">
        <v>592</v>
      </c>
      <c r="G1159" s="168" t="s">
        <v>624</v>
      </c>
      <c r="H1159" s="168" t="s">
        <v>609</v>
      </c>
      <c r="I1159">
        <v>137789.66816229577</v>
      </c>
    </row>
    <row r="1160" spans="1:9" x14ac:dyDescent="0.3">
      <c r="A1160">
        <v>99</v>
      </c>
      <c r="B1160" s="168" t="s">
        <v>158</v>
      </c>
      <c r="C1160" s="168" t="s">
        <v>160</v>
      </c>
      <c r="D1160">
        <v>4101.8999999999996</v>
      </c>
      <c r="E1160">
        <v>2020</v>
      </c>
      <c r="F1160" s="168" t="s">
        <v>592</v>
      </c>
      <c r="G1160" s="168" t="s">
        <v>613</v>
      </c>
      <c r="H1160" s="168" t="s">
        <v>608</v>
      </c>
      <c r="I1160">
        <v>0</v>
      </c>
    </row>
    <row r="1161" spans="1:9" x14ac:dyDescent="0.3">
      <c r="A1161">
        <v>99</v>
      </c>
      <c r="B1161" s="168" t="s">
        <v>158</v>
      </c>
      <c r="C1161" s="168" t="s">
        <v>160</v>
      </c>
      <c r="D1161">
        <v>4101.8999999999996</v>
      </c>
      <c r="E1161">
        <v>2020</v>
      </c>
      <c r="F1161" s="168" t="s">
        <v>592</v>
      </c>
      <c r="G1161" s="168" t="s">
        <v>613</v>
      </c>
      <c r="H1161" s="168" t="s">
        <v>609</v>
      </c>
      <c r="I1161">
        <v>507721.19477946416</v>
      </c>
    </row>
    <row r="1162" spans="1:9" hidden="1" x14ac:dyDescent="0.3">
      <c r="A1162">
        <v>100</v>
      </c>
      <c r="B1162" s="168" t="s">
        <v>161</v>
      </c>
      <c r="C1162" s="168" t="s">
        <v>162</v>
      </c>
      <c r="D1162">
        <v>489.2</v>
      </c>
      <c r="E1162">
        <v>2020</v>
      </c>
      <c r="F1162" s="168" t="s">
        <v>593</v>
      </c>
      <c r="G1162" s="168" t="s">
        <v>617</v>
      </c>
      <c r="H1162" s="168" t="s">
        <v>608</v>
      </c>
      <c r="I1162">
        <v>0</v>
      </c>
    </row>
    <row r="1163" spans="1:9" hidden="1" x14ac:dyDescent="0.3">
      <c r="A1163">
        <v>100</v>
      </c>
      <c r="B1163" s="168" t="s">
        <v>161</v>
      </c>
      <c r="C1163" s="168" t="s">
        <v>162</v>
      </c>
      <c r="D1163">
        <v>489.2</v>
      </c>
      <c r="E1163">
        <v>2020</v>
      </c>
      <c r="F1163" s="168" t="s">
        <v>593</v>
      </c>
      <c r="G1163" s="168" t="s">
        <v>617</v>
      </c>
      <c r="H1163" s="168" t="s">
        <v>609</v>
      </c>
      <c r="I1163">
        <v>10329.554408999693</v>
      </c>
    </row>
    <row r="1164" spans="1:9" hidden="1" x14ac:dyDescent="0.3">
      <c r="A1164">
        <v>101</v>
      </c>
      <c r="B1164" s="168" t="s">
        <v>163</v>
      </c>
      <c r="C1164" s="168" t="s">
        <v>164</v>
      </c>
      <c r="D1164">
        <v>482.4</v>
      </c>
      <c r="E1164">
        <v>2020</v>
      </c>
      <c r="F1164" s="168" t="s">
        <v>593</v>
      </c>
      <c r="G1164" s="168" t="s">
        <v>617</v>
      </c>
      <c r="H1164" s="168" t="s">
        <v>608</v>
      </c>
      <c r="I1164">
        <v>0</v>
      </c>
    </row>
    <row r="1165" spans="1:9" hidden="1" x14ac:dyDescent="0.3">
      <c r="A1165">
        <v>101</v>
      </c>
      <c r="B1165" s="168" t="s">
        <v>163</v>
      </c>
      <c r="C1165" s="168" t="s">
        <v>164</v>
      </c>
      <c r="D1165">
        <v>482.4</v>
      </c>
      <c r="E1165">
        <v>2020</v>
      </c>
      <c r="F1165" s="168" t="s">
        <v>593</v>
      </c>
      <c r="G1165" s="168" t="s">
        <v>617</v>
      </c>
      <c r="H1165" s="168" t="s">
        <v>609</v>
      </c>
      <c r="I1165">
        <v>2700.2322457421274</v>
      </c>
    </row>
    <row r="1166" spans="1:9" x14ac:dyDescent="0.3">
      <c r="A1166">
        <v>102</v>
      </c>
      <c r="B1166" s="168" t="s">
        <v>165</v>
      </c>
      <c r="C1166" s="168" t="s">
        <v>166</v>
      </c>
      <c r="D1166">
        <v>10231.5</v>
      </c>
      <c r="E1166">
        <v>2020</v>
      </c>
      <c r="F1166" s="168" t="s">
        <v>592</v>
      </c>
      <c r="G1166" s="168" t="s">
        <v>607</v>
      </c>
      <c r="H1166" s="168" t="s">
        <v>608</v>
      </c>
      <c r="I1166">
        <v>0</v>
      </c>
    </row>
    <row r="1167" spans="1:9" x14ac:dyDescent="0.3">
      <c r="A1167">
        <v>102</v>
      </c>
      <c r="B1167" s="168" t="s">
        <v>165</v>
      </c>
      <c r="C1167" s="168" t="s">
        <v>166</v>
      </c>
      <c r="D1167">
        <v>10231.5</v>
      </c>
      <c r="E1167">
        <v>2020</v>
      </c>
      <c r="F1167" s="168" t="s">
        <v>592</v>
      </c>
      <c r="G1167" s="168" t="s">
        <v>607</v>
      </c>
      <c r="H1167" s="168" t="s">
        <v>609</v>
      </c>
      <c r="I1167">
        <v>1396009.791563041</v>
      </c>
    </row>
    <row r="1168" spans="1:9" x14ac:dyDescent="0.3">
      <c r="A1168">
        <v>102</v>
      </c>
      <c r="B1168" s="168" t="s">
        <v>165</v>
      </c>
      <c r="C1168" s="168" t="s">
        <v>166</v>
      </c>
      <c r="D1168">
        <v>10231.5</v>
      </c>
      <c r="E1168">
        <v>2020</v>
      </c>
      <c r="F1168" s="168" t="s">
        <v>592</v>
      </c>
      <c r="G1168" s="168" t="s">
        <v>616</v>
      </c>
      <c r="H1168" s="168" t="s">
        <v>609</v>
      </c>
      <c r="I1168">
        <v>646416.0181841345</v>
      </c>
    </row>
    <row r="1169" spans="1:9" x14ac:dyDescent="0.3">
      <c r="A1169">
        <v>102</v>
      </c>
      <c r="B1169" s="168" t="s">
        <v>165</v>
      </c>
      <c r="C1169" s="168" t="s">
        <v>166</v>
      </c>
      <c r="D1169">
        <v>10231.5</v>
      </c>
      <c r="E1169">
        <v>2020</v>
      </c>
      <c r="F1169" s="168" t="s">
        <v>592</v>
      </c>
      <c r="G1169" s="168" t="s">
        <v>633</v>
      </c>
      <c r="H1169" s="168" t="s">
        <v>608</v>
      </c>
      <c r="I1169">
        <v>0</v>
      </c>
    </row>
    <row r="1170" spans="1:9" x14ac:dyDescent="0.3">
      <c r="A1170">
        <v>102</v>
      </c>
      <c r="B1170" s="168" t="s">
        <v>165</v>
      </c>
      <c r="C1170" s="168" t="s">
        <v>166</v>
      </c>
      <c r="D1170">
        <v>10231.5</v>
      </c>
      <c r="E1170">
        <v>2020</v>
      </c>
      <c r="F1170" s="168" t="s">
        <v>592</v>
      </c>
      <c r="G1170" s="168" t="s">
        <v>633</v>
      </c>
      <c r="H1170" s="168" t="s">
        <v>609</v>
      </c>
      <c r="I1170">
        <v>163387.40576393402</v>
      </c>
    </row>
    <row r="1171" spans="1:9" x14ac:dyDescent="0.3">
      <c r="A1171">
        <v>102</v>
      </c>
      <c r="B1171" s="168" t="s">
        <v>165</v>
      </c>
      <c r="C1171" s="168" t="s">
        <v>166</v>
      </c>
      <c r="D1171">
        <v>10231.5</v>
      </c>
      <c r="E1171">
        <v>2020</v>
      </c>
      <c r="F1171" s="168" t="s">
        <v>592</v>
      </c>
      <c r="G1171" s="168" t="s">
        <v>615</v>
      </c>
      <c r="H1171" s="168" t="s">
        <v>608</v>
      </c>
      <c r="I1171">
        <v>0</v>
      </c>
    </row>
    <row r="1172" spans="1:9" x14ac:dyDescent="0.3">
      <c r="A1172">
        <v>102</v>
      </c>
      <c r="B1172" s="168" t="s">
        <v>165</v>
      </c>
      <c r="C1172" s="168" t="s">
        <v>166</v>
      </c>
      <c r="D1172">
        <v>10231.5</v>
      </c>
      <c r="E1172">
        <v>2020</v>
      </c>
      <c r="F1172" s="168" t="s">
        <v>592</v>
      </c>
      <c r="G1172" s="168" t="s">
        <v>615</v>
      </c>
      <c r="H1172" s="168" t="s">
        <v>609</v>
      </c>
      <c r="I1172">
        <v>7536.5853658536589</v>
      </c>
    </row>
    <row r="1173" spans="1:9" x14ac:dyDescent="0.3">
      <c r="A1173">
        <v>102</v>
      </c>
      <c r="B1173" s="168" t="s">
        <v>165</v>
      </c>
      <c r="C1173" s="168" t="s">
        <v>166</v>
      </c>
      <c r="D1173">
        <v>10231.5</v>
      </c>
      <c r="E1173">
        <v>2020</v>
      </c>
      <c r="F1173" s="168" t="s">
        <v>592</v>
      </c>
      <c r="G1173" s="168" t="s">
        <v>624</v>
      </c>
      <c r="H1173" s="168" t="s">
        <v>608</v>
      </c>
      <c r="I1173">
        <v>0</v>
      </c>
    </row>
    <row r="1174" spans="1:9" x14ac:dyDescent="0.3">
      <c r="A1174">
        <v>102</v>
      </c>
      <c r="B1174" s="168" t="s">
        <v>165</v>
      </c>
      <c r="C1174" s="168" t="s">
        <v>166</v>
      </c>
      <c r="D1174">
        <v>10231.5</v>
      </c>
      <c r="E1174">
        <v>2020</v>
      </c>
      <c r="F1174" s="168" t="s">
        <v>592</v>
      </c>
      <c r="G1174" s="168" t="s">
        <v>624</v>
      </c>
      <c r="H1174" s="168" t="s">
        <v>609</v>
      </c>
      <c r="I1174">
        <v>343693.16409530438</v>
      </c>
    </row>
    <row r="1175" spans="1:9" x14ac:dyDescent="0.3">
      <c r="A1175">
        <v>102</v>
      </c>
      <c r="B1175" s="168" t="s">
        <v>165</v>
      </c>
      <c r="C1175" s="168" t="s">
        <v>166</v>
      </c>
      <c r="D1175">
        <v>10231.5</v>
      </c>
      <c r="E1175">
        <v>2020</v>
      </c>
      <c r="F1175" s="168" t="s">
        <v>592</v>
      </c>
      <c r="G1175" s="168" t="s">
        <v>613</v>
      </c>
      <c r="H1175" s="168" t="s">
        <v>608</v>
      </c>
      <c r="I1175">
        <v>0</v>
      </c>
    </row>
    <row r="1176" spans="1:9" x14ac:dyDescent="0.3">
      <c r="A1176">
        <v>102</v>
      </c>
      <c r="B1176" s="168" t="s">
        <v>165</v>
      </c>
      <c r="C1176" s="168" t="s">
        <v>166</v>
      </c>
      <c r="D1176">
        <v>10231.5</v>
      </c>
      <c r="E1176">
        <v>2020</v>
      </c>
      <c r="F1176" s="168" t="s">
        <v>592</v>
      </c>
      <c r="G1176" s="168" t="s">
        <v>613</v>
      </c>
      <c r="H1176" s="168" t="s">
        <v>609</v>
      </c>
      <c r="I1176">
        <v>1266425.1698934832</v>
      </c>
    </row>
    <row r="1177" spans="1:9" x14ac:dyDescent="0.3">
      <c r="A1177">
        <v>103</v>
      </c>
      <c r="B1177" s="168" t="s">
        <v>167</v>
      </c>
      <c r="C1177" s="168" t="s">
        <v>168</v>
      </c>
      <c r="D1177">
        <v>2674.6</v>
      </c>
      <c r="E1177">
        <v>2020</v>
      </c>
      <c r="F1177" s="168" t="s">
        <v>592</v>
      </c>
      <c r="G1177" s="168" t="s">
        <v>607</v>
      </c>
      <c r="H1177" s="168" t="s">
        <v>608</v>
      </c>
      <c r="I1177">
        <v>0</v>
      </c>
    </row>
    <row r="1178" spans="1:9" x14ac:dyDescent="0.3">
      <c r="A1178">
        <v>103</v>
      </c>
      <c r="B1178" s="168" t="s">
        <v>167</v>
      </c>
      <c r="C1178" s="168" t="s">
        <v>168</v>
      </c>
      <c r="D1178">
        <v>2674.6</v>
      </c>
      <c r="E1178">
        <v>2020</v>
      </c>
      <c r="F1178" s="168" t="s">
        <v>592</v>
      </c>
      <c r="G1178" s="168" t="s">
        <v>607</v>
      </c>
      <c r="H1178" s="168" t="s">
        <v>609</v>
      </c>
      <c r="I1178">
        <v>516036.69600558869</v>
      </c>
    </row>
    <row r="1179" spans="1:9" x14ac:dyDescent="0.3">
      <c r="A1179">
        <v>103</v>
      </c>
      <c r="B1179" s="168" t="s">
        <v>167</v>
      </c>
      <c r="C1179" s="168" t="s">
        <v>168</v>
      </c>
      <c r="D1179">
        <v>2674.6</v>
      </c>
      <c r="E1179">
        <v>2020</v>
      </c>
      <c r="F1179" s="168" t="s">
        <v>592</v>
      </c>
      <c r="G1179" s="168" t="s">
        <v>616</v>
      </c>
      <c r="H1179" s="168" t="s">
        <v>609</v>
      </c>
      <c r="I1179">
        <v>114489.35847957147</v>
      </c>
    </row>
    <row r="1180" spans="1:9" x14ac:dyDescent="0.3">
      <c r="A1180">
        <v>103</v>
      </c>
      <c r="B1180" s="168" t="s">
        <v>167</v>
      </c>
      <c r="C1180" s="168" t="s">
        <v>168</v>
      </c>
      <c r="D1180">
        <v>2674.6</v>
      </c>
      <c r="E1180">
        <v>2020</v>
      </c>
      <c r="F1180" s="168" t="s">
        <v>592</v>
      </c>
      <c r="G1180" s="168" t="s">
        <v>633</v>
      </c>
      <c r="H1180" s="168" t="s">
        <v>608</v>
      </c>
      <c r="I1180">
        <v>0</v>
      </c>
    </row>
    <row r="1181" spans="1:9" x14ac:dyDescent="0.3">
      <c r="A1181">
        <v>103</v>
      </c>
      <c r="B1181" s="168" t="s">
        <v>167</v>
      </c>
      <c r="C1181" s="168" t="s">
        <v>168</v>
      </c>
      <c r="D1181">
        <v>2674.6</v>
      </c>
      <c r="E1181">
        <v>2020</v>
      </c>
      <c r="F1181" s="168" t="s">
        <v>592</v>
      </c>
      <c r="G1181" s="168" t="s">
        <v>633</v>
      </c>
      <c r="H1181" s="168" t="s">
        <v>609</v>
      </c>
      <c r="I1181">
        <v>42710.839608680835</v>
      </c>
    </row>
    <row r="1182" spans="1:9" x14ac:dyDescent="0.3">
      <c r="A1182">
        <v>103</v>
      </c>
      <c r="B1182" s="168" t="s">
        <v>167</v>
      </c>
      <c r="C1182" s="168" t="s">
        <v>168</v>
      </c>
      <c r="D1182">
        <v>2674.6</v>
      </c>
      <c r="E1182">
        <v>2020</v>
      </c>
      <c r="F1182" s="168" t="s">
        <v>592</v>
      </c>
      <c r="G1182" s="168" t="s">
        <v>624</v>
      </c>
      <c r="H1182" s="168" t="s">
        <v>608</v>
      </c>
      <c r="I1182">
        <v>0</v>
      </c>
    </row>
    <row r="1183" spans="1:9" x14ac:dyDescent="0.3">
      <c r="A1183">
        <v>103</v>
      </c>
      <c r="B1183" s="168" t="s">
        <v>167</v>
      </c>
      <c r="C1183" s="168" t="s">
        <v>168</v>
      </c>
      <c r="D1183">
        <v>2674.6</v>
      </c>
      <c r="E1183">
        <v>2020</v>
      </c>
      <c r="F1183" s="168" t="s">
        <v>592</v>
      </c>
      <c r="G1183" s="168" t="s">
        <v>624</v>
      </c>
      <c r="H1183" s="168" t="s">
        <v>609</v>
      </c>
      <c r="I1183">
        <v>89844.278618902521</v>
      </c>
    </row>
    <row r="1184" spans="1:9" x14ac:dyDescent="0.3">
      <c r="A1184">
        <v>103</v>
      </c>
      <c r="B1184" s="168" t="s">
        <v>167</v>
      </c>
      <c r="C1184" s="168" t="s">
        <v>168</v>
      </c>
      <c r="D1184">
        <v>2674.6</v>
      </c>
      <c r="E1184">
        <v>2020</v>
      </c>
      <c r="F1184" s="168" t="s">
        <v>592</v>
      </c>
      <c r="G1184" s="168" t="s">
        <v>613</v>
      </c>
      <c r="H1184" s="168" t="s">
        <v>608</v>
      </c>
      <c r="I1184">
        <v>0</v>
      </c>
    </row>
    <row r="1185" spans="1:9" x14ac:dyDescent="0.3">
      <c r="A1185">
        <v>103</v>
      </c>
      <c r="B1185" s="168" t="s">
        <v>167</v>
      </c>
      <c r="C1185" s="168" t="s">
        <v>168</v>
      </c>
      <c r="D1185">
        <v>2674.6</v>
      </c>
      <c r="E1185">
        <v>2020</v>
      </c>
      <c r="F1185" s="168" t="s">
        <v>592</v>
      </c>
      <c r="G1185" s="168" t="s">
        <v>613</v>
      </c>
      <c r="H1185" s="168" t="s">
        <v>609</v>
      </c>
      <c r="I1185">
        <v>331054.17186112673</v>
      </c>
    </row>
    <row r="1186" spans="1:9" hidden="1" x14ac:dyDescent="0.3">
      <c r="A1186">
        <v>1</v>
      </c>
      <c r="B1186" s="168" t="s">
        <v>4</v>
      </c>
      <c r="C1186" s="168" t="s">
        <v>5</v>
      </c>
      <c r="D1186">
        <v>896.1</v>
      </c>
      <c r="E1186">
        <v>2021</v>
      </c>
      <c r="F1186" s="168" t="s">
        <v>590</v>
      </c>
      <c r="G1186" s="168" t="s">
        <v>607</v>
      </c>
      <c r="H1186" s="168" t="s">
        <v>608</v>
      </c>
      <c r="I1186">
        <v>0</v>
      </c>
    </row>
    <row r="1187" spans="1:9" hidden="1" x14ac:dyDescent="0.3">
      <c r="A1187">
        <v>1</v>
      </c>
      <c r="B1187" s="168" t="s">
        <v>4</v>
      </c>
      <c r="C1187" s="168" t="s">
        <v>5</v>
      </c>
      <c r="D1187">
        <v>896.1</v>
      </c>
      <c r="E1187">
        <v>2021</v>
      </c>
      <c r="F1187" s="168" t="s">
        <v>590</v>
      </c>
      <c r="G1187" s="168" t="s">
        <v>607</v>
      </c>
      <c r="H1187" s="168" t="s">
        <v>609</v>
      </c>
      <c r="I1187">
        <v>535097.6291738305</v>
      </c>
    </row>
    <row r="1188" spans="1:9" hidden="1" x14ac:dyDescent="0.3">
      <c r="A1188">
        <v>2</v>
      </c>
      <c r="B1188" s="168" t="s">
        <v>6</v>
      </c>
      <c r="C1188" s="168" t="s">
        <v>5</v>
      </c>
      <c r="D1188">
        <v>189</v>
      </c>
      <c r="E1188">
        <v>2021</v>
      </c>
      <c r="F1188" s="168" t="s">
        <v>590</v>
      </c>
      <c r="G1188" s="168" t="s">
        <v>607</v>
      </c>
      <c r="H1188" s="168" t="s">
        <v>608</v>
      </c>
      <c r="I1188">
        <v>0</v>
      </c>
    </row>
    <row r="1189" spans="1:9" hidden="1" x14ac:dyDescent="0.3">
      <c r="A1189">
        <v>2</v>
      </c>
      <c r="B1189" s="168" t="s">
        <v>6</v>
      </c>
      <c r="C1189" s="168" t="s">
        <v>5</v>
      </c>
      <c r="D1189">
        <v>189</v>
      </c>
      <c r="E1189">
        <v>2021</v>
      </c>
      <c r="F1189" s="168" t="s">
        <v>590</v>
      </c>
      <c r="G1189" s="168" t="s">
        <v>607</v>
      </c>
      <c r="H1189" s="168" t="s">
        <v>609</v>
      </c>
      <c r="I1189">
        <v>112859.5602207945</v>
      </c>
    </row>
    <row r="1190" spans="1:9" hidden="1" x14ac:dyDescent="0.3">
      <c r="A1190">
        <v>3</v>
      </c>
      <c r="B1190" s="168" t="s">
        <v>7</v>
      </c>
      <c r="C1190" s="168" t="s">
        <v>5</v>
      </c>
      <c r="D1190">
        <v>20</v>
      </c>
      <c r="E1190">
        <v>2021</v>
      </c>
      <c r="F1190" s="168" t="s">
        <v>590</v>
      </c>
      <c r="G1190" s="168" t="s">
        <v>607</v>
      </c>
      <c r="H1190" s="168" t="s">
        <v>608</v>
      </c>
      <c r="I1190">
        <v>0</v>
      </c>
    </row>
    <row r="1191" spans="1:9" hidden="1" x14ac:dyDescent="0.3">
      <c r="A1191">
        <v>3</v>
      </c>
      <c r="B1191" s="168" t="s">
        <v>7</v>
      </c>
      <c r="C1191" s="168" t="s">
        <v>5</v>
      </c>
      <c r="D1191">
        <v>20</v>
      </c>
      <c r="E1191">
        <v>2021</v>
      </c>
      <c r="F1191" s="168" t="s">
        <v>590</v>
      </c>
      <c r="G1191" s="168" t="s">
        <v>607</v>
      </c>
      <c r="H1191" s="168" t="s">
        <v>609</v>
      </c>
      <c r="I1191">
        <v>11942.81060537508</v>
      </c>
    </row>
    <row r="1192" spans="1:9" hidden="1" x14ac:dyDescent="0.3">
      <c r="A1192">
        <v>4</v>
      </c>
      <c r="B1192" s="168" t="s">
        <v>8</v>
      </c>
      <c r="C1192" s="168" t="s">
        <v>5</v>
      </c>
      <c r="D1192">
        <v>243</v>
      </c>
      <c r="E1192">
        <v>2021</v>
      </c>
      <c r="F1192" s="168" t="s">
        <v>590</v>
      </c>
      <c r="G1192" s="168" t="s">
        <v>610</v>
      </c>
      <c r="H1192" s="168" t="s">
        <v>608</v>
      </c>
      <c r="I1192">
        <v>0</v>
      </c>
    </row>
    <row r="1193" spans="1:9" hidden="1" x14ac:dyDescent="0.3">
      <c r="A1193">
        <v>4</v>
      </c>
      <c r="B1193" s="168" t="s">
        <v>8</v>
      </c>
      <c r="C1193" s="168" t="s">
        <v>5</v>
      </c>
      <c r="D1193">
        <v>243</v>
      </c>
      <c r="E1193">
        <v>2021</v>
      </c>
      <c r="F1193" s="168" t="s">
        <v>590</v>
      </c>
      <c r="G1193" s="168" t="s">
        <v>610</v>
      </c>
      <c r="H1193" s="168" t="s">
        <v>609</v>
      </c>
      <c r="I1193">
        <v>6545.454545454545</v>
      </c>
    </row>
    <row r="1194" spans="1:9" hidden="1" x14ac:dyDescent="0.3">
      <c r="A1194">
        <v>4</v>
      </c>
      <c r="B1194" s="168" t="s">
        <v>8</v>
      </c>
      <c r="C1194" s="168" t="s">
        <v>5</v>
      </c>
      <c r="D1194">
        <v>243</v>
      </c>
      <c r="E1194">
        <v>2021</v>
      </c>
      <c r="F1194" s="168" t="s">
        <v>590</v>
      </c>
      <c r="G1194" s="168" t="s">
        <v>611</v>
      </c>
      <c r="H1194" s="168" t="s">
        <v>608</v>
      </c>
      <c r="I1194">
        <v>0</v>
      </c>
    </row>
    <row r="1195" spans="1:9" hidden="1" x14ac:dyDescent="0.3">
      <c r="A1195">
        <v>4</v>
      </c>
      <c r="B1195" s="168" t="s">
        <v>8</v>
      </c>
      <c r="C1195" s="168" t="s">
        <v>5</v>
      </c>
      <c r="D1195">
        <v>243</v>
      </c>
      <c r="E1195">
        <v>2021</v>
      </c>
      <c r="F1195" s="168" t="s">
        <v>590</v>
      </c>
      <c r="G1195" s="168" t="s">
        <v>611</v>
      </c>
      <c r="H1195" s="168" t="s">
        <v>609</v>
      </c>
      <c r="I1195">
        <v>1015.6383004596636</v>
      </c>
    </row>
    <row r="1196" spans="1:9" hidden="1" x14ac:dyDescent="0.3">
      <c r="A1196">
        <v>5</v>
      </c>
      <c r="B1196" s="168" t="s">
        <v>9</v>
      </c>
      <c r="C1196" s="168" t="s">
        <v>10</v>
      </c>
      <c r="D1196">
        <v>7098.7</v>
      </c>
      <c r="E1196">
        <v>2021</v>
      </c>
      <c r="F1196" s="168" t="s">
        <v>590</v>
      </c>
      <c r="G1196" s="168" t="s">
        <v>612</v>
      </c>
      <c r="H1196" s="168" t="s">
        <v>608</v>
      </c>
      <c r="I1196">
        <v>0</v>
      </c>
    </row>
    <row r="1197" spans="1:9" hidden="1" x14ac:dyDescent="0.3">
      <c r="A1197">
        <v>5</v>
      </c>
      <c r="B1197" s="168" t="s">
        <v>9</v>
      </c>
      <c r="C1197" s="168" t="s">
        <v>10</v>
      </c>
      <c r="D1197">
        <v>7098.7</v>
      </c>
      <c r="E1197">
        <v>2021</v>
      </c>
      <c r="F1197" s="168" t="s">
        <v>590</v>
      </c>
      <c r="G1197" s="168" t="s">
        <v>612</v>
      </c>
      <c r="H1197" s="168" t="s">
        <v>609</v>
      </c>
      <c r="I1197">
        <v>13594.866730341048</v>
      </c>
    </row>
    <row r="1198" spans="1:9" hidden="1" x14ac:dyDescent="0.3">
      <c r="A1198">
        <v>5</v>
      </c>
      <c r="B1198" s="168" t="s">
        <v>9</v>
      </c>
      <c r="C1198" s="168" t="s">
        <v>10</v>
      </c>
      <c r="D1198">
        <v>7098.7</v>
      </c>
      <c r="E1198">
        <v>2021</v>
      </c>
      <c r="F1198" s="168" t="s">
        <v>590</v>
      </c>
      <c r="G1198" s="168" t="s">
        <v>611</v>
      </c>
      <c r="H1198" s="168" t="s">
        <v>608</v>
      </c>
      <c r="I1198">
        <v>0</v>
      </c>
    </row>
    <row r="1199" spans="1:9" hidden="1" x14ac:dyDescent="0.3">
      <c r="A1199">
        <v>5</v>
      </c>
      <c r="B1199" s="168" t="s">
        <v>9</v>
      </c>
      <c r="C1199" s="168" t="s">
        <v>10</v>
      </c>
      <c r="D1199">
        <v>7098.7</v>
      </c>
      <c r="E1199">
        <v>2021</v>
      </c>
      <c r="F1199" s="168" t="s">
        <v>590</v>
      </c>
      <c r="G1199" s="168" t="s">
        <v>611</v>
      </c>
      <c r="H1199" s="168" t="s">
        <v>609</v>
      </c>
      <c r="I1199">
        <v>2969.0865668145902</v>
      </c>
    </row>
    <row r="1200" spans="1:9" hidden="1" x14ac:dyDescent="0.3">
      <c r="A1200">
        <v>5</v>
      </c>
      <c r="B1200" s="168" t="s">
        <v>9</v>
      </c>
      <c r="C1200" s="168" t="s">
        <v>10</v>
      </c>
      <c r="D1200">
        <v>7098.7</v>
      </c>
      <c r="E1200">
        <v>2021</v>
      </c>
      <c r="F1200" s="168" t="s">
        <v>590</v>
      </c>
      <c r="G1200" s="168" t="s">
        <v>613</v>
      </c>
      <c r="H1200" s="168" t="s">
        <v>608</v>
      </c>
      <c r="I1200">
        <v>235082.01970278387</v>
      </c>
    </row>
    <row r="1201" spans="1:9" hidden="1" x14ac:dyDescent="0.3">
      <c r="A1201">
        <v>5</v>
      </c>
      <c r="B1201" s="168" t="s">
        <v>9</v>
      </c>
      <c r="C1201" s="168" t="s">
        <v>10</v>
      </c>
      <c r="D1201">
        <v>7098.7</v>
      </c>
      <c r="E1201">
        <v>2021</v>
      </c>
      <c r="F1201" s="168" t="s">
        <v>590</v>
      </c>
      <c r="G1201" s="168" t="s">
        <v>613</v>
      </c>
      <c r="H1201" s="168" t="s">
        <v>609</v>
      </c>
      <c r="I1201">
        <v>150726.75510166027</v>
      </c>
    </row>
    <row r="1202" spans="1:9" hidden="1" x14ac:dyDescent="0.3">
      <c r="A1202">
        <v>6</v>
      </c>
      <c r="B1202" s="168" t="s">
        <v>11</v>
      </c>
      <c r="C1202" s="168" t="s">
        <v>12</v>
      </c>
      <c r="D1202">
        <v>1070.3</v>
      </c>
      <c r="E1202">
        <v>2021</v>
      </c>
      <c r="F1202" s="168" t="s">
        <v>590</v>
      </c>
      <c r="G1202" s="168" t="s">
        <v>612</v>
      </c>
      <c r="H1202" s="168" t="s">
        <v>608</v>
      </c>
      <c r="I1202">
        <v>0</v>
      </c>
    </row>
    <row r="1203" spans="1:9" hidden="1" x14ac:dyDescent="0.3">
      <c r="A1203">
        <v>6</v>
      </c>
      <c r="B1203" s="168" t="s">
        <v>11</v>
      </c>
      <c r="C1203" s="168" t="s">
        <v>12</v>
      </c>
      <c r="D1203">
        <v>1070.3</v>
      </c>
      <c r="E1203">
        <v>2021</v>
      </c>
      <c r="F1203" s="168" t="s">
        <v>590</v>
      </c>
      <c r="G1203" s="168" t="s">
        <v>612</v>
      </c>
      <c r="H1203" s="168" t="s">
        <v>609</v>
      </c>
      <c r="I1203">
        <v>2049.7535973465597</v>
      </c>
    </row>
    <row r="1204" spans="1:9" hidden="1" x14ac:dyDescent="0.3">
      <c r="A1204">
        <v>6</v>
      </c>
      <c r="B1204" s="168" t="s">
        <v>11</v>
      </c>
      <c r="C1204" s="168" t="s">
        <v>12</v>
      </c>
      <c r="D1204">
        <v>1070.3</v>
      </c>
      <c r="E1204">
        <v>2021</v>
      </c>
      <c r="F1204" s="168" t="s">
        <v>590</v>
      </c>
      <c r="G1204" s="168" t="s">
        <v>611</v>
      </c>
      <c r="H1204" s="168" t="s">
        <v>608</v>
      </c>
      <c r="I1204">
        <v>0</v>
      </c>
    </row>
    <row r="1205" spans="1:9" hidden="1" x14ac:dyDescent="0.3">
      <c r="A1205">
        <v>6</v>
      </c>
      <c r="B1205" s="168" t="s">
        <v>11</v>
      </c>
      <c r="C1205" s="168" t="s">
        <v>12</v>
      </c>
      <c r="D1205">
        <v>1070.3</v>
      </c>
      <c r="E1205">
        <v>2021</v>
      </c>
      <c r="F1205" s="168" t="s">
        <v>590</v>
      </c>
      <c r="G1205" s="168" t="s">
        <v>611</v>
      </c>
      <c r="H1205" s="168" t="s">
        <v>609</v>
      </c>
      <c r="I1205">
        <v>447.66131157277471</v>
      </c>
    </row>
    <row r="1206" spans="1:9" hidden="1" x14ac:dyDescent="0.3">
      <c r="A1206">
        <v>6</v>
      </c>
      <c r="B1206" s="168" t="s">
        <v>11</v>
      </c>
      <c r="C1206" s="168" t="s">
        <v>12</v>
      </c>
      <c r="D1206">
        <v>1070.3</v>
      </c>
      <c r="E1206">
        <v>2021</v>
      </c>
      <c r="F1206" s="168" t="s">
        <v>590</v>
      </c>
      <c r="G1206" s="168" t="s">
        <v>613</v>
      </c>
      <c r="H1206" s="168" t="s">
        <v>608</v>
      </c>
      <c r="I1206">
        <v>35444.276513712313</v>
      </c>
    </row>
    <row r="1207" spans="1:9" hidden="1" x14ac:dyDescent="0.3">
      <c r="A1207">
        <v>6</v>
      </c>
      <c r="B1207" s="168" t="s">
        <v>11</v>
      </c>
      <c r="C1207" s="168" t="s">
        <v>12</v>
      </c>
      <c r="D1207">
        <v>1070.3</v>
      </c>
      <c r="E1207">
        <v>2021</v>
      </c>
      <c r="F1207" s="168" t="s">
        <v>590</v>
      </c>
      <c r="G1207" s="168" t="s">
        <v>613</v>
      </c>
      <c r="H1207" s="168" t="s">
        <v>609</v>
      </c>
      <c r="I1207">
        <v>22725.688645147278</v>
      </c>
    </row>
    <row r="1208" spans="1:9" hidden="1" x14ac:dyDescent="0.3">
      <c r="A1208">
        <v>7</v>
      </c>
      <c r="B1208" s="168" t="s">
        <v>13</v>
      </c>
      <c r="C1208" s="168" t="s">
        <v>12</v>
      </c>
      <c r="D1208">
        <v>1076.9000000000001</v>
      </c>
      <c r="E1208">
        <v>2021</v>
      </c>
      <c r="F1208" s="168" t="s">
        <v>590</v>
      </c>
      <c r="G1208" s="168" t="s">
        <v>612</v>
      </c>
      <c r="H1208" s="168" t="s">
        <v>608</v>
      </c>
      <c r="I1208">
        <v>0</v>
      </c>
    </row>
    <row r="1209" spans="1:9" hidden="1" x14ac:dyDescent="0.3">
      <c r="A1209">
        <v>7</v>
      </c>
      <c r="B1209" s="168" t="s">
        <v>13</v>
      </c>
      <c r="C1209" s="168" t="s">
        <v>12</v>
      </c>
      <c r="D1209">
        <v>1076.9000000000001</v>
      </c>
      <c r="E1209">
        <v>2021</v>
      </c>
      <c r="F1209" s="168" t="s">
        <v>590</v>
      </c>
      <c r="G1209" s="168" t="s">
        <v>612</v>
      </c>
      <c r="H1209" s="168" t="s">
        <v>609</v>
      </c>
      <c r="I1209">
        <v>2062.3933934247507</v>
      </c>
    </row>
    <row r="1210" spans="1:9" hidden="1" x14ac:dyDescent="0.3">
      <c r="A1210">
        <v>7</v>
      </c>
      <c r="B1210" s="168" t="s">
        <v>13</v>
      </c>
      <c r="C1210" s="168" t="s">
        <v>12</v>
      </c>
      <c r="D1210">
        <v>1076.9000000000001</v>
      </c>
      <c r="E1210">
        <v>2021</v>
      </c>
      <c r="F1210" s="168" t="s">
        <v>590</v>
      </c>
      <c r="G1210" s="168" t="s">
        <v>611</v>
      </c>
      <c r="H1210" s="168" t="s">
        <v>608</v>
      </c>
      <c r="I1210">
        <v>0</v>
      </c>
    </row>
    <row r="1211" spans="1:9" hidden="1" x14ac:dyDescent="0.3">
      <c r="A1211">
        <v>7</v>
      </c>
      <c r="B1211" s="168" t="s">
        <v>13</v>
      </c>
      <c r="C1211" s="168" t="s">
        <v>12</v>
      </c>
      <c r="D1211">
        <v>1076.9000000000001</v>
      </c>
      <c r="E1211">
        <v>2021</v>
      </c>
      <c r="F1211" s="168" t="s">
        <v>590</v>
      </c>
      <c r="G1211" s="168" t="s">
        <v>611</v>
      </c>
      <c r="H1211" s="168" t="s">
        <v>609</v>
      </c>
      <c r="I1211">
        <v>450.42181298021222</v>
      </c>
    </row>
    <row r="1212" spans="1:9" hidden="1" x14ac:dyDescent="0.3">
      <c r="A1212">
        <v>7</v>
      </c>
      <c r="B1212" s="168" t="s">
        <v>13</v>
      </c>
      <c r="C1212" s="168" t="s">
        <v>12</v>
      </c>
      <c r="D1212">
        <v>1076.9000000000001</v>
      </c>
      <c r="E1212">
        <v>2021</v>
      </c>
      <c r="F1212" s="168" t="s">
        <v>590</v>
      </c>
      <c r="G1212" s="168" t="s">
        <v>613</v>
      </c>
      <c r="H1212" s="168" t="s">
        <v>608</v>
      </c>
      <c r="I1212">
        <v>35662.843480908901</v>
      </c>
    </row>
    <row r="1213" spans="1:9" hidden="1" x14ac:dyDescent="0.3">
      <c r="A1213">
        <v>7</v>
      </c>
      <c r="B1213" s="168" t="s">
        <v>13</v>
      </c>
      <c r="C1213" s="168" t="s">
        <v>12</v>
      </c>
      <c r="D1213">
        <v>1076.9000000000001</v>
      </c>
      <c r="E1213">
        <v>2021</v>
      </c>
      <c r="F1213" s="168" t="s">
        <v>590</v>
      </c>
      <c r="G1213" s="168" t="s">
        <v>613</v>
      </c>
      <c r="H1213" s="168" t="s">
        <v>609</v>
      </c>
      <c r="I1213">
        <v>22865.826499074192</v>
      </c>
    </row>
    <row r="1214" spans="1:9" hidden="1" x14ac:dyDescent="0.3">
      <c r="A1214">
        <v>8</v>
      </c>
      <c r="B1214" s="168" t="s">
        <v>14</v>
      </c>
      <c r="C1214" s="168" t="s">
        <v>12</v>
      </c>
      <c r="D1214">
        <v>1909.4</v>
      </c>
      <c r="E1214">
        <v>2021</v>
      </c>
      <c r="F1214" s="168" t="s">
        <v>590</v>
      </c>
      <c r="G1214" s="168" t="s">
        <v>612</v>
      </c>
      <c r="H1214" s="168" t="s">
        <v>608</v>
      </c>
      <c r="I1214">
        <v>0</v>
      </c>
    </row>
    <row r="1215" spans="1:9" hidden="1" x14ac:dyDescent="0.3">
      <c r="A1215">
        <v>8</v>
      </c>
      <c r="B1215" s="168" t="s">
        <v>14</v>
      </c>
      <c r="C1215" s="168" t="s">
        <v>12</v>
      </c>
      <c r="D1215">
        <v>1909.4</v>
      </c>
      <c r="E1215">
        <v>2021</v>
      </c>
      <c r="F1215" s="168" t="s">
        <v>590</v>
      </c>
      <c r="G1215" s="168" t="s">
        <v>612</v>
      </c>
      <c r="H1215" s="168" t="s">
        <v>609</v>
      </c>
      <c r="I1215">
        <v>3656.7313078328712</v>
      </c>
    </row>
    <row r="1216" spans="1:9" hidden="1" x14ac:dyDescent="0.3">
      <c r="A1216">
        <v>8</v>
      </c>
      <c r="B1216" s="168" t="s">
        <v>14</v>
      </c>
      <c r="C1216" s="168" t="s">
        <v>12</v>
      </c>
      <c r="D1216">
        <v>1909.4</v>
      </c>
      <c r="E1216">
        <v>2021</v>
      </c>
      <c r="F1216" s="168" t="s">
        <v>590</v>
      </c>
      <c r="G1216" s="168" t="s">
        <v>629</v>
      </c>
      <c r="H1216" s="168" t="s">
        <v>608</v>
      </c>
      <c r="I1216">
        <v>173755.4</v>
      </c>
    </row>
    <row r="1217" spans="1:9" hidden="1" x14ac:dyDescent="0.3">
      <c r="A1217">
        <v>8</v>
      </c>
      <c r="B1217" s="168" t="s">
        <v>14</v>
      </c>
      <c r="C1217" s="168" t="s">
        <v>12</v>
      </c>
      <c r="D1217">
        <v>1909.4</v>
      </c>
      <c r="E1217">
        <v>2021</v>
      </c>
      <c r="F1217" s="168" t="s">
        <v>590</v>
      </c>
      <c r="G1217" s="168" t="s">
        <v>629</v>
      </c>
      <c r="H1217" s="168" t="s">
        <v>609</v>
      </c>
      <c r="I1217">
        <v>74466.599999999991</v>
      </c>
    </row>
    <row r="1218" spans="1:9" hidden="1" x14ac:dyDescent="0.3">
      <c r="A1218">
        <v>8</v>
      </c>
      <c r="B1218" s="168" t="s">
        <v>14</v>
      </c>
      <c r="C1218" s="168" t="s">
        <v>12</v>
      </c>
      <c r="D1218">
        <v>1909.4</v>
      </c>
      <c r="E1218">
        <v>2021</v>
      </c>
      <c r="F1218" s="168" t="s">
        <v>590</v>
      </c>
      <c r="G1218" s="168" t="s">
        <v>611</v>
      </c>
      <c r="H1218" s="168" t="s">
        <v>608</v>
      </c>
      <c r="I1218">
        <v>0</v>
      </c>
    </row>
    <row r="1219" spans="1:9" hidden="1" x14ac:dyDescent="0.3">
      <c r="A1219">
        <v>8</v>
      </c>
      <c r="B1219" s="168" t="s">
        <v>14</v>
      </c>
      <c r="C1219" s="168" t="s">
        <v>12</v>
      </c>
      <c r="D1219">
        <v>1909.4</v>
      </c>
      <c r="E1219">
        <v>2021</v>
      </c>
      <c r="F1219" s="168" t="s">
        <v>590</v>
      </c>
      <c r="G1219" s="168" t="s">
        <v>611</v>
      </c>
      <c r="H1219" s="168" t="s">
        <v>609</v>
      </c>
      <c r="I1219">
        <v>798.62142232743736</v>
      </c>
    </row>
    <row r="1220" spans="1:9" hidden="1" x14ac:dyDescent="0.3">
      <c r="A1220">
        <v>8</v>
      </c>
      <c r="B1220" s="168" t="s">
        <v>14</v>
      </c>
      <c r="C1220" s="168" t="s">
        <v>12</v>
      </c>
      <c r="D1220">
        <v>1909.4</v>
      </c>
      <c r="E1220">
        <v>2021</v>
      </c>
      <c r="F1220" s="168" t="s">
        <v>590</v>
      </c>
      <c r="G1220" s="168" t="s">
        <v>613</v>
      </c>
      <c r="H1220" s="168" t="s">
        <v>608</v>
      </c>
      <c r="I1220">
        <v>63232.085934114075</v>
      </c>
    </row>
    <row r="1221" spans="1:9" hidden="1" x14ac:dyDescent="0.3">
      <c r="A1221">
        <v>8</v>
      </c>
      <c r="B1221" s="168" t="s">
        <v>14</v>
      </c>
      <c r="C1221" s="168" t="s">
        <v>12</v>
      </c>
      <c r="D1221">
        <v>1909.4</v>
      </c>
      <c r="E1221">
        <v>2021</v>
      </c>
      <c r="F1221" s="168" t="s">
        <v>590</v>
      </c>
      <c r="G1221" s="168" t="s">
        <v>613</v>
      </c>
      <c r="H1221" s="168" t="s">
        <v>609</v>
      </c>
      <c r="I1221">
        <v>40542.30580121855</v>
      </c>
    </row>
    <row r="1222" spans="1:9" hidden="1" x14ac:dyDescent="0.3">
      <c r="A1222">
        <v>9</v>
      </c>
      <c r="B1222" s="168" t="s">
        <v>15</v>
      </c>
      <c r="C1222" s="168" t="s">
        <v>10</v>
      </c>
      <c r="D1222">
        <v>161.19999999999999</v>
      </c>
      <c r="E1222">
        <v>2021</v>
      </c>
      <c r="F1222" s="168" t="s">
        <v>590</v>
      </c>
      <c r="G1222" s="168" t="s">
        <v>612</v>
      </c>
      <c r="H1222" s="168" t="s">
        <v>608</v>
      </c>
      <c r="I1222">
        <v>0</v>
      </c>
    </row>
    <row r="1223" spans="1:9" hidden="1" x14ac:dyDescent="0.3">
      <c r="A1223">
        <v>9</v>
      </c>
      <c r="B1223" s="168" t="s">
        <v>15</v>
      </c>
      <c r="C1223" s="168" t="s">
        <v>10</v>
      </c>
      <c r="D1223">
        <v>161.19999999999999</v>
      </c>
      <c r="E1223">
        <v>2021</v>
      </c>
      <c r="F1223" s="168" t="s">
        <v>590</v>
      </c>
      <c r="G1223" s="168" t="s">
        <v>612</v>
      </c>
      <c r="H1223" s="168" t="s">
        <v>609</v>
      </c>
      <c r="I1223">
        <v>308.71744360671346</v>
      </c>
    </row>
    <row r="1224" spans="1:9" hidden="1" x14ac:dyDescent="0.3">
      <c r="A1224">
        <v>9</v>
      </c>
      <c r="B1224" s="168" t="s">
        <v>15</v>
      </c>
      <c r="C1224" s="168" t="s">
        <v>10</v>
      </c>
      <c r="D1224">
        <v>161.19999999999999</v>
      </c>
      <c r="E1224">
        <v>2021</v>
      </c>
      <c r="F1224" s="168" t="s">
        <v>590</v>
      </c>
      <c r="G1224" s="168" t="s">
        <v>611</v>
      </c>
      <c r="H1224" s="168" t="s">
        <v>608</v>
      </c>
      <c r="I1224">
        <v>0</v>
      </c>
    </row>
    <row r="1225" spans="1:9" hidden="1" x14ac:dyDescent="0.3">
      <c r="A1225">
        <v>9</v>
      </c>
      <c r="B1225" s="168" t="s">
        <v>15</v>
      </c>
      <c r="C1225" s="168" t="s">
        <v>10</v>
      </c>
      <c r="D1225">
        <v>161.19999999999999</v>
      </c>
      <c r="E1225">
        <v>2021</v>
      </c>
      <c r="F1225" s="168" t="s">
        <v>590</v>
      </c>
      <c r="G1225" s="168" t="s">
        <v>611</v>
      </c>
      <c r="H1225" s="168" t="s">
        <v>609</v>
      </c>
      <c r="I1225">
        <v>67.423155587714916</v>
      </c>
    </row>
    <row r="1226" spans="1:9" hidden="1" x14ac:dyDescent="0.3">
      <c r="A1226">
        <v>9</v>
      </c>
      <c r="B1226" s="168" t="s">
        <v>15</v>
      </c>
      <c r="C1226" s="168" t="s">
        <v>10</v>
      </c>
      <c r="D1226">
        <v>161.19999999999999</v>
      </c>
      <c r="E1226">
        <v>2021</v>
      </c>
      <c r="F1226" s="168" t="s">
        <v>590</v>
      </c>
      <c r="G1226" s="168" t="s">
        <v>613</v>
      </c>
      <c r="H1226" s="168" t="s">
        <v>608</v>
      </c>
      <c r="I1226">
        <v>5338.3325927407495</v>
      </c>
    </row>
    <row r="1227" spans="1:9" hidden="1" x14ac:dyDescent="0.3">
      <c r="A1227">
        <v>9</v>
      </c>
      <c r="B1227" s="168" t="s">
        <v>15</v>
      </c>
      <c r="C1227" s="168" t="s">
        <v>10</v>
      </c>
      <c r="D1227">
        <v>161.19999999999999</v>
      </c>
      <c r="E1227">
        <v>2021</v>
      </c>
      <c r="F1227" s="168" t="s">
        <v>590</v>
      </c>
      <c r="G1227" s="168" t="s">
        <v>613</v>
      </c>
      <c r="H1227" s="168" t="s">
        <v>609</v>
      </c>
      <c r="I1227">
        <v>3422.7609171239287</v>
      </c>
    </row>
    <row r="1228" spans="1:9" hidden="1" x14ac:dyDescent="0.3">
      <c r="A1228">
        <v>10</v>
      </c>
      <c r="B1228" s="168" t="s">
        <v>16</v>
      </c>
      <c r="C1228" s="168" t="s">
        <v>10</v>
      </c>
      <c r="D1228">
        <v>32.200000000000003</v>
      </c>
      <c r="E1228">
        <v>2021</v>
      </c>
      <c r="F1228" s="168" t="s">
        <v>590</v>
      </c>
      <c r="G1228" s="168" t="s">
        <v>612</v>
      </c>
      <c r="H1228" s="168" t="s">
        <v>608</v>
      </c>
      <c r="I1228">
        <v>0</v>
      </c>
    </row>
    <row r="1229" spans="1:9" hidden="1" x14ac:dyDescent="0.3">
      <c r="A1229">
        <v>10</v>
      </c>
      <c r="B1229" s="168" t="s">
        <v>16</v>
      </c>
      <c r="C1229" s="168" t="s">
        <v>10</v>
      </c>
      <c r="D1229">
        <v>32.200000000000003</v>
      </c>
      <c r="E1229">
        <v>2021</v>
      </c>
      <c r="F1229" s="168" t="s">
        <v>590</v>
      </c>
      <c r="G1229" s="168" t="s">
        <v>612</v>
      </c>
      <c r="H1229" s="168" t="s">
        <v>609</v>
      </c>
      <c r="I1229">
        <v>61.666883896626395</v>
      </c>
    </row>
    <row r="1230" spans="1:9" hidden="1" x14ac:dyDescent="0.3">
      <c r="A1230">
        <v>10</v>
      </c>
      <c r="B1230" s="168" t="s">
        <v>16</v>
      </c>
      <c r="C1230" s="168" t="s">
        <v>10</v>
      </c>
      <c r="D1230">
        <v>32.200000000000003</v>
      </c>
      <c r="E1230">
        <v>2021</v>
      </c>
      <c r="F1230" s="168" t="s">
        <v>590</v>
      </c>
      <c r="G1230" s="168" t="s">
        <v>611</v>
      </c>
      <c r="H1230" s="168" t="s">
        <v>608</v>
      </c>
      <c r="I1230">
        <v>0</v>
      </c>
    </row>
    <row r="1231" spans="1:9" hidden="1" x14ac:dyDescent="0.3">
      <c r="A1231">
        <v>10</v>
      </c>
      <c r="B1231" s="168" t="s">
        <v>16</v>
      </c>
      <c r="C1231" s="168" t="s">
        <v>10</v>
      </c>
      <c r="D1231">
        <v>32.200000000000003</v>
      </c>
      <c r="E1231">
        <v>2021</v>
      </c>
      <c r="F1231" s="168" t="s">
        <v>590</v>
      </c>
      <c r="G1231" s="168" t="s">
        <v>611</v>
      </c>
      <c r="H1231" s="168" t="s">
        <v>609</v>
      </c>
      <c r="I1231">
        <v>13.46790080598276</v>
      </c>
    </row>
    <row r="1232" spans="1:9" hidden="1" x14ac:dyDescent="0.3">
      <c r="A1232">
        <v>10</v>
      </c>
      <c r="B1232" s="168" t="s">
        <v>16</v>
      </c>
      <c r="C1232" s="168" t="s">
        <v>10</v>
      </c>
      <c r="D1232">
        <v>32.200000000000003</v>
      </c>
      <c r="E1232">
        <v>2021</v>
      </c>
      <c r="F1232" s="168" t="s">
        <v>590</v>
      </c>
      <c r="G1232" s="168" t="s">
        <v>613</v>
      </c>
      <c r="H1232" s="168" t="s">
        <v>608</v>
      </c>
      <c r="I1232">
        <v>1066.3418702621102</v>
      </c>
    </row>
    <row r="1233" spans="1:9" hidden="1" x14ac:dyDescent="0.3">
      <c r="A1233">
        <v>10</v>
      </c>
      <c r="B1233" s="168" t="s">
        <v>16</v>
      </c>
      <c r="C1233" s="168" t="s">
        <v>10</v>
      </c>
      <c r="D1233">
        <v>32.200000000000003</v>
      </c>
      <c r="E1233">
        <v>2021</v>
      </c>
      <c r="F1233" s="168" t="s">
        <v>590</v>
      </c>
      <c r="G1233" s="168" t="s">
        <v>613</v>
      </c>
      <c r="H1233" s="168" t="s">
        <v>609</v>
      </c>
      <c r="I1233">
        <v>683.70286309795608</v>
      </c>
    </row>
    <row r="1234" spans="1:9" hidden="1" x14ac:dyDescent="0.3">
      <c r="A1234">
        <v>11</v>
      </c>
      <c r="B1234" s="168" t="s">
        <v>17</v>
      </c>
      <c r="C1234" s="168" t="s">
        <v>12</v>
      </c>
      <c r="D1234">
        <v>67.099999999999994</v>
      </c>
      <c r="E1234">
        <v>2021</v>
      </c>
      <c r="F1234" s="168" t="s">
        <v>590</v>
      </c>
      <c r="G1234" s="168" t="s">
        <v>612</v>
      </c>
      <c r="H1234" s="168" t="s">
        <v>608</v>
      </c>
      <c r="I1234">
        <v>0</v>
      </c>
    </row>
    <row r="1235" spans="1:9" hidden="1" x14ac:dyDescent="0.3">
      <c r="A1235">
        <v>11</v>
      </c>
      <c r="B1235" s="168" t="s">
        <v>17</v>
      </c>
      <c r="C1235" s="168" t="s">
        <v>12</v>
      </c>
      <c r="D1235">
        <v>67.099999999999994</v>
      </c>
      <c r="E1235">
        <v>2021</v>
      </c>
      <c r="F1235" s="168" t="s">
        <v>590</v>
      </c>
      <c r="G1235" s="168" t="s">
        <v>612</v>
      </c>
      <c r="H1235" s="168" t="s">
        <v>609</v>
      </c>
      <c r="I1235">
        <v>128.50459346160343</v>
      </c>
    </row>
    <row r="1236" spans="1:9" hidden="1" x14ac:dyDescent="0.3">
      <c r="A1236">
        <v>11</v>
      </c>
      <c r="B1236" s="168" t="s">
        <v>17</v>
      </c>
      <c r="C1236" s="168" t="s">
        <v>12</v>
      </c>
      <c r="D1236">
        <v>67.099999999999994</v>
      </c>
      <c r="E1236">
        <v>2021</v>
      </c>
      <c r="F1236" s="168" t="s">
        <v>590</v>
      </c>
      <c r="G1236" s="168" t="s">
        <v>611</v>
      </c>
      <c r="H1236" s="168" t="s">
        <v>608</v>
      </c>
      <c r="I1236">
        <v>0</v>
      </c>
    </row>
    <row r="1237" spans="1:9" hidden="1" x14ac:dyDescent="0.3">
      <c r="A1237">
        <v>11</v>
      </c>
      <c r="B1237" s="168" t="s">
        <v>17</v>
      </c>
      <c r="C1237" s="168" t="s">
        <v>12</v>
      </c>
      <c r="D1237">
        <v>67.099999999999994</v>
      </c>
      <c r="E1237">
        <v>2021</v>
      </c>
      <c r="F1237" s="168" t="s">
        <v>590</v>
      </c>
      <c r="G1237" s="168" t="s">
        <v>611</v>
      </c>
      <c r="H1237" s="168" t="s">
        <v>609</v>
      </c>
      <c r="I1237">
        <v>28.06509764228084</v>
      </c>
    </row>
    <row r="1238" spans="1:9" hidden="1" x14ac:dyDescent="0.3">
      <c r="A1238">
        <v>11</v>
      </c>
      <c r="B1238" s="168" t="s">
        <v>17</v>
      </c>
      <c r="C1238" s="168" t="s">
        <v>12</v>
      </c>
      <c r="D1238">
        <v>67.099999999999994</v>
      </c>
      <c r="E1238">
        <v>2021</v>
      </c>
      <c r="F1238" s="168" t="s">
        <v>590</v>
      </c>
      <c r="G1238" s="168" t="s">
        <v>613</v>
      </c>
      <c r="H1238" s="168" t="s">
        <v>608</v>
      </c>
      <c r="I1238">
        <v>2222.0974998319125</v>
      </c>
    </row>
    <row r="1239" spans="1:9" hidden="1" x14ac:dyDescent="0.3">
      <c r="A1239">
        <v>11</v>
      </c>
      <c r="B1239" s="168" t="s">
        <v>17</v>
      </c>
      <c r="C1239" s="168" t="s">
        <v>12</v>
      </c>
      <c r="D1239">
        <v>67.099999999999994</v>
      </c>
      <c r="E1239">
        <v>2021</v>
      </c>
      <c r="F1239" s="168" t="s">
        <v>590</v>
      </c>
      <c r="G1239" s="168" t="s">
        <v>613</v>
      </c>
      <c r="H1239" s="168" t="s">
        <v>609</v>
      </c>
      <c r="I1239">
        <v>1424.7348482569207</v>
      </c>
    </row>
    <row r="1240" spans="1:9" hidden="1" x14ac:dyDescent="0.3">
      <c r="A1240">
        <v>12</v>
      </c>
      <c r="B1240" s="168" t="s">
        <v>18</v>
      </c>
      <c r="C1240" s="168" t="s">
        <v>12</v>
      </c>
      <c r="D1240">
        <v>43.9</v>
      </c>
      <c r="E1240">
        <v>2021</v>
      </c>
      <c r="F1240" s="168" t="s">
        <v>590</v>
      </c>
      <c r="G1240" s="168" t="s">
        <v>612</v>
      </c>
      <c r="H1240" s="168" t="s">
        <v>608</v>
      </c>
      <c r="I1240">
        <v>0</v>
      </c>
    </row>
    <row r="1241" spans="1:9" hidden="1" x14ac:dyDescent="0.3">
      <c r="A1241">
        <v>12</v>
      </c>
      <c r="B1241" s="168" t="s">
        <v>18</v>
      </c>
      <c r="C1241" s="168" t="s">
        <v>12</v>
      </c>
      <c r="D1241">
        <v>43.9</v>
      </c>
      <c r="E1241">
        <v>2021</v>
      </c>
      <c r="F1241" s="168" t="s">
        <v>590</v>
      </c>
      <c r="G1241" s="168" t="s">
        <v>612</v>
      </c>
      <c r="H1241" s="168" t="s">
        <v>609</v>
      </c>
      <c r="I1241">
        <v>84.07379512614591</v>
      </c>
    </row>
    <row r="1242" spans="1:9" hidden="1" x14ac:dyDescent="0.3">
      <c r="A1242">
        <v>12</v>
      </c>
      <c r="B1242" s="168" t="s">
        <v>18</v>
      </c>
      <c r="C1242" s="168" t="s">
        <v>12</v>
      </c>
      <c r="D1242">
        <v>43.9</v>
      </c>
      <c r="E1242">
        <v>2021</v>
      </c>
      <c r="F1242" s="168" t="s">
        <v>590</v>
      </c>
      <c r="G1242" s="168" t="s">
        <v>611</v>
      </c>
      <c r="H1242" s="168" t="s">
        <v>608</v>
      </c>
      <c r="I1242">
        <v>0</v>
      </c>
    </row>
    <row r="1243" spans="1:9" hidden="1" x14ac:dyDescent="0.3">
      <c r="A1243">
        <v>12</v>
      </c>
      <c r="B1243" s="168" t="s">
        <v>18</v>
      </c>
      <c r="C1243" s="168" t="s">
        <v>12</v>
      </c>
      <c r="D1243">
        <v>43.9</v>
      </c>
      <c r="E1243">
        <v>2021</v>
      </c>
      <c r="F1243" s="168" t="s">
        <v>590</v>
      </c>
      <c r="G1243" s="168" t="s">
        <v>611</v>
      </c>
      <c r="H1243" s="168" t="s">
        <v>609</v>
      </c>
      <c r="I1243">
        <v>18.361516937349165</v>
      </c>
    </row>
    <row r="1244" spans="1:9" hidden="1" x14ac:dyDescent="0.3">
      <c r="A1244">
        <v>12</v>
      </c>
      <c r="B1244" s="168" t="s">
        <v>18</v>
      </c>
      <c r="C1244" s="168" t="s">
        <v>12</v>
      </c>
      <c r="D1244">
        <v>43.9</v>
      </c>
      <c r="E1244">
        <v>2021</v>
      </c>
      <c r="F1244" s="168" t="s">
        <v>590</v>
      </c>
      <c r="G1244" s="168" t="s">
        <v>613</v>
      </c>
      <c r="H1244" s="168" t="s">
        <v>608</v>
      </c>
      <c r="I1244">
        <v>1453.8014939287775</v>
      </c>
    </row>
    <row r="1245" spans="1:9" hidden="1" x14ac:dyDescent="0.3">
      <c r="A1245">
        <v>12</v>
      </c>
      <c r="B1245" s="168" t="s">
        <v>18</v>
      </c>
      <c r="C1245" s="168" t="s">
        <v>12</v>
      </c>
      <c r="D1245">
        <v>43.9</v>
      </c>
      <c r="E1245">
        <v>2021</v>
      </c>
      <c r="F1245" s="168" t="s">
        <v>590</v>
      </c>
      <c r="G1245" s="168" t="s">
        <v>613</v>
      </c>
      <c r="H1245" s="168" t="s">
        <v>609</v>
      </c>
      <c r="I1245">
        <v>932.12905869566066</v>
      </c>
    </row>
    <row r="1246" spans="1:9" hidden="1" x14ac:dyDescent="0.3">
      <c r="A1246">
        <v>13</v>
      </c>
      <c r="B1246" s="168" t="s">
        <v>19</v>
      </c>
      <c r="C1246" s="168" t="s">
        <v>10</v>
      </c>
      <c r="D1246">
        <v>93.8</v>
      </c>
      <c r="E1246">
        <v>2021</v>
      </c>
      <c r="F1246" s="168" t="s">
        <v>590</v>
      </c>
      <c r="G1246" s="168" t="s">
        <v>612</v>
      </c>
      <c r="H1246" s="168" t="s">
        <v>608</v>
      </c>
      <c r="I1246">
        <v>0</v>
      </c>
    </row>
    <row r="1247" spans="1:9" hidden="1" x14ac:dyDescent="0.3">
      <c r="A1247">
        <v>13</v>
      </c>
      <c r="B1247" s="168" t="s">
        <v>19</v>
      </c>
      <c r="C1247" s="168" t="s">
        <v>10</v>
      </c>
      <c r="D1247">
        <v>93.8</v>
      </c>
      <c r="E1247">
        <v>2021</v>
      </c>
      <c r="F1247" s="168" t="s">
        <v>590</v>
      </c>
      <c r="G1247" s="168" t="s">
        <v>612</v>
      </c>
      <c r="H1247" s="168" t="s">
        <v>609</v>
      </c>
      <c r="I1247">
        <v>179.63831395973773</v>
      </c>
    </row>
    <row r="1248" spans="1:9" hidden="1" x14ac:dyDescent="0.3">
      <c r="A1248">
        <v>13</v>
      </c>
      <c r="B1248" s="168" t="s">
        <v>19</v>
      </c>
      <c r="C1248" s="168" t="s">
        <v>10</v>
      </c>
      <c r="D1248">
        <v>93.8</v>
      </c>
      <c r="E1248">
        <v>2021</v>
      </c>
      <c r="F1248" s="168" t="s">
        <v>590</v>
      </c>
      <c r="G1248" s="168" t="s">
        <v>614</v>
      </c>
      <c r="H1248" s="168" t="s">
        <v>608</v>
      </c>
      <c r="I1248">
        <v>0</v>
      </c>
    </row>
    <row r="1249" spans="1:9" hidden="1" x14ac:dyDescent="0.3">
      <c r="A1249">
        <v>13</v>
      </c>
      <c r="B1249" s="168" t="s">
        <v>19</v>
      </c>
      <c r="C1249" s="168" t="s">
        <v>10</v>
      </c>
      <c r="D1249">
        <v>93.8</v>
      </c>
      <c r="E1249">
        <v>2021</v>
      </c>
      <c r="F1249" s="168" t="s">
        <v>590</v>
      </c>
      <c r="G1249" s="168" t="s">
        <v>614</v>
      </c>
      <c r="H1249" s="168" t="s">
        <v>609</v>
      </c>
      <c r="I1249">
        <v>277200</v>
      </c>
    </row>
    <row r="1250" spans="1:9" hidden="1" x14ac:dyDescent="0.3">
      <c r="A1250">
        <v>13</v>
      </c>
      <c r="B1250" s="168" t="s">
        <v>19</v>
      </c>
      <c r="C1250" s="168" t="s">
        <v>10</v>
      </c>
      <c r="D1250">
        <v>93.8</v>
      </c>
      <c r="E1250">
        <v>2021</v>
      </c>
      <c r="F1250" s="168" t="s">
        <v>590</v>
      </c>
      <c r="G1250" s="168" t="s">
        <v>611</v>
      </c>
      <c r="H1250" s="168" t="s">
        <v>608</v>
      </c>
      <c r="I1250">
        <v>0</v>
      </c>
    </row>
    <row r="1251" spans="1:9" hidden="1" x14ac:dyDescent="0.3">
      <c r="A1251">
        <v>13</v>
      </c>
      <c r="B1251" s="168" t="s">
        <v>19</v>
      </c>
      <c r="C1251" s="168" t="s">
        <v>10</v>
      </c>
      <c r="D1251">
        <v>93.8</v>
      </c>
      <c r="E1251">
        <v>2021</v>
      </c>
      <c r="F1251" s="168" t="s">
        <v>590</v>
      </c>
      <c r="G1251" s="168" t="s">
        <v>611</v>
      </c>
      <c r="H1251" s="168" t="s">
        <v>609</v>
      </c>
      <c r="I1251">
        <v>39.232580608732384</v>
      </c>
    </row>
    <row r="1252" spans="1:9" hidden="1" x14ac:dyDescent="0.3">
      <c r="A1252">
        <v>13</v>
      </c>
      <c r="B1252" s="168" t="s">
        <v>19</v>
      </c>
      <c r="C1252" s="168" t="s">
        <v>10</v>
      </c>
      <c r="D1252">
        <v>93.8</v>
      </c>
      <c r="E1252">
        <v>2021</v>
      </c>
      <c r="F1252" s="168" t="s">
        <v>590</v>
      </c>
      <c r="G1252" s="168" t="s">
        <v>613</v>
      </c>
      <c r="H1252" s="168" t="s">
        <v>608</v>
      </c>
      <c r="I1252">
        <v>3106.3002307635384</v>
      </c>
    </row>
    <row r="1253" spans="1:9" hidden="1" x14ac:dyDescent="0.3">
      <c r="A1253">
        <v>13</v>
      </c>
      <c r="B1253" s="168" t="s">
        <v>19</v>
      </c>
      <c r="C1253" s="168" t="s">
        <v>10</v>
      </c>
      <c r="D1253">
        <v>93.8</v>
      </c>
      <c r="E1253">
        <v>2021</v>
      </c>
      <c r="F1253" s="168" t="s">
        <v>590</v>
      </c>
      <c r="G1253" s="168" t="s">
        <v>613</v>
      </c>
      <c r="H1253" s="168" t="s">
        <v>609</v>
      </c>
      <c r="I1253">
        <v>1991.656166415785</v>
      </c>
    </row>
    <row r="1254" spans="1:9" hidden="1" x14ac:dyDescent="0.3">
      <c r="A1254">
        <v>14</v>
      </c>
      <c r="B1254" s="168" t="s">
        <v>20</v>
      </c>
      <c r="C1254" s="168" t="s">
        <v>10</v>
      </c>
      <c r="D1254">
        <v>53.7</v>
      </c>
      <c r="E1254">
        <v>2021</v>
      </c>
      <c r="F1254" s="168" t="s">
        <v>590</v>
      </c>
      <c r="G1254" s="168" t="s">
        <v>612</v>
      </c>
      <c r="H1254" s="168" t="s">
        <v>608</v>
      </c>
      <c r="I1254">
        <v>0</v>
      </c>
    </row>
    <row r="1255" spans="1:9" hidden="1" x14ac:dyDescent="0.3">
      <c r="A1255">
        <v>14</v>
      </c>
      <c r="B1255" s="168" t="s">
        <v>20</v>
      </c>
      <c r="C1255" s="168" t="s">
        <v>10</v>
      </c>
      <c r="D1255">
        <v>53.7</v>
      </c>
      <c r="E1255">
        <v>2021</v>
      </c>
      <c r="F1255" s="168" t="s">
        <v>590</v>
      </c>
      <c r="G1255" s="168" t="s">
        <v>612</v>
      </c>
      <c r="H1255" s="168" t="s">
        <v>609</v>
      </c>
      <c r="I1255">
        <v>102.84197718164091</v>
      </c>
    </row>
    <row r="1256" spans="1:9" hidden="1" x14ac:dyDescent="0.3">
      <c r="A1256">
        <v>14</v>
      </c>
      <c r="B1256" s="168" t="s">
        <v>20</v>
      </c>
      <c r="C1256" s="168" t="s">
        <v>10</v>
      </c>
      <c r="D1256">
        <v>53.7</v>
      </c>
      <c r="E1256">
        <v>2021</v>
      </c>
      <c r="F1256" s="168" t="s">
        <v>590</v>
      </c>
      <c r="G1256" s="168" t="s">
        <v>611</v>
      </c>
      <c r="H1256" s="168" t="s">
        <v>608</v>
      </c>
      <c r="I1256">
        <v>0</v>
      </c>
    </row>
    <row r="1257" spans="1:9" hidden="1" x14ac:dyDescent="0.3">
      <c r="A1257">
        <v>14</v>
      </c>
      <c r="B1257" s="168" t="s">
        <v>20</v>
      </c>
      <c r="C1257" s="168" t="s">
        <v>10</v>
      </c>
      <c r="D1257">
        <v>53.7</v>
      </c>
      <c r="E1257">
        <v>2021</v>
      </c>
      <c r="F1257" s="168" t="s">
        <v>590</v>
      </c>
      <c r="G1257" s="168" t="s">
        <v>611</v>
      </c>
      <c r="H1257" s="168" t="s">
        <v>609</v>
      </c>
      <c r="I1257">
        <v>22.460443269604788</v>
      </c>
    </row>
    <row r="1258" spans="1:9" hidden="1" x14ac:dyDescent="0.3">
      <c r="A1258">
        <v>14</v>
      </c>
      <c r="B1258" s="168" t="s">
        <v>20</v>
      </c>
      <c r="C1258" s="168" t="s">
        <v>10</v>
      </c>
      <c r="D1258">
        <v>53.7</v>
      </c>
      <c r="E1258">
        <v>2021</v>
      </c>
      <c r="F1258" s="168" t="s">
        <v>590</v>
      </c>
      <c r="G1258" s="168" t="s">
        <v>613</v>
      </c>
      <c r="H1258" s="168" t="s">
        <v>608</v>
      </c>
      <c r="I1258">
        <v>1778.3403240085502</v>
      </c>
    </row>
    <row r="1259" spans="1:9" hidden="1" x14ac:dyDescent="0.3">
      <c r="A1259">
        <v>14</v>
      </c>
      <c r="B1259" s="168" t="s">
        <v>20</v>
      </c>
      <c r="C1259" s="168" t="s">
        <v>10</v>
      </c>
      <c r="D1259">
        <v>53.7</v>
      </c>
      <c r="E1259">
        <v>2021</v>
      </c>
      <c r="F1259" s="168" t="s">
        <v>590</v>
      </c>
      <c r="G1259" s="168" t="s">
        <v>613</v>
      </c>
      <c r="H1259" s="168" t="s">
        <v>609</v>
      </c>
      <c r="I1259">
        <v>1140.2125387689516</v>
      </c>
    </row>
    <row r="1260" spans="1:9" hidden="1" x14ac:dyDescent="0.3">
      <c r="A1260">
        <v>15</v>
      </c>
      <c r="B1260" s="168" t="s">
        <v>21</v>
      </c>
      <c r="C1260" s="168" t="s">
        <v>12</v>
      </c>
      <c r="D1260">
        <v>454.3</v>
      </c>
      <c r="E1260">
        <v>2021</v>
      </c>
      <c r="F1260" s="168" t="s">
        <v>590</v>
      </c>
      <c r="G1260" s="168" t="s">
        <v>612</v>
      </c>
      <c r="H1260" s="168" t="s">
        <v>608</v>
      </c>
      <c r="I1260">
        <v>0</v>
      </c>
    </row>
    <row r="1261" spans="1:9" hidden="1" x14ac:dyDescent="0.3">
      <c r="A1261">
        <v>15</v>
      </c>
      <c r="B1261" s="168" t="s">
        <v>21</v>
      </c>
      <c r="C1261" s="168" t="s">
        <v>12</v>
      </c>
      <c r="D1261">
        <v>454.3</v>
      </c>
      <c r="E1261">
        <v>2021</v>
      </c>
      <c r="F1261" s="168" t="s">
        <v>590</v>
      </c>
      <c r="G1261" s="168" t="s">
        <v>612</v>
      </c>
      <c r="H1261" s="168" t="s">
        <v>609</v>
      </c>
      <c r="I1261">
        <v>870.03929671544631</v>
      </c>
    </row>
    <row r="1262" spans="1:9" hidden="1" x14ac:dyDescent="0.3">
      <c r="A1262">
        <v>15</v>
      </c>
      <c r="B1262" s="168" t="s">
        <v>21</v>
      </c>
      <c r="C1262" s="168" t="s">
        <v>12</v>
      </c>
      <c r="D1262">
        <v>454.3</v>
      </c>
      <c r="E1262">
        <v>2021</v>
      </c>
      <c r="F1262" s="168" t="s">
        <v>590</v>
      </c>
      <c r="G1262" s="168" t="s">
        <v>611</v>
      </c>
      <c r="H1262" s="168" t="s">
        <v>608</v>
      </c>
      <c r="I1262">
        <v>0</v>
      </c>
    </row>
    <row r="1263" spans="1:9" hidden="1" x14ac:dyDescent="0.3">
      <c r="A1263">
        <v>15</v>
      </c>
      <c r="B1263" s="168" t="s">
        <v>21</v>
      </c>
      <c r="C1263" s="168" t="s">
        <v>12</v>
      </c>
      <c r="D1263">
        <v>454.3</v>
      </c>
      <c r="E1263">
        <v>2021</v>
      </c>
      <c r="F1263" s="168" t="s">
        <v>590</v>
      </c>
      <c r="G1263" s="168" t="s">
        <v>611</v>
      </c>
      <c r="H1263" s="168" t="s">
        <v>609</v>
      </c>
      <c r="I1263">
        <v>190.01451354527848</v>
      </c>
    </row>
    <row r="1264" spans="1:9" hidden="1" x14ac:dyDescent="0.3">
      <c r="A1264">
        <v>15</v>
      </c>
      <c r="B1264" s="168" t="s">
        <v>21</v>
      </c>
      <c r="C1264" s="168" t="s">
        <v>12</v>
      </c>
      <c r="D1264">
        <v>454.3</v>
      </c>
      <c r="E1264">
        <v>2021</v>
      </c>
      <c r="F1264" s="168" t="s">
        <v>590</v>
      </c>
      <c r="G1264" s="168" t="s">
        <v>613</v>
      </c>
      <c r="H1264" s="168" t="s">
        <v>608</v>
      </c>
      <c r="I1264">
        <v>15044.692908698033</v>
      </c>
    </row>
    <row r="1265" spans="1:9" hidden="1" x14ac:dyDescent="0.3">
      <c r="A1265">
        <v>15</v>
      </c>
      <c r="B1265" s="168" t="s">
        <v>21</v>
      </c>
      <c r="C1265" s="168" t="s">
        <v>12</v>
      </c>
      <c r="D1265">
        <v>454.3</v>
      </c>
      <c r="E1265">
        <v>2021</v>
      </c>
      <c r="F1265" s="168" t="s">
        <v>590</v>
      </c>
      <c r="G1265" s="168" t="s">
        <v>613</v>
      </c>
      <c r="H1265" s="168" t="s">
        <v>609</v>
      </c>
      <c r="I1265">
        <v>9646.1556119689885</v>
      </c>
    </row>
    <row r="1266" spans="1:9" hidden="1" x14ac:dyDescent="0.3">
      <c r="A1266">
        <v>16</v>
      </c>
      <c r="B1266" s="168" t="s">
        <v>22</v>
      </c>
      <c r="C1266" s="168" t="s">
        <v>10</v>
      </c>
      <c r="D1266">
        <v>91</v>
      </c>
      <c r="E1266">
        <v>2021</v>
      </c>
      <c r="F1266" s="168" t="s">
        <v>590</v>
      </c>
      <c r="G1266" s="168" t="s">
        <v>612</v>
      </c>
      <c r="H1266" s="168" t="s">
        <v>608</v>
      </c>
      <c r="I1266">
        <v>0</v>
      </c>
    </row>
    <row r="1267" spans="1:9" hidden="1" x14ac:dyDescent="0.3">
      <c r="A1267">
        <v>16</v>
      </c>
      <c r="B1267" s="168" t="s">
        <v>22</v>
      </c>
      <c r="C1267" s="168" t="s">
        <v>10</v>
      </c>
      <c r="D1267">
        <v>91</v>
      </c>
      <c r="E1267">
        <v>2021</v>
      </c>
      <c r="F1267" s="168" t="s">
        <v>590</v>
      </c>
      <c r="G1267" s="168" t="s">
        <v>612</v>
      </c>
      <c r="H1267" s="168" t="s">
        <v>609</v>
      </c>
      <c r="I1267">
        <v>174.27597622959632</v>
      </c>
    </row>
    <row r="1268" spans="1:9" hidden="1" x14ac:dyDescent="0.3">
      <c r="A1268">
        <v>16</v>
      </c>
      <c r="B1268" s="168" t="s">
        <v>22</v>
      </c>
      <c r="C1268" s="168" t="s">
        <v>10</v>
      </c>
      <c r="D1268">
        <v>91</v>
      </c>
      <c r="E1268">
        <v>2021</v>
      </c>
      <c r="F1268" s="168" t="s">
        <v>590</v>
      </c>
      <c r="G1268" s="168" t="s">
        <v>611</v>
      </c>
      <c r="H1268" s="168" t="s">
        <v>608</v>
      </c>
      <c r="I1268">
        <v>0</v>
      </c>
    </row>
    <row r="1269" spans="1:9" hidden="1" x14ac:dyDescent="0.3">
      <c r="A1269">
        <v>16</v>
      </c>
      <c r="B1269" s="168" t="s">
        <v>22</v>
      </c>
      <c r="C1269" s="168" t="s">
        <v>10</v>
      </c>
      <c r="D1269">
        <v>91</v>
      </c>
      <c r="E1269">
        <v>2021</v>
      </c>
      <c r="F1269" s="168" t="s">
        <v>590</v>
      </c>
      <c r="G1269" s="168" t="s">
        <v>611</v>
      </c>
      <c r="H1269" s="168" t="s">
        <v>609</v>
      </c>
      <c r="I1269">
        <v>38.061458799516487</v>
      </c>
    </row>
    <row r="1270" spans="1:9" hidden="1" x14ac:dyDescent="0.3">
      <c r="A1270">
        <v>16</v>
      </c>
      <c r="B1270" s="168" t="s">
        <v>22</v>
      </c>
      <c r="C1270" s="168" t="s">
        <v>10</v>
      </c>
      <c r="D1270">
        <v>91</v>
      </c>
      <c r="E1270">
        <v>2021</v>
      </c>
      <c r="F1270" s="168" t="s">
        <v>590</v>
      </c>
      <c r="G1270" s="168" t="s">
        <v>613</v>
      </c>
      <c r="H1270" s="168" t="s">
        <v>608</v>
      </c>
      <c r="I1270">
        <v>3013.5748507407461</v>
      </c>
    </row>
    <row r="1271" spans="1:9" hidden="1" x14ac:dyDescent="0.3">
      <c r="A1271">
        <v>16</v>
      </c>
      <c r="B1271" s="168" t="s">
        <v>22</v>
      </c>
      <c r="C1271" s="168" t="s">
        <v>10</v>
      </c>
      <c r="D1271">
        <v>91</v>
      </c>
      <c r="E1271">
        <v>2021</v>
      </c>
      <c r="F1271" s="168" t="s">
        <v>590</v>
      </c>
      <c r="G1271" s="168" t="s">
        <v>613</v>
      </c>
      <c r="H1271" s="168" t="s">
        <v>609</v>
      </c>
      <c r="I1271">
        <v>1932.2037435377019</v>
      </c>
    </row>
    <row r="1272" spans="1:9" hidden="1" x14ac:dyDescent="0.3">
      <c r="A1272">
        <v>17</v>
      </c>
      <c r="B1272" s="168" t="s">
        <v>23</v>
      </c>
      <c r="C1272" s="168" t="s">
        <v>12</v>
      </c>
      <c r="D1272">
        <v>420.5</v>
      </c>
      <c r="E1272">
        <v>2021</v>
      </c>
      <c r="F1272" s="168" t="s">
        <v>590</v>
      </c>
      <c r="G1272" s="168" t="s">
        <v>612</v>
      </c>
      <c r="H1272" s="168" t="s">
        <v>608</v>
      </c>
      <c r="I1272">
        <v>0</v>
      </c>
    </row>
    <row r="1273" spans="1:9" hidden="1" x14ac:dyDescent="0.3">
      <c r="A1273">
        <v>17</v>
      </c>
      <c r="B1273" s="168" t="s">
        <v>23</v>
      </c>
      <c r="C1273" s="168" t="s">
        <v>12</v>
      </c>
      <c r="D1273">
        <v>420.5</v>
      </c>
      <c r="E1273">
        <v>2021</v>
      </c>
      <c r="F1273" s="168" t="s">
        <v>590</v>
      </c>
      <c r="G1273" s="168" t="s">
        <v>612</v>
      </c>
      <c r="H1273" s="168" t="s">
        <v>609</v>
      </c>
      <c r="I1273">
        <v>805.30821983016756</v>
      </c>
    </row>
    <row r="1274" spans="1:9" hidden="1" x14ac:dyDescent="0.3">
      <c r="A1274">
        <v>17</v>
      </c>
      <c r="B1274" s="168" t="s">
        <v>23</v>
      </c>
      <c r="C1274" s="168" t="s">
        <v>12</v>
      </c>
      <c r="D1274">
        <v>420.5</v>
      </c>
      <c r="E1274">
        <v>2021</v>
      </c>
      <c r="F1274" s="168" t="s">
        <v>590</v>
      </c>
      <c r="G1274" s="168" t="s">
        <v>614</v>
      </c>
      <c r="H1274" s="168" t="s">
        <v>608</v>
      </c>
      <c r="I1274">
        <v>0</v>
      </c>
    </row>
    <row r="1275" spans="1:9" hidden="1" x14ac:dyDescent="0.3">
      <c r="A1275">
        <v>17</v>
      </c>
      <c r="B1275" s="168" t="s">
        <v>23</v>
      </c>
      <c r="C1275" s="168" t="s">
        <v>12</v>
      </c>
      <c r="D1275">
        <v>420.5</v>
      </c>
      <c r="E1275">
        <v>2021</v>
      </c>
      <c r="F1275" s="168" t="s">
        <v>590</v>
      </c>
      <c r="G1275" s="168" t="s">
        <v>614</v>
      </c>
      <c r="H1275" s="168" t="s">
        <v>609</v>
      </c>
      <c r="I1275">
        <v>30000</v>
      </c>
    </row>
    <row r="1276" spans="1:9" hidden="1" x14ac:dyDescent="0.3">
      <c r="A1276">
        <v>17</v>
      </c>
      <c r="B1276" s="168" t="s">
        <v>23</v>
      </c>
      <c r="C1276" s="168" t="s">
        <v>12</v>
      </c>
      <c r="D1276">
        <v>420.5</v>
      </c>
      <c r="E1276">
        <v>2021</v>
      </c>
      <c r="F1276" s="168" t="s">
        <v>590</v>
      </c>
      <c r="G1276" s="168" t="s">
        <v>611</v>
      </c>
      <c r="H1276" s="168" t="s">
        <v>608</v>
      </c>
      <c r="I1276">
        <v>0</v>
      </c>
    </row>
    <row r="1277" spans="1:9" hidden="1" x14ac:dyDescent="0.3">
      <c r="A1277">
        <v>17</v>
      </c>
      <c r="B1277" s="168" t="s">
        <v>23</v>
      </c>
      <c r="C1277" s="168" t="s">
        <v>12</v>
      </c>
      <c r="D1277">
        <v>420.5</v>
      </c>
      <c r="E1277">
        <v>2021</v>
      </c>
      <c r="F1277" s="168" t="s">
        <v>590</v>
      </c>
      <c r="G1277" s="168" t="s">
        <v>611</v>
      </c>
      <c r="H1277" s="168" t="s">
        <v>609</v>
      </c>
      <c r="I1277">
        <v>175.87740027688665</v>
      </c>
    </row>
    <row r="1278" spans="1:9" hidden="1" x14ac:dyDescent="0.3">
      <c r="A1278">
        <v>17</v>
      </c>
      <c r="B1278" s="168" t="s">
        <v>23</v>
      </c>
      <c r="C1278" s="168" t="s">
        <v>12</v>
      </c>
      <c r="D1278">
        <v>420.5</v>
      </c>
      <c r="E1278">
        <v>2021</v>
      </c>
      <c r="F1278" s="168" t="s">
        <v>590</v>
      </c>
      <c r="G1278" s="168" t="s">
        <v>613</v>
      </c>
      <c r="H1278" s="168" t="s">
        <v>608</v>
      </c>
      <c r="I1278">
        <v>13925.365106994328</v>
      </c>
    </row>
    <row r="1279" spans="1:9" hidden="1" x14ac:dyDescent="0.3">
      <c r="A1279">
        <v>17</v>
      </c>
      <c r="B1279" s="168" t="s">
        <v>23</v>
      </c>
      <c r="C1279" s="168" t="s">
        <v>12</v>
      </c>
      <c r="D1279">
        <v>420.5</v>
      </c>
      <c r="E1279">
        <v>2021</v>
      </c>
      <c r="F1279" s="168" t="s">
        <v>590</v>
      </c>
      <c r="G1279" s="168" t="s">
        <v>613</v>
      </c>
      <c r="H1279" s="168" t="s">
        <v>609</v>
      </c>
      <c r="I1279">
        <v>8928.4799357978427</v>
      </c>
    </row>
    <row r="1280" spans="1:9" hidden="1" x14ac:dyDescent="0.3">
      <c r="A1280">
        <v>18</v>
      </c>
      <c r="B1280" s="168" t="s">
        <v>24</v>
      </c>
      <c r="C1280" s="168" t="s">
        <v>10</v>
      </c>
      <c r="D1280">
        <v>9.8000000000000007</v>
      </c>
      <c r="E1280">
        <v>2021</v>
      </c>
      <c r="F1280" s="168" t="s">
        <v>590</v>
      </c>
      <c r="G1280" s="168" t="s">
        <v>612</v>
      </c>
      <c r="H1280" s="168" t="s">
        <v>608</v>
      </c>
      <c r="I1280">
        <v>0</v>
      </c>
    </row>
    <row r="1281" spans="1:9" hidden="1" x14ac:dyDescent="0.3">
      <c r="A1281">
        <v>18</v>
      </c>
      <c r="B1281" s="168" t="s">
        <v>24</v>
      </c>
      <c r="C1281" s="168" t="s">
        <v>10</v>
      </c>
      <c r="D1281">
        <v>9.8000000000000007</v>
      </c>
      <c r="E1281">
        <v>2021</v>
      </c>
      <c r="F1281" s="168" t="s">
        <v>590</v>
      </c>
      <c r="G1281" s="168" t="s">
        <v>612</v>
      </c>
      <c r="H1281" s="168" t="s">
        <v>609</v>
      </c>
      <c r="I1281">
        <v>18.768182055494989</v>
      </c>
    </row>
    <row r="1282" spans="1:9" hidden="1" x14ac:dyDescent="0.3">
      <c r="A1282">
        <v>18</v>
      </c>
      <c r="B1282" s="168" t="s">
        <v>24</v>
      </c>
      <c r="C1282" s="168" t="s">
        <v>10</v>
      </c>
      <c r="D1282">
        <v>9.8000000000000007</v>
      </c>
      <c r="E1282">
        <v>2021</v>
      </c>
      <c r="F1282" s="168" t="s">
        <v>590</v>
      </c>
      <c r="G1282" s="168" t="s">
        <v>615</v>
      </c>
      <c r="H1282" s="168" t="s">
        <v>608</v>
      </c>
      <c r="I1282">
        <v>0</v>
      </c>
    </row>
    <row r="1283" spans="1:9" hidden="1" x14ac:dyDescent="0.3">
      <c r="A1283">
        <v>18</v>
      </c>
      <c r="B1283" s="168" t="s">
        <v>24</v>
      </c>
      <c r="C1283" s="168" t="s">
        <v>10</v>
      </c>
      <c r="D1283">
        <v>9.8000000000000007</v>
      </c>
      <c r="E1283">
        <v>2021</v>
      </c>
      <c r="F1283" s="168" t="s">
        <v>590</v>
      </c>
      <c r="G1283" s="168" t="s">
        <v>615</v>
      </c>
      <c r="H1283" s="168" t="s">
        <v>609</v>
      </c>
      <c r="I1283">
        <v>15073.170731707318</v>
      </c>
    </row>
    <row r="1284" spans="1:9" hidden="1" x14ac:dyDescent="0.3">
      <c r="A1284">
        <v>18</v>
      </c>
      <c r="B1284" s="168" t="s">
        <v>24</v>
      </c>
      <c r="C1284" s="168" t="s">
        <v>10</v>
      </c>
      <c r="D1284">
        <v>9.8000000000000007</v>
      </c>
      <c r="E1284">
        <v>2021</v>
      </c>
      <c r="F1284" s="168" t="s">
        <v>590</v>
      </c>
      <c r="G1284" s="168" t="s">
        <v>611</v>
      </c>
      <c r="H1284" s="168" t="s">
        <v>608</v>
      </c>
      <c r="I1284">
        <v>0</v>
      </c>
    </row>
    <row r="1285" spans="1:9" hidden="1" x14ac:dyDescent="0.3">
      <c r="A1285">
        <v>18</v>
      </c>
      <c r="B1285" s="168" t="s">
        <v>24</v>
      </c>
      <c r="C1285" s="168" t="s">
        <v>10</v>
      </c>
      <c r="D1285">
        <v>9.8000000000000007</v>
      </c>
      <c r="E1285">
        <v>2021</v>
      </c>
      <c r="F1285" s="168" t="s">
        <v>590</v>
      </c>
      <c r="G1285" s="168" t="s">
        <v>611</v>
      </c>
      <c r="H1285" s="168" t="s">
        <v>609</v>
      </c>
      <c r="I1285">
        <v>4.0989263322556226</v>
      </c>
    </row>
    <row r="1286" spans="1:9" hidden="1" x14ac:dyDescent="0.3">
      <c r="A1286">
        <v>18</v>
      </c>
      <c r="B1286" s="168" t="s">
        <v>24</v>
      </c>
      <c r="C1286" s="168" t="s">
        <v>10</v>
      </c>
      <c r="D1286">
        <v>9.8000000000000007</v>
      </c>
      <c r="E1286">
        <v>2021</v>
      </c>
      <c r="F1286" s="168" t="s">
        <v>590</v>
      </c>
      <c r="G1286" s="168" t="s">
        <v>613</v>
      </c>
      <c r="H1286" s="168" t="s">
        <v>608</v>
      </c>
      <c r="I1286">
        <v>324.53883007977265</v>
      </c>
    </row>
    <row r="1287" spans="1:9" hidden="1" x14ac:dyDescent="0.3">
      <c r="A1287">
        <v>18</v>
      </c>
      <c r="B1287" s="168" t="s">
        <v>24</v>
      </c>
      <c r="C1287" s="168" t="s">
        <v>10</v>
      </c>
      <c r="D1287">
        <v>9.8000000000000007</v>
      </c>
      <c r="E1287">
        <v>2021</v>
      </c>
      <c r="F1287" s="168" t="s">
        <v>590</v>
      </c>
      <c r="G1287" s="168" t="s">
        <v>613</v>
      </c>
      <c r="H1287" s="168" t="s">
        <v>609</v>
      </c>
      <c r="I1287">
        <v>208.08348007329099</v>
      </c>
    </row>
    <row r="1288" spans="1:9" hidden="1" x14ac:dyDescent="0.3">
      <c r="A1288">
        <v>19</v>
      </c>
      <c r="B1288" s="168" t="s">
        <v>25</v>
      </c>
      <c r="C1288" s="168" t="s">
        <v>26</v>
      </c>
      <c r="D1288">
        <v>441.8</v>
      </c>
      <c r="E1288">
        <v>2021</v>
      </c>
      <c r="F1288" s="168" t="s">
        <v>590</v>
      </c>
      <c r="G1288" s="168" t="s">
        <v>612</v>
      </c>
      <c r="H1288" s="168" t="s">
        <v>608</v>
      </c>
      <c r="I1288">
        <v>0</v>
      </c>
    </row>
    <row r="1289" spans="1:9" hidden="1" x14ac:dyDescent="0.3">
      <c r="A1289">
        <v>19</v>
      </c>
      <c r="B1289" s="168" t="s">
        <v>25</v>
      </c>
      <c r="C1289" s="168" t="s">
        <v>26</v>
      </c>
      <c r="D1289">
        <v>441.8</v>
      </c>
      <c r="E1289">
        <v>2021</v>
      </c>
      <c r="F1289" s="168" t="s">
        <v>590</v>
      </c>
      <c r="G1289" s="168" t="s">
        <v>612</v>
      </c>
      <c r="H1289" s="168" t="s">
        <v>609</v>
      </c>
      <c r="I1289">
        <v>846.10028899160056</v>
      </c>
    </row>
    <row r="1290" spans="1:9" hidden="1" x14ac:dyDescent="0.3">
      <c r="A1290">
        <v>19</v>
      </c>
      <c r="B1290" s="168" t="s">
        <v>25</v>
      </c>
      <c r="C1290" s="168" t="s">
        <v>26</v>
      </c>
      <c r="D1290">
        <v>441.8</v>
      </c>
      <c r="E1290">
        <v>2021</v>
      </c>
      <c r="F1290" s="168" t="s">
        <v>590</v>
      </c>
      <c r="G1290" s="168" t="s">
        <v>611</v>
      </c>
      <c r="H1290" s="168" t="s">
        <v>608</v>
      </c>
      <c r="I1290">
        <v>0</v>
      </c>
    </row>
    <row r="1291" spans="1:9" hidden="1" x14ac:dyDescent="0.3">
      <c r="A1291">
        <v>19</v>
      </c>
      <c r="B1291" s="168" t="s">
        <v>25</v>
      </c>
      <c r="C1291" s="168" t="s">
        <v>26</v>
      </c>
      <c r="D1291">
        <v>441.8</v>
      </c>
      <c r="E1291">
        <v>2021</v>
      </c>
      <c r="F1291" s="168" t="s">
        <v>590</v>
      </c>
      <c r="G1291" s="168" t="s">
        <v>611</v>
      </c>
      <c r="H1291" s="168" t="s">
        <v>609</v>
      </c>
      <c r="I1291">
        <v>184.78629118270754</v>
      </c>
    </row>
    <row r="1292" spans="1:9" hidden="1" x14ac:dyDescent="0.3">
      <c r="A1292">
        <v>19</v>
      </c>
      <c r="B1292" s="168" t="s">
        <v>25</v>
      </c>
      <c r="C1292" s="168" t="s">
        <v>26</v>
      </c>
      <c r="D1292">
        <v>441.8</v>
      </c>
      <c r="E1292">
        <v>2021</v>
      </c>
      <c r="F1292" s="168" t="s">
        <v>590</v>
      </c>
      <c r="G1292" s="168" t="s">
        <v>613</v>
      </c>
      <c r="H1292" s="168" t="s">
        <v>608</v>
      </c>
      <c r="I1292">
        <v>14630.740319310567</v>
      </c>
    </row>
    <row r="1293" spans="1:9" hidden="1" x14ac:dyDescent="0.3">
      <c r="A1293">
        <v>19</v>
      </c>
      <c r="B1293" s="168" t="s">
        <v>25</v>
      </c>
      <c r="C1293" s="168" t="s">
        <v>26</v>
      </c>
      <c r="D1293">
        <v>441.8</v>
      </c>
      <c r="E1293">
        <v>2021</v>
      </c>
      <c r="F1293" s="168" t="s">
        <v>590</v>
      </c>
      <c r="G1293" s="168" t="s">
        <v>613</v>
      </c>
      <c r="H1293" s="168" t="s">
        <v>609</v>
      </c>
      <c r="I1293">
        <v>9380.7430098346886</v>
      </c>
    </row>
    <row r="1294" spans="1:9" x14ac:dyDescent="0.3">
      <c r="A1294">
        <v>20</v>
      </c>
      <c r="B1294" s="168" t="s">
        <v>27</v>
      </c>
      <c r="C1294" s="168" t="s">
        <v>28</v>
      </c>
      <c r="D1294">
        <v>4528.3999999999996</v>
      </c>
      <c r="E1294">
        <v>2021</v>
      </c>
      <c r="F1294" s="168" t="s">
        <v>592</v>
      </c>
      <c r="G1294" s="168" t="s">
        <v>607</v>
      </c>
      <c r="H1294" s="168" t="s">
        <v>608</v>
      </c>
      <c r="I1294">
        <v>73451.22121333034</v>
      </c>
    </row>
    <row r="1295" spans="1:9" x14ac:dyDescent="0.3">
      <c r="A1295">
        <v>20</v>
      </c>
      <c r="B1295" s="168" t="s">
        <v>27</v>
      </c>
      <c r="C1295" s="168" t="s">
        <v>28</v>
      </c>
      <c r="D1295">
        <v>4528.3999999999996</v>
      </c>
      <c r="E1295">
        <v>2021</v>
      </c>
      <c r="F1295" s="168" t="s">
        <v>592</v>
      </c>
      <c r="G1295" s="168" t="s">
        <v>607</v>
      </c>
      <c r="H1295" s="168" t="s">
        <v>609</v>
      </c>
      <c r="I1295">
        <v>543724.50077737519</v>
      </c>
    </row>
    <row r="1296" spans="1:9" x14ac:dyDescent="0.3">
      <c r="A1296">
        <v>20</v>
      </c>
      <c r="B1296" s="168" t="s">
        <v>27</v>
      </c>
      <c r="C1296" s="168" t="s">
        <v>28</v>
      </c>
      <c r="D1296">
        <v>4528.3999999999996</v>
      </c>
      <c r="E1296">
        <v>2021</v>
      </c>
      <c r="F1296" s="168" t="s">
        <v>592</v>
      </c>
      <c r="G1296" s="168" t="s">
        <v>612</v>
      </c>
      <c r="H1296" s="168" t="s">
        <v>608</v>
      </c>
      <c r="I1296">
        <v>25207.001450053856</v>
      </c>
    </row>
    <row r="1297" spans="1:9" x14ac:dyDescent="0.3">
      <c r="A1297">
        <v>20</v>
      </c>
      <c r="B1297" s="168" t="s">
        <v>27</v>
      </c>
      <c r="C1297" s="168" t="s">
        <v>28</v>
      </c>
      <c r="D1297">
        <v>4528.3999999999996</v>
      </c>
      <c r="E1297">
        <v>2021</v>
      </c>
      <c r="F1297" s="168" t="s">
        <v>592</v>
      </c>
      <c r="G1297" s="168" t="s">
        <v>612</v>
      </c>
      <c r="H1297" s="168" t="s">
        <v>609</v>
      </c>
      <c r="I1297">
        <v>27072.319557357841</v>
      </c>
    </row>
    <row r="1298" spans="1:9" x14ac:dyDescent="0.3">
      <c r="A1298">
        <v>20</v>
      </c>
      <c r="B1298" s="168" t="s">
        <v>27</v>
      </c>
      <c r="C1298" s="168" t="s">
        <v>28</v>
      </c>
      <c r="D1298">
        <v>4528.3999999999996</v>
      </c>
      <c r="E1298">
        <v>2021</v>
      </c>
      <c r="F1298" s="168" t="s">
        <v>592</v>
      </c>
      <c r="G1298" s="168" t="s">
        <v>629</v>
      </c>
      <c r="H1298" s="168" t="s">
        <v>608</v>
      </c>
      <c r="I1298">
        <v>0</v>
      </c>
    </row>
    <row r="1299" spans="1:9" x14ac:dyDescent="0.3">
      <c r="A1299">
        <v>20</v>
      </c>
      <c r="B1299" s="168" t="s">
        <v>27</v>
      </c>
      <c r="C1299" s="168" t="s">
        <v>28</v>
      </c>
      <c r="D1299">
        <v>4528.3999999999996</v>
      </c>
      <c r="E1299">
        <v>2021</v>
      </c>
      <c r="F1299" s="168" t="s">
        <v>592</v>
      </c>
      <c r="G1299" s="168" t="s">
        <v>629</v>
      </c>
      <c r="H1299" s="168" t="s">
        <v>609</v>
      </c>
      <c r="I1299">
        <v>2980.1011310491226</v>
      </c>
    </row>
    <row r="1300" spans="1:9" x14ac:dyDescent="0.3">
      <c r="A1300">
        <v>20</v>
      </c>
      <c r="B1300" s="168" t="s">
        <v>27</v>
      </c>
      <c r="C1300" s="168" t="s">
        <v>28</v>
      </c>
      <c r="D1300">
        <v>4528.3999999999996</v>
      </c>
      <c r="E1300">
        <v>2021</v>
      </c>
      <c r="F1300" s="168" t="s">
        <v>592</v>
      </c>
      <c r="G1300" s="168" t="s">
        <v>617</v>
      </c>
      <c r="H1300" s="168" t="s">
        <v>608</v>
      </c>
      <c r="I1300">
        <v>0</v>
      </c>
    </row>
    <row r="1301" spans="1:9" x14ac:dyDescent="0.3">
      <c r="A1301">
        <v>20</v>
      </c>
      <c r="B1301" s="168" t="s">
        <v>27</v>
      </c>
      <c r="C1301" s="168" t="s">
        <v>28</v>
      </c>
      <c r="D1301">
        <v>4528.3999999999996</v>
      </c>
      <c r="E1301">
        <v>2021</v>
      </c>
      <c r="F1301" s="168" t="s">
        <v>592</v>
      </c>
      <c r="G1301" s="168" t="s">
        <v>617</v>
      </c>
      <c r="H1301" s="168" t="s">
        <v>609</v>
      </c>
      <c r="I1301">
        <v>11426.144365413569</v>
      </c>
    </row>
    <row r="1302" spans="1:9" x14ac:dyDescent="0.3">
      <c r="A1302">
        <v>20</v>
      </c>
      <c r="B1302" s="168" t="s">
        <v>27</v>
      </c>
      <c r="C1302" s="168" t="s">
        <v>28</v>
      </c>
      <c r="D1302">
        <v>4528.3999999999996</v>
      </c>
      <c r="E1302">
        <v>2021</v>
      </c>
      <c r="F1302" s="168" t="s">
        <v>592</v>
      </c>
      <c r="G1302" s="168" t="s">
        <v>618</v>
      </c>
      <c r="H1302" s="168" t="s">
        <v>608</v>
      </c>
      <c r="I1302">
        <v>0</v>
      </c>
    </row>
    <row r="1303" spans="1:9" x14ac:dyDescent="0.3">
      <c r="A1303">
        <v>20</v>
      </c>
      <c r="B1303" s="168" t="s">
        <v>27</v>
      </c>
      <c r="C1303" s="168" t="s">
        <v>28</v>
      </c>
      <c r="D1303">
        <v>4528.3999999999996</v>
      </c>
      <c r="E1303">
        <v>2021</v>
      </c>
      <c r="F1303" s="168" t="s">
        <v>592</v>
      </c>
      <c r="G1303" s="168" t="s">
        <v>618</v>
      </c>
      <c r="H1303" s="168" t="s">
        <v>609</v>
      </c>
      <c r="I1303">
        <v>41000</v>
      </c>
    </row>
    <row r="1304" spans="1:9" x14ac:dyDescent="0.3">
      <c r="A1304">
        <v>20</v>
      </c>
      <c r="B1304" s="168" t="s">
        <v>27</v>
      </c>
      <c r="C1304" s="168" t="s">
        <v>28</v>
      </c>
      <c r="D1304">
        <v>4528.3999999999996</v>
      </c>
      <c r="E1304">
        <v>2021</v>
      </c>
      <c r="F1304" s="168" t="s">
        <v>592</v>
      </c>
      <c r="G1304" s="168" t="s">
        <v>619</v>
      </c>
      <c r="H1304" s="168" t="s">
        <v>608</v>
      </c>
      <c r="I1304">
        <v>0</v>
      </c>
    </row>
    <row r="1305" spans="1:9" x14ac:dyDescent="0.3">
      <c r="A1305">
        <v>20</v>
      </c>
      <c r="B1305" s="168" t="s">
        <v>27</v>
      </c>
      <c r="C1305" s="168" t="s">
        <v>28</v>
      </c>
      <c r="D1305">
        <v>4528.3999999999996</v>
      </c>
      <c r="E1305">
        <v>2021</v>
      </c>
      <c r="F1305" s="168" t="s">
        <v>592</v>
      </c>
      <c r="G1305" s="168" t="s">
        <v>619</v>
      </c>
      <c r="H1305" s="168" t="s">
        <v>609</v>
      </c>
      <c r="I1305">
        <v>16000</v>
      </c>
    </row>
    <row r="1306" spans="1:9" x14ac:dyDescent="0.3">
      <c r="A1306">
        <v>20</v>
      </c>
      <c r="B1306" s="168" t="s">
        <v>27</v>
      </c>
      <c r="C1306" s="168" t="s">
        <v>28</v>
      </c>
      <c r="D1306">
        <v>4528.3999999999996</v>
      </c>
      <c r="E1306">
        <v>2021</v>
      </c>
      <c r="F1306" s="168" t="s">
        <v>592</v>
      </c>
      <c r="G1306" s="168" t="s">
        <v>610</v>
      </c>
      <c r="H1306" s="168" t="s">
        <v>608</v>
      </c>
      <c r="I1306">
        <v>0</v>
      </c>
    </row>
    <row r="1307" spans="1:9" x14ac:dyDescent="0.3">
      <c r="A1307">
        <v>20</v>
      </c>
      <c r="B1307" s="168" t="s">
        <v>27</v>
      </c>
      <c r="C1307" s="168" t="s">
        <v>28</v>
      </c>
      <c r="D1307">
        <v>4528.3999999999996</v>
      </c>
      <c r="E1307">
        <v>2021</v>
      </c>
      <c r="F1307" s="168" t="s">
        <v>592</v>
      </c>
      <c r="G1307" s="168" t="s">
        <v>610</v>
      </c>
      <c r="H1307" s="168" t="s">
        <v>609</v>
      </c>
      <c r="I1307">
        <v>6545.454545454545</v>
      </c>
    </row>
    <row r="1308" spans="1:9" x14ac:dyDescent="0.3">
      <c r="A1308">
        <v>20</v>
      </c>
      <c r="B1308" s="168" t="s">
        <v>27</v>
      </c>
      <c r="C1308" s="168" t="s">
        <v>28</v>
      </c>
      <c r="D1308">
        <v>4528.3999999999996</v>
      </c>
      <c r="E1308">
        <v>2021</v>
      </c>
      <c r="F1308" s="168" t="s">
        <v>592</v>
      </c>
      <c r="G1308" s="168" t="s">
        <v>620</v>
      </c>
      <c r="H1308" s="168" t="s">
        <v>608</v>
      </c>
      <c r="I1308">
        <v>20379.761552049386</v>
      </c>
    </row>
    <row r="1309" spans="1:9" x14ac:dyDescent="0.3">
      <c r="A1309">
        <v>20</v>
      </c>
      <c r="B1309" s="168" t="s">
        <v>27</v>
      </c>
      <c r="C1309" s="168" t="s">
        <v>28</v>
      </c>
      <c r="D1309">
        <v>4528.3999999999996</v>
      </c>
      <c r="E1309">
        <v>2021</v>
      </c>
      <c r="F1309" s="168" t="s">
        <v>592</v>
      </c>
      <c r="G1309" s="168" t="s">
        <v>620</v>
      </c>
      <c r="H1309" s="168" t="s">
        <v>609</v>
      </c>
      <c r="I1309">
        <v>2207.8075014720166</v>
      </c>
    </row>
    <row r="1310" spans="1:9" x14ac:dyDescent="0.3">
      <c r="A1310">
        <v>20</v>
      </c>
      <c r="B1310" s="168" t="s">
        <v>27</v>
      </c>
      <c r="C1310" s="168" t="s">
        <v>28</v>
      </c>
      <c r="D1310">
        <v>4528.3999999999996</v>
      </c>
      <c r="E1310">
        <v>2021</v>
      </c>
      <c r="F1310" s="168" t="s">
        <v>592</v>
      </c>
      <c r="G1310" s="168" t="s">
        <v>633</v>
      </c>
      <c r="H1310" s="168" t="s">
        <v>608</v>
      </c>
      <c r="I1310">
        <v>24515.383921320943</v>
      </c>
    </row>
    <row r="1311" spans="1:9" x14ac:dyDescent="0.3">
      <c r="A1311">
        <v>20</v>
      </c>
      <c r="B1311" s="168" t="s">
        <v>27</v>
      </c>
      <c r="C1311" s="168" t="s">
        <v>28</v>
      </c>
      <c r="D1311">
        <v>4528.3999999999996</v>
      </c>
      <c r="E1311">
        <v>2021</v>
      </c>
      <c r="F1311" s="168" t="s">
        <v>592</v>
      </c>
      <c r="G1311" s="168" t="s">
        <v>633</v>
      </c>
      <c r="H1311" s="168" t="s">
        <v>609</v>
      </c>
      <c r="I1311">
        <v>11810.956371103519</v>
      </c>
    </row>
    <row r="1312" spans="1:9" x14ac:dyDescent="0.3">
      <c r="A1312">
        <v>20</v>
      </c>
      <c r="B1312" s="168" t="s">
        <v>27</v>
      </c>
      <c r="C1312" s="168" t="s">
        <v>28</v>
      </c>
      <c r="D1312">
        <v>4528.3999999999996</v>
      </c>
      <c r="E1312">
        <v>2021</v>
      </c>
      <c r="F1312" s="168" t="s">
        <v>592</v>
      </c>
      <c r="G1312" s="168" t="s">
        <v>611</v>
      </c>
      <c r="H1312" s="168" t="s">
        <v>608</v>
      </c>
      <c r="I1312">
        <v>0</v>
      </c>
    </row>
    <row r="1313" spans="1:9" x14ac:dyDescent="0.3">
      <c r="A1313">
        <v>20</v>
      </c>
      <c r="B1313" s="168" t="s">
        <v>27</v>
      </c>
      <c r="C1313" s="168" t="s">
        <v>28</v>
      </c>
      <c r="D1313">
        <v>4528.3999999999996</v>
      </c>
      <c r="E1313">
        <v>2021</v>
      </c>
      <c r="F1313" s="168" t="s">
        <v>592</v>
      </c>
      <c r="G1313" s="168" t="s">
        <v>611</v>
      </c>
      <c r="H1313" s="168" t="s">
        <v>609</v>
      </c>
      <c r="I1313">
        <v>7010</v>
      </c>
    </row>
    <row r="1314" spans="1:9" x14ac:dyDescent="0.3">
      <c r="A1314">
        <v>20</v>
      </c>
      <c r="B1314" s="168" t="s">
        <v>27</v>
      </c>
      <c r="C1314" s="168" t="s">
        <v>28</v>
      </c>
      <c r="D1314">
        <v>4528.3999999999996</v>
      </c>
      <c r="E1314">
        <v>2021</v>
      </c>
      <c r="F1314" s="168" t="s">
        <v>592</v>
      </c>
      <c r="G1314" s="168" t="s">
        <v>621</v>
      </c>
      <c r="H1314" s="168" t="s">
        <v>608</v>
      </c>
      <c r="I1314">
        <v>0</v>
      </c>
    </row>
    <row r="1315" spans="1:9" x14ac:dyDescent="0.3">
      <c r="A1315">
        <v>20</v>
      </c>
      <c r="B1315" s="168" t="s">
        <v>27</v>
      </c>
      <c r="C1315" s="168" t="s">
        <v>28</v>
      </c>
      <c r="D1315">
        <v>4528.3999999999996</v>
      </c>
      <c r="E1315">
        <v>2021</v>
      </c>
      <c r="F1315" s="168" t="s">
        <v>592</v>
      </c>
      <c r="G1315" s="168" t="s">
        <v>621</v>
      </c>
      <c r="H1315" s="168" t="s">
        <v>609</v>
      </c>
      <c r="I1315">
        <v>460983.03281321691</v>
      </c>
    </row>
    <row r="1316" spans="1:9" x14ac:dyDescent="0.3">
      <c r="A1316">
        <v>20</v>
      </c>
      <c r="B1316" s="168" t="s">
        <v>27</v>
      </c>
      <c r="C1316" s="168" t="s">
        <v>28</v>
      </c>
      <c r="D1316">
        <v>4528.3999999999996</v>
      </c>
      <c r="E1316">
        <v>2021</v>
      </c>
      <c r="F1316" s="168" t="s">
        <v>592</v>
      </c>
      <c r="G1316" s="168" t="s">
        <v>613</v>
      </c>
      <c r="H1316" s="168" t="s">
        <v>608</v>
      </c>
      <c r="I1316">
        <v>12823.061348737769</v>
      </c>
    </row>
    <row r="1317" spans="1:9" x14ac:dyDescent="0.3">
      <c r="A1317">
        <v>20</v>
      </c>
      <c r="B1317" s="168" t="s">
        <v>27</v>
      </c>
      <c r="C1317" s="168" t="s">
        <v>28</v>
      </c>
      <c r="D1317">
        <v>4528.3999999999996</v>
      </c>
      <c r="E1317">
        <v>2021</v>
      </c>
      <c r="F1317" s="168" t="s">
        <v>592</v>
      </c>
      <c r="G1317" s="168" t="s">
        <v>613</v>
      </c>
      <c r="H1317" s="168" t="s">
        <v>609</v>
      </c>
      <c r="I1317">
        <v>281466.19660479401</v>
      </c>
    </row>
    <row r="1318" spans="1:9" x14ac:dyDescent="0.3">
      <c r="A1318">
        <v>20</v>
      </c>
      <c r="B1318" s="168" t="s">
        <v>27</v>
      </c>
      <c r="C1318" s="168" t="s">
        <v>28</v>
      </c>
      <c r="D1318">
        <v>4528.3999999999996</v>
      </c>
      <c r="E1318">
        <v>2021</v>
      </c>
      <c r="F1318" s="168" t="s">
        <v>592</v>
      </c>
      <c r="G1318" s="168" t="s">
        <v>622</v>
      </c>
      <c r="H1318" s="168" t="s">
        <v>608</v>
      </c>
      <c r="I1318">
        <v>50483.343475403446</v>
      </c>
    </row>
    <row r="1319" spans="1:9" x14ac:dyDescent="0.3">
      <c r="A1319">
        <v>20</v>
      </c>
      <c r="B1319" s="168" t="s">
        <v>27</v>
      </c>
      <c r="C1319" s="168" t="s">
        <v>28</v>
      </c>
      <c r="D1319">
        <v>4528.3999999999996</v>
      </c>
      <c r="E1319">
        <v>2021</v>
      </c>
      <c r="F1319" s="168" t="s">
        <v>592</v>
      </c>
      <c r="G1319" s="168" t="s">
        <v>622</v>
      </c>
      <c r="H1319" s="168" t="s">
        <v>609</v>
      </c>
      <c r="I1319">
        <v>0</v>
      </c>
    </row>
    <row r="1320" spans="1:9" x14ac:dyDescent="0.3">
      <c r="A1320">
        <v>21</v>
      </c>
      <c r="B1320" s="168" t="s">
        <v>27</v>
      </c>
      <c r="C1320" s="168" t="s">
        <v>29</v>
      </c>
      <c r="D1320">
        <v>4779.7</v>
      </c>
      <c r="E1320">
        <v>2021</v>
      </c>
      <c r="F1320" s="168" t="s">
        <v>592</v>
      </c>
      <c r="G1320" s="168" t="s">
        <v>607</v>
      </c>
      <c r="H1320" s="168" t="s">
        <v>608</v>
      </c>
      <c r="I1320">
        <v>77527.339023353736</v>
      </c>
    </row>
    <row r="1321" spans="1:9" x14ac:dyDescent="0.3">
      <c r="A1321">
        <v>21</v>
      </c>
      <c r="B1321" s="168" t="s">
        <v>27</v>
      </c>
      <c r="C1321" s="168" t="s">
        <v>29</v>
      </c>
      <c r="D1321">
        <v>4779.7</v>
      </c>
      <c r="E1321">
        <v>2021</v>
      </c>
      <c r="F1321" s="168" t="s">
        <v>592</v>
      </c>
      <c r="G1321" s="168" t="s">
        <v>607</v>
      </c>
      <c r="H1321" s="168" t="s">
        <v>609</v>
      </c>
      <c r="I1321">
        <v>573898.06473933824</v>
      </c>
    </row>
    <row r="1322" spans="1:9" x14ac:dyDescent="0.3">
      <c r="A1322">
        <v>21</v>
      </c>
      <c r="B1322" s="168" t="s">
        <v>27</v>
      </c>
      <c r="C1322" s="168" t="s">
        <v>29</v>
      </c>
      <c r="D1322">
        <v>4779.7</v>
      </c>
      <c r="E1322">
        <v>2021</v>
      </c>
      <c r="F1322" s="168" t="s">
        <v>592</v>
      </c>
      <c r="G1322" s="168" t="s">
        <v>612</v>
      </c>
      <c r="H1322" s="168" t="s">
        <v>608</v>
      </c>
      <c r="I1322">
        <v>26605.844190182495</v>
      </c>
    </row>
    <row r="1323" spans="1:9" x14ac:dyDescent="0.3">
      <c r="A1323">
        <v>21</v>
      </c>
      <c r="B1323" s="168" t="s">
        <v>27</v>
      </c>
      <c r="C1323" s="168" t="s">
        <v>29</v>
      </c>
      <c r="D1323">
        <v>4779.7</v>
      </c>
      <c r="E1323">
        <v>2021</v>
      </c>
      <c r="F1323" s="168" t="s">
        <v>592</v>
      </c>
      <c r="G1323" s="168" t="s">
        <v>612</v>
      </c>
      <c r="H1323" s="168" t="s">
        <v>609</v>
      </c>
      <c r="I1323">
        <v>28574.676660256002</v>
      </c>
    </row>
    <row r="1324" spans="1:9" x14ac:dyDescent="0.3">
      <c r="A1324">
        <v>21</v>
      </c>
      <c r="B1324" s="168" t="s">
        <v>27</v>
      </c>
      <c r="C1324" s="168" t="s">
        <v>29</v>
      </c>
      <c r="D1324">
        <v>4779.7</v>
      </c>
      <c r="E1324">
        <v>2021</v>
      </c>
      <c r="F1324" s="168" t="s">
        <v>592</v>
      </c>
      <c r="G1324" s="168" t="s">
        <v>617</v>
      </c>
      <c r="H1324" s="168" t="s">
        <v>608</v>
      </c>
      <c r="I1324">
        <v>0</v>
      </c>
    </row>
    <row r="1325" spans="1:9" x14ac:dyDescent="0.3">
      <c r="A1325">
        <v>21</v>
      </c>
      <c r="B1325" s="168" t="s">
        <v>27</v>
      </c>
      <c r="C1325" s="168" t="s">
        <v>29</v>
      </c>
      <c r="D1325">
        <v>4779.7</v>
      </c>
      <c r="E1325">
        <v>2021</v>
      </c>
      <c r="F1325" s="168" t="s">
        <v>592</v>
      </c>
      <c r="G1325" s="168" t="s">
        <v>617</v>
      </c>
      <c r="H1325" s="168" t="s">
        <v>609</v>
      </c>
      <c r="I1325">
        <v>6704.6727359259885</v>
      </c>
    </row>
    <row r="1326" spans="1:9" x14ac:dyDescent="0.3">
      <c r="A1326">
        <v>21</v>
      </c>
      <c r="B1326" s="168" t="s">
        <v>27</v>
      </c>
      <c r="C1326" s="168" t="s">
        <v>29</v>
      </c>
      <c r="D1326">
        <v>4779.7</v>
      </c>
      <c r="E1326">
        <v>2021</v>
      </c>
      <c r="F1326" s="168" t="s">
        <v>592</v>
      </c>
      <c r="G1326" s="168" t="s">
        <v>610</v>
      </c>
      <c r="H1326" s="168" t="s">
        <v>608</v>
      </c>
      <c r="I1326">
        <v>0</v>
      </c>
    </row>
    <row r="1327" spans="1:9" x14ac:dyDescent="0.3">
      <c r="A1327">
        <v>21</v>
      </c>
      <c r="B1327" s="168" t="s">
        <v>27</v>
      </c>
      <c r="C1327" s="168" t="s">
        <v>29</v>
      </c>
      <c r="D1327">
        <v>4779.7</v>
      </c>
      <c r="E1327">
        <v>2021</v>
      </c>
      <c r="F1327" s="168" t="s">
        <v>592</v>
      </c>
      <c r="G1327" s="168" t="s">
        <v>610</v>
      </c>
      <c r="H1327" s="168" t="s">
        <v>609</v>
      </c>
      <c r="I1327">
        <v>3272.7272727272725</v>
      </c>
    </row>
    <row r="1328" spans="1:9" x14ac:dyDescent="0.3">
      <c r="A1328">
        <v>21</v>
      </c>
      <c r="B1328" s="168" t="s">
        <v>27</v>
      </c>
      <c r="C1328" s="168" t="s">
        <v>29</v>
      </c>
      <c r="D1328">
        <v>4779.7</v>
      </c>
      <c r="E1328">
        <v>2021</v>
      </c>
      <c r="F1328" s="168" t="s">
        <v>592</v>
      </c>
      <c r="G1328" s="168" t="s">
        <v>620</v>
      </c>
      <c r="H1328" s="168" t="s">
        <v>608</v>
      </c>
      <c r="I1328">
        <v>21510.720406839158</v>
      </c>
    </row>
    <row r="1329" spans="1:9" x14ac:dyDescent="0.3">
      <c r="A1329">
        <v>21</v>
      </c>
      <c r="B1329" s="168" t="s">
        <v>27</v>
      </c>
      <c r="C1329" s="168" t="s">
        <v>29</v>
      </c>
      <c r="D1329">
        <v>4779.7</v>
      </c>
      <c r="E1329">
        <v>2021</v>
      </c>
      <c r="F1329" s="168" t="s">
        <v>592</v>
      </c>
      <c r="G1329" s="168" t="s">
        <v>620</v>
      </c>
      <c r="H1329" s="168" t="s">
        <v>609</v>
      </c>
      <c r="I1329">
        <v>2330.3280440742424</v>
      </c>
    </row>
    <row r="1330" spans="1:9" x14ac:dyDescent="0.3">
      <c r="A1330">
        <v>21</v>
      </c>
      <c r="B1330" s="168" t="s">
        <v>27</v>
      </c>
      <c r="C1330" s="168" t="s">
        <v>29</v>
      </c>
      <c r="D1330">
        <v>4779.7</v>
      </c>
      <c r="E1330">
        <v>2021</v>
      </c>
      <c r="F1330" s="168" t="s">
        <v>592</v>
      </c>
      <c r="G1330" s="168" t="s">
        <v>633</v>
      </c>
      <c r="H1330" s="168" t="s">
        <v>608</v>
      </c>
      <c r="I1330">
        <v>0</v>
      </c>
    </row>
    <row r="1331" spans="1:9" x14ac:dyDescent="0.3">
      <c r="A1331">
        <v>21</v>
      </c>
      <c r="B1331" s="168" t="s">
        <v>27</v>
      </c>
      <c r="C1331" s="168" t="s">
        <v>29</v>
      </c>
      <c r="D1331">
        <v>4779.7</v>
      </c>
      <c r="E1331">
        <v>2021</v>
      </c>
      <c r="F1331" s="168" t="s">
        <v>592</v>
      </c>
      <c r="G1331" s="168" t="s">
        <v>633</v>
      </c>
      <c r="H1331" s="168" t="s">
        <v>609</v>
      </c>
      <c r="I1331">
        <v>12466.396114955282</v>
      </c>
    </row>
    <row r="1332" spans="1:9" x14ac:dyDescent="0.3">
      <c r="A1332">
        <v>21</v>
      </c>
      <c r="B1332" s="168" t="s">
        <v>27</v>
      </c>
      <c r="C1332" s="168" t="s">
        <v>29</v>
      </c>
      <c r="D1332">
        <v>4779.7</v>
      </c>
      <c r="E1332">
        <v>2021</v>
      </c>
      <c r="F1332" s="168" t="s">
        <v>592</v>
      </c>
      <c r="G1332" s="168" t="s">
        <v>611</v>
      </c>
      <c r="H1332" s="168" t="s">
        <v>608</v>
      </c>
      <c r="I1332">
        <v>0</v>
      </c>
    </row>
    <row r="1333" spans="1:9" x14ac:dyDescent="0.3">
      <c r="A1333">
        <v>21</v>
      </c>
      <c r="B1333" s="168" t="s">
        <v>27</v>
      </c>
      <c r="C1333" s="168" t="s">
        <v>29</v>
      </c>
      <c r="D1333">
        <v>4779.7</v>
      </c>
      <c r="E1333">
        <v>2021</v>
      </c>
      <c r="F1333" s="168" t="s">
        <v>592</v>
      </c>
      <c r="G1333" s="168" t="s">
        <v>611</v>
      </c>
      <c r="H1333" s="168" t="s">
        <v>609</v>
      </c>
      <c r="I1333">
        <v>7010</v>
      </c>
    </row>
    <row r="1334" spans="1:9" x14ac:dyDescent="0.3">
      <c r="A1334">
        <v>21</v>
      </c>
      <c r="B1334" s="168" t="s">
        <v>27</v>
      </c>
      <c r="C1334" s="168" t="s">
        <v>29</v>
      </c>
      <c r="D1334">
        <v>4779.7</v>
      </c>
      <c r="E1334">
        <v>2021</v>
      </c>
      <c r="F1334" s="168" t="s">
        <v>592</v>
      </c>
      <c r="G1334" s="168" t="s">
        <v>613</v>
      </c>
      <c r="H1334" s="168" t="s">
        <v>608</v>
      </c>
      <c r="I1334">
        <v>13534.667063104391</v>
      </c>
    </row>
    <row r="1335" spans="1:9" x14ac:dyDescent="0.3">
      <c r="A1335">
        <v>21</v>
      </c>
      <c r="B1335" s="168" t="s">
        <v>27</v>
      </c>
      <c r="C1335" s="168" t="s">
        <v>29</v>
      </c>
      <c r="D1335">
        <v>4779.7</v>
      </c>
      <c r="E1335">
        <v>2021</v>
      </c>
      <c r="F1335" s="168" t="s">
        <v>592</v>
      </c>
      <c r="G1335" s="168" t="s">
        <v>613</v>
      </c>
      <c r="H1335" s="168" t="s">
        <v>609</v>
      </c>
      <c r="I1335">
        <v>297085.9420351414</v>
      </c>
    </row>
    <row r="1336" spans="1:9" x14ac:dyDescent="0.3">
      <c r="A1336">
        <v>21</v>
      </c>
      <c r="B1336" s="168" t="s">
        <v>27</v>
      </c>
      <c r="C1336" s="168" t="s">
        <v>29</v>
      </c>
      <c r="D1336">
        <v>4779.7</v>
      </c>
      <c r="E1336">
        <v>2021</v>
      </c>
      <c r="F1336" s="168" t="s">
        <v>592</v>
      </c>
      <c r="G1336" s="168" t="s">
        <v>622</v>
      </c>
      <c r="H1336" s="168" t="s">
        <v>608</v>
      </c>
      <c r="I1336">
        <v>53284.876956405322</v>
      </c>
    </row>
    <row r="1337" spans="1:9" x14ac:dyDescent="0.3">
      <c r="A1337">
        <v>21</v>
      </c>
      <c r="B1337" s="168" t="s">
        <v>27</v>
      </c>
      <c r="C1337" s="168" t="s">
        <v>29</v>
      </c>
      <c r="D1337">
        <v>4779.7</v>
      </c>
      <c r="E1337">
        <v>2021</v>
      </c>
      <c r="F1337" s="168" t="s">
        <v>592</v>
      </c>
      <c r="G1337" s="168" t="s">
        <v>622</v>
      </c>
      <c r="H1337" s="168" t="s">
        <v>609</v>
      </c>
      <c r="I1337">
        <v>0</v>
      </c>
    </row>
    <row r="1338" spans="1:9" hidden="1" x14ac:dyDescent="0.3">
      <c r="A1338">
        <v>22</v>
      </c>
      <c r="B1338" s="168" t="s">
        <v>30</v>
      </c>
      <c r="C1338" s="168" t="s">
        <v>31</v>
      </c>
      <c r="D1338">
        <v>3918.8</v>
      </c>
      <c r="E1338">
        <v>2021</v>
      </c>
      <c r="F1338" s="168" t="s">
        <v>591</v>
      </c>
      <c r="G1338" s="168" t="s">
        <v>607</v>
      </c>
      <c r="H1338" s="168" t="s">
        <v>608</v>
      </c>
      <c r="I1338">
        <v>906162.68400000001</v>
      </c>
    </row>
    <row r="1339" spans="1:9" hidden="1" x14ac:dyDescent="0.3">
      <c r="A1339">
        <v>22</v>
      </c>
      <c r="B1339" s="168" t="s">
        <v>30</v>
      </c>
      <c r="C1339" s="168" t="s">
        <v>31</v>
      </c>
      <c r="D1339">
        <v>3918.8</v>
      </c>
      <c r="E1339">
        <v>2021</v>
      </c>
      <c r="F1339" s="168" t="s">
        <v>591</v>
      </c>
      <c r="G1339" s="168" t="s">
        <v>607</v>
      </c>
      <c r="H1339" s="168" t="s">
        <v>609</v>
      </c>
      <c r="I1339">
        <v>388355.43600000005</v>
      </c>
    </row>
    <row r="1340" spans="1:9" hidden="1" x14ac:dyDescent="0.3">
      <c r="A1340">
        <v>22</v>
      </c>
      <c r="B1340" s="168" t="s">
        <v>30</v>
      </c>
      <c r="C1340" s="168" t="s">
        <v>31</v>
      </c>
      <c r="D1340">
        <v>3918.8</v>
      </c>
      <c r="E1340">
        <v>2021</v>
      </c>
      <c r="F1340" s="168" t="s">
        <v>591</v>
      </c>
      <c r="G1340" s="168" t="s">
        <v>612</v>
      </c>
      <c r="H1340" s="168" t="s">
        <v>608</v>
      </c>
      <c r="I1340">
        <v>21813.708436196241</v>
      </c>
    </row>
    <row r="1341" spans="1:9" hidden="1" x14ac:dyDescent="0.3">
      <c r="A1341">
        <v>22</v>
      </c>
      <c r="B1341" s="168" t="s">
        <v>30</v>
      </c>
      <c r="C1341" s="168" t="s">
        <v>31</v>
      </c>
      <c r="D1341">
        <v>3918.8</v>
      </c>
      <c r="E1341">
        <v>2021</v>
      </c>
      <c r="F1341" s="168" t="s">
        <v>591</v>
      </c>
      <c r="G1341" s="168" t="s">
        <v>612</v>
      </c>
      <c r="H1341" s="168" t="s">
        <v>609</v>
      </c>
      <c r="I1341">
        <v>23427.922860474762</v>
      </c>
    </row>
    <row r="1342" spans="1:9" hidden="1" x14ac:dyDescent="0.3">
      <c r="A1342">
        <v>22</v>
      </c>
      <c r="B1342" s="168" t="s">
        <v>30</v>
      </c>
      <c r="C1342" s="168" t="s">
        <v>31</v>
      </c>
      <c r="D1342">
        <v>3918.8</v>
      </c>
      <c r="E1342">
        <v>2021</v>
      </c>
      <c r="F1342" s="168" t="s">
        <v>591</v>
      </c>
      <c r="G1342" s="168" t="s">
        <v>629</v>
      </c>
      <c r="H1342" s="168" t="s">
        <v>608</v>
      </c>
      <c r="I1342">
        <v>0</v>
      </c>
    </row>
    <row r="1343" spans="1:9" hidden="1" x14ac:dyDescent="0.3">
      <c r="A1343">
        <v>22</v>
      </c>
      <c r="B1343" s="168" t="s">
        <v>30</v>
      </c>
      <c r="C1343" s="168" t="s">
        <v>31</v>
      </c>
      <c r="D1343">
        <v>3918.8</v>
      </c>
      <c r="E1343">
        <v>2021</v>
      </c>
      <c r="F1343" s="168" t="s">
        <v>591</v>
      </c>
      <c r="G1343" s="168" t="s">
        <v>629</v>
      </c>
      <c r="H1343" s="168" t="s">
        <v>609</v>
      </c>
      <c r="I1343">
        <v>29031.243490663041</v>
      </c>
    </row>
    <row r="1344" spans="1:9" hidden="1" x14ac:dyDescent="0.3">
      <c r="A1344">
        <v>22</v>
      </c>
      <c r="B1344" s="168" t="s">
        <v>30</v>
      </c>
      <c r="C1344" s="168" t="s">
        <v>31</v>
      </c>
      <c r="D1344">
        <v>3918.8</v>
      </c>
      <c r="E1344">
        <v>2021</v>
      </c>
      <c r="F1344" s="168" t="s">
        <v>591</v>
      </c>
      <c r="G1344" s="168" t="s">
        <v>610</v>
      </c>
      <c r="H1344" s="168" t="s">
        <v>608</v>
      </c>
      <c r="I1344">
        <v>0</v>
      </c>
    </row>
    <row r="1345" spans="1:9" hidden="1" x14ac:dyDescent="0.3">
      <c r="A1345">
        <v>22</v>
      </c>
      <c r="B1345" s="168" t="s">
        <v>30</v>
      </c>
      <c r="C1345" s="168" t="s">
        <v>31</v>
      </c>
      <c r="D1345">
        <v>3918.8</v>
      </c>
      <c r="E1345">
        <v>2021</v>
      </c>
      <c r="F1345" s="168" t="s">
        <v>591</v>
      </c>
      <c r="G1345" s="168" t="s">
        <v>610</v>
      </c>
      <c r="H1345" s="168" t="s">
        <v>609</v>
      </c>
      <c r="I1345">
        <v>6545.454545454545</v>
      </c>
    </row>
    <row r="1346" spans="1:9" hidden="1" x14ac:dyDescent="0.3">
      <c r="A1346">
        <v>22</v>
      </c>
      <c r="B1346" s="168" t="s">
        <v>30</v>
      </c>
      <c r="C1346" s="168" t="s">
        <v>31</v>
      </c>
      <c r="D1346">
        <v>3918.8</v>
      </c>
      <c r="E1346">
        <v>2021</v>
      </c>
      <c r="F1346" s="168" t="s">
        <v>591</v>
      </c>
      <c r="G1346" s="168" t="s">
        <v>633</v>
      </c>
      <c r="H1346" s="168" t="s">
        <v>608</v>
      </c>
      <c r="I1346">
        <v>0</v>
      </c>
    </row>
    <row r="1347" spans="1:9" hidden="1" x14ac:dyDescent="0.3">
      <c r="A1347">
        <v>22</v>
      </c>
      <c r="B1347" s="168" t="s">
        <v>30</v>
      </c>
      <c r="C1347" s="168" t="s">
        <v>31</v>
      </c>
      <c r="D1347">
        <v>3918.8</v>
      </c>
      <c r="E1347">
        <v>2021</v>
      </c>
      <c r="F1347" s="168" t="s">
        <v>591</v>
      </c>
      <c r="G1347" s="168" t="s">
        <v>633</v>
      </c>
      <c r="H1347" s="168" t="s">
        <v>609</v>
      </c>
      <c r="I1347">
        <v>10220.999873483011</v>
      </c>
    </row>
    <row r="1348" spans="1:9" hidden="1" x14ac:dyDescent="0.3">
      <c r="A1348">
        <v>22</v>
      </c>
      <c r="B1348" s="168" t="s">
        <v>30</v>
      </c>
      <c r="C1348" s="168" t="s">
        <v>31</v>
      </c>
      <c r="D1348">
        <v>3918.8</v>
      </c>
      <c r="E1348">
        <v>2021</v>
      </c>
      <c r="F1348" s="168" t="s">
        <v>591</v>
      </c>
      <c r="G1348" s="168" t="s">
        <v>623</v>
      </c>
      <c r="H1348" s="168" t="s">
        <v>608</v>
      </c>
      <c r="I1348">
        <v>81466.7</v>
      </c>
    </row>
    <row r="1349" spans="1:9" hidden="1" x14ac:dyDescent="0.3">
      <c r="A1349">
        <v>22</v>
      </c>
      <c r="B1349" s="168" t="s">
        <v>30</v>
      </c>
      <c r="C1349" s="168" t="s">
        <v>31</v>
      </c>
      <c r="D1349">
        <v>3918.8</v>
      </c>
      <c r="E1349">
        <v>2021</v>
      </c>
      <c r="F1349" s="168" t="s">
        <v>591</v>
      </c>
      <c r="G1349" s="168" t="s">
        <v>623</v>
      </c>
      <c r="H1349" s="168" t="s">
        <v>609</v>
      </c>
      <c r="I1349">
        <v>16293.34</v>
      </c>
    </row>
    <row r="1350" spans="1:9" hidden="1" x14ac:dyDescent="0.3">
      <c r="A1350">
        <v>22</v>
      </c>
      <c r="B1350" s="168" t="s">
        <v>30</v>
      </c>
      <c r="C1350" s="168" t="s">
        <v>31</v>
      </c>
      <c r="D1350">
        <v>3918.8</v>
      </c>
      <c r="E1350">
        <v>2021</v>
      </c>
      <c r="F1350" s="168" t="s">
        <v>591</v>
      </c>
      <c r="G1350" s="168" t="s">
        <v>613</v>
      </c>
      <c r="H1350" s="168" t="s">
        <v>608</v>
      </c>
      <c r="I1350">
        <v>11096.858231038243</v>
      </c>
    </row>
    <row r="1351" spans="1:9" hidden="1" x14ac:dyDescent="0.3">
      <c r="A1351">
        <v>22</v>
      </c>
      <c r="B1351" s="168" t="s">
        <v>30</v>
      </c>
      <c r="C1351" s="168" t="s">
        <v>31</v>
      </c>
      <c r="D1351">
        <v>3918.8</v>
      </c>
      <c r="E1351">
        <v>2021</v>
      </c>
      <c r="F1351" s="168" t="s">
        <v>591</v>
      </c>
      <c r="G1351" s="168" t="s">
        <v>613</v>
      </c>
      <c r="H1351" s="168" t="s">
        <v>609</v>
      </c>
      <c r="I1351">
        <v>243576.03817128943</v>
      </c>
    </row>
    <row r="1352" spans="1:9" x14ac:dyDescent="0.3">
      <c r="A1352">
        <v>23</v>
      </c>
      <c r="B1352" s="168" t="s">
        <v>32</v>
      </c>
      <c r="C1352" s="168" t="s">
        <v>33</v>
      </c>
      <c r="D1352">
        <v>4394.6000000000004</v>
      </c>
      <c r="E1352">
        <v>2021</v>
      </c>
      <c r="F1352" s="168" t="s">
        <v>592</v>
      </c>
      <c r="G1352" s="168" t="s">
        <v>607</v>
      </c>
      <c r="H1352" s="168" t="s">
        <v>608</v>
      </c>
      <c r="I1352">
        <v>71280.968276676431</v>
      </c>
    </row>
    <row r="1353" spans="1:9" x14ac:dyDescent="0.3">
      <c r="A1353">
        <v>23</v>
      </c>
      <c r="B1353" s="168" t="s">
        <v>32</v>
      </c>
      <c r="C1353" s="168" t="s">
        <v>33</v>
      </c>
      <c r="D1353">
        <v>4394.6000000000004</v>
      </c>
      <c r="E1353">
        <v>2021</v>
      </c>
      <c r="F1353" s="168" t="s">
        <v>592</v>
      </c>
      <c r="G1353" s="168" t="s">
        <v>607</v>
      </c>
      <c r="H1353" s="168" t="s">
        <v>609</v>
      </c>
      <c r="I1353">
        <v>527659.14917327359</v>
      </c>
    </row>
    <row r="1354" spans="1:9" x14ac:dyDescent="0.3">
      <c r="A1354">
        <v>23</v>
      </c>
      <c r="B1354" s="168" t="s">
        <v>32</v>
      </c>
      <c r="C1354" s="168" t="s">
        <v>33</v>
      </c>
      <c r="D1354">
        <v>4394.6000000000004</v>
      </c>
      <c r="E1354">
        <v>2021</v>
      </c>
      <c r="F1354" s="168" t="s">
        <v>592</v>
      </c>
      <c r="G1354" s="168" t="s">
        <v>612</v>
      </c>
      <c r="H1354" s="168" t="s">
        <v>608</v>
      </c>
      <c r="I1354">
        <v>24462.213711776054</v>
      </c>
    </row>
    <row r="1355" spans="1:9" x14ac:dyDescent="0.3">
      <c r="A1355">
        <v>23</v>
      </c>
      <c r="B1355" s="168" t="s">
        <v>32</v>
      </c>
      <c r="C1355" s="168" t="s">
        <v>33</v>
      </c>
      <c r="D1355">
        <v>4394.6000000000004</v>
      </c>
      <c r="E1355">
        <v>2021</v>
      </c>
      <c r="F1355" s="168" t="s">
        <v>592</v>
      </c>
      <c r="G1355" s="168" t="s">
        <v>612</v>
      </c>
      <c r="H1355" s="168" t="s">
        <v>609</v>
      </c>
      <c r="I1355">
        <v>26272.417526447483</v>
      </c>
    </row>
    <row r="1356" spans="1:9" x14ac:dyDescent="0.3">
      <c r="A1356">
        <v>23</v>
      </c>
      <c r="B1356" s="168" t="s">
        <v>32</v>
      </c>
      <c r="C1356" s="168" t="s">
        <v>33</v>
      </c>
      <c r="D1356">
        <v>4394.6000000000004</v>
      </c>
      <c r="E1356">
        <v>2021</v>
      </c>
      <c r="F1356" s="168" t="s">
        <v>592</v>
      </c>
      <c r="G1356" s="168" t="s">
        <v>629</v>
      </c>
      <c r="H1356" s="168" t="s">
        <v>608</v>
      </c>
      <c r="I1356">
        <v>0</v>
      </c>
    </row>
    <row r="1357" spans="1:9" x14ac:dyDescent="0.3">
      <c r="A1357">
        <v>23</v>
      </c>
      <c r="B1357" s="168" t="s">
        <v>32</v>
      </c>
      <c r="C1357" s="168" t="s">
        <v>33</v>
      </c>
      <c r="D1357">
        <v>4394.6000000000004</v>
      </c>
      <c r="E1357">
        <v>2021</v>
      </c>
      <c r="F1357" s="168" t="s">
        <v>592</v>
      </c>
      <c r="G1357" s="168" t="s">
        <v>629</v>
      </c>
      <c r="H1357" s="168" t="s">
        <v>609</v>
      </c>
      <c r="I1357">
        <v>29471.110816279146</v>
      </c>
    </row>
    <row r="1358" spans="1:9" x14ac:dyDescent="0.3">
      <c r="A1358">
        <v>23</v>
      </c>
      <c r="B1358" s="168" t="s">
        <v>32</v>
      </c>
      <c r="C1358" s="168" t="s">
        <v>33</v>
      </c>
      <c r="D1358">
        <v>4394.6000000000004</v>
      </c>
      <c r="E1358">
        <v>2021</v>
      </c>
      <c r="F1358" s="168" t="s">
        <v>592</v>
      </c>
      <c r="G1358" s="168" t="s">
        <v>617</v>
      </c>
      <c r="H1358" s="168" t="s">
        <v>608</v>
      </c>
      <c r="I1358">
        <v>0</v>
      </c>
    </row>
    <row r="1359" spans="1:9" x14ac:dyDescent="0.3">
      <c r="A1359">
        <v>23</v>
      </c>
      <c r="B1359" s="168" t="s">
        <v>32</v>
      </c>
      <c r="C1359" s="168" t="s">
        <v>33</v>
      </c>
      <c r="D1359">
        <v>4394.6000000000004</v>
      </c>
      <c r="E1359">
        <v>2021</v>
      </c>
      <c r="F1359" s="168" t="s">
        <v>592</v>
      </c>
      <c r="G1359" s="168" t="s">
        <v>617</v>
      </c>
      <c r="H1359" s="168" t="s">
        <v>609</v>
      </c>
      <c r="I1359">
        <v>10075.947855367569</v>
      </c>
    </row>
    <row r="1360" spans="1:9" x14ac:dyDescent="0.3">
      <c r="A1360">
        <v>23</v>
      </c>
      <c r="B1360" s="168" t="s">
        <v>32</v>
      </c>
      <c r="C1360" s="168" t="s">
        <v>33</v>
      </c>
      <c r="D1360">
        <v>4394.6000000000004</v>
      </c>
      <c r="E1360">
        <v>2021</v>
      </c>
      <c r="F1360" s="168" t="s">
        <v>592</v>
      </c>
      <c r="G1360" s="168" t="s">
        <v>610</v>
      </c>
      <c r="H1360" s="168" t="s">
        <v>608</v>
      </c>
      <c r="I1360">
        <v>0</v>
      </c>
    </row>
    <row r="1361" spans="1:9" x14ac:dyDescent="0.3">
      <c r="A1361">
        <v>23</v>
      </c>
      <c r="B1361" s="168" t="s">
        <v>32</v>
      </c>
      <c r="C1361" s="168" t="s">
        <v>33</v>
      </c>
      <c r="D1361">
        <v>4394.6000000000004</v>
      </c>
      <c r="E1361">
        <v>2021</v>
      </c>
      <c r="F1361" s="168" t="s">
        <v>592</v>
      </c>
      <c r="G1361" s="168" t="s">
        <v>610</v>
      </c>
      <c r="H1361" s="168" t="s">
        <v>609</v>
      </c>
      <c r="I1361">
        <v>3272.7272727272725</v>
      </c>
    </row>
    <row r="1362" spans="1:9" x14ac:dyDescent="0.3">
      <c r="A1362">
        <v>23</v>
      </c>
      <c r="B1362" s="168" t="s">
        <v>32</v>
      </c>
      <c r="C1362" s="168" t="s">
        <v>33</v>
      </c>
      <c r="D1362">
        <v>4394.6000000000004</v>
      </c>
      <c r="E1362">
        <v>2021</v>
      </c>
      <c r="F1362" s="168" t="s">
        <v>592</v>
      </c>
      <c r="G1362" s="168" t="s">
        <v>633</v>
      </c>
      <c r="H1362" s="168" t="s">
        <v>608</v>
      </c>
      <c r="I1362">
        <v>0</v>
      </c>
    </row>
    <row r="1363" spans="1:9" x14ac:dyDescent="0.3">
      <c r="A1363">
        <v>23</v>
      </c>
      <c r="B1363" s="168" t="s">
        <v>32</v>
      </c>
      <c r="C1363" s="168" t="s">
        <v>33</v>
      </c>
      <c r="D1363">
        <v>4394.6000000000004</v>
      </c>
      <c r="E1363">
        <v>2021</v>
      </c>
      <c r="F1363" s="168" t="s">
        <v>592</v>
      </c>
      <c r="G1363" s="168" t="s">
        <v>633</v>
      </c>
      <c r="H1363" s="168" t="s">
        <v>609</v>
      </c>
      <c r="I1363">
        <v>11461.97969888957</v>
      </c>
    </row>
    <row r="1364" spans="1:9" x14ac:dyDescent="0.3">
      <c r="A1364">
        <v>23</v>
      </c>
      <c r="B1364" s="168" t="s">
        <v>32</v>
      </c>
      <c r="C1364" s="168" t="s">
        <v>33</v>
      </c>
      <c r="D1364">
        <v>4394.6000000000004</v>
      </c>
      <c r="E1364">
        <v>2021</v>
      </c>
      <c r="F1364" s="168" t="s">
        <v>592</v>
      </c>
      <c r="G1364" s="168" t="s">
        <v>613</v>
      </c>
      <c r="H1364" s="168" t="s">
        <v>608</v>
      </c>
      <c r="I1364">
        <v>12444.180152628524</v>
      </c>
    </row>
    <row r="1365" spans="1:9" x14ac:dyDescent="0.3">
      <c r="A1365">
        <v>23</v>
      </c>
      <c r="B1365" s="168" t="s">
        <v>32</v>
      </c>
      <c r="C1365" s="168" t="s">
        <v>33</v>
      </c>
      <c r="D1365">
        <v>4394.6000000000004</v>
      </c>
      <c r="E1365">
        <v>2021</v>
      </c>
      <c r="F1365" s="168" t="s">
        <v>592</v>
      </c>
      <c r="G1365" s="168" t="s">
        <v>613</v>
      </c>
      <c r="H1365" s="168" t="s">
        <v>609</v>
      </c>
      <c r="I1365">
        <v>273149.7543501961</v>
      </c>
    </row>
    <row r="1366" spans="1:9" hidden="1" x14ac:dyDescent="0.3">
      <c r="A1366">
        <v>24</v>
      </c>
      <c r="B1366" s="168" t="s">
        <v>34</v>
      </c>
      <c r="C1366" s="168" t="s">
        <v>35</v>
      </c>
      <c r="D1366">
        <v>17.5</v>
      </c>
      <c r="E1366">
        <v>2021</v>
      </c>
      <c r="F1366" s="168" t="s">
        <v>593</v>
      </c>
      <c r="G1366" s="168" t="s">
        <v>607</v>
      </c>
      <c r="H1366" s="168" t="s">
        <v>608</v>
      </c>
      <c r="I1366">
        <v>0</v>
      </c>
    </row>
    <row r="1367" spans="1:9" hidden="1" x14ac:dyDescent="0.3">
      <c r="A1367">
        <v>24</v>
      </c>
      <c r="B1367" s="168" t="s">
        <v>34</v>
      </c>
      <c r="C1367" s="168" t="s">
        <v>35</v>
      </c>
      <c r="D1367">
        <v>17.5</v>
      </c>
      <c r="E1367">
        <v>2021</v>
      </c>
      <c r="F1367" s="168" t="s">
        <v>593</v>
      </c>
      <c r="G1367" s="168" t="s">
        <v>607</v>
      </c>
      <c r="H1367" s="168" t="s">
        <v>609</v>
      </c>
      <c r="I1367">
        <v>1298.8675241043077</v>
      </c>
    </row>
    <row r="1368" spans="1:9" hidden="1" x14ac:dyDescent="0.3">
      <c r="A1368">
        <v>24</v>
      </c>
      <c r="B1368" s="168" t="s">
        <v>34</v>
      </c>
      <c r="C1368" s="168" t="s">
        <v>35</v>
      </c>
      <c r="D1368">
        <v>17.5</v>
      </c>
      <c r="E1368">
        <v>2021</v>
      </c>
      <c r="F1368" s="168" t="s">
        <v>593</v>
      </c>
      <c r="G1368" s="168" t="s">
        <v>612</v>
      </c>
      <c r="H1368" s="168" t="s">
        <v>608</v>
      </c>
      <c r="I1368">
        <v>97.412447084167141</v>
      </c>
    </row>
    <row r="1369" spans="1:9" hidden="1" x14ac:dyDescent="0.3">
      <c r="A1369">
        <v>24</v>
      </c>
      <c r="B1369" s="168" t="s">
        <v>34</v>
      </c>
      <c r="C1369" s="168" t="s">
        <v>35</v>
      </c>
      <c r="D1369">
        <v>17.5</v>
      </c>
      <c r="E1369">
        <v>2021</v>
      </c>
      <c r="F1369" s="168" t="s">
        <v>593</v>
      </c>
      <c r="G1369" s="168" t="s">
        <v>612</v>
      </c>
      <c r="H1369" s="168" t="s">
        <v>609</v>
      </c>
      <c r="I1369">
        <v>104.62096816839551</v>
      </c>
    </row>
    <row r="1370" spans="1:9" hidden="1" x14ac:dyDescent="0.3">
      <c r="A1370">
        <v>24</v>
      </c>
      <c r="B1370" s="168" t="s">
        <v>34</v>
      </c>
      <c r="C1370" s="168" t="s">
        <v>35</v>
      </c>
      <c r="D1370">
        <v>17.5</v>
      </c>
      <c r="E1370">
        <v>2021</v>
      </c>
      <c r="F1370" s="168" t="s">
        <v>593</v>
      </c>
      <c r="G1370" s="168" t="s">
        <v>617</v>
      </c>
      <c r="H1370" s="168" t="s">
        <v>608</v>
      </c>
      <c r="I1370">
        <v>0</v>
      </c>
    </row>
    <row r="1371" spans="1:9" hidden="1" x14ac:dyDescent="0.3">
      <c r="A1371">
        <v>24</v>
      </c>
      <c r="B1371" s="168" t="s">
        <v>34</v>
      </c>
      <c r="C1371" s="168" t="s">
        <v>35</v>
      </c>
      <c r="D1371">
        <v>17.5</v>
      </c>
      <c r="E1371">
        <v>2021</v>
      </c>
      <c r="F1371" s="168" t="s">
        <v>593</v>
      </c>
      <c r="G1371" s="168" t="s">
        <v>617</v>
      </c>
      <c r="H1371" s="168" t="s">
        <v>609</v>
      </c>
      <c r="I1371">
        <v>24.547936665210123</v>
      </c>
    </row>
    <row r="1372" spans="1:9" hidden="1" x14ac:dyDescent="0.3">
      <c r="A1372">
        <v>25</v>
      </c>
      <c r="B1372" s="168" t="s">
        <v>21</v>
      </c>
      <c r="C1372" s="168" t="s">
        <v>36</v>
      </c>
      <c r="D1372">
        <v>95</v>
      </c>
      <c r="E1372">
        <v>2021</v>
      </c>
      <c r="F1372" s="168" t="s">
        <v>593</v>
      </c>
      <c r="G1372" s="168" t="s">
        <v>607</v>
      </c>
      <c r="H1372" s="168" t="s">
        <v>608</v>
      </c>
      <c r="I1372">
        <v>0</v>
      </c>
    </row>
    <row r="1373" spans="1:9" hidden="1" x14ac:dyDescent="0.3">
      <c r="A1373">
        <v>25</v>
      </c>
      <c r="B1373" s="168" t="s">
        <v>21</v>
      </c>
      <c r="C1373" s="168" t="s">
        <v>36</v>
      </c>
      <c r="D1373">
        <v>95</v>
      </c>
      <c r="E1373">
        <v>2021</v>
      </c>
      <c r="F1373" s="168" t="s">
        <v>593</v>
      </c>
      <c r="G1373" s="168" t="s">
        <v>607</v>
      </c>
      <c r="H1373" s="168" t="s">
        <v>609</v>
      </c>
      <c r="I1373">
        <v>7050.9951308519667</v>
      </c>
    </row>
    <row r="1374" spans="1:9" hidden="1" x14ac:dyDescent="0.3">
      <c r="A1374">
        <v>25</v>
      </c>
      <c r="B1374" s="168" t="s">
        <v>21</v>
      </c>
      <c r="C1374" s="168" t="s">
        <v>36</v>
      </c>
      <c r="D1374">
        <v>95</v>
      </c>
      <c r="E1374">
        <v>2021</v>
      </c>
      <c r="F1374" s="168" t="s">
        <v>593</v>
      </c>
      <c r="G1374" s="168" t="s">
        <v>612</v>
      </c>
      <c r="H1374" s="168" t="s">
        <v>608</v>
      </c>
      <c r="I1374">
        <v>528.81042702833588</v>
      </c>
    </row>
    <row r="1375" spans="1:9" hidden="1" x14ac:dyDescent="0.3">
      <c r="A1375">
        <v>25</v>
      </c>
      <c r="B1375" s="168" t="s">
        <v>21</v>
      </c>
      <c r="C1375" s="168" t="s">
        <v>36</v>
      </c>
      <c r="D1375">
        <v>95</v>
      </c>
      <c r="E1375">
        <v>2021</v>
      </c>
      <c r="F1375" s="168" t="s">
        <v>593</v>
      </c>
      <c r="G1375" s="168" t="s">
        <v>612</v>
      </c>
      <c r="H1375" s="168" t="s">
        <v>609</v>
      </c>
      <c r="I1375">
        <v>567.94239862843267</v>
      </c>
    </row>
    <row r="1376" spans="1:9" hidden="1" x14ac:dyDescent="0.3">
      <c r="A1376">
        <v>25</v>
      </c>
      <c r="B1376" s="168" t="s">
        <v>21</v>
      </c>
      <c r="C1376" s="168" t="s">
        <v>36</v>
      </c>
      <c r="D1376">
        <v>95</v>
      </c>
      <c r="E1376">
        <v>2021</v>
      </c>
      <c r="F1376" s="168" t="s">
        <v>593</v>
      </c>
      <c r="G1376" s="168" t="s">
        <v>617</v>
      </c>
      <c r="H1376" s="168" t="s">
        <v>608</v>
      </c>
      <c r="I1376">
        <v>0</v>
      </c>
    </row>
    <row r="1377" spans="1:9" hidden="1" x14ac:dyDescent="0.3">
      <c r="A1377">
        <v>25</v>
      </c>
      <c r="B1377" s="168" t="s">
        <v>21</v>
      </c>
      <c r="C1377" s="168" t="s">
        <v>36</v>
      </c>
      <c r="D1377">
        <v>95</v>
      </c>
      <c r="E1377">
        <v>2021</v>
      </c>
      <c r="F1377" s="168" t="s">
        <v>593</v>
      </c>
      <c r="G1377" s="168" t="s">
        <v>617</v>
      </c>
      <c r="H1377" s="168" t="s">
        <v>609</v>
      </c>
      <c r="I1377">
        <v>133.26022761114066</v>
      </c>
    </row>
    <row r="1378" spans="1:9" hidden="1" x14ac:dyDescent="0.3">
      <c r="A1378">
        <v>25</v>
      </c>
      <c r="B1378" s="168" t="s">
        <v>21</v>
      </c>
      <c r="C1378" s="168" t="s">
        <v>36</v>
      </c>
      <c r="D1378">
        <v>95</v>
      </c>
      <c r="E1378">
        <v>2021</v>
      </c>
      <c r="F1378" s="168" t="s">
        <v>593</v>
      </c>
      <c r="G1378" s="168" t="s">
        <v>610</v>
      </c>
      <c r="H1378" s="168" t="s">
        <v>608</v>
      </c>
      <c r="I1378">
        <v>0</v>
      </c>
    </row>
    <row r="1379" spans="1:9" hidden="1" x14ac:dyDescent="0.3">
      <c r="A1379">
        <v>25</v>
      </c>
      <c r="B1379" s="168" t="s">
        <v>21</v>
      </c>
      <c r="C1379" s="168" t="s">
        <v>36</v>
      </c>
      <c r="D1379">
        <v>95</v>
      </c>
      <c r="E1379">
        <v>2021</v>
      </c>
      <c r="F1379" s="168" t="s">
        <v>593</v>
      </c>
      <c r="G1379" s="168" t="s">
        <v>610</v>
      </c>
      <c r="H1379" s="168" t="s">
        <v>609</v>
      </c>
      <c r="I1379">
        <v>3272.7272727272725</v>
      </c>
    </row>
    <row r="1380" spans="1:9" x14ac:dyDescent="0.3">
      <c r="A1380">
        <v>26</v>
      </c>
      <c r="B1380" s="168" t="s">
        <v>37</v>
      </c>
      <c r="C1380" s="168" t="s">
        <v>38</v>
      </c>
      <c r="D1380">
        <v>4151.6000000000004</v>
      </c>
      <c r="E1380">
        <v>2021</v>
      </c>
      <c r="F1380" s="168" t="s">
        <v>592</v>
      </c>
      <c r="G1380" s="168" t="s">
        <v>612</v>
      </c>
      <c r="H1380" s="168" t="s">
        <v>608</v>
      </c>
      <c r="I1380">
        <v>23109.572303693047</v>
      </c>
    </row>
    <row r="1381" spans="1:9" x14ac:dyDescent="0.3">
      <c r="A1381">
        <v>26</v>
      </c>
      <c r="B1381" s="168" t="s">
        <v>37</v>
      </c>
      <c r="C1381" s="168" t="s">
        <v>38</v>
      </c>
      <c r="D1381">
        <v>4151.6000000000004</v>
      </c>
      <c r="E1381">
        <v>2021</v>
      </c>
      <c r="F1381" s="168" t="s">
        <v>592</v>
      </c>
      <c r="G1381" s="168" t="s">
        <v>612</v>
      </c>
      <c r="H1381" s="168" t="s">
        <v>609</v>
      </c>
      <c r="I1381">
        <v>24819.680654166332</v>
      </c>
    </row>
    <row r="1382" spans="1:9" x14ac:dyDescent="0.3">
      <c r="A1382">
        <v>26</v>
      </c>
      <c r="B1382" s="168" t="s">
        <v>37</v>
      </c>
      <c r="C1382" s="168" t="s">
        <v>38</v>
      </c>
      <c r="D1382">
        <v>4151.6000000000004</v>
      </c>
      <c r="E1382">
        <v>2021</v>
      </c>
      <c r="F1382" s="168" t="s">
        <v>592</v>
      </c>
      <c r="G1382" s="168" t="s">
        <v>629</v>
      </c>
      <c r="H1382" s="168" t="s">
        <v>608</v>
      </c>
      <c r="I1382">
        <v>0</v>
      </c>
    </row>
    <row r="1383" spans="1:9" x14ac:dyDescent="0.3">
      <c r="A1383">
        <v>26</v>
      </c>
      <c r="B1383" s="168" t="s">
        <v>37</v>
      </c>
      <c r="C1383" s="168" t="s">
        <v>38</v>
      </c>
      <c r="D1383">
        <v>4151.6000000000004</v>
      </c>
      <c r="E1383">
        <v>2021</v>
      </c>
      <c r="F1383" s="168" t="s">
        <v>592</v>
      </c>
      <c r="G1383" s="168" t="s">
        <v>629</v>
      </c>
      <c r="H1383" s="168" t="s">
        <v>609</v>
      </c>
      <c r="I1383">
        <v>249914.07811507981</v>
      </c>
    </row>
    <row r="1384" spans="1:9" x14ac:dyDescent="0.3">
      <c r="A1384">
        <v>26</v>
      </c>
      <c r="B1384" s="168" t="s">
        <v>37</v>
      </c>
      <c r="C1384" s="168" t="s">
        <v>38</v>
      </c>
      <c r="D1384">
        <v>4151.6000000000004</v>
      </c>
      <c r="E1384">
        <v>2021</v>
      </c>
      <c r="F1384" s="168" t="s">
        <v>592</v>
      </c>
      <c r="G1384" s="168" t="s">
        <v>617</v>
      </c>
      <c r="H1384" s="168" t="s">
        <v>608</v>
      </c>
      <c r="I1384">
        <v>0</v>
      </c>
    </row>
    <row r="1385" spans="1:9" x14ac:dyDescent="0.3">
      <c r="A1385">
        <v>26</v>
      </c>
      <c r="B1385" s="168" t="s">
        <v>37</v>
      </c>
      <c r="C1385" s="168" t="s">
        <v>38</v>
      </c>
      <c r="D1385">
        <v>4151.6000000000004</v>
      </c>
      <c r="E1385">
        <v>2021</v>
      </c>
      <c r="F1385" s="168" t="s">
        <v>592</v>
      </c>
      <c r="G1385" s="168" t="s">
        <v>617</v>
      </c>
      <c r="H1385" s="168" t="s">
        <v>609</v>
      </c>
      <c r="I1385">
        <v>5823.6122205306483</v>
      </c>
    </row>
    <row r="1386" spans="1:9" x14ac:dyDescent="0.3">
      <c r="A1386">
        <v>26</v>
      </c>
      <c r="B1386" s="168" t="s">
        <v>37</v>
      </c>
      <c r="C1386" s="168" t="s">
        <v>38</v>
      </c>
      <c r="D1386">
        <v>4151.6000000000004</v>
      </c>
      <c r="E1386">
        <v>2021</v>
      </c>
      <c r="F1386" s="168" t="s">
        <v>592</v>
      </c>
      <c r="G1386" s="168" t="s">
        <v>610</v>
      </c>
      <c r="H1386" s="168" t="s">
        <v>608</v>
      </c>
      <c r="I1386">
        <v>0</v>
      </c>
    </row>
    <row r="1387" spans="1:9" x14ac:dyDescent="0.3">
      <c r="A1387">
        <v>26</v>
      </c>
      <c r="B1387" s="168" t="s">
        <v>37</v>
      </c>
      <c r="C1387" s="168" t="s">
        <v>38</v>
      </c>
      <c r="D1387">
        <v>4151.6000000000004</v>
      </c>
      <c r="E1387">
        <v>2021</v>
      </c>
      <c r="F1387" s="168" t="s">
        <v>592</v>
      </c>
      <c r="G1387" s="168" t="s">
        <v>610</v>
      </c>
      <c r="H1387" s="168" t="s">
        <v>609</v>
      </c>
      <c r="I1387">
        <v>3272.7272727272725</v>
      </c>
    </row>
    <row r="1388" spans="1:9" x14ac:dyDescent="0.3">
      <c r="A1388">
        <v>26</v>
      </c>
      <c r="B1388" s="168" t="s">
        <v>37</v>
      </c>
      <c r="C1388" s="168" t="s">
        <v>38</v>
      </c>
      <c r="D1388">
        <v>4151.6000000000004</v>
      </c>
      <c r="E1388">
        <v>2021</v>
      </c>
      <c r="F1388" s="168" t="s">
        <v>592</v>
      </c>
      <c r="G1388" s="168" t="s">
        <v>620</v>
      </c>
      <c r="H1388" s="168" t="s">
        <v>608</v>
      </c>
      <c r="I1388">
        <v>18683.998334839733</v>
      </c>
    </row>
    <row r="1389" spans="1:9" x14ac:dyDescent="0.3">
      <c r="A1389">
        <v>26</v>
      </c>
      <c r="B1389" s="168" t="s">
        <v>37</v>
      </c>
      <c r="C1389" s="168" t="s">
        <v>38</v>
      </c>
      <c r="D1389">
        <v>4151.6000000000004</v>
      </c>
      <c r="E1389">
        <v>2021</v>
      </c>
      <c r="F1389" s="168" t="s">
        <v>592</v>
      </c>
      <c r="G1389" s="168" t="s">
        <v>620</v>
      </c>
      <c r="H1389" s="168" t="s">
        <v>609</v>
      </c>
      <c r="I1389">
        <v>2024.0998196076375</v>
      </c>
    </row>
    <row r="1390" spans="1:9" x14ac:dyDescent="0.3">
      <c r="A1390">
        <v>26</v>
      </c>
      <c r="B1390" s="168" t="s">
        <v>37</v>
      </c>
      <c r="C1390" s="168" t="s">
        <v>38</v>
      </c>
      <c r="D1390">
        <v>4151.6000000000004</v>
      </c>
      <c r="E1390">
        <v>2021</v>
      </c>
      <c r="F1390" s="168" t="s">
        <v>592</v>
      </c>
      <c r="G1390" s="168" t="s">
        <v>613</v>
      </c>
      <c r="H1390" s="168" t="s">
        <v>608</v>
      </c>
      <c r="I1390">
        <v>11756.077531891999</v>
      </c>
    </row>
    <row r="1391" spans="1:9" x14ac:dyDescent="0.3">
      <c r="A1391">
        <v>26</v>
      </c>
      <c r="B1391" s="168" t="s">
        <v>37</v>
      </c>
      <c r="C1391" s="168" t="s">
        <v>38</v>
      </c>
      <c r="D1391">
        <v>4151.6000000000004</v>
      </c>
      <c r="E1391">
        <v>2021</v>
      </c>
      <c r="F1391" s="168" t="s">
        <v>592</v>
      </c>
      <c r="G1391" s="168" t="s">
        <v>613</v>
      </c>
      <c r="H1391" s="168" t="s">
        <v>609</v>
      </c>
      <c r="I1391">
        <v>258045.90182502937</v>
      </c>
    </row>
    <row r="1392" spans="1:9" hidden="1" x14ac:dyDescent="0.3">
      <c r="A1392">
        <v>27</v>
      </c>
      <c r="B1392" s="168" t="s">
        <v>39</v>
      </c>
      <c r="C1392" s="168" t="s">
        <v>40</v>
      </c>
      <c r="D1392">
        <v>101.1</v>
      </c>
      <c r="E1392">
        <v>2021</v>
      </c>
      <c r="F1392" s="168" t="s">
        <v>593</v>
      </c>
      <c r="G1392" s="168" t="s">
        <v>612</v>
      </c>
      <c r="H1392" s="168" t="s">
        <v>608</v>
      </c>
      <c r="I1392">
        <v>562.76562286910269</v>
      </c>
    </row>
    <row r="1393" spans="1:9" hidden="1" x14ac:dyDescent="0.3">
      <c r="A1393">
        <v>27</v>
      </c>
      <c r="B1393" s="168" t="s">
        <v>39</v>
      </c>
      <c r="C1393" s="168" t="s">
        <v>40</v>
      </c>
      <c r="D1393">
        <v>101.1</v>
      </c>
      <c r="E1393">
        <v>2021</v>
      </c>
      <c r="F1393" s="168" t="s">
        <v>593</v>
      </c>
      <c r="G1393" s="168" t="s">
        <v>612</v>
      </c>
      <c r="H1393" s="168" t="s">
        <v>609</v>
      </c>
      <c r="I1393">
        <v>604.41027896141622</v>
      </c>
    </row>
    <row r="1394" spans="1:9" hidden="1" x14ac:dyDescent="0.3">
      <c r="A1394">
        <v>27</v>
      </c>
      <c r="B1394" s="168" t="s">
        <v>39</v>
      </c>
      <c r="C1394" s="168" t="s">
        <v>40</v>
      </c>
      <c r="D1394">
        <v>101.1</v>
      </c>
      <c r="E1394">
        <v>2021</v>
      </c>
      <c r="F1394" s="168" t="s">
        <v>593</v>
      </c>
      <c r="G1394" s="168" t="s">
        <v>629</v>
      </c>
      <c r="H1394" s="168" t="s">
        <v>608</v>
      </c>
      <c r="I1394">
        <v>0</v>
      </c>
    </row>
    <row r="1395" spans="1:9" hidden="1" x14ac:dyDescent="0.3">
      <c r="A1395">
        <v>27</v>
      </c>
      <c r="B1395" s="168" t="s">
        <v>39</v>
      </c>
      <c r="C1395" s="168" t="s">
        <v>40</v>
      </c>
      <c r="D1395">
        <v>101.1</v>
      </c>
      <c r="E1395">
        <v>2021</v>
      </c>
      <c r="F1395" s="168" t="s">
        <v>593</v>
      </c>
      <c r="G1395" s="168" t="s">
        <v>629</v>
      </c>
      <c r="H1395" s="168" t="s">
        <v>609</v>
      </c>
      <c r="I1395">
        <v>6085.921884920167</v>
      </c>
    </row>
    <row r="1396" spans="1:9" hidden="1" x14ac:dyDescent="0.3">
      <c r="A1396">
        <v>27</v>
      </c>
      <c r="B1396" s="168" t="s">
        <v>39</v>
      </c>
      <c r="C1396" s="168" t="s">
        <v>40</v>
      </c>
      <c r="D1396">
        <v>101.1</v>
      </c>
      <c r="E1396">
        <v>2021</v>
      </c>
      <c r="F1396" s="168" t="s">
        <v>593</v>
      </c>
      <c r="G1396" s="168" t="s">
        <v>617</v>
      </c>
      <c r="H1396" s="168" t="s">
        <v>608</v>
      </c>
      <c r="I1396">
        <v>0</v>
      </c>
    </row>
    <row r="1397" spans="1:9" hidden="1" x14ac:dyDescent="0.3">
      <c r="A1397">
        <v>27</v>
      </c>
      <c r="B1397" s="168" t="s">
        <v>39</v>
      </c>
      <c r="C1397" s="168" t="s">
        <v>40</v>
      </c>
      <c r="D1397">
        <v>101.1</v>
      </c>
      <c r="E1397">
        <v>2021</v>
      </c>
      <c r="F1397" s="168" t="s">
        <v>593</v>
      </c>
      <c r="G1397" s="168" t="s">
        <v>617</v>
      </c>
      <c r="H1397" s="168" t="s">
        <v>609</v>
      </c>
      <c r="I1397">
        <v>141.81693696301389</v>
      </c>
    </row>
    <row r="1398" spans="1:9" hidden="1" x14ac:dyDescent="0.3">
      <c r="A1398">
        <v>27</v>
      </c>
      <c r="B1398" s="168" t="s">
        <v>39</v>
      </c>
      <c r="C1398" s="168" t="s">
        <v>40</v>
      </c>
      <c r="D1398">
        <v>101.1</v>
      </c>
      <c r="E1398">
        <v>2021</v>
      </c>
      <c r="F1398" s="168" t="s">
        <v>593</v>
      </c>
      <c r="G1398" s="168" t="s">
        <v>610</v>
      </c>
      <c r="H1398" s="168" t="s">
        <v>608</v>
      </c>
      <c r="I1398">
        <v>0</v>
      </c>
    </row>
    <row r="1399" spans="1:9" hidden="1" x14ac:dyDescent="0.3">
      <c r="A1399">
        <v>27</v>
      </c>
      <c r="B1399" s="168" t="s">
        <v>39</v>
      </c>
      <c r="C1399" s="168" t="s">
        <v>40</v>
      </c>
      <c r="D1399">
        <v>101.1</v>
      </c>
      <c r="E1399">
        <v>2021</v>
      </c>
      <c r="F1399" s="168" t="s">
        <v>593</v>
      </c>
      <c r="G1399" s="168" t="s">
        <v>610</v>
      </c>
      <c r="H1399" s="168" t="s">
        <v>609</v>
      </c>
      <c r="I1399">
        <v>3272.7272727272725</v>
      </c>
    </row>
    <row r="1400" spans="1:9" hidden="1" x14ac:dyDescent="0.3">
      <c r="A1400">
        <v>27</v>
      </c>
      <c r="B1400" s="168" t="s">
        <v>39</v>
      </c>
      <c r="C1400" s="168" t="s">
        <v>40</v>
      </c>
      <c r="D1400">
        <v>101.1</v>
      </c>
      <c r="E1400">
        <v>2021</v>
      </c>
      <c r="F1400" s="168" t="s">
        <v>593</v>
      </c>
      <c r="G1400" s="168" t="s">
        <v>613</v>
      </c>
      <c r="H1400" s="168" t="s">
        <v>608</v>
      </c>
      <c r="I1400">
        <v>286.28467060272692</v>
      </c>
    </row>
    <row r="1401" spans="1:9" hidden="1" x14ac:dyDescent="0.3">
      <c r="A1401">
        <v>27</v>
      </c>
      <c r="B1401" s="168" t="s">
        <v>39</v>
      </c>
      <c r="C1401" s="168" t="s">
        <v>40</v>
      </c>
      <c r="D1401">
        <v>101.1</v>
      </c>
      <c r="E1401">
        <v>2021</v>
      </c>
      <c r="F1401" s="168" t="s">
        <v>593</v>
      </c>
      <c r="G1401" s="168" t="s">
        <v>613</v>
      </c>
      <c r="H1401" s="168" t="s">
        <v>609</v>
      </c>
      <c r="I1401">
        <v>6283.9485197298563</v>
      </c>
    </row>
    <row r="1402" spans="1:9" hidden="1" x14ac:dyDescent="0.3">
      <c r="A1402">
        <v>28</v>
      </c>
      <c r="B1402" s="168" t="s">
        <v>30</v>
      </c>
      <c r="C1402" s="168" t="s">
        <v>41</v>
      </c>
      <c r="D1402">
        <v>1239.3</v>
      </c>
      <c r="E1402">
        <v>2021</v>
      </c>
      <c r="F1402" s="168" t="s">
        <v>591</v>
      </c>
      <c r="G1402" s="168" t="s">
        <v>607</v>
      </c>
      <c r="H1402" s="168" t="s">
        <v>608</v>
      </c>
      <c r="I1402">
        <v>1812328.7279999999</v>
      </c>
    </row>
    <row r="1403" spans="1:9" hidden="1" x14ac:dyDescent="0.3">
      <c r="A1403">
        <v>28</v>
      </c>
      <c r="B1403" s="168" t="s">
        <v>30</v>
      </c>
      <c r="C1403" s="168" t="s">
        <v>41</v>
      </c>
      <c r="D1403">
        <v>1239.3</v>
      </c>
      <c r="E1403">
        <v>2021</v>
      </c>
      <c r="F1403" s="168" t="s">
        <v>591</v>
      </c>
      <c r="G1403" s="168" t="s">
        <v>607</v>
      </c>
      <c r="H1403" s="168" t="s">
        <v>609</v>
      </c>
      <c r="I1403">
        <v>776712.31200000003</v>
      </c>
    </row>
    <row r="1404" spans="1:9" hidden="1" x14ac:dyDescent="0.3">
      <c r="A1404">
        <v>28</v>
      </c>
      <c r="B1404" s="168" t="s">
        <v>30</v>
      </c>
      <c r="C1404" s="168" t="s">
        <v>41</v>
      </c>
      <c r="D1404">
        <v>1239.3</v>
      </c>
      <c r="E1404">
        <v>2021</v>
      </c>
      <c r="F1404" s="168" t="s">
        <v>591</v>
      </c>
      <c r="G1404" s="168" t="s">
        <v>612</v>
      </c>
      <c r="H1404" s="168" t="s">
        <v>608</v>
      </c>
      <c r="I1404">
        <v>297588.09999999998</v>
      </c>
    </row>
    <row r="1405" spans="1:9" hidden="1" x14ac:dyDescent="0.3">
      <c r="A1405">
        <v>28</v>
      </c>
      <c r="B1405" s="168" t="s">
        <v>30</v>
      </c>
      <c r="C1405" s="168" t="s">
        <v>41</v>
      </c>
      <c r="D1405">
        <v>1239.3</v>
      </c>
      <c r="E1405">
        <v>2021</v>
      </c>
      <c r="F1405" s="168" t="s">
        <v>591</v>
      </c>
      <c r="G1405" s="168" t="s">
        <v>612</v>
      </c>
      <c r="H1405" s="168" t="s">
        <v>609</v>
      </c>
      <c r="I1405">
        <v>127537.76</v>
      </c>
    </row>
    <row r="1406" spans="1:9" hidden="1" x14ac:dyDescent="0.3">
      <c r="A1406">
        <v>28</v>
      </c>
      <c r="B1406" s="168" t="s">
        <v>30</v>
      </c>
      <c r="C1406" s="168" t="s">
        <v>41</v>
      </c>
      <c r="D1406">
        <v>1239.3</v>
      </c>
      <c r="E1406">
        <v>2021</v>
      </c>
      <c r="F1406" s="168" t="s">
        <v>591</v>
      </c>
      <c r="G1406" s="168" t="s">
        <v>629</v>
      </c>
      <c r="H1406" s="168" t="s">
        <v>608</v>
      </c>
      <c r="I1406">
        <v>112776.29999999999</v>
      </c>
    </row>
    <row r="1407" spans="1:9" hidden="1" x14ac:dyDescent="0.3">
      <c r="A1407">
        <v>28</v>
      </c>
      <c r="B1407" s="168" t="s">
        <v>30</v>
      </c>
      <c r="C1407" s="168" t="s">
        <v>41</v>
      </c>
      <c r="D1407">
        <v>1239.3</v>
      </c>
      <c r="E1407">
        <v>2021</v>
      </c>
      <c r="F1407" s="168" t="s">
        <v>591</v>
      </c>
      <c r="G1407" s="168" t="s">
        <v>629</v>
      </c>
      <c r="H1407" s="168" t="s">
        <v>609</v>
      </c>
      <c r="I1407">
        <v>48332.7</v>
      </c>
    </row>
    <row r="1408" spans="1:9" hidden="1" x14ac:dyDescent="0.3">
      <c r="A1408">
        <v>28</v>
      </c>
      <c r="B1408" s="168" t="s">
        <v>30</v>
      </c>
      <c r="C1408" s="168" t="s">
        <v>41</v>
      </c>
      <c r="D1408">
        <v>1239.3</v>
      </c>
      <c r="E1408">
        <v>2021</v>
      </c>
      <c r="F1408" s="168" t="s">
        <v>591</v>
      </c>
      <c r="G1408" s="168" t="s">
        <v>618</v>
      </c>
      <c r="H1408" s="168" t="s">
        <v>608</v>
      </c>
      <c r="I1408">
        <v>0</v>
      </c>
    </row>
    <row r="1409" spans="1:9" hidden="1" x14ac:dyDescent="0.3">
      <c r="A1409">
        <v>28</v>
      </c>
      <c r="B1409" s="168" t="s">
        <v>30</v>
      </c>
      <c r="C1409" s="168" t="s">
        <v>41</v>
      </c>
      <c r="D1409">
        <v>1239.3</v>
      </c>
      <c r="E1409">
        <v>2021</v>
      </c>
      <c r="F1409" s="168" t="s">
        <v>591</v>
      </c>
      <c r="G1409" s="168" t="s">
        <v>618</v>
      </c>
      <c r="H1409" s="168" t="s">
        <v>609</v>
      </c>
      <c r="I1409">
        <v>60000</v>
      </c>
    </row>
    <row r="1410" spans="1:9" hidden="1" x14ac:dyDescent="0.3">
      <c r="A1410">
        <v>28</v>
      </c>
      <c r="B1410" s="168" t="s">
        <v>30</v>
      </c>
      <c r="C1410" s="168" t="s">
        <v>41</v>
      </c>
      <c r="D1410">
        <v>1239.3</v>
      </c>
      <c r="E1410">
        <v>2021</v>
      </c>
      <c r="F1410" s="168" t="s">
        <v>591</v>
      </c>
      <c r="G1410" s="168" t="s">
        <v>610</v>
      </c>
      <c r="H1410" s="168" t="s">
        <v>608</v>
      </c>
      <c r="I1410">
        <v>0</v>
      </c>
    </row>
    <row r="1411" spans="1:9" hidden="1" x14ac:dyDescent="0.3">
      <c r="A1411">
        <v>28</v>
      </c>
      <c r="B1411" s="168" t="s">
        <v>30</v>
      </c>
      <c r="C1411" s="168" t="s">
        <v>41</v>
      </c>
      <c r="D1411">
        <v>1239.3</v>
      </c>
      <c r="E1411">
        <v>2021</v>
      </c>
      <c r="F1411" s="168" t="s">
        <v>591</v>
      </c>
      <c r="G1411" s="168" t="s">
        <v>610</v>
      </c>
      <c r="H1411" s="168" t="s">
        <v>609</v>
      </c>
      <c r="I1411">
        <v>3272.7272727272725</v>
      </c>
    </row>
    <row r="1412" spans="1:9" hidden="1" x14ac:dyDescent="0.3">
      <c r="A1412">
        <v>28</v>
      </c>
      <c r="B1412" s="168" t="s">
        <v>30</v>
      </c>
      <c r="C1412" s="168" t="s">
        <v>41</v>
      </c>
      <c r="D1412">
        <v>1239.3</v>
      </c>
      <c r="E1412">
        <v>2021</v>
      </c>
      <c r="F1412" s="168" t="s">
        <v>591</v>
      </c>
      <c r="G1412" s="168" t="s">
        <v>633</v>
      </c>
      <c r="H1412" s="168" t="s">
        <v>608</v>
      </c>
      <c r="I1412">
        <v>7081.0134501094772</v>
      </c>
    </row>
    <row r="1413" spans="1:9" hidden="1" x14ac:dyDescent="0.3">
      <c r="A1413">
        <v>28</v>
      </c>
      <c r="B1413" s="168" t="s">
        <v>30</v>
      </c>
      <c r="C1413" s="168" t="s">
        <v>41</v>
      </c>
      <c r="D1413">
        <v>1239.3</v>
      </c>
      <c r="E1413">
        <v>2021</v>
      </c>
      <c r="F1413" s="168" t="s">
        <v>591</v>
      </c>
      <c r="G1413" s="168" t="s">
        <v>633</v>
      </c>
      <c r="H1413" s="168" t="s">
        <v>609</v>
      </c>
      <c r="I1413">
        <v>3034.7200500469189</v>
      </c>
    </row>
    <row r="1414" spans="1:9" hidden="1" x14ac:dyDescent="0.3">
      <c r="A1414">
        <v>28</v>
      </c>
      <c r="B1414" s="168" t="s">
        <v>30</v>
      </c>
      <c r="C1414" s="168" t="s">
        <v>41</v>
      </c>
      <c r="D1414">
        <v>1239.3</v>
      </c>
      <c r="E1414">
        <v>2021</v>
      </c>
      <c r="F1414" s="168" t="s">
        <v>591</v>
      </c>
      <c r="G1414" s="168" t="s">
        <v>630</v>
      </c>
      <c r="H1414" s="168" t="s">
        <v>608</v>
      </c>
      <c r="I1414">
        <v>151357.14299999998</v>
      </c>
    </row>
    <row r="1415" spans="1:9" hidden="1" x14ac:dyDescent="0.3">
      <c r="A1415">
        <v>28</v>
      </c>
      <c r="B1415" s="168" t="s">
        <v>30</v>
      </c>
      <c r="C1415" s="168" t="s">
        <v>41</v>
      </c>
      <c r="D1415">
        <v>1239.3</v>
      </c>
      <c r="E1415">
        <v>2021</v>
      </c>
      <c r="F1415" s="168" t="s">
        <v>591</v>
      </c>
      <c r="G1415" s="168" t="s">
        <v>630</v>
      </c>
      <c r="H1415" s="168" t="s">
        <v>609</v>
      </c>
      <c r="I1415">
        <v>64867.346999999994</v>
      </c>
    </row>
    <row r="1416" spans="1:9" hidden="1" x14ac:dyDescent="0.3">
      <c r="A1416">
        <v>28</v>
      </c>
      <c r="B1416" s="168" t="s">
        <v>30</v>
      </c>
      <c r="C1416" s="168" t="s">
        <v>41</v>
      </c>
      <c r="D1416">
        <v>1239.3</v>
      </c>
      <c r="E1416">
        <v>2021</v>
      </c>
      <c r="F1416" s="168" t="s">
        <v>591</v>
      </c>
      <c r="G1416" s="168" t="s">
        <v>611</v>
      </c>
      <c r="H1416" s="168" t="s">
        <v>608</v>
      </c>
      <c r="I1416">
        <v>0</v>
      </c>
    </row>
    <row r="1417" spans="1:9" hidden="1" x14ac:dyDescent="0.3">
      <c r="A1417">
        <v>28</v>
      </c>
      <c r="B1417" s="168" t="s">
        <v>30</v>
      </c>
      <c r="C1417" s="168" t="s">
        <v>41</v>
      </c>
      <c r="D1417">
        <v>1239.3</v>
      </c>
      <c r="E1417">
        <v>2021</v>
      </c>
      <c r="F1417" s="168" t="s">
        <v>591</v>
      </c>
      <c r="G1417" s="168" t="s">
        <v>611</v>
      </c>
      <c r="H1417" s="168" t="s">
        <v>609</v>
      </c>
      <c r="I1417">
        <v>5179.7553323442844</v>
      </c>
    </row>
    <row r="1418" spans="1:9" hidden="1" x14ac:dyDescent="0.3">
      <c r="A1418">
        <v>28</v>
      </c>
      <c r="B1418" s="168" t="s">
        <v>30</v>
      </c>
      <c r="C1418" s="168" t="s">
        <v>41</v>
      </c>
      <c r="D1418">
        <v>1239.3</v>
      </c>
      <c r="E1418">
        <v>2021</v>
      </c>
      <c r="F1418" s="168" t="s">
        <v>591</v>
      </c>
      <c r="G1418" s="168" t="s">
        <v>613</v>
      </c>
      <c r="H1418" s="168" t="s">
        <v>608</v>
      </c>
      <c r="I1418">
        <v>87822.130182542503</v>
      </c>
    </row>
    <row r="1419" spans="1:9" hidden="1" x14ac:dyDescent="0.3">
      <c r="A1419">
        <v>28</v>
      </c>
      <c r="B1419" s="168" t="s">
        <v>30</v>
      </c>
      <c r="C1419" s="168" t="s">
        <v>41</v>
      </c>
      <c r="D1419">
        <v>1239.3</v>
      </c>
      <c r="E1419">
        <v>2021</v>
      </c>
      <c r="F1419" s="168" t="s">
        <v>591</v>
      </c>
      <c r="G1419" s="168" t="s">
        <v>613</v>
      </c>
      <c r="H1419" s="168" t="s">
        <v>609</v>
      </c>
      <c r="I1419">
        <v>35809.250100632562</v>
      </c>
    </row>
    <row r="1420" spans="1:9" x14ac:dyDescent="0.3">
      <c r="A1420">
        <v>29</v>
      </c>
      <c r="B1420" s="168" t="s">
        <v>27</v>
      </c>
      <c r="C1420" s="168" t="s">
        <v>42</v>
      </c>
      <c r="D1420">
        <v>11233.4</v>
      </c>
      <c r="E1420">
        <v>2021</v>
      </c>
      <c r="F1420" s="168" t="s">
        <v>592</v>
      </c>
      <c r="G1420" s="168" t="s">
        <v>607</v>
      </c>
      <c r="H1420" s="168" t="s">
        <v>608</v>
      </c>
      <c r="I1420">
        <v>182207.16994475399</v>
      </c>
    </row>
    <row r="1421" spans="1:9" x14ac:dyDescent="0.3">
      <c r="A1421">
        <v>29</v>
      </c>
      <c r="B1421" s="168" t="s">
        <v>27</v>
      </c>
      <c r="C1421" s="168" t="s">
        <v>42</v>
      </c>
      <c r="D1421">
        <v>11233.4</v>
      </c>
      <c r="E1421">
        <v>2021</v>
      </c>
      <c r="F1421" s="168" t="s">
        <v>592</v>
      </c>
      <c r="G1421" s="168" t="s">
        <v>607</v>
      </c>
      <c r="H1421" s="168" t="s">
        <v>609</v>
      </c>
      <c r="I1421">
        <v>1581367.1971666953</v>
      </c>
    </row>
    <row r="1422" spans="1:9" x14ac:dyDescent="0.3">
      <c r="A1422">
        <v>29</v>
      </c>
      <c r="B1422" s="168" t="s">
        <v>27</v>
      </c>
      <c r="C1422" s="168" t="s">
        <v>42</v>
      </c>
      <c r="D1422">
        <v>11233.4</v>
      </c>
      <c r="E1422">
        <v>2021</v>
      </c>
      <c r="F1422" s="168" t="s">
        <v>592</v>
      </c>
      <c r="G1422" s="168" t="s">
        <v>612</v>
      </c>
      <c r="H1422" s="168" t="s">
        <v>608</v>
      </c>
      <c r="I1422">
        <v>62529.884747159034</v>
      </c>
    </row>
    <row r="1423" spans="1:9" x14ac:dyDescent="0.3">
      <c r="A1423">
        <v>29</v>
      </c>
      <c r="B1423" s="168" t="s">
        <v>27</v>
      </c>
      <c r="C1423" s="168" t="s">
        <v>42</v>
      </c>
      <c r="D1423">
        <v>11233.4</v>
      </c>
      <c r="E1423">
        <v>2021</v>
      </c>
      <c r="F1423" s="168" t="s">
        <v>592</v>
      </c>
      <c r="G1423" s="168" t="s">
        <v>612</v>
      </c>
      <c r="H1423" s="168" t="s">
        <v>609</v>
      </c>
      <c r="I1423">
        <v>67157.096218448802</v>
      </c>
    </row>
    <row r="1424" spans="1:9" x14ac:dyDescent="0.3">
      <c r="A1424">
        <v>29</v>
      </c>
      <c r="B1424" s="168" t="s">
        <v>27</v>
      </c>
      <c r="C1424" s="168" t="s">
        <v>42</v>
      </c>
      <c r="D1424">
        <v>11233.4</v>
      </c>
      <c r="E1424">
        <v>2021</v>
      </c>
      <c r="F1424" s="168" t="s">
        <v>592</v>
      </c>
      <c r="G1424" s="168" t="s">
        <v>629</v>
      </c>
      <c r="H1424" s="168" t="s">
        <v>608</v>
      </c>
      <c r="I1424">
        <v>0</v>
      </c>
    </row>
    <row r="1425" spans="1:9" x14ac:dyDescent="0.3">
      <c r="A1425">
        <v>29</v>
      </c>
      <c r="B1425" s="168" t="s">
        <v>27</v>
      </c>
      <c r="C1425" s="168" t="s">
        <v>42</v>
      </c>
      <c r="D1425">
        <v>11233.4</v>
      </c>
      <c r="E1425">
        <v>2021</v>
      </c>
      <c r="F1425" s="168" t="s">
        <v>592</v>
      </c>
      <c r="G1425" s="168" t="s">
        <v>629</v>
      </c>
      <c r="H1425" s="168" t="s">
        <v>609</v>
      </c>
      <c r="I1425">
        <v>85643.74088692831</v>
      </c>
    </row>
    <row r="1426" spans="1:9" x14ac:dyDescent="0.3">
      <c r="A1426">
        <v>29</v>
      </c>
      <c r="B1426" s="168" t="s">
        <v>27</v>
      </c>
      <c r="C1426" s="168" t="s">
        <v>42</v>
      </c>
      <c r="D1426">
        <v>11233.4</v>
      </c>
      <c r="E1426">
        <v>2021</v>
      </c>
      <c r="F1426" s="168" t="s">
        <v>592</v>
      </c>
      <c r="G1426" s="168" t="s">
        <v>617</v>
      </c>
      <c r="H1426" s="168" t="s">
        <v>608</v>
      </c>
      <c r="I1426">
        <v>0</v>
      </c>
    </row>
    <row r="1427" spans="1:9" x14ac:dyDescent="0.3">
      <c r="A1427">
        <v>29</v>
      </c>
      <c r="B1427" s="168" t="s">
        <v>27</v>
      </c>
      <c r="C1427" s="168" t="s">
        <v>42</v>
      </c>
      <c r="D1427">
        <v>11233.4</v>
      </c>
      <c r="E1427">
        <v>2021</v>
      </c>
      <c r="F1427" s="168" t="s">
        <v>592</v>
      </c>
      <c r="G1427" s="168" t="s">
        <v>617</v>
      </c>
      <c r="H1427" s="168" t="s">
        <v>609</v>
      </c>
      <c r="I1427">
        <v>27379.340956284097</v>
      </c>
    </row>
    <row r="1428" spans="1:9" x14ac:dyDescent="0.3">
      <c r="A1428">
        <v>29</v>
      </c>
      <c r="B1428" s="168" t="s">
        <v>27</v>
      </c>
      <c r="C1428" s="168" t="s">
        <v>42</v>
      </c>
      <c r="D1428">
        <v>11233.4</v>
      </c>
      <c r="E1428">
        <v>2021</v>
      </c>
      <c r="F1428" s="168" t="s">
        <v>592</v>
      </c>
      <c r="G1428" s="168" t="s">
        <v>618</v>
      </c>
      <c r="H1428" s="168" t="s">
        <v>608</v>
      </c>
      <c r="I1428">
        <v>0</v>
      </c>
    </row>
    <row r="1429" spans="1:9" x14ac:dyDescent="0.3">
      <c r="A1429">
        <v>29</v>
      </c>
      <c r="B1429" s="168" t="s">
        <v>27</v>
      </c>
      <c r="C1429" s="168" t="s">
        <v>42</v>
      </c>
      <c r="D1429">
        <v>11233.4</v>
      </c>
      <c r="E1429">
        <v>2021</v>
      </c>
      <c r="F1429" s="168" t="s">
        <v>592</v>
      </c>
      <c r="G1429" s="168" t="s">
        <v>618</v>
      </c>
      <c r="H1429" s="168" t="s">
        <v>609</v>
      </c>
      <c r="I1429">
        <v>41000</v>
      </c>
    </row>
    <row r="1430" spans="1:9" x14ac:dyDescent="0.3">
      <c r="A1430">
        <v>29</v>
      </c>
      <c r="B1430" s="168" t="s">
        <v>27</v>
      </c>
      <c r="C1430" s="168" t="s">
        <v>42</v>
      </c>
      <c r="D1430">
        <v>11233.4</v>
      </c>
      <c r="E1430">
        <v>2021</v>
      </c>
      <c r="F1430" s="168" t="s">
        <v>592</v>
      </c>
      <c r="G1430" s="168" t="s">
        <v>610</v>
      </c>
      <c r="H1430" s="168" t="s">
        <v>608</v>
      </c>
      <c r="I1430">
        <v>0</v>
      </c>
    </row>
    <row r="1431" spans="1:9" x14ac:dyDescent="0.3">
      <c r="A1431">
        <v>29</v>
      </c>
      <c r="B1431" s="168" t="s">
        <v>27</v>
      </c>
      <c r="C1431" s="168" t="s">
        <v>42</v>
      </c>
      <c r="D1431">
        <v>11233.4</v>
      </c>
      <c r="E1431">
        <v>2021</v>
      </c>
      <c r="F1431" s="168" t="s">
        <v>592</v>
      </c>
      <c r="G1431" s="168" t="s">
        <v>610</v>
      </c>
      <c r="H1431" s="168" t="s">
        <v>609</v>
      </c>
      <c r="I1431">
        <v>6545.454545454545</v>
      </c>
    </row>
    <row r="1432" spans="1:9" x14ac:dyDescent="0.3">
      <c r="A1432">
        <v>29</v>
      </c>
      <c r="B1432" s="168" t="s">
        <v>27</v>
      </c>
      <c r="C1432" s="168" t="s">
        <v>42</v>
      </c>
      <c r="D1432">
        <v>11233.4</v>
      </c>
      <c r="E1432">
        <v>2021</v>
      </c>
      <c r="F1432" s="168" t="s">
        <v>592</v>
      </c>
      <c r="G1432" s="168" t="s">
        <v>620</v>
      </c>
      <c r="H1432" s="168" t="s">
        <v>608</v>
      </c>
      <c r="I1432">
        <v>50555.165934721219</v>
      </c>
    </row>
    <row r="1433" spans="1:9" x14ac:dyDescent="0.3">
      <c r="A1433">
        <v>29</v>
      </c>
      <c r="B1433" s="168" t="s">
        <v>27</v>
      </c>
      <c r="C1433" s="168" t="s">
        <v>42</v>
      </c>
      <c r="D1433">
        <v>11233.4</v>
      </c>
      <c r="E1433">
        <v>2021</v>
      </c>
      <c r="F1433" s="168" t="s">
        <v>592</v>
      </c>
      <c r="G1433" s="168" t="s">
        <v>620</v>
      </c>
      <c r="H1433" s="168" t="s">
        <v>609</v>
      </c>
      <c r="I1433">
        <v>5476.8096429281322</v>
      </c>
    </row>
    <row r="1434" spans="1:9" x14ac:dyDescent="0.3">
      <c r="A1434">
        <v>29</v>
      </c>
      <c r="B1434" s="168" t="s">
        <v>27</v>
      </c>
      <c r="C1434" s="168" t="s">
        <v>42</v>
      </c>
      <c r="D1434">
        <v>11233.4</v>
      </c>
      <c r="E1434">
        <v>2021</v>
      </c>
      <c r="F1434" s="168" t="s">
        <v>592</v>
      </c>
      <c r="G1434" s="168" t="s">
        <v>633</v>
      </c>
      <c r="H1434" s="168" t="s">
        <v>608</v>
      </c>
      <c r="I1434">
        <v>60814.219976540648</v>
      </c>
    </row>
    <row r="1435" spans="1:9" x14ac:dyDescent="0.3">
      <c r="A1435">
        <v>29</v>
      </c>
      <c r="B1435" s="168" t="s">
        <v>27</v>
      </c>
      <c r="C1435" s="168" t="s">
        <v>42</v>
      </c>
      <c r="D1435">
        <v>11233.4</v>
      </c>
      <c r="E1435">
        <v>2021</v>
      </c>
      <c r="F1435" s="168" t="s">
        <v>592</v>
      </c>
      <c r="G1435" s="168" t="s">
        <v>633</v>
      </c>
      <c r="H1435" s="168" t="s">
        <v>609</v>
      </c>
      <c r="I1435">
        <v>29298.912927116478</v>
      </c>
    </row>
    <row r="1436" spans="1:9" x14ac:dyDescent="0.3">
      <c r="A1436">
        <v>29</v>
      </c>
      <c r="B1436" s="168" t="s">
        <v>27</v>
      </c>
      <c r="C1436" s="168" t="s">
        <v>42</v>
      </c>
      <c r="D1436">
        <v>11233.4</v>
      </c>
      <c r="E1436">
        <v>2021</v>
      </c>
      <c r="F1436" s="168" t="s">
        <v>592</v>
      </c>
      <c r="G1436" s="168" t="s">
        <v>611</v>
      </c>
      <c r="H1436" s="168" t="s">
        <v>608</v>
      </c>
      <c r="I1436">
        <v>0</v>
      </c>
    </row>
    <row r="1437" spans="1:9" x14ac:dyDescent="0.3">
      <c r="A1437">
        <v>29</v>
      </c>
      <c r="B1437" s="168" t="s">
        <v>27</v>
      </c>
      <c r="C1437" s="168" t="s">
        <v>42</v>
      </c>
      <c r="D1437">
        <v>11233.4</v>
      </c>
      <c r="E1437">
        <v>2021</v>
      </c>
      <c r="F1437" s="168" t="s">
        <v>592</v>
      </c>
      <c r="G1437" s="168" t="s">
        <v>611</v>
      </c>
      <c r="H1437" s="168" t="s">
        <v>609</v>
      </c>
      <c r="I1437">
        <v>7010</v>
      </c>
    </row>
    <row r="1438" spans="1:9" x14ac:dyDescent="0.3">
      <c r="A1438">
        <v>29</v>
      </c>
      <c r="B1438" s="168" t="s">
        <v>27</v>
      </c>
      <c r="C1438" s="168" t="s">
        <v>42</v>
      </c>
      <c r="D1438">
        <v>11233.4</v>
      </c>
      <c r="E1438">
        <v>2021</v>
      </c>
      <c r="F1438" s="168" t="s">
        <v>592</v>
      </c>
      <c r="G1438" s="168" t="s">
        <v>621</v>
      </c>
      <c r="H1438" s="168" t="s">
        <v>608</v>
      </c>
      <c r="I1438">
        <v>0</v>
      </c>
    </row>
    <row r="1439" spans="1:9" x14ac:dyDescent="0.3">
      <c r="A1439">
        <v>29</v>
      </c>
      <c r="B1439" s="168" t="s">
        <v>27</v>
      </c>
      <c r="C1439" s="168" t="s">
        <v>42</v>
      </c>
      <c r="D1439">
        <v>11233.4</v>
      </c>
      <c r="E1439">
        <v>2021</v>
      </c>
      <c r="F1439" s="168" t="s">
        <v>592</v>
      </c>
      <c r="G1439" s="168" t="s">
        <v>621</v>
      </c>
      <c r="H1439" s="168" t="s">
        <v>609</v>
      </c>
      <c r="I1439">
        <v>1143540.0584762811</v>
      </c>
    </row>
    <row r="1440" spans="1:9" x14ac:dyDescent="0.3">
      <c r="A1440">
        <v>29</v>
      </c>
      <c r="B1440" s="168" t="s">
        <v>27</v>
      </c>
      <c r="C1440" s="168" t="s">
        <v>42</v>
      </c>
      <c r="D1440">
        <v>11233.4</v>
      </c>
      <c r="E1440">
        <v>2021</v>
      </c>
      <c r="F1440" s="168" t="s">
        <v>592</v>
      </c>
      <c r="G1440" s="168" t="s">
        <v>613</v>
      </c>
      <c r="H1440" s="168" t="s">
        <v>608</v>
      </c>
      <c r="I1440">
        <v>31809.596624615948</v>
      </c>
    </row>
    <row r="1441" spans="1:9" x14ac:dyDescent="0.3">
      <c r="A1441">
        <v>29</v>
      </c>
      <c r="B1441" s="168" t="s">
        <v>27</v>
      </c>
      <c r="C1441" s="168" t="s">
        <v>42</v>
      </c>
      <c r="D1441">
        <v>11233.4</v>
      </c>
      <c r="E1441">
        <v>2021</v>
      </c>
      <c r="F1441" s="168" t="s">
        <v>592</v>
      </c>
      <c r="G1441" s="168" t="s">
        <v>613</v>
      </c>
      <c r="H1441" s="168" t="s">
        <v>609</v>
      </c>
      <c r="I1441">
        <v>698220.64591032011</v>
      </c>
    </row>
    <row r="1442" spans="1:9" x14ac:dyDescent="0.3">
      <c r="A1442">
        <v>29</v>
      </c>
      <c r="B1442" s="168" t="s">
        <v>27</v>
      </c>
      <c r="C1442" s="168" t="s">
        <v>42</v>
      </c>
      <c r="D1442">
        <v>11233.4</v>
      </c>
      <c r="E1442">
        <v>2021</v>
      </c>
      <c r="F1442" s="168" t="s">
        <v>592</v>
      </c>
      <c r="G1442" s="168" t="s">
        <v>622</v>
      </c>
      <c r="H1442" s="168" t="s">
        <v>608</v>
      </c>
      <c r="I1442">
        <v>125231.77956819121</v>
      </c>
    </row>
    <row r="1443" spans="1:9" x14ac:dyDescent="0.3">
      <c r="A1443">
        <v>29</v>
      </c>
      <c r="B1443" s="168" t="s">
        <v>27</v>
      </c>
      <c r="C1443" s="168" t="s">
        <v>42</v>
      </c>
      <c r="D1443">
        <v>11233.4</v>
      </c>
      <c r="E1443">
        <v>2021</v>
      </c>
      <c r="F1443" s="168" t="s">
        <v>592</v>
      </c>
      <c r="G1443" s="168" t="s">
        <v>622</v>
      </c>
      <c r="H1443" s="168" t="s">
        <v>609</v>
      </c>
      <c r="I1443">
        <v>0</v>
      </c>
    </row>
    <row r="1444" spans="1:9" x14ac:dyDescent="0.3">
      <c r="A1444">
        <v>30</v>
      </c>
      <c r="B1444" s="168" t="s">
        <v>43</v>
      </c>
      <c r="C1444" s="168" t="s">
        <v>44</v>
      </c>
      <c r="D1444">
        <v>235.9</v>
      </c>
      <c r="E1444">
        <v>2021</v>
      </c>
      <c r="F1444" s="168" t="s">
        <v>592</v>
      </c>
      <c r="G1444" s="168" t="s">
        <v>607</v>
      </c>
      <c r="H1444" s="168" t="s">
        <v>608</v>
      </c>
      <c r="I1444">
        <v>0</v>
      </c>
    </row>
    <row r="1445" spans="1:9" x14ac:dyDescent="0.3">
      <c r="A1445">
        <v>30</v>
      </c>
      <c r="B1445" s="168" t="s">
        <v>43</v>
      </c>
      <c r="C1445" s="168" t="s">
        <v>44</v>
      </c>
      <c r="D1445">
        <v>235.9</v>
      </c>
      <c r="E1445">
        <v>2021</v>
      </c>
      <c r="F1445" s="168" t="s">
        <v>592</v>
      </c>
      <c r="G1445" s="168" t="s">
        <v>607</v>
      </c>
      <c r="H1445" s="168" t="s">
        <v>609</v>
      </c>
      <c r="I1445">
        <v>20539.661940985508</v>
      </c>
    </row>
    <row r="1446" spans="1:9" x14ac:dyDescent="0.3">
      <c r="A1446">
        <v>30</v>
      </c>
      <c r="B1446" s="168" t="s">
        <v>43</v>
      </c>
      <c r="C1446" s="168" t="s">
        <v>44</v>
      </c>
      <c r="D1446">
        <v>235.9</v>
      </c>
      <c r="E1446">
        <v>2021</v>
      </c>
      <c r="F1446" s="168" t="s">
        <v>592</v>
      </c>
      <c r="G1446" s="168" t="s">
        <v>612</v>
      </c>
      <c r="H1446" s="168" t="s">
        <v>608</v>
      </c>
      <c r="I1446">
        <v>1313.1197866945731</v>
      </c>
    </row>
    <row r="1447" spans="1:9" x14ac:dyDescent="0.3">
      <c r="A1447">
        <v>30</v>
      </c>
      <c r="B1447" s="168" t="s">
        <v>43</v>
      </c>
      <c r="C1447" s="168" t="s">
        <v>44</v>
      </c>
      <c r="D1447">
        <v>235.9</v>
      </c>
      <c r="E1447">
        <v>2021</v>
      </c>
      <c r="F1447" s="168" t="s">
        <v>592</v>
      </c>
      <c r="G1447" s="168" t="s">
        <v>612</v>
      </c>
      <c r="H1447" s="168" t="s">
        <v>609</v>
      </c>
      <c r="I1447">
        <v>1410.2906509099714</v>
      </c>
    </row>
    <row r="1448" spans="1:9" x14ac:dyDescent="0.3">
      <c r="A1448">
        <v>30</v>
      </c>
      <c r="B1448" s="168" t="s">
        <v>43</v>
      </c>
      <c r="C1448" s="168" t="s">
        <v>44</v>
      </c>
      <c r="D1448">
        <v>235.9</v>
      </c>
      <c r="E1448">
        <v>2021</v>
      </c>
      <c r="F1448" s="168" t="s">
        <v>592</v>
      </c>
      <c r="G1448" s="168" t="s">
        <v>617</v>
      </c>
      <c r="H1448" s="168" t="s">
        <v>608</v>
      </c>
      <c r="I1448">
        <v>0</v>
      </c>
    </row>
    <row r="1449" spans="1:9" x14ac:dyDescent="0.3">
      <c r="A1449">
        <v>30</v>
      </c>
      <c r="B1449" s="168" t="s">
        <v>43</v>
      </c>
      <c r="C1449" s="168" t="s">
        <v>44</v>
      </c>
      <c r="D1449">
        <v>235.9</v>
      </c>
      <c r="E1449">
        <v>2021</v>
      </c>
      <c r="F1449" s="168" t="s">
        <v>592</v>
      </c>
      <c r="G1449" s="168" t="s">
        <v>617</v>
      </c>
      <c r="H1449" s="168" t="s">
        <v>609</v>
      </c>
      <c r="I1449">
        <v>330.90618624703245</v>
      </c>
    </row>
    <row r="1450" spans="1:9" x14ac:dyDescent="0.3">
      <c r="A1450">
        <v>30</v>
      </c>
      <c r="B1450" s="168" t="s">
        <v>43</v>
      </c>
      <c r="C1450" s="168" t="s">
        <v>44</v>
      </c>
      <c r="D1450">
        <v>235.9</v>
      </c>
      <c r="E1450">
        <v>2021</v>
      </c>
      <c r="F1450" s="168" t="s">
        <v>592</v>
      </c>
      <c r="G1450" s="168" t="s">
        <v>610</v>
      </c>
      <c r="H1450" s="168" t="s">
        <v>608</v>
      </c>
      <c r="I1450">
        <v>0</v>
      </c>
    </row>
    <row r="1451" spans="1:9" x14ac:dyDescent="0.3">
      <c r="A1451">
        <v>30</v>
      </c>
      <c r="B1451" s="168" t="s">
        <v>43</v>
      </c>
      <c r="C1451" s="168" t="s">
        <v>44</v>
      </c>
      <c r="D1451">
        <v>235.9</v>
      </c>
      <c r="E1451">
        <v>2021</v>
      </c>
      <c r="F1451" s="168" t="s">
        <v>592</v>
      </c>
      <c r="G1451" s="168" t="s">
        <v>610</v>
      </c>
      <c r="H1451" s="168" t="s">
        <v>609</v>
      </c>
      <c r="I1451">
        <v>3272.7272727272725</v>
      </c>
    </row>
    <row r="1452" spans="1:9" x14ac:dyDescent="0.3">
      <c r="A1452">
        <v>30</v>
      </c>
      <c r="B1452" s="168" t="s">
        <v>43</v>
      </c>
      <c r="C1452" s="168" t="s">
        <v>44</v>
      </c>
      <c r="D1452">
        <v>235.9</v>
      </c>
      <c r="E1452">
        <v>2021</v>
      </c>
      <c r="F1452" s="168" t="s">
        <v>592</v>
      </c>
      <c r="G1452" s="168" t="s">
        <v>611</v>
      </c>
      <c r="H1452" s="168" t="s">
        <v>608</v>
      </c>
      <c r="I1452">
        <v>0</v>
      </c>
    </row>
    <row r="1453" spans="1:9" x14ac:dyDescent="0.3">
      <c r="A1453">
        <v>30</v>
      </c>
      <c r="B1453" s="168" t="s">
        <v>43</v>
      </c>
      <c r="C1453" s="168" t="s">
        <v>44</v>
      </c>
      <c r="D1453">
        <v>235.9</v>
      </c>
      <c r="E1453">
        <v>2021</v>
      </c>
      <c r="F1453" s="168" t="s">
        <v>592</v>
      </c>
      <c r="G1453" s="168" t="s">
        <v>611</v>
      </c>
      <c r="H1453" s="168" t="s">
        <v>609</v>
      </c>
      <c r="I1453">
        <v>7010</v>
      </c>
    </row>
    <row r="1454" spans="1:9" x14ac:dyDescent="0.3">
      <c r="A1454">
        <v>30</v>
      </c>
      <c r="B1454" s="168" t="s">
        <v>43</v>
      </c>
      <c r="C1454" s="168" t="s">
        <v>44</v>
      </c>
      <c r="D1454">
        <v>235.9</v>
      </c>
      <c r="E1454">
        <v>2021</v>
      </c>
      <c r="F1454" s="168" t="s">
        <v>592</v>
      </c>
      <c r="G1454" s="168" t="s">
        <v>621</v>
      </c>
      <c r="H1454" s="168" t="s">
        <v>608</v>
      </c>
      <c r="I1454">
        <v>0</v>
      </c>
    </row>
    <row r="1455" spans="1:9" x14ac:dyDescent="0.3">
      <c r="A1455">
        <v>30</v>
      </c>
      <c r="B1455" s="168" t="s">
        <v>43</v>
      </c>
      <c r="C1455" s="168" t="s">
        <v>44</v>
      </c>
      <c r="D1455">
        <v>235.9</v>
      </c>
      <c r="E1455">
        <v>2021</v>
      </c>
      <c r="F1455" s="168" t="s">
        <v>592</v>
      </c>
      <c r="G1455" s="168" t="s">
        <v>621</v>
      </c>
      <c r="H1455" s="168" t="s">
        <v>609</v>
      </c>
      <c r="I1455">
        <v>24014.198710502136</v>
      </c>
    </row>
    <row r="1456" spans="1:9" x14ac:dyDescent="0.3">
      <c r="A1456">
        <v>30</v>
      </c>
      <c r="B1456" s="168" t="s">
        <v>43</v>
      </c>
      <c r="C1456" s="168" t="s">
        <v>44</v>
      </c>
      <c r="D1456">
        <v>235.9</v>
      </c>
      <c r="E1456">
        <v>2021</v>
      </c>
      <c r="F1456" s="168" t="s">
        <v>592</v>
      </c>
      <c r="G1456" s="168" t="s">
        <v>613</v>
      </c>
      <c r="H1456" s="168" t="s">
        <v>608</v>
      </c>
      <c r="I1456">
        <v>667.99756473969614</v>
      </c>
    </row>
    <row r="1457" spans="1:9" x14ac:dyDescent="0.3">
      <c r="A1457">
        <v>30</v>
      </c>
      <c r="B1457" s="168" t="s">
        <v>43</v>
      </c>
      <c r="C1457" s="168" t="s">
        <v>44</v>
      </c>
      <c r="D1457">
        <v>235.9</v>
      </c>
      <c r="E1457">
        <v>2021</v>
      </c>
      <c r="F1457" s="168" t="s">
        <v>592</v>
      </c>
      <c r="G1457" s="168" t="s">
        <v>613</v>
      </c>
      <c r="H1457" s="168" t="s">
        <v>609</v>
      </c>
      <c r="I1457">
        <v>14662.546546036332</v>
      </c>
    </row>
    <row r="1458" spans="1:9" hidden="1" x14ac:dyDescent="0.3">
      <c r="A1458">
        <v>31</v>
      </c>
      <c r="B1458" s="168" t="s">
        <v>45</v>
      </c>
      <c r="C1458" s="168" t="s">
        <v>46</v>
      </c>
      <c r="D1458">
        <v>173.4</v>
      </c>
      <c r="E1458">
        <v>2021</v>
      </c>
      <c r="F1458" s="168" t="s">
        <v>593</v>
      </c>
      <c r="G1458" s="168" t="s">
        <v>607</v>
      </c>
      <c r="H1458" s="168" t="s">
        <v>608</v>
      </c>
      <c r="I1458">
        <v>0</v>
      </c>
    </row>
    <row r="1459" spans="1:9" hidden="1" x14ac:dyDescent="0.3">
      <c r="A1459">
        <v>31</v>
      </c>
      <c r="B1459" s="168" t="s">
        <v>45</v>
      </c>
      <c r="C1459" s="168" t="s">
        <v>46</v>
      </c>
      <c r="D1459">
        <v>173.4</v>
      </c>
      <c r="E1459">
        <v>2021</v>
      </c>
      <c r="F1459" s="168" t="s">
        <v>593</v>
      </c>
      <c r="G1459" s="168" t="s">
        <v>607</v>
      </c>
      <c r="H1459" s="168" t="s">
        <v>609</v>
      </c>
      <c r="I1459">
        <v>15097.826962979596</v>
      </c>
    </row>
    <row r="1460" spans="1:9" hidden="1" x14ac:dyDescent="0.3">
      <c r="A1460">
        <v>31</v>
      </c>
      <c r="B1460" s="168" t="s">
        <v>45</v>
      </c>
      <c r="C1460" s="168" t="s">
        <v>46</v>
      </c>
      <c r="D1460">
        <v>173.4</v>
      </c>
      <c r="E1460">
        <v>2021</v>
      </c>
      <c r="F1460" s="168" t="s">
        <v>593</v>
      </c>
      <c r="G1460" s="168" t="s">
        <v>612</v>
      </c>
      <c r="H1460" s="168" t="s">
        <v>608</v>
      </c>
      <c r="I1460">
        <v>965.2181899654048</v>
      </c>
    </row>
    <row r="1461" spans="1:9" hidden="1" x14ac:dyDescent="0.3">
      <c r="A1461">
        <v>31</v>
      </c>
      <c r="B1461" s="168" t="s">
        <v>45</v>
      </c>
      <c r="C1461" s="168" t="s">
        <v>46</v>
      </c>
      <c r="D1461">
        <v>173.4</v>
      </c>
      <c r="E1461">
        <v>2021</v>
      </c>
      <c r="F1461" s="168" t="s">
        <v>593</v>
      </c>
      <c r="G1461" s="168" t="s">
        <v>612</v>
      </c>
      <c r="H1461" s="168" t="s">
        <v>609</v>
      </c>
      <c r="I1461">
        <v>1036.6443360228448</v>
      </c>
    </row>
    <row r="1462" spans="1:9" hidden="1" x14ac:dyDescent="0.3">
      <c r="A1462">
        <v>31</v>
      </c>
      <c r="B1462" s="168" t="s">
        <v>45</v>
      </c>
      <c r="C1462" s="168" t="s">
        <v>46</v>
      </c>
      <c r="D1462">
        <v>173.4</v>
      </c>
      <c r="E1462">
        <v>2021</v>
      </c>
      <c r="F1462" s="168" t="s">
        <v>593</v>
      </c>
      <c r="G1462" s="168" t="s">
        <v>617</v>
      </c>
      <c r="H1462" s="168" t="s">
        <v>608</v>
      </c>
      <c r="I1462">
        <v>0</v>
      </c>
    </row>
    <row r="1463" spans="1:9" hidden="1" x14ac:dyDescent="0.3">
      <c r="A1463">
        <v>31</v>
      </c>
      <c r="B1463" s="168" t="s">
        <v>45</v>
      </c>
      <c r="C1463" s="168" t="s">
        <v>46</v>
      </c>
      <c r="D1463">
        <v>173.4</v>
      </c>
      <c r="E1463">
        <v>2021</v>
      </c>
      <c r="F1463" s="168" t="s">
        <v>593</v>
      </c>
      <c r="G1463" s="168" t="s">
        <v>617</v>
      </c>
      <c r="H1463" s="168" t="s">
        <v>609</v>
      </c>
      <c r="I1463">
        <v>243.23498387128203</v>
      </c>
    </row>
    <row r="1464" spans="1:9" hidden="1" x14ac:dyDescent="0.3">
      <c r="A1464">
        <v>32</v>
      </c>
      <c r="B1464" s="168" t="s">
        <v>30</v>
      </c>
      <c r="C1464" s="168" t="s">
        <v>47</v>
      </c>
      <c r="D1464">
        <v>1971</v>
      </c>
      <c r="E1464">
        <v>2021</v>
      </c>
      <c r="F1464" s="168" t="s">
        <v>591</v>
      </c>
      <c r="G1464" s="168" t="s">
        <v>607</v>
      </c>
      <c r="H1464" s="168" t="s">
        <v>608</v>
      </c>
      <c r="I1464">
        <v>1812328.73</v>
      </c>
    </row>
    <row r="1465" spans="1:9" hidden="1" x14ac:dyDescent="0.3">
      <c r="A1465">
        <v>32</v>
      </c>
      <c r="B1465" s="168" t="s">
        <v>30</v>
      </c>
      <c r="C1465" s="168" t="s">
        <v>47</v>
      </c>
      <c r="D1465">
        <v>1971</v>
      </c>
      <c r="E1465">
        <v>2021</v>
      </c>
      <c r="F1465" s="168" t="s">
        <v>591</v>
      </c>
      <c r="G1465" s="168" t="s">
        <v>607</v>
      </c>
      <c r="H1465" s="168" t="s">
        <v>609</v>
      </c>
      <c r="I1465">
        <v>776712.31</v>
      </c>
    </row>
    <row r="1466" spans="1:9" hidden="1" x14ac:dyDescent="0.3">
      <c r="A1466">
        <v>32</v>
      </c>
      <c r="B1466" s="168" t="s">
        <v>30</v>
      </c>
      <c r="C1466" s="168" t="s">
        <v>47</v>
      </c>
      <c r="D1466">
        <v>1971</v>
      </c>
      <c r="E1466">
        <v>2021</v>
      </c>
      <c r="F1466" s="168" t="s">
        <v>591</v>
      </c>
      <c r="G1466" s="168" t="s">
        <v>612</v>
      </c>
      <c r="H1466" s="168" t="s">
        <v>608</v>
      </c>
      <c r="I1466">
        <v>10971.424754451054</v>
      </c>
    </row>
    <row r="1467" spans="1:9" hidden="1" x14ac:dyDescent="0.3">
      <c r="A1467">
        <v>32</v>
      </c>
      <c r="B1467" s="168" t="s">
        <v>30</v>
      </c>
      <c r="C1467" s="168" t="s">
        <v>47</v>
      </c>
      <c r="D1467">
        <v>1971</v>
      </c>
      <c r="E1467">
        <v>2021</v>
      </c>
      <c r="F1467" s="168" t="s">
        <v>591</v>
      </c>
      <c r="G1467" s="168" t="s">
        <v>612</v>
      </c>
      <c r="H1467" s="168" t="s">
        <v>609</v>
      </c>
      <c r="I1467">
        <v>11783.310186280432</v>
      </c>
    </row>
    <row r="1468" spans="1:9" hidden="1" x14ac:dyDescent="0.3">
      <c r="A1468">
        <v>32</v>
      </c>
      <c r="B1468" s="168" t="s">
        <v>30</v>
      </c>
      <c r="C1468" s="168" t="s">
        <v>47</v>
      </c>
      <c r="D1468">
        <v>1971</v>
      </c>
      <c r="E1468">
        <v>2021</v>
      </c>
      <c r="F1468" s="168" t="s">
        <v>591</v>
      </c>
      <c r="G1468" s="168" t="s">
        <v>629</v>
      </c>
      <c r="H1468" s="168" t="s">
        <v>608</v>
      </c>
      <c r="I1468">
        <v>0</v>
      </c>
    </row>
    <row r="1469" spans="1:9" hidden="1" x14ac:dyDescent="0.3">
      <c r="A1469">
        <v>32</v>
      </c>
      <c r="B1469" s="168" t="s">
        <v>30</v>
      </c>
      <c r="C1469" s="168" t="s">
        <v>47</v>
      </c>
      <c r="D1469">
        <v>1971</v>
      </c>
      <c r="E1469">
        <v>2021</v>
      </c>
      <c r="F1469" s="168" t="s">
        <v>591</v>
      </c>
      <c r="G1469" s="168" t="s">
        <v>629</v>
      </c>
      <c r="H1469" s="168" t="s">
        <v>609</v>
      </c>
      <c r="I1469">
        <v>8386.8036750804349</v>
      </c>
    </row>
    <row r="1470" spans="1:9" hidden="1" x14ac:dyDescent="0.3">
      <c r="A1470">
        <v>32</v>
      </c>
      <c r="B1470" s="168" t="s">
        <v>30</v>
      </c>
      <c r="C1470" s="168" t="s">
        <v>47</v>
      </c>
      <c r="D1470">
        <v>1971</v>
      </c>
      <c r="E1470">
        <v>2021</v>
      </c>
      <c r="F1470" s="168" t="s">
        <v>591</v>
      </c>
      <c r="G1470" s="168" t="s">
        <v>610</v>
      </c>
      <c r="H1470" s="168" t="s">
        <v>608</v>
      </c>
      <c r="I1470">
        <v>0</v>
      </c>
    </row>
    <row r="1471" spans="1:9" hidden="1" x14ac:dyDescent="0.3">
      <c r="A1471">
        <v>32</v>
      </c>
      <c r="B1471" s="168" t="s">
        <v>30</v>
      </c>
      <c r="C1471" s="168" t="s">
        <v>47</v>
      </c>
      <c r="D1471">
        <v>1971</v>
      </c>
      <c r="E1471">
        <v>2021</v>
      </c>
      <c r="F1471" s="168" t="s">
        <v>591</v>
      </c>
      <c r="G1471" s="168" t="s">
        <v>610</v>
      </c>
      <c r="H1471" s="168" t="s">
        <v>609</v>
      </c>
      <c r="I1471">
        <v>6545.454545454545</v>
      </c>
    </row>
    <row r="1472" spans="1:9" hidden="1" x14ac:dyDescent="0.3">
      <c r="A1472">
        <v>32</v>
      </c>
      <c r="B1472" s="168" t="s">
        <v>30</v>
      </c>
      <c r="C1472" s="168" t="s">
        <v>47</v>
      </c>
      <c r="D1472">
        <v>1971</v>
      </c>
      <c r="E1472">
        <v>2021</v>
      </c>
      <c r="F1472" s="168" t="s">
        <v>591</v>
      </c>
      <c r="G1472" s="168" t="s">
        <v>620</v>
      </c>
      <c r="H1472" s="168" t="s">
        <v>608</v>
      </c>
      <c r="I1472">
        <v>8870.3537715505117</v>
      </c>
    </row>
    <row r="1473" spans="1:9" hidden="1" x14ac:dyDescent="0.3">
      <c r="A1473">
        <v>32</v>
      </c>
      <c r="B1473" s="168" t="s">
        <v>30</v>
      </c>
      <c r="C1473" s="168" t="s">
        <v>47</v>
      </c>
      <c r="D1473">
        <v>1971</v>
      </c>
      <c r="E1473">
        <v>2021</v>
      </c>
      <c r="F1473" s="168" t="s">
        <v>591</v>
      </c>
      <c r="G1473" s="168" t="s">
        <v>620</v>
      </c>
      <c r="H1473" s="168" t="s">
        <v>609</v>
      </c>
      <c r="I1473">
        <v>960.95499191797205</v>
      </c>
    </row>
    <row r="1474" spans="1:9" hidden="1" x14ac:dyDescent="0.3">
      <c r="A1474">
        <v>32</v>
      </c>
      <c r="B1474" s="168" t="s">
        <v>30</v>
      </c>
      <c r="C1474" s="168" t="s">
        <v>47</v>
      </c>
      <c r="D1474">
        <v>1971</v>
      </c>
      <c r="E1474">
        <v>2021</v>
      </c>
      <c r="F1474" s="168" t="s">
        <v>591</v>
      </c>
      <c r="G1474" s="168" t="s">
        <v>633</v>
      </c>
      <c r="H1474" s="168" t="s">
        <v>608</v>
      </c>
      <c r="I1474">
        <v>10670.396102138411</v>
      </c>
    </row>
    <row r="1475" spans="1:9" hidden="1" x14ac:dyDescent="0.3">
      <c r="A1475">
        <v>32</v>
      </c>
      <c r="B1475" s="168" t="s">
        <v>30</v>
      </c>
      <c r="C1475" s="168" t="s">
        <v>47</v>
      </c>
      <c r="D1475">
        <v>1971</v>
      </c>
      <c r="E1475">
        <v>2021</v>
      </c>
      <c r="F1475" s="168" t="s">
        <v>591</v>
      </c>
      <c r="G1475" s="168" t="s">
        <v>633</v>
      </c>
      <c r="H1475" s="168" t="s">
        <v>609</v>
      </c>
      <c r="I1475">
        <v>5140.7550144521329</v>
      </c>
    </row>
    <row r="1476" spans="1:9" hidden="1" x14ac:dyDescent="0.3">
      <c r="A1476">
        <v>32</v>
      </c>
      <c r="B1476" s="168" t="s">
        <v>30</v>
      </c>
      <c r="C1476" s="168" t="s">
        <v>47</v>
      </c>
      <c r="D1476">
        <v>1971</v>
      </c>
      <c r="E1476">
        <v>2021</v>
      </c>
      <c r="F1476" s="168" t="s">
        <v>591</v>
      </c>
      <c r="G1476" s="168" t="s">
        <v>613</v>
      </c>
      <c r="H1476" s="168" t="s">
        <v>608</v>
      </c>
      <c r="I1476">
        <v>5581.2768126407</v>
      </c>
    </row>
    <row r="1477" spans="1:9" hidden="1" x14ac:dyDescent="0.3">
      <c r="A1477">
        <v>32</v>
      </c>
      <c r="B1477" s="168" t="s">
        <v>30</v>
      </c>
      <c r="C1477" s="168" t="s">
        <v>47</v>
      </c>
      <c r="D1477">
        <v>1971</v>
      </c>
      <c r="E1477">
        <v>2021</v>
      </c>
      <c r="F1477" s="168" t="s">
        <v>591</v>
      </c>
      <c r="G1477" s="168" t="s">
        <v>613</v>
      </c>
      <c r="H1477" s="168" t="s">
        <v>609</v>
      </c>
      <c r="I1477">
        <v>122509.02603746337</v>
      </c>
    </row>
    <row r="1478" spans="1:9" hidden="1" x14ac:dyDescent="0.3">
      <c r="A1478">
        <v>33</v>
      </c>
      <c r="B1478" s="168" t="s">
        <v>48</v>
      </c>
      <c r="C1478" s="168" t="s">
        <v>49</v>
      </c>
      <c r="D1478">
        <v>126.6</v>
      </c>
      <c r="E1478">
        <v>2021</v>
      </c>
      <c r="F1478" s="168" t="s">
        <v>593</v>
      </c>
      <c r="G1478" s="168" t="s">
        <v>607</v>
      </c>
      <c r="H1478" s="168" t="s">
        <v>608</v>
      </c>
      <c r="I1478">
        <v>0</v>
      </c>
    </row>
    <row r="1479" spans="1:9" hidden="1" x14ac:dyDescent="0.3">
      <c r="A1479">
        <v>33</v>
      </c>
      <c r="B1479" s="168" t="s">
        <v>48</v>
      </c>
      <c r="C1479" s="168" t="s">
        <v>49</v>
      </c>
      <c r="D1479">
        <v>126.6</v>
      </c>
      <c r="E1479">
        <v>2021</v>
      </c>
      <c r="F1479" s="168" t="s">
        <v>593</v>
      </c>
      <c r="G1479" s="168" t="s">
        <v>607</v>
      </c>
      <c r="H1479" s="168" t="s">
        <v>609</v>
      </c>
      <c r="I1479">
        <v>11022.980931448788</v>
      </c>
    </row>
    <row r="1480" spans="1:9" hidden="1" x14ac:dyDescent="0.3">
      <c r="A1480">
        <v>33</v>
      </c>
      <c r="B1480" s="168" t="s">
        <v>48</v>
      </c>
      <c r="C1480" s="168" t="s">
        <v>49</v>
      </c>
      <c r="D1480">
        <v>126.6</v>
      </c>
      <c r="E1480">
        <v>2021</v>
      </c>
      <c r="F1480" s="168" t="s">
        <v>593</v>
      </c>
      <c r="G1480" s="168" t="s">
        <v>612</v>
      </c>
      <c r="H1480" s="168" t="s">
        <v>608</v>
      </c>
      <c r="I1480">
        <v>704.70947433460333</v>
      </c>
    </row>
    <row r="1481" spans="1:9" hidden="1" x14ac:dyDescent="0.3">
      <c r="A1481">
        <v>33</v>
      </c>
      <c r="B1481" s="168" t="s">
        <v>48</v>
      </c>
      <c r="C1481" s="168" t="s">
        <v>49</v>
      </c>
      <c r="D1481">
        <v>126.6</v>
      </c>
      <c r="E1481">
        <v>2021</v>
      </c>
      <c r="F1481" s="168" t="s">
        <v>593</v>
      </c>
      <c r="G1481" s="168" t="s">
        <v>612</v>
      </c>
      <c r="H1481" s="168" t="s">
        <v>609</v>
      </c>
      <c r="I1481">
        <v>756.85797543536398</v>
      </c>
    </row>
    <row r="1482" spans="1:9" hidden="1" x14ac:dyDescent="0.3">
      <c r="A1482">
        <v>33</v>
      </c>
      <c r="B1482" s="168" t="s">
        <v>48</v>
      </c>
      <c r="C1482" s="168" t="s">
        <v>49</v>
      </c>
      <c r="D1482">
        <v>126.6</v>
      </c>
      <c r="E1482">
        <v>2021</v>
      </c>
      <c r="F1482" s="168" t="s">
        <v>593</v>
      </c>
      <c r="G1482" s="168" t="s">
        <v>617</v>
      </c>
      <c r="H1482" s="168" t="s">
        <v>608</v>
      </c>
      <c r="I1482">
        <v>0</v>
      </c>
    </row>
    <row r="1483" spans="1:9" hidden="1" x14ac:dyDescent="0.3">
      <c r="A1483">
        <v>33</v>
      </c>
      <c r="B1483" s="168" t="s">
        <v>48</v>
      </c>
      <c r="C1483" s="168" t="s">
        <v>49</v>
      </c>
      <c r="D1483">
        <v>126.6</v>
      </c>
      <c r="E1483">
        <v>2021</v>
      </c>
      <c r="F1483" s="168" t="s">
        <v>593</v>
      </c>
      <c r="G1483" s="168" t="s">
        <v>617</v>
      </c>
      <c r="H1483" s="168" t="s">
        <v>609</v>
      </c>
      <c r="I1483">
        <v>177.58678753232007</v>
      </c>
    </row>
    <row r="1484" spans="1:9" hidden="1" x14ac:dyDescent="0.3">
      <c r="A1484">
        <v>34</v>
      </c>
      <c r="B1484" s="168" t="s">
        <v>48</v>
      </c>
      <c r="C1484" s="168" t="s">
        <v>50</v>
      </c>
      <c r="D1484">
        <v>71</v>
      </c>
      <c r="E1484">
        <v>2021</v>
      </c>
      <c r="F1484" s="168" t="s">
        <v>593</v>
      </c>
      <c r="G1484" s="168" t="s">
        <v>607</v>
      </c>
      <c r="H1484" s="168" t="s">
        <v>608</v>
      </c>
      <c r="I1484">
        <v>0</v>
      </c>
    </row>
    <row r="1485" spans="1:9" hidden="1" x14ac:dyDescent="0.3">
      <c r="A1485">
        <v>34</v>
      </c>
      <c r="B1485" s="168" t="s">
        <v>48</v>
      </c>
      <c r="C1485" s="168" t="s">
        <v>50</v>
      </c>
      <c r="D1485">
        <v>71</v>
      </c>
      <c r="E1485">
        <v>2021</v>
      </c>
      <c r="F1485" s="168" t="s">
        <v>593</v>
      </c>
      <c r="G1485" s="168" t="s">
        <v>607</v>
      </c>
      <c r="H1485" s="168" t="s">
        <v>609</v>
      </c>
      <c r="I1485">
        <v>6181.9245350147103</v>
      </c>
    </row>
    <row r="1486" spans="1:9" hidden="1" x14ac:dyDescent="0.3">
      <c r="A1486">
        <v>34</v>
      </c>
      <c r="B1486" s="168" t="s">
        <v>48</v>
      </c>
      <c r="C1486" s="168" t="s">
        <v>50</v>
      </c>
      <c r="D1486">
        <v>71</v>
      </c>
      <c r="E1486">
        <v>2021</v>
      </c>
      <c r="F1486" s="168" t="s">
        <v>593</v>
      </c>
      <c r="G1486" s="168" t="s">
        <v>612</v>
      </c>
      <c r="H1486" s="168" t="s">
        <v>608</v>
      </c>
      <c r="I1486">
        <v>395.21621388433527</v>
      </c>
    </row>
    <row r="1487" spans="1:9" hidden="1" x14ac:dyDescent="0.3">
      <c r="A1487">
        <v>34</v>
      </c>
      <c r="B1487" s="168" t="s">
        <v>48</v>
      </c>
      <c r="C1487" s="168" t="s">
        <v>50</v>
      </c>
      <c r="D1487">
        <v>71</v>
      </c>
      <c r="E1487">
        <v>2021</v>
      </c>
      <c r="F1487" s="168" t="s">
        <v>593</v>
      </c>
      <c r="G1487" s="168" t="s">
        <v>612</v>
      </c>
      <c r="H1487" s="168" t="s">
        <v>609</v>
      </c>
      <c r="I1487">
        <v>424.46221371177609</v>
      </c>
    </row>
    <row r="1488" spans="1:9" hidden="1" x14ac:dyDescent="0.3">
      <c r="A1488">
        <v>34</v>
      </c>
      <c r="B1488" s="168" t="s">
        <v>48</v>
      </c>
      <c r="C1488" s="168" t="s">
        <v>50</v>
      </c>
      <c r="D1488">
        <v>71</v>
      </c>
      <c r="E1488">
        <v>2021</v>
      </c>
      <c r="F1488" s="168" t="s">
        <v>593</v>
      </c>
      <c r="G1488" s="168" t="s">
        <v>617</v>
      </c>
      <c r="H1488" s="168" t="s">
        <v>608</v>
      </c>
      <c r="I1488">
        <v>0</v>
      </c>
    </row>
    <row r="1489" spans="1:9" hidden="1" x14ac:dyDescent="0.3">
      <c r="A1489">
        <v>34</v>
      </c>
      <c r="B1489" s="168" t="s">
        <v>48</v>
      </c>
      <c r="C1489" s="168" t="s">
        <v>50</v>
      </c>
      <c r="D1489">
        <v>71</v>
      </c>
      <c r="E1489">
        <v>2021</v>
      </c>
      <c r="F1489" s="168" t="s">
        <v>593</v>
      </c>
      <c r="G1489" s="168" t="s">
        <v>617</v>
      </c>
      <c r="H1489" s="168" t="s">
        <v>609</v>
      </c>
      <c r="I1489">
        <v>99.594485898852497</v>
      </c>
    </row>
    <row r="1490" spans="1:9" hidden="1" x14ac:dyDescent="0.3">
      <c r="A1490">
        <v>35</v>
      </c>
      <c r="B1490" s="168" t="s">
        <v>48</v>
      </c>
      <c r="C1490" s="168" t="s">
        <v>51</v>
      </c>
      <c r="D1490">
        <v>34.700000000000003</v>
      </c>
      <c r="E1490">
        <v>2021</v>
      </c>
      <c r="F1490" s="168" t="s">
        <v>593</v>
      </c>
      <c r="G1490" s="168" t="s">
        <v>607</v>
      </c>
      <c r="H1490" s="168" t="s">
        <v>608</v>
      </c>
      <c r="I1490">
        <v>0</v>
      </c>
    </row>
    <row r="1491" spans="1:9" hidden="1" x14ac:dyDescent="0.3">
      <c r="A1491">
        <v>35</v>
      </c>
      <c r="B1491" s="168" t="s">
        <v>48</v>
      </c>
      <c r="C1491" s="168" t="s">
        <v>51</v>
      </c>
      <c r="D1491">
        <v>34.700000000000003</v>
      </c>
      <c r="E1491">
        <v>2021</v>
      </c>
      <c r="F1491" s="168" t="s">
        <v>593</v>
      </c>
      <c r="G1491" s="168" t="s">
        <v>607</v>
      </c>
      <c r="H1491" s="168" t="s">
        <v>609</v>
      </c>
      <c r="I1491">
        <v>3021.3067797888698</v>
      </c>
    </row>
    <row r="1492" spans="1:9" hidden="1" x14ac:dyDescent="0.3">
      <c r="A1492">
        <v>35</v>
      </c>
      <c r="B1492" s="168" t="s">
        <v>48</v>
      </c>
      <c r="C1492" s="168" t="s">
        <v>51</v>
      </c>
      <c r="D1492">
        <v>34.700000000000003</v>
      </c>
      <c r="E1492">
        <v>2021</v>
      </c>
      <c r="F1492" s="168" t="s">
        <v>593</v>
      </c>
      <c r="G1492" s="168" t="s">
        <v>612</v>
      </c>
      <c r="H1492" s="168" t="s">
        <v>608</v>
      </c>
      <c r="I1492">
        <v>193.15496650403429</v>
      </c>
    </row>
    <row r="1493" spans="1:9" hidden="1" x14ac:dyDescent="0.3">
      <c r="A1493">
        <v>35</v>
      </c>
      <c r="B1493" s="168" t="s">
        <v>48</v>
      </c>
      <c r="C1493" s="168" t="s">
        <v>51</v>
      </c>
      <c r="D1493">
        <v>34.700000000000003</v>
      </c>
      <c r="E1493">
        <v>2021</v>
      </c>
      <c r="F1493" s="168" t="s">
        <v>593</v>
      </c>
      <c r="G1493" s="168" t="s">
        <v>612</v>
      </c>
      <c r="H1493" s="168" t="s">
        <v>609</v>
      </c>
      <c r="I1493">
        <v>207.44843402533283</v>
      </c>
    </row>
    <row r="1494" spans="1:9" hidden="1" x14ac:dyDescent="0.3">
      <c r="A1494">
        <v>35</v>
      </c>
      <c r="B1494" s="168" t="s">
        <v>48</v>
      </c>
      <c r="C1494" s="168" t="s">
        <v>51</v>
      </c>
      <c r="D1494">
        <v>34.700000000000003</v>
      </c>
      <c r="E1494">
        <v>2021</v>
      </c>
      <c r="F1494" s="168" t="s">
        <v>593</v>
      </c>
      <c r="G1494" s="168" t="s">
        <v>617</v>
      </c>
      <c r="H1494" s="168" t="s">
        <v>608</v>
      </c>
      <c r="I1494">
        <v>0</v>
      </c>
    </row>
    <row r="1495" spans="1:9" hidden="1" x14ac:dyDescent="0.3">
      <c r="A1495">
        <v>35</v>
      </c>
      <c r="B1495" s="168" t="s">
        <v>48</v>
      </c>
      <c r="C1495" s="168" t="s">
        <v>51</v>
      </c>
      <c r="D1495">
        <v>34.700000000000003</v>
      </c>
      <c r="E1495">
        <v>2021</v>
      </c>
      <c r="F1495" s="168" t="s">
        <v>593</v>
      </c>
      <c r="G1495" s="168" t="s">
        <v>617</v>
      </c>
      <c r="H1495" s="168" t="s">
        <v>609</v>
      </c>
      <c r="I1495">
        <v>48.675051559016644</v>
      </c>
    </row>
    <row r="1496" spans="1:9" hidden="1" x14ac:dyDescent="0.3">
      <c r="A1496">
        <v>36</v>
      </c>
      <c r="B1496" s="168" t="s">
        <v>48</v>
      </c>
      <c r="C1496" s="168" t="s">
        <v>52</v>
      </c>
      <c r="D1496">
        <v>97</v>
      </c>
      <c r="E1496">
        <v>2021</v>
      </c>
      <c r="F1496" s="168" t="s">
        <v>593</v>
      </c>
      <c r="G1496" s="168" t="s">
        <v>607</v>
      </c>
      <c r="H1496" s="168" t="s">
        <v>608</v>
      </c>
      <c r="I1496">
        <v>0</v>
      </c>
    </row>
    <row r="1497" spans="1:9" hidden="1" x14ac:dyDescent="0.3">
      <c r="A1497">
        <v>36</v>
      </c>
      <c r="B1497" s="168" t="s">
        <v>48</v>
      </c>
      <c r="C1497" s="168" t="s">
        <v>52</v>
      </c>
      <c r="D1497">
        <v>97</v>
      </c>
      <c r="E1497">
        <v>2021</v>
      </c>
      <c r="F1497" s="168" t="s">
        <v>593</v>
      </c>
      <c r="G1497" s="168" t="s">
        <v>607</v>
      </c>
      <c r="H1497" s="168" t="s">
        <v>609</v>
      </c>
      <c r="I1497">
        <v>8445.7278858651644</v>
      </c>
    </row>
    <row r="1498" spans="1:9" hidden="1" x14ac:dyDescent="0.3">
      <c r="A1498">
        <v>36</v>
      </c>
      <c r="B1498" s="168" t="s">
        <v>48</v>
      </c>
      <c r="C1498" s="168" t="s">
        <v>52</v>
      </c>
      <c r="D1498">
        <v>97</v>
      </c>
      <c r="E1498">
        <v>2021</v>
      </c>
      <c r="F1498" s="168" t="s">
        <v>593</v>
      </c>
      <c r="G1498" s="168" t="s">
        <v>612</v>
      </c>
      <c r="H1498" s="168" t="s">
        <v>608</v>
      </c>
      <c r="I1498">
        <v>539.9432781236693</v>
      </c>
    </row>
    <row r="1499" spans="1:9" hidden="1" x14ac:dyDescent="0.3">
      <c r="A1499">
        <v>36</v>
      </c>
      <c r="B1499" s="168" t="s">
        <v>48</v>
      </c>
      <c r="C1499" s="168" t="s">
        <v>52</v>
      </c>
      <c r="D1499">
        <v>97</v>
      </c>
      <c r="E1499">
        <v>2021</v>
      </c>
      <c r="F1499" s="168" t="s">
        <v>593</v>
      </c>
      <c r="G1499" s="168" t="s">
        <v>612</v>
      </c>
      <c r="H1499" s="168" t="s">
        <v>609</v>
      </c>
      <c r="I1499">
        <v>579.89908070482079</v>
      </c>
    </row>
    <row r="1500" spans="1:9" hidden="1" x14ac:dyDescent="0.3">
      <c r="A1500">
        <v>36</v>
      </c>
      <c r="B1500" s="168" t="s">
        <v>48</v>
      </c>
      <c r="C1500" s="168" t="s">
        <v>52</v>
      </c>
      <c r="D1500">
        <v>97</v>
      </c>
      <c r="E1500">
        <v>2021</v>
      </c>
      <c r="F1500" s="168" t="s">
        <v>593</v>
      </c>
      <c r="G1500" s="168" t="s">
        <v>617</v>
      </c>
      <c r="H1500" s="168" t="s">
        <v>608</v>
      </c>
      <c r="I1500">
        <v>0</v>
      </c>
    </row>
    <row r="1501" spans="1:9" hidden="1" x14ac:dyDescent="0.3">
      <c r="A1501">
        <v>36</v>
      </c>
      <c r="B1501" s="168" t="s">
        <v>48</v>
      </c>
      <c r="C1501" s="168" t="s">
        <v>52</v>
      </c>
      <c r="D1501">
        <v>97</v>
      </c>
      <c r="E1501">
        <v>2021</v>
      </c>
      <c r="F1501" s="168" t="s">
        <v>593</v>
      </c>
      <c r="G1501" s="168" t="s">
        <v>617</v>
      </c>
      <c r="H1501" s="168" t="s">
        <v>609</v>
      </c>
      <c r="I1501">
        <v>136.06570608716467</v>
      </c>
    </row>
    <row r="1502" spans="1:9" hidden="1" x14ac:dyDescent="0.3">
      <c r="A1502">
        <v>37</v>
      </c>
      <c r="B1502" s="168" t="s">
        <v>294</v>
      </c>
      <c r="C1502" s="168" t="s">
        <v>54</v>
      </c>
      <c r="D1502">
        <v>971.9</v>
      </c>
      <c r="E1502">
        <v>2021</v>
      </c>
      <c r="F1502" s="168" t="s">
        <v>591</v>
      </c>
      <c r="G1502" s="168" t="s">
        <v>607</v>
      </c>
      <c r="H1502" s="168" t="s">
        <v>608</v>
      </c>
      <c r="I1502">
        <v>1812328.7279999999</v>
      </c>
    </row>
    <row r="1503" spans="1:9" hidden="1" x14ac:dyDescent="0.3">
      <c r="A1503">
        <v>37</v>
      </c>
      <c r="B1503" s="168" t="s">
        <v>294</v>
      </c>
      <c r="C1503" s="168" t="s">
        <v>54</v>
      </c>
      <c r="D1503">
        <v>971.9</v>
      </c>
      <c r="E1503">
        <v>2021</v>
      </c>
      <c r="F1503" s="168" t="s">
        <v>591</v>
      </c>
      <c r="G1503" s="168" t="s">
        <v>607</v>
      </c>
      <c r="H1503" s="168" t="s">
        <v>609</v>
      </c>
      <c r="I1503">
        <v>776712.31200000003</v>
      </c>
    </row>
    <row r="1504" spans="1:9" hidden="1" x14ac:dyDescent="0.3">
      <c r="A1504">
        <v>37</v>
      </c>
      <c r="B1504" s="168" t="s">
        <v>294</v>
      </c>
      <c r="C1504" s="168" t="s">
        <v>54</v>
      </c>
      <c r="D1504">
        <v>971.9</v>
      </c>
      <c r="E1504">
        <v>2021</v>
      </c>
      <c r="F1504" s="168" t="s">
        <v>591</v>
      </c>
      <c r="G1504" s="168" t="s">
        <v>629</v>
      </c>
      <c r="H1504" s="168" t="s">
        <v>608</v>
      </c>
      <c r="I1504">
        <v>88442.9</v>
      </c>
    </row>
    <row r="1505" spans="1:9" hidden="1" x14ac:dyDescent="0.3">
      <c r="A1505">
        <v>37</v>
      </c>
      <c r="B1505" s="168" t="s">
        <v>294</v>
      </c>
      <c r="C1505" s="168" t="s">
        <v>54</v>
      </c>
      <c r="D1505">
        <v>971.9</v>
      </c>
      <c r="E1505">
        <v>2021</v>
      </c>
      <c r="F1505" s="168" t="s">
        <v>591</v>
      </c>
      <c r="G1505" s="168" t="s">
        <v>629</v>
      </c>
      <c r="H1505" s="168" t="s">
        <v>609</v>
      </c>
      <c r="I1505">
        <v>37904.1</v>
      </c>
    </row>
    <row r="1506" spans="1:9" hidden="1" x14ac:dyDescent="0.3">
      <c r="A1506">
        <v>37</v>
      </c>
      <c r="B1506" s="168" t="s">
        <v>294</v>
      </c>
      <c r="C1506" s="168" t="s">
        <v>54</v>
      </c>
      <c r="D1506">
        <v>971.9</v>
      </c>
      <c r="E1506">
        <v>2021</v>
      </c>
      <c r="F1506" s="168" t="s">
        <v>591</v>
      </c>
      <c r="G1506" s="168" t="s">
        <v>610</v>
      </c>
      <c r="H1506" s="168" t="s">
        <v>608</v>
      </c>
      <c r="I1506">
        <v>0</v>
      </c>
    </row>
    <row r="1507" spans="1:9" hidden="1" x14ac:dyDescent="0.3">
      <c r="A1507">
        <v>37</v>
      </c>
      <c r="B1507" s="168" t="s">
        <v>294</v>
      </c>
      <c r="C1507" s="168" t="s">
        <v>54</v>
      </c>
      <c r="D1507">
        <v>971.9</v>
      </c>
      <c r="E1507">
        <v>2021</v>
      </c>
      <c r="F1507" s="168" t="s">
        <v>591</v>
      </c>
      <c r="G1507" s="168" t="s">
        <v>610</v>
      </c>
      <c r="H1507" s="168" t="s">
        <v>609</v>
      </c>
      <c r="I1507">
        <v>3272.7272727272725</v>
      </c>
    </row>
    <row r="1508" spans="1:9" hidden="1" x14ac:dyDescent="0.3">
      <c r="A1508">
        <v>37</v>
      </c>
      <c r="B1508" s="168" t="s">
        <v>294</v>
      </c>
      <c r="C1508" s="168" t="s">
        <v>54</v>
      </c>
      <c r="D1508">
        <v>971.9</v>
      </c>
      <c r="E1508">
        <v>2021</v>
      </c>
      <c r="F1508" s="168" t="s">
        <v>591</v>
      </c>
      <c r="G1508" s="168" t="s">
        <v>633</v>
      </c>
      <c r="H1508" s="168" t="s">
        <v>608</v>
      </c>
      <c r="I1508">
        <v>5110.4160150140751</v>
      </c>
    </row>
    <row r="1509" spans="1:9" hidden="1" x14ac:dyDescent="0.3">
      <c r="A1509">
        <v>37</v>
      </c>
      <c r="B1509" s="168" t="s">
        <v>294</v>
      </c>
      <c r="C1509" s="168" t="s">
        <v>54</v>
      </c>
      <c r="D1509">
        <v>971.9</v>
      </c>
      <c r="E1509">
        <v>2021</v>
      </c>
      <c r="F1509" s="168" t="s">
        <v>591</v>
      </c>
      <c r="G1509" s="168" t="s">
        <v>633</v>
      </c>
      <c r="H1509" s="168" t="s">
        <v>609</v>
      </c>
      <c r="I1509">
        <v>2190.1782921488893</v>
      </c>
    </row>
    <row r="1510" spans="1:9" hidden="1" x14ac:dyDescent="0.3">
      <c r="A1510">
        <v>37</v>
      </c>
      <c r="B1510" s="168" t="s">
        <v>294</v>
      </c>
      <c r="C1510" s="168" t="s">
        <v>54</v>
      </c>
      <c r="D1510">
        <v>971.9</v>
      </c>
      <c r="E1510">
        <v>2021</v>
      </c>
      <c r="F1510" s="168" t="s">
        <v>591</v>
      </c>
      <c r="G1510" s="168" t="s">
        <v>630</v>
      </c>
      <c r="H1510" s="168" t="s">
        <v>608</v>
      </c>
      <c r="I1510">
        <v>101880.821</v>
      </c>
    </row>
    <row r="1511" spans="1:9" hidden="1" x14ac:dyDescent="0.3">
      <c r="A1511">
        <v>37</v>
      </c>
      <c r="B1511" s="168" t="s">
        <v>294</v>
      </c>
      <c r="C1511" s="168" t="s">
        <v>54</v>
      </c>
      <c r="D1511">
        <v>971.9</v>
      </c>
      <c r="E1511">
        <v>2021</v>
      </c>
      <c r="F1511" s="168" t="s">
        <v>591</v>
      </c>
      <c r="G1511" s="168" t="s">
        <v>630</v>
      </c>
      <c r="H1511" s="168" t="s">
        <v>609</v>
      </c>
      <c r="I1511">
        <v>43663.209000000003</v>
      </c>
    </row>
    <row r="1512" spans="1:9" hidden="1" x14ac:dyDescent="0.3">
      <c r="A1512">
        <v>37</v>
      </c>
      <c r="B1512" s="168" t="s">
        <v>294</v>
      </c>
      <c r="C1512" s="168" t="s">
        <v>54</v>
      </c>
      <c r="D1512">
        <v>971.9</v>
      </c>
      <c r="E1512">
        <v>2021</v>
      </c>
      <c r="F1512" s="168" t="s">
        <v>591</v>
      </c>
      <c r="G1512" s="168" t="s">
        <v>611</v>
      </c>
      <c r="H1512" s="168" t="s">
        <v>608</v>
      </c>
      <c r="I1512">
        <v>0</v>
      </c>
    </row>
    <row r="1513" spans="1:9" hidden="1" x14ac:dyDescent="0.3">
      <c r="A1513">
        <v>37</v>
      </c>
      <c r="B1513" s="168" t="s">
        <v>294</v>
      </c>
      <c r="C1513" s="168" t="s">
        <v>54</v>
      </c>
      <c r="D1513">
        <v>971.9</v>
      </c>
      <c r="E1513">
        <v>2021</v>
      </c>
      <c r="F1513" s="168" t="s">
        <v>591</v>
      </c>
      <c r="G1513" s="168" t="s">
        <v>611</v>
      </c>
      <c r="H1513" s="168" t="s">
        <v>609</v>
      </c>
      <c r="I1513">
        <v>4062.1352436903176</v>
      </c>
    </row>
    <row r="1514" spans="1:9" hidden="1" x14ac:dyDescent="0.3">
      <c r="A1514">
        <v>37</v>
      </c>
      <c r="B1514" s="168" t="s">
        <v>294</v>
      </c>
      <c r="C1514" s="168" t="s">
        <v>54</v>
      </c>
      <c r="D1514">
        <v>971.9</v>
      </c>
      <c r="E1514">
        <v>2021</v>
      </c>
      <c r="F1514" s="168" t="s">
        <v>591</v>
      </c>
      <c r="G1514" s="168" t="s">
        <v>613</v>
      </c>
      <c r="H1514" s="168" t="s">
        <v>608</v>
      </c>
      <c r="I1514">
        <v>68873.0156736973</v>
      </c>
    </row>
    <row r="1515" spans="1:9" hidden="1" x14ac:dyDescent="0.3">
      <c r="A1515">
        <v>37</v>
      </c>
      <c r="B1515" s="168" t="s">
        <v>294</v>
      </c>
      <c r="C1515" s="168" t="s">
        <v>54</v>
      </c>
      <c r="D1515">
        <v>971.9</v>
      </c>
      <c r="E1515">
        <v>2021</v>
      </c>
      <c r="F1515" s="168" t="s">
        <v>591</v>
      </c>
      <c r="G1515" s="168" t="s">
        <v>613</v>
      </c>
      <c r="H1515" s="168" t="s">
        <v>609</v>
      </c>
      <c r="I1515">
        <v>28082.79687953266</v>
      </c>
    </row>
    <row r="1516" spans="1:9" hidden="1" x14ac:dyDescent="0.3">
      <c r="A1516">
        <v>39</v>
      </c>
      <c r="B1516" s="168" t="s">
        <v>57</v>
      </c>
      <c r="C1516" s="168" t="s">
        <v>58</v>
      </c>
      <c r="D1516">
        <v>676.6</v>
      </c>
      <c r="E1516">
        <v>2021</v>
      </c>
      <c r="F1516" s="168" t="s">
        <v>590</v>
      </c>
      <c r="G1516" s="168" t="s">
        <v>607</v>
      </c>
      <c r="H1516" s="168" t="s">
        <v>608</v>
      </c>
      <c r="I1516">
        <v>906164.36399999994</v>
      </c>
    </row>
    <row r="1517" spans="1:9" hidden="1" x14ac:dyDescent="0.3">
      <c r="A1517">
        <v>39</v>
      </c>
      <c r="B1517" s="168" t="s">
        <v>57</v>
      </c>
      <c r="C1517" s="168" t="s">
        <v>58</v>
      </c>
      <c r="D1517">
        <v>676.6</v>
      </c>
      <c r="E1517">
        <v>2021</v>
      </c>
      <c r="F1517" s="168" t="s">
        <v>590</v>
      </c>
      <c r="G1517" s="168" t="s">
        <v>607</v>
      </c>
      <c r="H1517" s="168" t="s">
        <v>609</v>
      </c>
      <c r="I1517">
        <v>388356.15600000002</v>
      </c>
    </row>
    <row r="1518" spans="1:9" hidden="1" x14ac:dyDescent="0.3">
      <c r="A1518">
        <v>39</v>
      </c>
      <c r="B1518" s="168" t="s">
        <v>57</v>
      </c>
      <c r="C1518" s="168" t="s">
        <v>58</v>
      </c>
      <c r="D1518">
        <v>676.6</v>
      </c>
      <c r="E1518">
        <v>2021</v>
      </c>
      <c r="F1518" s="168" t="s">
        <v>590</v>
      </c>
      <c r="G1518" s="168" t="s">
        <v>612</v>
      </c>
      <c r="H1518" s="168" t="s">
        <v>608</v>
      </c>
      <c r="I1518">
        <v>0</v>
      </c>
    </row>
    <row r="1519" spans="1:9" hidden="1" x14ac:dyDescent="0.3">
      <c r="A1519">
        <v>39</v>
      </c>
      <c r="B1519" s="168" t="s">
        <v>57</v>
      </c>
      <c r="C1519" s="168" t="s">
        <v>58</v>
      </c>
      <c r="D1519">
        <v>676.6</v>
      </c>
      <c r="E1519">
        <v>2021</v>
      </c>
      <c r="F1519" s="168" t="s">
        <v>590</v>
      </c>
      <c r="G1519" s="168" t="s">
        <v>612</v>
      </c>
      <c r="H1519" s="168" t="s">
        <v>609</v>
      </c>
      <c r="I1519">
        <v>45871.75</v>
      </c>
    </row>
    <row r="1520" spans="1:9" hidden="1" x14ac:dyDescent="0.3">
      <c r="A1520">
        <v>39</v>
      </c>
      <c r="B1520" s="168" t="s">
        <v>57</v>
      </c>
      <c r="C1520" s="168" t="s">
        <v>58</v>
      </c>
      <c r="D1520">
        <v>676.6</v>
      </c>
      <c r="E1520">
        <v>2021</v>
      </c>
      <c r="F1520" s="168" t="s">
        <v>590</v>
      </c>
      <c r="G1520" s="168" t="s">
        <v>629</v>
      </c>
      <c r="H1520" s="168" t="s">
        <v>608</v>
      </c>
      <c r="I1520">
        <v>61570.6</v>
      </c>
    </row>
    <row r="1521" spans="1:9" hidden="1" x14ac:dyDescent="0.3">
      <c r="A1521">
        <v>39</v>
      </c>
      <c r="B1521" s="168" t="s">
        <v>57</v>
      </c>
      <c r="C1521" s="168" t="s">
        <v>58</v>
      </c>
      <c r="D1521">
        <v>676.6</v>
      </c>
      <c r="E1521">
        <v>2021</v>
      </c>
      <c r="F1521" s="168" t="s">
        <v>590</v>
      </c>
      <c r="G1521" s="168" t="s">
        <v>629</v>
      </c>
      <c r="H1521" s="168" t="s">
        <v>609</v>
      </c>
      <c r="I1521">
        <v>26387.399999999998</v>
      </c>
    </row>
    <row r="1522" spans="1:9" hidden="1" x14ac:dyDescent="0.3">
      <c r="A1522">
        <v>39</v>
      </c>
      <c r="B1522" s="168" t="s">
        <v>57</v>
      </c>
      <c r="C1522" s="168" t="s">
        <v>58</v>
      </c>
      <c r="D1522">
        <v>676.6</v>
      </c>
      <c r="E1522">
        <v>2021</v>
      </c>
      <c r="F1522" s="168" t="s">
        <v>590</v>
      </c>
      <c r="G1522" s="168" t="s">
        <v>610</v>
      </c>
      <c r="H1522" s="168" t="s">
        <v>608</v>
      </c>
      <c r="I1522">
        <v>0</v>
      </c>
    </row>
    <row r="1523" spans="1:9" hidden="1" x14ac:dyDescent="0.3">
      <c r="A1523">
        <v>39</v>
      </c>
      <c r="B1523" s="168" t="s">
        <v>57</v>
      </c>
      <c r="C1523" s="168" t="s">
        <v>58</v>
      </c>
      <c r="D1523">
        <v>676.6</v>
      </c>
      <c r="E1523">
        <v>2021</v>
      </c>
      <c r="F1523" s="168" t="s">
        <v>590</v>
      </c>
      <c r="G1523" s="168" t="s">
        <v>610</v>
      </c>
      <c r="H1523" s="168" t="s">
        <v>609</v>
      </c>
      <c r="I1523">
        <v>3272.7272727272725</v>
      </c>
    </row>
    <row r="1524" spans="1:9" hidden="1" x14ac:dyDescent="0.3">
      <c r="A1524">
        <v>39</v>
      </c>
      <c r="B1524" s="168" t="s">
        <v>57</v>
      </c>
      <c r="C1524" s="168" t="s">
        <v>58</v>
      </c>
      <c r="D1524">
        <v>676.6</v>
      </c>
      <c r="E1524">
        <v>2021</v>
      </c>
      <c r="F1524" s="168" t="s">
        <v>590</v>
      </c>
      <c r="G1524" s="168" t="s">
        <v>633</v>
      </c>
      <c r="H1524" s="168" t="s">
        <v>608</v>
      </c>
      <c r="I1524">
        <v>1655.3018454801379</v>
      </c>
    </row>
    <row r="1525" spans="1:9" hidden="1" x14ac:dyDescent="0.3">
      <c r="A1525">
        <v>39</v>
      </c>
      <c r="B1525" s="168" t="s">
        <v>57</v>
      </c>
      <c r="C1525" s="168" t="s">
        <v>58</v>
      </c>
      <c r="D1525">
        <v>676.6</v>
      </c>
      <c r="E1525">
        <v>2021</v>
      </c>
      <c r="F1525" s="168" t="s">
        <v>590</v>
      </c>
      <c r="G1525" s="168" t="s">
        <v>633</v>
      </c>
      <c r="H1525" s="168" t="s">
        <v>609</v>
      </c>
      <c r="I1525">
        <v>709.41507663434481</v>
      </c>
    </row>
    <row r="1526" spans="1:9" hidden="1" x14ac:dyDescent="0.3">
      <c r="A1526">
        <v>39</v>
      </c>
      <c r="B1526" s="168" t="s">
        <v>57</v>
      </c>
      <c r="C1526" s="168" t="s">
        <v>58</v>
      </c>
      <c r="D1526">
        <v>676.6</v>
      </c>
      <c r="E1526">
        <v>2021</v>
      </c>
      <c r="F1526" s="168" t="s">
        <v>590</v>
      </c>
      <c r="G1526" s="168" t="s">
        <v>630</v>
      </c>
      <c r="H1526" s="168" t="s">
        <v>608</v>
      </c>
      <c r="I1526">
        <v>120639.36499999999</v>
      </c>
    </row>
    <row r="1527" spans="1:9" hidden="1" x14ac:dyDescent="0.3">
      <c r="A1527">
        <v>39</v>
      </c>
      <c r="B1527" s="168" t="s">
        <v>57</v>
      </c>
      <c r="C1527" s="168" t="s">
        <v>58</v>
      </c>
      <c r="D1527">
        <v>676.6</v>
      </c>
      <c r="E1527">
        <v>2021</v>
      </c>
      <c r="F1527" s="168" t="s">
        <v>590</v>
      </c>
      <c r="G1527" s="168" t="s">
        <v>630</v>
      </c>
      <c r="H1527" s="168" t="s">
        <v>609</v>
      </c>
      <c r="I1527">
        <v>51702.584999999992</v>
      </c>
    </row>
    <row r="1528" spans="1:9" hidden="1" x14ac:dyDescent="0.3">
      <c r="A1528">
        <v>39</v>
      </c>
      <c r="B1528" s="168" t="s">
        <v>57</v>
      </c>
      <c r="C1528" s="168" t="s">
        <v>58</v>
      </c>
      <c r="D1528">
        <v>676.6</v>
      </c>
      <c r="E1528">
        <v>2021</v>
      </c>
      <c r="F1528" s="168" t="s">
        <v>590</v>
      </c>
      <c r="G1528" s="168" t="s">
        <v>611</v>
      </c>
      <c r="H1528" s="168" t="s">
        <v>608</v>
      </c>
      <c r="I1528">
        <v>0</v>
      </c>
    </row>
    <row r="1529" spans="1:9" hidden="1" x14ac:dyDescent="0.3">
      <c r="A1529">
        <v>39</v>
      </c>
      <c r="B1529" s="168" t="s">
        <v>57</v>
      </c>
      <c r="C1529" s="168" t="s">
        <v>58</v>
      </c>
      <c r="D1529">
        <v>676.6</v>
      </c>
      <c r="E1529">
        <v>2021</v>
      </c>
      <c r="F1529" s="168" t="s">
        <v>590</v>
      </c>
      <c r="G1529" s="168" t="s">
        <v>611</v>
      </c>
      <c r="H1529" s="168" t="s">
        <v>609</v>
      </c>
      <c r="I1529">
        <v>2827.9048316502403</v>
      </c>
    </row>
    <row r="1530" spans="1:9" hidden="1" x14ac:dyDescent="0.3">
      <c r="A1530">
        <v>39</v>
      </c>
      <c r="B1530" s="168" t="s">
        <v>57</v>
      </c>
      <c r="C1530" s="168" t="s">
        <v>58</v>
      </c>
      <c r="D1530">
        <v>676.6</v>
      </c>
      <c r="E1530">
        <v>2021</v>
      </c>
      <c r="F1530" s="168" t="s">
        <v>590</v>
      </c>
      <c r="G1530" s="168" t="s">
        <v>613</v>
      </c>
      <c r="H1530" s="168" t="s">
        <v>608</v>
      </c>
      <c r="I1530">
        <v>22406.425758364716</v>
      </c>
    </row>
    <row r="1531" spans="1:9" hidden="1" x14ac:dyDescent="0.3">
      <c r="A1531">
        <v>39</v>
      </c>
      <c r="B1531" s="168" t="s">
        <v>57</v>
      </c>
      <c r="C1531" s="168" t="s">
        <v>58</v>
      </c>
      <c r="D1531">
        <v>676.6</v>
      </c>
      <c r="E1531">
        <v>2021</v>
      </c>
      <c r="F1531" s="168" t="s">
        <v>590</v>
      </c>
      <c r="G1531" s="168" t="s">
        <v>613</v>
      </c>
      <c r="H1531" s="168" t="s">
        <v>609</v>
      </c>
      <c r="I1531">
        <v>14366.253328325376</v>
      </c>
    </row>
    <row r="1532" spans="1:9" x14ac:dyDescent="0.3">
      <c r="A1532">
        <v>40</v>
      </c>
      <c r="B1532" s="168" t="s">
        <v>27</v>
      </c>
      <c r="C1532" s="168" t="s">
        <v>59</v>
      </c>
      <c r="D1532">
        <v>16237.4</v>
      </c>
      <c r="E1532">
        <v>2021</v>
      </c>
      <c r="F1532" s="168" t="s">
        <v>592</v>
      </c>
      <c r="G1532" s="168" t="s">
        <v>607</v>
      </c>
      <c r="H1532" s="168" t="s">
        <v>608</v>
      </c>
      <c r="I1532">
        <v>0</v>
      </c>
    </row>
    <row r="1533" spans="1:9" x14ac:dyDescent="0.3">
      <c r="A1533">
        <v>40</v>
      </c>
      <c r="B1533" s="168" t="s">
        <v>27</v>
      </c>
      <c r="C1533" s="168" t="s">
        <v>59</v>
      </c>
      <c r="D1533">
        <v>16237.4</v>
      </c>
      <c r="E1533">
        <v>2021</v>
      </c>
      <c r="F1533" s="168" t="s">
        <v>592</v>
      </c>
      <c r="G1533" s="168" t="s">
        <v>607</v>
      </c>
      <c r="H1533" s="168" t="s">
        <v>609</v>
      </c>
      <c r="I1533">
        <v>2827661.4400000004</v>
      </c>
    </row>
    <row r="1534" spans="1:9" x14ac:dyDescent="0.3">
      <c r="A1534">
        <v>40</v>
      </c>
      <c r="B1534" s="168" t="s">
        <v>27</v>
      </c>
      <c r="C1534" s="168" t="s">
        <v>59</v>
      </c>
      <c r="D1534">
        <v>16237.4</v>
      </c>
      <c r="E1534">
        <v>2021</v>
      </c>
      <c r="F1534" s="168" t="s">
        <v>592</v>
      </c>
      <c r="G1534" s="168" t="s">
        <v>629</v>
      </c>
      <c r="H1534" s="168" t="s">
        <v>608</v>
      </c>
      <c r="I1534">
        <v>0</v>
      </c>
    </row>
    <row r="1535" spans="1:9" x14ac:dyDescent="0.3">
      <c r="A1535">
        <v>40</v>
      </c>
      <c r="B1535" s="168" t="s">
        <v>27</v>
      </c>
      <c r="C1535" s="168" t="s">
        <v>59</v>
      </c>
      <c r="D1535">
        <v>16237.4</v>
      </c>
      <c r="E1535">
        <v>2021</v>
      </c>
      <c r="F1535" s="168" t="s">
        <v>592</v>
      </c>
      <c r="G1535" s="168" t="s">
        <v>629</v>
      </c>
      <c r="H1535" s="168" t="s">
        <v>609</v>
      </c>
      <c r="I1535">
        <v>6331462.9580164403</v>
      </c>
    </row>
    <row r="1536" spans="1:9" x14ac:dyDescent="0.3">
      <c r="A1536">
        <v>40</v>
      </c>
      <c r="B1536" s="168" t="s">
        <v>27</v>
      </c>
      <c r="C1536" s="168" t="s">
        <v>59</v>
      </c>
      <c r="D1536">
        <v>16237.4</v>
      </c>
      <c r="E1536">
        <v>2021</v>
      </c>
      <c r="F1536" s="168" t="s">
        <v>592</v>
      </c>
      <c r="G1536" s="168" t="s">
        <v>617</v>
      </c>
      <c r="H1536" s="168" t="s">
        <v>608</v>
      </c>
      <c r="I1536">
        <v>0</v>
      </c>
    </row>
    <row r="1537" spans="1:9" x14ac:dyDescent="0.3">
      <c r="A1537">
        <v>40</v>
      </c>
      <c r="B1537" s="168" t="s">
        <v>27</v>
      </c>
      <c r="C1537" s="168" t="s">
        <v>59</v>
      </c>
      <c r="D1537">
        <v>16237.4</v>
      </c>
      <c r="E1537">
        <v>2021</v>
      </c>
      <c r="F1537" s="168" t="s">
        <v>592</v>
      </c>
      <c r="G1537" s="168" t="s">
        <v>617</v>
      </c>
      <c r="H1537" s="168" t="s">
        <v>609</v>
      </c>
      <c r="I1537">
        <v>25701.473755173123</v>
      </c>
    </row>
    <row r="1538" spans="1:9" x14ac:dyDescent="0.3">
      <c r="A1538">
        <v>40</v>
      </c>
      <c r="B1538" s="168" t="s">
        <v>27</v>
      </c>
      <c r="C1538" s="168" t="s">
        <v>59</v>
      </c>
      <c r="D1538">
        <v>16237.4</v>
      </c>
      <c r="E1538">
        <v>2021</v>
      </c>
      <c r="F1538" s="168" t="s">
        <v>592</v>
      </c>
      <c r="G1538" s="168" t="s">
        <v>619</v>
      </c>
      <c r="H1538" s="168" t="s">
        <v>608</v>
      </c>
      <c r="I1538">
        <v>0</v>
      </c>
    </row>
    <row r="1539" spans="1:9" x14ac:dyDescent="0.3">
      <c r="A1539">
        <v>40</v>
      </c>
      <c r="B1539" s="168" t="s">
        <v>27</v>
      </c>
      <c r="C1539" s="168" t="s">
        <v>59</v>
      </c>
      <c r="D1539">
        <v>16237.4</v>
      </c>
      <c r="E1539">
        <v>2021</v>
      </c>
      <c r="F1539" s="168" t="s">
        <v>592</v>
      </c>
      <c r="G1539" s="168" t="s">
        <v>619</v>
      </c>
      <c r="H1539" s="168" t="s">
        <v>609</v>
      </c>
      <c r="I1539">
        <v>286599.05660377361</v>
      </c>
    </row>
    <row r="1540" spans="1:9" x14ac:dyDescent="0.3">
      <c r="A1540">
        <v>40</v>
      </c>
      <c r="B1540" s="168" t="s">
        <v>27</v>
      </c>
      <c r="C1540" s="168" t="s">
        <v>59</v>
      </c>
      <c r="D1540">
        <v>16237.4</v>
      </c>
      <c r="E1540">
        <v>2021</v>
      </c>
      <c r="F1540" s="168" t="s">
        <v>592</v>
      </c>
      <c r="G1540" s="168" t="s">
        <v>610</v>
      </c>
      <c r="H1540" s="168" t="s">
        <v>608</v>
      </c>
      <c r="I1540">
        <v>0</v>
      </c>
    </row>
    <row r="1541" spans="1:9" x14ac:dyDescent="0.3">
      <c r="A1541">
        <v>40</v>
      </c>
      <c r="B1541" s="168" t="s">
        <v>27</v>
      </c>
      <c r="C1541" s="168" t="s">
        <v>59</v>
      </c>
      <c r="D1541">
        <v>16237.4</v>
      </c>
      <c r="E1541">
        <v>2021</v>
      </c>
      <c r="F1541" s="168" t="s">
        <v>592</v>
      </c>
      <c r="G1541" s="168" t="s">
        <v>610</v>
      </c>
      <c r="H1541" s="168" t="s">
        <v>609</v>
      </c>
      <c r="I1541">
        <v>46545.454545454551</v>
      </c>
    </row>
    <row r="1542" spans="1:9" x14ac:dyDescent="0.3">
      <c r="A1542">
        <v>40</v>
      </c>
      <c r="B1542" s="168" t="s">
        <v>27</v>
      </c>
      <c r="C1542" s="168" t="s">
        <v>59</v>
      </c>
      <c r="D1542">
        <v>16237.4</v>
      </c>
      <c r="E1542">
        <v>2021</v>
      </c>
      <c r="F1542" s="168" t="s">
        <v>592</v>
      </c>
      <c r="G1542" s="168" t="s">
        <v>613</v>
      </c>
      <c r="H1542" s="168" t="s">
        <v>608</v>
      </c>
      <c r="I1542">
        <v>0</v>
      </c>
    </row>
    <row r="1543" spans="1:9" x14ac:dyDescent="0.3">
      <c r="A1543">
        <v>40</v>
      </c>
      <c r="B1543" s="168" t="s">
        <v>27</v>
      </c>
      <c r="C1543" s="168" t="s">
        <v>59</v>
      </c>
      <c r="D1543">
        <v>16237.4</v>
      </c>
      <c r="E1543">
        <v>2021</v>
      </c>
      <c r="F1543" s="168" t="s">
        <v>592</v>
      </c>
      <c r="G1543" s="168" t="s">
        <v>613</v>
      </c>
      <c r="H1543" s="168" t="s">
        <v>609</v>
      </c>
      <c r="I1543">
        <v>2749915.0385841941</v>
      </c>
    </row>
    <row r="1544" spans="1:9" x14ac:dyDescent="0.3">
      <c r="A1544">
        <v>41</v>
      </c>
      <c r="B1544" s="168" t="s">
        <v>60</v>
      </c>
      <c r="C1544" s="168" t="s">
        <v>61</v>
      </c>
      <c r="D1544">
        <v>3051</v>
      </c>
      <c r="E1544">
        <v>2021</v>
      </c>
      <c r="F1544" s="168" t="s">
        <v>592</v>
      </c>
      <c r="G1544" s="168" t="s">
        <v>607</v>
      </c>
      <c r="H1544" s="168" t="s">
        <v>608</v>
      </c>
      <c r="I1544">
        <v>0</v>
      </c>
    </row>
    <row r="1545" spans="1:9" x14ac:dyDescent="0.3">
      <c r="A1545">
        <v>41</v>
      </c>
      <c r="B1545" s="168" t="s">
        <v>60</v>
      </c>
      <c r="C1545" s="168" t="s">
        <v>61</v>
      </c>
      <c r="D1545">
        <v>3051</v>
      </c>
      <c r="E1545">
        <v>2021</v>
      </c>
      <c r="F1545" s="168" t="s">
        <v>592</v>
      </c>
      <c r="G1545" s="168" t="s">
        <v>607</v>
      </c>
      <c r="H1545" s="168" t="s">
        <v>609</v>
      </c>
      <c r="I1545">
        <v>2572595</v>
      </c>
    </row>
    <row r="1546" spans="1:9" x14ac:dyDescent="0.3">
      <c r="A1546">
        <v>41</v>
      </c>
      <c r="B1546" s="168" t="s">
        <v>60</v>
      </c>
      <c r="C1546" s="168" t="s">
        <v>61</v>
      </c>
      <c r="D1546">
        <v>3051</v>
      </c>
      <c r="E1546">
        <v>2021</v>
      </c>
      <c r="F1546" s="168" t="s">
        <v>592</v>
      </c>
      <c r="G1546" s="168" t="s">
        <v>612</v>
      </c>
      <c r="H1546" s="168" t="s">
        <v>608</v>
      </c>
      <c r="I1546">
        <v>0</v>
      </c>
    </row>
    <row r="1547" spans="1:9" x14ac:dyDescent="0.3">
      <c r="A1547">
        <v>41</v>
      </c>
      <c r="B1547" s="168" t="s">
        <v>60</v>
      </c>
      <c r="C1547" s="168" t="s">
        <v>61</v>
      </c>
      <c r="D1547">
        <v>3051</v>
      </c>
      <c r="E1547">
        <v>2021</v>
      </c>
      <c r="F1547" s="168" t="s">
        <v>592</v>
      </c>
      <c r="G1547" s="168" t="s">
        <v>612</v>
      </c>
      <c r="H1547" s="168" t="s">
        <v>609</v>
      </c>
      <c r="I1547">
        <v>184260</v>
      </c>
    </row>
    <row r="1548" spans="1:9" x14ac:dyDescent="0.3">
      <c r="A1548">
        <v>41</v>
      </c>
      <c r="B1548" s="168" t="s">
        <v>60</v>
      </c>
      <c r="C1548" s="168" t="s">
        <v>61</v>
      </c>
      <c r="D1548">
        <v>3051</v>
      </c>
      <c r="E1548">
        <v>2021</v>
      </c>
      <c r="F1548" s="168" t="s">
        <v>592</v>
      </c>
      <c r="G1548" s="168" t="s">
        <v>629</v>
      </c>
      <c r="H1548" s="168" t="s">
        <v>608</v>
      </c>
      <c r="I1548">
        <v>0</v>
      </c>
    </row>
    <row r="1549" spans="1:9" x14ac:dyDescent="0.3">
      <c r="A1549">
        <v>41</v>
      </c>
      <c r="B1549" s="168" t="s">
        <v>60</v>
      </c>
      <c r="C1549" s="168" t="s">
        <v>61</v>
      </c>
      <c r="D1549">
        <v>3051</v>
      </c>
      <c r="E1549">
        <v>2021</v>
      </c>
      <c r="F1549" s="168" t="s">
        <v>592</v>
      </c>
      <c r="G1549" s="168" t="s">
        <v>629</v>
      </c>
      <c r="H1549" s="168" t="s">
        <v>609</v>
      </c>
      <c r="I1549">
        <v>833946.578553712</v>
      </c>
    </row>
    <row r="1550" spans="1:9" x14ac:dyDescent="0.3">
      <c r="A1550">
        <v>41</v>
      </c>
      <c r="B1550" s="168" t="s">
        <v>60</v>
      </c>
      <c r="C1550" s="168" t="s">
        <v>61</v>
      </c>
      <c r="D1550">
        <v>3051</v>
      </c>
      <c r="E1550">
        <v>2021</v>
      </c>
      <c r="F1550" s="168" t="s">
        <v>592</v>
      </c>
      <c r="G1550" s="168" t="s">
        <v>617</v>
      </c>
      <c r="H1550" s="168" t="s">
        <v>608</v>
      </c>
      <c r="I1550">
        <v>0</v>
      </c>
    </row>
    <row r="1551" spans="1:9" x14ac:dyDescent="0.3">
      <c r="A1551">
        <v>41</v>
      </c>
      <c r="B1551" s="168" t="s">
        <v>60</v>
      </c>
      <c r="C1551" s="168" t="s">
        <v>61</v>
      </c>
      <c r="D1551">
        <v>3051</v>
      </c>
      <c r="E1551">
        <v>2021</v>
      </c>
      <c r="F1551" s="168" t="s">
        <v>592</v>
      </c>
      <c r="G1551" s="168" t="s">
        <v>617</v>
      </c>
      <c r="H1551" s="168" t="s">
        <v>609</v>
      </c>
      <c r="I1551">
        <v>4799.23596936387</v>
      </c>
    </row>
    <row r="1552" spans="1:9" x14ac:dyDescent="0.3">
      <c r="A1552">
        <v>41</v>
      </c>
      <c r="B1552" s="168" t="s">
        <v>60</v>
      </c>
      <c r="C1552" s="168" t="s">
        <v>61</v>
      </c>
      <c r="D1552">
        <v>3051</v>
      </c>
      <c r="E1552">
        <v>2021</v>
      </c>
      <c r="F1552" s="168" t="s">
        <v>592</v>
      </c>
      <c r="G1552" s="168" t="s">
        <v>619</v>
      </c>
      <c r="H1552" s="168" t="s">
        <v>608</v>
      </c>
      <c r="I1552">
        <v>0</v>
      </c>
    </row>
    <row r="1553" spans="1:9" x14ac:dyDescent="0.3">
      <c r="A1553">
        <v>41</v>
      </c>
      <c r="B1553" s="168" t="s">
        <v>60</v>
      </c>
      <c r="C1553" s="168" t="s">
        <v>61</v>
      </c>
      <c r="D1553">
        <v>3051</v>
      </c>
      <c r="E1553">
        <v>2021</v>
      </c>
      <c r="F1553" s="168" t="s">
        <v>592</v>
      </c>
      <c r="G1553" s="168" t="s">
        <v>619</v>
      </c>
      <c r="H1553" s="168" t="s">
        <v>609</v>
      </c>
      <c r="I1553">
        <v>36509.433962264156</v>
      </c>
    </row>
    <row r="1554" spans="1:9" x14ac:dyDescent="0.3">
      <c r="A1554">
        <v>41</v>
      </c>
      <c r="B1554" s="168" t="s">
        <v>60</v>
      </c>
      <c r="C1554" s="168" t="s">
        <v>61</v>
      </c>
      <c r="D1554">
        <v>3051</v>
      </c>
      <c r="E1554">
        <v>2021</v>
      </c>
      <c r="F1554" s="168" t="s">
        <v>592</v>
      </c>
      <c r="G1554" s="168" t="s">
        <v>633</v>
      </c>
      <c r="H1554" s="168" t="s">
        <v>608</v>
      </c>
      <c r="I1554">
        <v>0</v>
      </c>
    </row>
    <row r="1555" spans="1:9" x14ac:dyDescent="0.3">
      <c r="A1555">
        <v>41</v>
      </c>
      <c r="B1555" s="168" t="s">
        <v>60</v>
      </c>
      <c r="C1555" s="168" t="s">
        <v>61</v>
      </c>
      <c r="D1555">
        <v>3051</v>
      </c>
      <c r="E1555">
        <v>2021</v>
      </c>
      <c r="F1555" s="168" t="s">
        <v>592</v>
      </c>
      <c r="G1555" s="168" t="s">
        <v>633</v>
      </c>
      <c r="H1555" s="168" t="s">
        <v>609</v>
      </c>
      <c r="I1555">
        <v>36000</v>
      </c>
    </row>
    <row r="1556" spans="1:9" x14ac:dyDescent="0.3">
      <c r="A1556">
        <v>41</v>
      </c>
      <c r="B1556" s="168" t="s">
        <v>60</v>
      </c>
      <c r="C1556" s="168" t="s">
        <v>61</v>
      </c>
      <c r="D1556">
        <v>3051</v>
      </c>
      <c r="E1556">
        <v>2021</v>
      </c>
      <c r="F1556" s="168" t="s">
        <v>592</v>
      </c>
      <c r="G1556" s="168" t="s">
        <v>613</v>
      </c>
      <c r="H1556" s="168" t="s">
        <v>608</v>
      </c>
      <c r="I1556">
        <v>0</v>
      </c>
    </row>
    <row r="1557" spans="1:9" x14ac:dyDescent="0.3">
      <c r="A1557">
        <v>41</v>
      </c>
      <c r="B1557" s="168" t="s">
        <v>60</v>
      </c>
      <c r="C1557" s="168" t="s">
        <v>61</v>
      </c>
      <c r="D1557">
        <v>3051</v>
      </c>
      <c r="E1557">
        <v>2021</v>
      </c>
      <c r="F1557" s="168" t="s">
        <v>592</v>
      </c>
      <c r="G1557" s="168" t="s">
        <v>613</v>
      </c>
      <c r="H1557" s="168" t="s">
        <v>609</v>
      </c>
      <c r="I1557">
        <v>770367.18234781304</v>
      </c>
    </row>
    <row r="1558" spans="1:9" hidden="1" x14ac:dyDescent="0.3">
      <c r="A1558">
        <v>42</v>
      </c>
      <c r="B1558" s="168" t="s">
        <v>62</v>
      </c>
      <c r="C1558" s="168" t="s">
        <v>63</v>
      </c>
      <c r="D1558">
        <v>1467.1</v>
      </c>
      <c r="E1558">
        <v>2021</v>
      </c>
      <c r="F1558" s="168" t="s">
        <v>593</v>
      </c>
      <c r="G1558" s="168" t="s">
        <v>607</v>
      </c>
      <c r="H1558" s="168" t="s">
        <v>608</v>
      </c>
      <c r="I1558">
        <v>0</v>
      </c>
    </row>
    <row r="1559" spans="1:9" hidden="1" x14ac:dyDescent="0.3">
      <c r="A1559">
        <v>42</v>
      </c>
      <c r="B1559" s="168" t="s">
        <v>62</v>
      </c>
      <c r="C1559" s="168" t="s">
        <v>63</v>
      </c>
      <c r="D1559">
        <v>1467.1</v>
      </c>
      <c r="E1559">
        <v>2021</v>
      </c>
      <c r="F1559" s="168" t="s">
        <v>593</v>
      </c>
      <c r="G1559" s="168" t="s">
        <v>607</v>
      </c>
      <c r="H1559" s="168" t="s">
        <v>609</v>
      </c>
      <c r="I1559">
        <v>2560865</v>
      </c>
    </row>
    <row r="1560" spans="1:9" hidden="1" x14ac:dyDescent="0.3">
      <c r="A1560">
        <v>42</v>
      </c>
      <c r="B1560" s="168" t="s">
        <v>62</v>
      </c>
      <c r="C1560" s="168" t="s">
        <v>63</v>
      </c>
      <c r="D1560">
        <v>1467.1</v>
      </c>
      <c r="E1560">
        <v>2021</v>
      </c>
      <c r="F1560" s="168" t="s">
        <v>593</v>
      </c>
      <c r="G1560" s="168" t="s">
        <v>619</v>
      </c>
      <c r="H1560" s="168" t="s">
        <v>608</v>
      </c>
      <c r="I1560">
        <v>0</v>
      </c>
    </row>
    <row r="1561" spans="1:9" hidden="1" x14ac:dyDescent="0.3">
      <c r="A1561">
        <v>42</v>
      </c>
      <c r="B1561" s="168" t="s">
        <v>62</v>
      </c>
      <c r="C1561" s="168" t="s">
        <v>63</v>
      </c>
      <c r="D1561">
        <v>1467.1</v>
      </c>
      <c r="E1561">
        <v>2021</v>
      </c>
      <c r="F1561" s="168" t="s">
        <v>593</v>
      </c>
      <c r="G1561" s="168" t="s">
        <v>619</v>
      </c>
      <c r="H1561" s="168" t="s">
        <v>609</v>
      </c>
      <c r="I1561">
        <v>25556.603773584906</v>
      </c>
    </row>
    <row r="1562" spans="1:9" hidden="1" x14ac:dyDescent="0.3">
      <c r="A1562">
        <v>42</v>
      </c>
      <c r="B1562" s="168" t="s">
        <v>62</v>
      </c>
      <c r="C1562" s="168" t="s">
        <v>63</v>
      </c>
      <c r="D1562">
        <v>1467.1</v>
      </c>
      <c r="E1562">
        <v>2021</v>
      </c>
      <c r="F1562" s="168" t="s">
        <v>593</v>
      </c>
      <c r="G1562" s="168" t="s">
        <v>610</v>
      </c>
      <c r="H1562" s="168" t="s">
        <v>608</v>
      </c>
      <c r="I1562">
        <v>0</v>
      </c>
    </row>
    <row r="1563" spans="1:9" hidden="1" x14ac:dyDescent="0.3">
      <c r="A1563">
        <v>42</v>
      </c>
      <c r="B1563" s="168" t="s">
        <v>62</v>
      </c>
      <c r="C1563" s="168" t="s">
        <v>63</v>
      </c>
      <c r="D1563">
        <v>1467.1</v>
      </c>
      <c r="E1563">
        <v>2021</v>
      </c>
      <c r="F1563" s="168" t="s">
        <v>593</v>
      </c>
      <c r="G1563" s="168" t="s">
        <v>610</v>
      </c>
      <c r="H1563" s="168" t="s">
        <v>609</v>
      </c>
      <c r="I1563">
        <v>6545.454545454545</v>
      </c>
    </row>
    <row r="1564" spans="1:9" hidden="1" x14ac:dyDescent="0.3">
      <c r="A1564">
        <v>42</v>
      </c>
      <c r="B1564" s="168" t="s">
        <v>62</v>
      </c>
      <c r="C1564" s="168" t="s">
        <v>63</v>
      </c>
      <c r="D1564">
        <v>1467.1</v>
      </c>
      <c r="E1564">
        <v>2021</v>
      </c>
      <c r="F1564" s="168" t="s">
        <v>593</v>
      </c>
      <c r="G1564" s="168" t="s">
        <v>613</v>
      </c>
      <c r="H1564" s="168" t="s">
        <v>608</v>
      </c>
      <c r="I1564">
        <v>0</v>
      </c>
    </row>
    <row r="1565" spans="1:9" hidden="1" x14ac:dyDescent="0.3">
      <c r="A1565">
        <v>42</v>
      </c>
      <c r="B1565" s="168" t="s">
        <v>62</v>
      </c>
      <c r="C1565" s="168" t="s">
        <v>63</v>
      </c>
      <c r="D1565">
        <v>1467.1</v>
      </c>
      <c r="E1565">
        <v>2021</v>
      </c>
      <c r="F1565" s="168" t="s">
        <v>593</v>
      </c>
      <c r="G1565" s="168" t="s">
        <v>613</v>
      </c>
      <c r="H1565" s="168" t="s">
        <v>609</v>
      </c>
      <c r="I1565">
        <v>497184.57569369901</v>
      </c>
    </row>
    <row r="1566" spans="1:9" x14ac:dyDescent="0.3">
      <c r="A1566">
        <v>43</v>
      </c>
      <c r="B1566" s="168" t="s">
        <v>64</v>
      </c>
      <c r="C1566" s="168" t="s">
        <v>65</v>
      </c>
      <c r="D1566">
        <v>1779.1</v>
      </c>
      <c r="E1566">
        <v>2021</v>
      </c>
      <c r="F1566" s="168" t="s">
        <v>592</v>
      </c>
      <c r="G1566" s="168" t="s">
        <v>607</v>
      </c>
      <c r="H1566" s="168" t="s">
        <v>608</v>
      </c>
      <c r="I1566">
        <v>0</v>
      </c>
    </row>
    <row r="1567" spans="1:9" x14ac:dyDescent="0.3">
      <c r="A1567">
        <v>43</v>
      </c>
      <c r="B1567" s="168" t="s">
        <v>64</v>
      </c>
      <c r="C1567" s="168" t="s">
        <v>65</v>
      </c>
      <c r="D1567">
        <v>1779.1</v>
      </c>
      <c r="E1567">
        <v>2021</v>
      </c>
      <c r="F1567" s="168" t="s">
        <v>592</v>
      </c>
      <c r="G1567" s="168" t="s">
        <v>607</v>
      </c>
      <c r="H1567" s="168" t="s">
        <v>609</v>
      </c>
      <c r="I1567">
        <v>650675</v>
      </c>
    </row>
    <row r="1568" spans="1:9" x14ac:dyDescent="0.3">
      <c r="A1568">
        <v>43</v>
      </c>
      <c r="B1568" s="168" t="s">
        <v>64</v>
      </c>
      <c r="C1568" s="168" t="s">
        <v>65</v>
      </c>
      <c r="D1568">
        <v>1779.1</v>
      </c>
      <c r="E1568">
        <v>2021</v>
      </c>
      <c r="F1568" s="168" t="s">
        <v>592</v>
      </c>
      <c r="G1568" s="168" t="s">
        <v>612</v>
      </c>
      <c r="H1568" s="168" t="s">
        <v>608</v>
      </c>
      <c r="I1568">
        <v>0</v>
      </c>
    </row>
    <row r="1569" spans="1:9" x14ac:dyDescent="0.3">
      <c r="A1569">
        <v>43</v>
      </c>
      <c r="B1569" s="168" t="s">
        <v>64</v>
      </c>
      <c r="C1569" s="168" t="s">
        <v>65</v>
      </c>
      <c r="D1569">
        <v>1779.1</v>
      </c>
      <c r="E1569">
        <v>2021</v>
      </c>
      <c r="F1569" s="168" t="s">
        <v>592</v>
      </c>
      <c r="G1569" s="168" t="s">
        <v>612</v>
      </c>
      <c r="H1569" s="168" t="s">
        <v>609</v>
      </c>
      <c r="I1569">
        <v>24900</v>
      </c>
    </row>
    <row r="1570" spans="1:9" x14ac:dyDescent="0.3">
      <c r="A1570">
        <v>43</v>
      </c>
      <c r="B1570" s="168" t="s">
        <v>64</v>
      </c>
      <c r="C1570" s="168" t="s">
        <v>65</v>
      </c>
      <c r="D1570">
        <v>1779.1</v>
      </c>
      <c r="E1570">
        <v>2021</v>
      </c>
      <c r="F1570" s="168" t="s">
        <v>592</v>
      </c>
      <c r="G1570" s="168" t="s">
        <v>629</v>
      </c>
      <c r="H1570" s="168" t="s">
        <v>608</v>
      </c>
      <c r="I1570">
        <v>0</v>
      </c>
    </row>
    <row r="1571" spans="1:9" x14ac:dyDescent="0.3">
      <c r="A1571">
        <v>43</v>
      </c>
      <c r="B1571" s="168" t="s">
        <v>64</v>
      </c>
      <c r="C1571" s="168" t="s">
        <v>65</v>
      </c>
      <c r="D1571">
        <v>1779.1</v>
      </c>
      <c r="E1571">
        <v>2021</v>
      </c>
      <c r="F1571" s="168" t="s">
        <v>592</v>
      </c>
      <c r="G1571" s="168" t="s">
        <v>629</v>
      </c>
      <c r="H1571" s="168" t="s">
        <v>609</v>
      </c>
      <c r="I1571">
        <v>629394.95228111197</v>
      </c>
    </row>
    <row r="1572" spans="1:9" x14ac:dyDescent="0.3">
      <c r="A1572">
        <v>43</v>
      </c>
      <c r="B1572" s="168" t="s">
        <v>64</v>
      </c>
      <c r="C1572" s="168" t="s">
        <v>65</v>
      </c>
      <c r="D1572">
        <v>1779.1</v>
      </c>
      <c r="E1572">
        <v>2021</v>
      </c>
      <c r="F1572" s="168" t="s">
        <v>592</v>
      </c>
      <c r="G1572" s="168" t="s">
        <v>617</v>
      </c>
      <c r="H1572" s="168" t="s">
        <v>608</v>
      </c>
      <c r="I1572">
        <v>0</v>
      </c>
    </row>
    <row r="1573" spans="1:9" x14ac:dyDescent="0.3">
      <c r="A1573">
        <v>43</v>
      </c>
      <c r="B1573" s="168" t="s">
        <v>64</v>
      </c>
      <c r="C1573" s="168" t="s">
        <v>65</v>
      </c>
      <c r="D1573">
        <v>1779.1</v>
      </c>
      <c r="E1573">
        <v>2021</v>
      </c>
      <c r="F1573" s="168" t="s">
        <v>592</v>
      </c>
      <c r="G1573" s="168" t="s">
        <v>617</v>
      </c>
      <c r="H1573" s="168" t="s">
        <v>609</v>
      </c>
      <c r="I1573">
        <v>2810.6439954307971</v>
      </c>
    </row>
    <row r="1574" spans="1:9" x14ac:dyDescent="0.3">
      <c r="A1574">
        <v>43</v>
      </c>
      <c r="B1574" s="168" t="s">
        <v>64</v>
      </c>
      <c r="C1574" s="168" t="s">
        <v>65</v>
      </c>
      <c r="D1574">
        <v>1779.1</v>
      </c>
      <c r="E1574">
        <v>2021</v>
      </c>
      <c r="F1574" s="168" t="s">
        <v>592</v>
      </c>
      <c r="G1574" s="168" t="s">
        <v>619</v>
      </c>
      <c r="H1574" s="168" t="s">
        <v>608</v>
      </c>
      <c r="I1574">
        <v>0</v>
      </c>
    </row>
    <row r="1575" spans="1:9" x14ac:dyDescent="0.3">
      <c r="A1575">
        <v>43</v>
      </c>
      <c r="B1575" s="168" t="s">
        <v>64</v>
      </c>
      <c r="C1575" s="168" t="s">
        <v>65</v>
      </c>
      <c r="D1575">
        <v>1779.1</v>
      </c>
      <c r="E1575">
        <v>2021</v>
      </c>
      <c r="F1575" s="168" t="s">
        <v>592</v>
      </c>
      <c r="G1575" s="168" t="s">
        <v>619</v>
      </c>
      <c r="H1575" s="168" t="s">
        <v>609</v>
      </c>
      <c r="I1575">
        <v>31033.018867924526</v>
      </c>
    </row>
    <row r="1576" spans="1:9" x14ac:dyDescent="0.3">
      <c r="A1576">
        <v>43</v>
      </c>
      <c r="B1576" s="168" t="s">
        <v>64</v>
      </c>
      <c r="C1576" s="168" t="s">
        <v>65</v>
      </c>
      <c r="D1576">
        <v>1779.1</v>
      </c>
      <c r="E1576">
        <v>2021</v>
      </c>
      <c r="F1576" s="168" t="s">
        <v>592</v>
      </c>
      <c r="G1576" s="168" t="s">
        <v>610</v>
      </c>
      <c r="H1576" s="168" t="s">
        <v>608</v>
      </c>
      <c r="I1576">
        <v>0</v>
      </c>
    </row>
    <row r="1577" spans="1:9" x14ac:dyDescent="0.3">
      <c r="A1577">
        <v>43</v>
      </c>
      <c r="B1577" s="168" t="s">
        <v>64</v>
      </c>
      <c r="C1577" s="168" t="s">
        <v>65</v>
      </c>
      <c r="D1577">
        <v>1779.1</v>
      </c>
      <c r="E1577">
        <v>2021</v>
      </c>
      <c r="F1577" s="168" t="s">
        <v>592</v>
      </c>
      <c r="G1577" s="168" t="s">
        <v>610</v>
      </c>
      <c r="H1577" s="168" t="s">
        <v>609</v>
      </c>
      <c r="I1577">
        <v>46770.727272727272</v>
      </c>
    </row>
    <row r="1578" spans="1:9" x14ac:dyDescent="0.3">
      <c r="A1578">
        <v>43</v>
      </c>
      <c r="B1578" s="168" t="s">
        <v>64</v>
      </c>
      <c r="C1578" s="168" t="s">
        <v>65</v>
      </c>
      <c r="D1578">
        <v>1779.1</v>
      </c>
      <c r="E1578">
        <v>2021</v>
      </c>
      <c r="F1578" s="168" t="s">
        <v>592</v>
      </c>
      <c r="G1578" s="168" t="s">
        <v>613</v>
      </c>
      <c r="H1578" s="168" t="s">
        <v>608</v>
      </c>
      <c r="I1578">
        <v>0</v>
      </c>
    </row>
    <row r="1579" spans="1:9" x14ac:dyDescent="0.3">
      <c r="A1579">
        <v>43</v>
      </c>
      <c r="B1579" s="168" t="s">
        <v>64</v>
      </c>
      <c r="C1579" s="168" t="s">
        <v>65</v>
      </c>
      <c r="D1579">
        <v>1779.1</v>
      </c>
      <c r="E1579">
        <v>2021</v>
      </c>
      <c r="F1579" s="168" t="s">
        <v>592</v>
      </c>
      <c r="G1579" s="168" t="s">
        <v>613</v>
      </c>
      <c r="H1579" s="168" t="s">
        <v>609</v>
      </c>
      <c r="I1579">
        <v>525409.595507783</v>
      </c>
    </row>
    <row r="1580" spans="1:9" hidden="1" x14ac:dyDescent="0.3">
      <c r="A1580">
        <v>44</v>
      </c>
      <c r="B1580" s="168" t="s">
        <v>66</v>
      </c>
      <c r="C1580" s="168" t="s">
        <v>67</v>
      </c>
      <c r="D1580">
        <v>561.79999999999995</v>
      </c>
      <c r="E1580">
        <v>2021</v>
      </c>
      <c r="F1580" s="168" t="s">
        <v>593</v>
      </c>
      <c r="G1580" s="168" t="s">
        <v>607</v>
      </c>
      <c r="H1580" s="168" t="s">
        <v>608</v>
      </c>
      <c r="I1580">
        <v>0</v>
      </c>
    </row>
    <row r="1581" spans="1:9" hidden="1" x14ac:dyDescent="0.3">
      <c r="A1581">
        <v>44</v>
      </c>
      <c r="B1581" s="168" t="s">
        <v>66</v>
      </c>
      <c r="C1581" s="168" t="s">
        <v>67</v>
      </c>
      <c r="D1581">
        <v>561.79999999999995</v>
      </c>
      <c r="E1581">
        <v>2021</v>
      </c>
      <c r="F1581" s="168" t="s">
        <v>593</v>
      </c>
      <c r="G1581" s="168" t="s">
        <v>607</v>
      </c>
      <c r="H1581" s="168" t="s">
        <v>609</v>
      </c>
      <c r="I1581">
        <v>641660</v>
      </c>
    </row>
    <row r="1582" spans="1:9" hidden="1" x14ac:dyDescent="0.3">
      <c r="A1582">
        <v>44</v>
      </c>
      <c r="B1582" s="168" t="s">
        <v>66</v>
      </c>
      <c r="C1582" s="168" t="s">
        <v>67</v>
      </c>
      <c r="D1582">
        <v>561.79999999999995</v>
      </c>
      <c r="E1582">
        <v>2021</v>
      </c>
      <c r="F1582" s="168" t="s">
        <v>593</v>
      </c>
      <c r="G1582" s="168" t="s">
        <v>617</v>
      </c>
      <c r="H1582" s="168" t="s">
        <v>608</v>
      </c>
      <c r="I1582">
        <v>0</v>
      </c>
    </row>
    <row r="1583" spans="1:9" hidden="1" x14ac:dyDescent="0.3">
      <c r="A1583">
        <v>44</v>
      </c>
      <c r="B1583" s="168" t="s">
        <v>66</v>
      </c>
      <c r="C1583" s="168" t="s">
        <v>67</v>
      </c>
      <c r="D1583">
        <v>561.79999999999995</v>
      </c>
      <c r="E1583">
        <v>2021</v>
      </c>
      <c r="F1583" s="168" t="s">
        <v>593</v>
      </c>
      <c r="G1583" s="168" t="s">
        <v>617</v>
      </c>
      <c r="H1583" s="168" t="s">
        <v>609</v>
      </c>
      <c r="I1583">
        <v>1179.281286867287</v>
      </c>
    </row>
    <row r="1584" spans="1:9" hidden="1" x14ac:dyDescent="0.3">
      <c r="A1584">
        <v>44</v>
      </c>
      <c r="B1584" s="168" t="s">
        <v>66</v>
      </c>
      <c r="C1584" s="168" t="s">
        <v>67</v>
      </c>
      <c r="D1584">
        <v>561.79999999999995</v>
      </c>
      <c r="E1584">
        <v>2021</v>
      </c>
      <c r="F1584" s="168" t="s">
        <v>593</v>
      </c>
      <c r="G1584" s="168" t="s">
        <v>613</v>
      </c>
      <c r="H1584" s="168" t="s">
        <v>608</v>
      </c>
      <c r="I1584">
        <v>0</v>
      </c>
    </row>
    <row r="1585" spans="1:9" hidden="1" x14ac:dyDescent="0.3">
      <c r="A1585">
        <v>44</v>
      </c>
      <c r="B1585" s="168" t="s">
        <v>66</v>
      </c>
      <c r="C1585" s="168" t="s">
        <v>67</v>
      </c>
      <c r="D1585">
        <v>561.79999999999995</v>
      </c>
      <c r="E1585">
        <v>2021</v>
      </c>
      <c r="F1585" s="168" t="s">
        <v>593</v>
      </c>
      <c r="G1585" s="168" t="s">
        <v>613</v>
      </c>
      <c r="H1585" s="168" t="s">
        <v>609</v>
      </c>
      <c r="I1585">
        <v>165912.60230244102</v>
      </c>
    </row>
    <row r="1586" spans="1:9" hidden="1" x14ac:dyDescent="0.3">
      <c r="A1586">
        <v>45</v>
      </c>
      <c r="B1586" s="168" t="s">
        <v>30</v>
      </c>
      <c r="C1586" s="168" t="s">
        <v>68</v>
      </c>
      <c r="D1586">
        <v>4466.7</v>
      </c>
      <c r="E1586">
        <v>2021</v>
      </c>
      <c r="F1586" s="168" t="s">
        <v>591</v>
      </c>
      <c r="G1586" s="168" t="s">
        <v>607</v>
      </c>
      <c r="H1586" s="168" t="s">
        <v>608</v>
      </c>
      <c r="I1586">
        <v>906162.68400000001</v>
      </c>
    </row>
    <row r="1587" spans="1:9" hidden="1" x14ac:dyDescent="0.3">
      <c r="A1587">
        <v>45</v>
      </c>
      <c r="B1587" s="168" t="s">
        <v>30</v>
      </c>
      <c r="C1587" s="168" t="s">
        <v>68</v>
      </c>
      <c r="D1587">
        <v>4466.7</v>
      </c>
      <c r="E1587">
        <v>2021</v>
      </c>
      <c r="F1587" s="168" t="s">
        <v>591</v>
      </c>
      <c r="G1587" s="168" t="s">
        <v>607</v>
      </c>
      <c r="H1587" s="168" t="s">
        <v>609</v>
      </c>
      <c r="I1587">
        <v>388355.43600000005</v>
      </c>
    </row>
    <row r="1588" spans="1:9" hidden="1" x14ac:dyDescent="0.3">
      <c r="A1588">
        <v>45</v>
      </c>
      <c r="B1588" s="168" t="s">
        <v>30</v>
      </c>
      <c r="C1588" s="168" t="s">
        <v>68</v>
      </c>
      <c r="D1588">
        <v>4466.7</v>
      </c>
      <c r="E1588">
        <v>2021</v>
      </c>
      <c r="F1588" s="168" t="s">
        <v>591</v>
      </c>
      <c r="G1588" s="168" t="s">
        <v>629</v>
      </c>
      <c r="H1588" s="168" t="s">
        <v>608</v>
      </c>
      <c r="I1588">
        <v>0</v>
      </c>
    </row>
    <row r="1589" spans="1:9" hidden="1" x14ac:dyDescent="0.3">
      <c r="A1589">
        <v>45</v>
      </c>
      <c r="B1589" s="168" t="s">
        <v>30</v>
      </c>
      <c r="C1589" s="168" t="s">
        <v>68</v>
      </c>
      <c r="D1589">
        <v>4466.7</v>
      </c>
      <c r="E1589">
        <v>2021</v>
      </c>
      <c r="F1589" s="168" t="s">
        <v>591</v>
      </c>
      <c r="G1589" s="168" t="s">
        <v>629</v>
      </c>
      <c r="H1589" s="168" t="s">
        <v>609</v>
      </c>
      <c r="I1589">
        <v>2604951.7611487401</v>
      </c>
    </row>
    <row r="1590" spans="1:9" hidden="1" x14ac:dyDescent="0.3">
      <c r="A1590">
        <v>45</v>
      </c>
      <c r="B1590" s="168" t="s">
        <v>30</v>
      </c>
      <c r="C1590" s="168" t="s">
        <v>68</v>
      </c>
      <c r="D1590">
        <v>4466.7</v>
      </c>
      <c r="E1590">
        <v>2021</v>
      </c>
      <c r="F1590" s="168" t="s">
        <v>591</v>
      </c>
      <c r="G1590" s="168" t="s">
        <v>619</v>
      </c>
      <c r="H1590" s="168" t="s">
        <v>608</v>
      </c>
      <c r="I1590">
        <v>0</v>
      </c>
    </row>
    <row r="1591" spans="1:9" hidden="1" x14ac:dyDescent="0.3">
      <c r="A1591">
        <v>45</v>
      </c>
      <c r="B1591" s="168" t="s">
        <v>30</v>
      </c>
      <c r="C1591" s="168" t="s">
        <v>68</v>
      </c>
      <c r="D1591">
        <v>4466.7</v>
      </c>
      <c r="E1591">
        <v>2021</v>
      </c>
      <c r="F1591" s="168" t="s">
        <v>591</v>
      </c>
      <c r="G1591" s="168" t="s">
        <v>619</v>
      </c>
      <c r="H1591" s="168" t="s">
        <v>609</v>
      </c>
      <c r="I1591">
        <v>7301.8867924528295</v>
      </c>
    </row>
    <row r="1592" spans="1:9" hidden="1" x14ac:dyDescent="0.3">
      <c r="A1592">
        <v>45</v>
      </c>
      <c r="B1592" s="168" t="s">
        <v>30</v>
      </c>
      <c r="C1592" s="168" t="s">
        <v>68</v>
      </c>
      <c r="D1592">
        <v>4466.7</v>
      </c>
      <c r="E1592">
        <v>2021</v>
      </c>
      <c r="F1592" s="168" t="s">
        <v>591</v>
      </c>
      <c r="G1592" s="168" t="s">
        <v>610</v>
      </c>
      <c r="H1592" s="168" t="s">
        <v>608</v>
      </c>
      <c r="I1592">
        <v>0</v>
      </c>
    </row>
    <row r="1593" spans="1:9" hidden="1" x14ac:dyDescent="0.3">
      <c r="A1593">
        <v>45</v>
      </c>
      <c r="B1593" s="168" t="s">
        <v>30</v>
      </c>
      <c r="C1593" s="168" t="s">
        <v>68</v>
      </c>
      <c r="D1593">
        <v>4466.7</v>
      </c>
      <c r="E1593">
        <v>2021</v>
      </c>
      <c r="F1593" s="168" t="s">
        <v>591</v>
      </c>
      <c r="G1593" s="168" t="s">
        <v>610</v>
      </c>
      <c r="H1593" s="168" t="s">
        <v>609</v>
      </c>
      <c r="I1593">
        <v>65149.854545454553</v>
      </c>
    </row>
    <row r="1594" spans="1:9" hidden="1" x14ac:dyDescent="0.3">
      <c r="A1594">
        <v>45</v>
      </c>
      <c r="B1594" s="168" t="s">
        <v>30</v>
      </c>
      <c r="C1594" s="168" t="s">
        <v>68</v>
      </c>
      <c r="D1594">
        <v>4466.7</v>
      </c>
      <c r="E1594">
        <v>2021</v>
      </c>
      <c r="F1594" s="168" t="s">
        <v>591</v>
      </c>
      <c r="G1594" s="168" t="s">
        <v>633</v>
      </c>
      <c r="H1594" s="168" t="s">
        <v>608</v>
      </c>
      <c r="I1594">
        <v>0</v>
      </c>
    </row>
    <row r="1595" spans="1:9" hidden="1" x14ac:dyDescent="0.3">
      <c r="A1595">
        <v>45</v>
      </c>
      <c r="B1595" s="168" t="s">
        <v>30</v>
      </c>
      <c r="C1595" s="168" t="s">
        <v>68</v>
      </c>
      <c r="D1595">
        <v>4466.7</v>
      </c>
      <c r="E1595">
        <v>2021</v>
      </c>
      <c r="F1595" s="168" t="s">
        <v>591</v>
      </c>
      <c r="G1595" s="168" t="s">
        <v>633</v>
      </c>
      <c r="H1595" s="168" t="s">
        <v>609</v>
      </c>
      <c r="I1595">
        <v>36000</v>
      </c>
    </row>
    <row r="1596" spans="1:9" hidden="1" x14ac:dyDescent="0.3">
      <c r="A1596">
        <v>45</v>
      </c>
      <c r="B1596" s="168" t="s">
        <v>30</v>
      </c>
      <c r="C1596" s="168" t="s">
        <v>68</v>
      </c>
      <c r="D1596">
        <v>4466.7</v>
      </c>
      <c r="E1596">
        <v>2021</v>
      </c>
      <c r="F1596" s="168" t="s">
        <v>591</v>
      </c>
      <c r="G1596" s="168" t="s">
        <v>623</v>
      </c>
      <c r="H1596" s="168" t="s">
        <v>608</v>
      </c>
      <c r="I1596">
        <v>0</v>
      </c>
    </row>
    <row r="1597" spans="1:9" hidden="1" x14ac:dyDescent="0.3">
      <c r="A1597">
        <v>45</v>
      </c>
      <c r="B1597" s="168" t="s">
        <v>30</v>
      </c>
      <c r="C1597" s="168" t="s">
        <v>68</v>
      </c>
      <c r="D1597">
        <v>4466.7</v>
      </c>
      <c r="E1597">
        <v>2021</v>
      </c>
      <c r="F1597" s="168" t="s">
        <v>591</v>
      </c>
      <c r="G1597" s="168" t="s">
        <v>623</v>
      </c>
      <c r="H1597" s="168" t="s">
        <v>609</v>
      </c>
      <c r="I1597">
        <v>364168.48</v>
      </c>
    </row>
    <row r="1598" spans="1:9" hidden="1" x14ac:dyDescent="0.3">
      <c r="A1598">
        <v>45</v>
      </c>
      <c r="B1598" s="168" t="s">
        <v>30</v>
      </c>
      <c r="C1598" s="168" t="s">
        <v>68</v>
      </c>
      <c r="D1598">
        <v>4466.7</v>
      </c>
      <c r="E1598">
        <v>2021</v>
      </c>
      <c r="F1598" s="168" t="s">
        <v>591</v>
      </c>
      <c r="G1598" s="168" t="s">
        <v>613</v>
      </c>
      <c r="H1598" s="168" t="s">
        <v>608</v>
      </c>
      <c r="I1598">
        <v>0</v>
      </c>
    </row>
    <row r="1599" spans="1:9" hidden="1" x14ac:dyDescent="0.3">
      <c r="A1599">
        <v>45</v>
      </c>
      <c r="B1599" s="168" t="s">
        <v>30</v>
      </c>
      <c r="C1599" s="168" t="s">
        <v>68</v>
      </c>
      <c r="D1599">
        <v>4466.7</v>
      </c>
      <c r="E1599">
        <v>2021</v>
      </c>
      <c r="F1599" s="168" t="s">
        <v>591</v>
      </c>
      <c r="G1599" s="168" t="s">
        <v>613</v>
      </c>
      <c r="H1599" s="168" t="s">
        <v>609</v>
      </c>
      <c r="I1599">
        <v>1044284.4155640691</v>
      </c>
    </row>
    <row r="1600" spans="1:9" x14ac:dyDescent="0.3">
      <c r="A1600">
        <v>46</v>
      </c>
      <c r="B1600" s="168" t="s">
        <v>37</v>
      </c>
      <c r="C1600" s="168" t="s">
        <v>69</v>
      </c>
      <c r="D1600">
        <v>912.3</v>
      </c>
      <c r="E1600">
        <v>2021</v>
      </c>
      <c r="F1600" s="168" t="s">
        <v>592</v>
      </c>
      <c r="G1600" s="168" t="s">
        <v>607</v>
      </c>
      <c r="H1600" s="168" t="s">
        <v>608</v>
      </c>
      <c r="I1600">
        <v>173196.60578167695</v>
      </c>
    </row>
    <row r="1601" spans="1:9" x14ac:dyDescent="0.3">
      <c r="A1601">
        <v>46</v>
      </c>
      <c r="B1601" s="168" t="s">
        <v>37</v>
      </c>
      <c r="C1601" s="168" t="s">
        <v>69</v>
      </c>
      <c r="D1601">
        <v>912.3</v>
      </c>
      <c r="E1601">
        <v>2021</v>
      </c>
      <c r="F1601" s="168" t="s">
        <v>592</v>
      </c>
      <c r="G1601" s="168" t="s">
        <v>607</v>
      </c>
      <c r="H1601" s="168" t="s">
        <v>609</v>
      </c>
      <c r="I1601">
        <v>73758.511228452247</v>
      </c>
    </row>
    <row r="1602" spans="1:9" x14ac:dyDescent="0.3">
      <c r="A1602">
        <v>46</v>
      </c>
      <c r="B1602" s="168" t="s">
        <v>37</v>
      </c>
      <c r="C1602" s="168" t="s">
        <v>69</v>
      </c>
      <c r="D1602">
        <v>912.3</v>
      </c>
      <c r="E1602">
        <v>2021</v>
      </c>
      <c r="F1602" s="168" t="s">
        <v>592</v>
      </c>
      <c r="G1602" s="168" t="s">
        <v>620</v>
      </c>
      <c r="H1602" s="168" t="s">
        <v>608</v>
      </c>
      <c r="I1602">
        <v>0</v>
      </c>
    </row>
    <row r="1603" spans="1:9" x14ac:dyDescent="0.3">
      <c r="A1603">
        <v>46</v>
      </c>
      <c r="B1603" s="168" t="s">
        <v>37</v>
      </c>
      <c r="C1603" s="168" t="s">
        <v>69</v>
      </c>
      <c r="D1603">
        <v>912.3</v>
      </c>
      <c r="E1603">
        <v>2021</v>
      </c>
      <c r="F1603" s="168" t="s">
        <v>592</v>
      </c>
      <c r="G1603" s="168" t="s">
        <v>620</v>
      </c>
      <c r="H1603" s="168" t="s">
        <v>609</v>
      </c>
      <c r="I1603">
        <v>448541.66666666669</v>
      </c>
    </row>
    <row r="1604" spans="1:9" x14ac:dyDescent="0.3">
      <c r="A1604">
        <v>46</v>
      </c>
      <c r="B1604" s="168" t="s">
        <v>37</v>
      </c>
      <c r="C1604" s="168" t="s">
        <v>69</v>
      </c>
      <c r="D1604">
        <v>912.3</v>
      </c>
      <c r="E1604">
        <v>2021</v>
      </c>
      <c r="F1604" s="168" t="s">
        <v>592</v>
      </c>
      <c r="G1604" s="168" t="s">
        <v>621</v>
      </c>
      <c r="H1604" s="168" t="s">
        <v>608</v>
      </c>
      <c r="I1604">
        <v>0</v>
      </c>
    </row>
    <row r="1605" spans="1:9" x14ac:dyDescent="0.3">
      <c r="A1605">
        <v>46</v>
      </c>
      <c r="B1605" s="168" t="s">
        <v>37</v>
      </c>
      <c r="C1605" s="168" t="s">
        <v>69</v>
      </c>
      <c r="D1605">
        <v>912.3</v>
      </c>
      <c r="E1605">
        <v>2021</v>
      </c>
      <c r="F1605" s="168" t="s">
        <v>592</v>
      </c>
      <c r="G1605" s="168" t="s">
        <v>621</v>
      </c>
      <c r="H1605" s="168" t="s">
        <v>609</v>
      </c>
      <c r="I1605">
        <v>63764.36056361474</v>
      </c>
    </row>
    <row r="1606" spans="1:9" x14ac:dyDescent="0.3">
      <c r="A1606">
        <v>47</v>
      </c>
      <c r="B1606" s="168" t="s">
        <v>37</v>
      </c>
      <c r="C1606" s="168" t="s">
        <v>70</v>
      </c>
      <c r="D1606">
        <v>1610.7</v>
      </c>
      <c r="E1606">
        <v>2021</v>
      </c>
      <c r="F1606" s="168" t="s">
        <v>592</v>
      </c>
      <c r="G1606" s="168" t="s">
        <v>607</v>
      </c>
      <c r="H1606" s="168" t="s">
        <v>608</v>
      </c>
      <c r="I1606">
        <v>305785.12872141518</v>
      </c>
    </row>
    <row r="1607" spans="1:9" x14ac:dyDescent="0.3">
      <c r="A1607">
        <v>47</v>
      </c>
      <c r="B1607" s="168" t="s">
        <v>37</v>
      </c>
      <c r="C1607" s="168" t="s">
        <v>70</v>
      </c>
      <c r="D1607">
        <v>1610.7</v>
      </c>
      <c r="E1607">
        <v>2021</v>
      </c>
      <c r="F1607" s="168" t="s">
        <v>592</v>
      </c>
      <c r="G1607" s="168" t="s">
        <v>607</v>
      </c>
      <c r="H1607" s="168" t="s">
        <v>609</v>
      </c>
      <c r="I1607">
        <v>130223.42873579748</v>
      </c>
    </row>
    <row r="1608" spans="1:9" x14ac:dyDescent="0.3">
      <c r="A1608">
        <v>47</v>
      </c>
      <c r="B1608" s="168" t="s">
        <v>37</v>
      </c>
      <c r="C1608" s="168" t="s">
        <v>70</v>
      </c>
      <c r="D1608">
        <v>1610.7</v>
      </c>
      <c r="E1608">
        <v>2021</v>
      </c>
      <c r="F1608" s="168" t="s">
        <v>592</v>
      </c>
      <c r="G1608" s="168" t="s">
        <v>612</v>
      </c>
      <c r="H1608" s="168" t="s">
        <v>608</v>
      </c>
      <c r="I1608">
        <v>0</v>
      </c>
    </row>
    <row r="1609" spans="1:9" x14ac:dyDescent="0.3">
      <c r="A1609">
        <v>47</v>
      </c>
      <c r="B1609" s="168" t="s">
        <v>37</v>
      </c>
      <c r="C1609" s="168" t="s">
        <v>70</v>
      </c>
      <c r="D1609">
        <v>1610.7</v>
      </c>
      <c r="E1609">
        <v>2021</v>
      </c>
      <c r="F1609" s="168" t="s">
        <v>592</v>
      </c>
      <c r="G1609" s="168" t="s">
        <v>612</v>
      </c>
      <c r="H1609" s="168" t="s">
        <v>609</v>
      </c>
      <c r="I1609">
        <v>90400</v>
      </c>
    </row>
    <row r="1610" spans="1:9" x14ac:dyDescent="0.3">
      <c r="A1610">
        <v>47</v>
      </c>
      <c r="B1610" s="168" t="s">
        <v>37</v>
      </c>
      <c r="C1610" s="168" t="s">
        <v>70</v>
      </c>
      <c r="D1610">
        <v>1610.7</v>
      </c>
      <c r="E1610">
        <v>2021</v>
      </c>
      <c r="F1610" s="168" t="s">
        <v>592</v>
      </c>
      <c r="G1610" s="168" t="s">
        <v>620</v>
      </c>
      <c r="H1610" s="168" t="s">
        <v>608</v>
      </c>
      <c r="I1610">
        <v>0</v>
      </c>
    </row>
    <row r="1611" spans="1:9" x14ac:dyDescent="0.3">
      <c r="A1611">
        <v>47</v>
      </c>
      <c r="B1611" s="168" t="s">
        <v>37</v>
      </c>
      <c r="C1611" s="168" t="s">
        <v>70</v>
      </c>
      <c r="D1611">
        <v>1610.7</v>
      </c>
      <c r="E1611">
        <v>2021</v>
      </c>
      <c r="F1611" s="168" t="s">
        <v>592</v>
      </c>
      <c r="G1611" s="168" t="s">
        <v>620</v>
      </c>
      <c r="H1611" s="168" t="s">
        <v>609</v>
      </c>
      <c r="I1611">
        <v>358833.33333333331</v>
      </c>
    </row>
    <row r="1612" spans="1:9" x14ac:dyDescent="0.3">
      <c r="A1612">
        <v>47</v>
      </c>
      <c r="B1612" s="168" t="s">
        <v>37</v>
      </c>
      <c r="C1612" s="168" t="s">
        <v>70</v>
      </c>
      <c r="D1612">
        <v>1610.7</v>
      </c>
      <c r="E1612">
        <v>2021</v>
      </c>
      <c r="F1612" s="168" t="s">
        <v>592</v>
      </c>
      <c r="G1612" s="168" t="s">
        <v>621</v>
      </c>
      <c r="H1612" s="168" t="s">
        <v>608</v>
      </c>
      <c r="I1612">
        <v>0</v>
      </c>
    </row>
    <row r="1613" spans="1:9" x14ac:dyDescent="0.3">
      <c r="A1613">
        <v>47</v>
      </c>
      <c r="B1613" s="168" t="s">
        <v>37</v>
      </c>
      <c r="C1613" s="168" t="s">
        <v>70</v>
      </c>
      <c r="D1613">
        <v>1610.7</v>
      </c>
      <c r="E1613">
        <v>2021</v>
      </c>
      <c r="F1613" s="168" t="s">
        <v>592</v>
      </c>
      <c r="G1613" s="168" t="s">
        <v>621</v>
      </c>
      <c r="H1613" s="168" t="s">
        <v>609</v>
      </c>
      <c r="I1613">
        <v>112578.37943638526</v>
      </c>
    </row>
    <row r="1614" spans="1:9" x14ac:dyDescent="0.3">
      <c r="A1614">
        <v>48</v>
      </c>
      <c r="B1614" s="168" t="s">
        <v>71</v>
      </c>
      <c r="C1614" s="168" t="s">
        <v>72</v>
      </c>
      <c r="D1614">
        <v>18956.5</v>
      </c>
      <c r="E1614">
        <v>2021</v>
      </c>
      <c r="F1614" s="168" t="s">
        <v>592</v>
      </c>
      <c r="G1614" s="168" t="s">
        <v>607</v>
      </c>
      <c r="H1614" s="168" t="s">
        <v>608</v>
      </c>
      <c r="I1614">
        <v>172563.66824289903</v>
      </c>
    </row>
    <row r="1615" spans="1:9" x14ac:dyDescent="0.3">
      <c r="A1615">
        <v>48</v>
      </c>
      <c r="B1615" s="168" t="s">
        <v>71</v>
      </c>
      <c r="C1615" s="168" t="s">
        <v>72</v>
      </c>
      <c r="D1615">
        <v>18956.5</v>
      </c>
      <c r="E1615">
        <v>2021</v>
      </c>
      <c r="F1615" s="168" t="s">
        <v>592</v>
      </c>
      <c r="G1615" s="168" t="s">
        <v>607</v>
      </c>
      <c r="H1615" s="168" t="s">
        <v>609</v>
      </c>
      <c r="I1615">
        <v>0</v>
      </c>
    </row>
    <row r="1616" spans="1:9" x14ac:dyDescent="0.3">
      <c r="A1616">
        <v>48</v>
      </c>
      <c r="B1616" s="168" t="s">
        <v>71</v>
      </c>
      <c r="C1616" s="168" t="s">
        <v>72</v>
      </c>
      <c r="D1616">
        <v>18956.5</v>
      </c>
      <c r="E1616">
        <v>2021</v>
      </c>
      <c r="F1616" s="168" t="s">
        <v>592</v>
      </c>
      <c r="G1616" s="168" t="s">
        <v>629</v>
      </c>
      <c r="H1616" s="168" t="s">
        <v>608</v>
      </c>
      <c r="I1616">
        <v>0</v>
      </c>
    </row>
    <row r="1617" spans="1:9" x14ac:dyDescent="0.3">
      <c r="A1617">
        <v>48</v>
      </c>
      <c r="B1617" s="168" t="s">
        <v>71</v>
      </c>
      <c r="C1617" s="168" t="s">
        <v>72</v>
      </c>
      <c r="D1617">
        <v>18956.5</v>
      </c>
      <c r="E1617">
        <v>2021</v>
      </c>
      <c r="F1617" s="168" t="s">
        <v>592</v>
      </c>
      <c r="G1617" s="168" t="s">
        <v>629</v>
      </c>
      <c r="H1617" s="168" t="s">
        <v>609</v>
      </c>
      <c r="I1617">
        <v>1480250</v>
      </c>
    </row>
    <row r="1618" spans="1:9" x14ac:dyDescent="0.3">
      <c r="A1618">
        <v>48</v>
      </c>
      <c r="B1618" s="168" t="s">
        <v>71</v>
      </c>
      <c r="C1618" s="168" t="s">
        <v>72</v>
      </c>
      <c r="D1618">
        <v>18956.5</v>
      </c>
      <c r="E1618">
        <v>2021</v>
      </c>
      <c r="F1618" s="168" t="s">
        <v>592</v>
      </c>
      <c r="G1618" s="168" t="s">
        <v>617</v>
      </c>
      <c r="H1618" s="168" t="s">
        <v>608</v>
      </c>
      <c r="I1618">
        <v>12803.821878744808</v>
      </c>
    </row>
    <row r="1619" spans="1:9" x14ac:dyDescent="0.3">
      <c r="A1619">
        <v>48</v>
      </c>
      <c r="B1619" s="168" t="s">
        <v>71</v>
      </c>
      <c r="C1619" s="168" t="s">
        <v>72</v>
      </c>
      <c r="D1619">
        <v>18956.5</v>
      </c>
      <c r="E1619">
        <v>2021</v>
      </c>
      <c r="F1619" s="168" t="s">
        <v>592</v>
      </c>
      <c r="G1619" s="168" t="s">
        <v>617</v>
      </c>
      <c r="H1619" s="168" t="s">
        <v>609</v>
      </c>
      <c r="I1619">
        <v>14441.69640905861</v>
      </c>
    </row>
    <row r="1620" spans="1:9" x14ac:dyDescent="0.3">
      <c r="A1620">
        <v>48</v>
      </c>
      <c r="B1620" s="168" t="s">
        <v>71</v>
      </c>
      <c r="C1620" s="168" t="s">
        <v>72</v>
      </c>
      <c r="D1620">
        <v>18956.5</v>
      </c>
      <c r="E1620">
        <v>2021</v>
      </c>
      <c r="F1620" s="168" t="s">
        <v>592</v>
      </c>
      <c r="G1620" s="168" t="s">
        <v>618</v>
      </c>
      <c r="H1620" s="168" t="s">
        <v>608</v>
      </c>
      <c r="I1620">
        <v>0</v>
      </c>
    </row>
    <row r="1621" spans="1:9" x14ac:dyDescent="0.3">
      <c r="A1621">
        <v>48</v>
      </c>
      <c r="B1621" s="168" t="s">
        <v>71</v>
      </c>
      <c r="C1621" s="168" t="s">
        <v>72</v>
      </c>
      <c r="D1621">
        <v>18956.5</v>
      </c>
      <c r="E1621">
        <v>2021</v>
      </c>
      <c r="F1621" s="168" t="s">
        <v>592</v>
      </c>
      <c r="G1621" s="168" t="s">
        <v>618</v>
      </c>
      <c r="H1621" s="168" t="s">
        <v>609</v>
      </c>
      <c r="I1621">
        <v>42606.741573033709</v>
      </c>
    </row>
    <row r="1622" spans="1:9" x14ac:dyDescent="0.3">
      <c r="A1622">
        <v>48</v>
      </c>
      <c r="B1622" s="168" t="s">
        <v>71</v>
      </c>
      <c r="C1622" s="168" t="s">
        <v>72</v>
      </c>
      <c r="D1622">
        <v>18956.5</v>
      </c>
      <c r="E1622">
        <v>2021</v>
      </c>
      <c r="F1622" s="168" t="s">
        <v>592</v>
      </c>
      <c r="G1622" s="168" t="s">
        <v>619</v>
      </c>
      <c r="H1622" s="168" t="s">
        <v>608</v>
      </c>
      <c r="I1622">
        <v>0</v>
      </c>
    </row>
    <row r="1623" spans="1:9" x14ac:dyDescent="0.3">
      <c r="A1623">
        <v>48</v>
      </c>
      <c r="B1623" s="168" t="s">
        <v>71</v>
      </c>
      <c r="C1623" s="168" t="s">
        <v>72</v>
      </c>
      <c r="D1623">
        <v>18956.5</v>
      </c>
      <c r="E1623">
        <v>2021</v>
      </c>
      <c r="F1623" s="168" t="s">
        <v>592</v>
      </c>
      <c r="G1623" s="168" t="s">
        <v>619</v>
      </c>
      <c r="H1623" s="168" t="s">
        <v>609</v>
      </c>
      <c r="I1623">
        <v>299000</v>
      </c>
    </row>
    <row r="1624" spans="1:9" x14ac:dyDescent="0.3">
      <c r="A1624">
        <v>48</v>
      </c>
      <c r="B1624" s="168" t="s">
        <v>71</v>
      </c>
      <c r="C1624" s="168" t="s">
        <v>72</v>
      </c>
      <c r="D1624">
        <v>18956.5</v>
      </c>
      <c r="E1624">
        <v>2021</v>
      </c>
      <c r="F1624" s="168" t="s">
        <v>592</v>
      </c>
      <c r="G1624" s="168" t="s">
        <v>610</v>
      </c>
      <c r="H1624" s="168" t="s">
        <v>608</v>
      </c>
      <c r="I1624">
        <v>0</v>
      </c>
    </row>
    <row r="1625" spans="1:9" x14ac:dyDescent="0.3">
      <c r="A1625">
        <v>48</v>
      </c>
      <c r="B1625" s="168" t="s">
        <v>71</v>
      </c>
      <c r="C1625" s="168" t="s">
        <v>72</v>
      </c>
      <c r="D1625">
        <v>18956.5</v>
      </c>
      <c r="E1625">
        <v>2021</v>
      </c>
      <c r="F1625" s="168" t="s">
        <v>592</v>
      </c>
      <c r="G1625" s="168" t="s">
        <v>610</v>
      </c>
      <c r="H1625" s="168" t="s">
        <v>609</v>
      </c>
      <c r="I1625">
        <v>311338.90909090912</v>
      </c>
    </row>
    <row r="1626" spans="1:9" x14ac:dyDescent="0.3">
      <c r="A1626">
        <v>48</v>
      </c>
      <c r="B1626" s="168" t="s">
        <v>71</v>
      </c>
      <c r="C1626" s="168" t="s">
        <v>72</v>
      </c>
      <c r="D1626">
        <v>18956.5</v>
      </c>
      <c r="E1626">
        <v>2021</v>
      </c>
      <c r="F1626" s="168" t="s">
        <v>592</v>
      </c>
      <c r="G1626" s="168" t="s">
        <v>620</v>
      </c>
      <c r="H1626" s="168" t="s">
        <v>608</v>
      </c>
      <c r="I1626">
        <v>452096.1080645161</v>
      </c>
    </row>
    <row r="1627" spans="1:9" x14ac:dyDescent="0.3">
      <c r="A1627">
        <v>48</v>
      </c>
      <c r="B1627" s="168" t="s">
        <v>71</v>
      </c>
      <c r="C1627" s="168" t="s">
        <v>72</v>
      </c>
      <c r="D1627">
        <v>18956.5</v>
      </c>
      <c r="E1627">
        <v>2021</v>
      </c>
      <c r="F1627" s="168" t="s">
        <v>592</v>
      </c>
      <c r="G1627" s="168" t="s">
        <v>620</v>
      </c>
      <c r="H1627" s="168" t="s">
        <v>609</v>
      </c>
      <c r="I1627">
        <v>0</v>
      </c>
    </row>
    <row r="1628" spans="1:9" x14ac:dyDescent="0.3">
      <c r="A1628">
        <v>48</v>
      </c>
      <c r="B1628" s="168" t="s">
        <v>71</v>
      </c>
      <c r="C1628" s="168" t="s">
        <v>72</v>
      </c>
      <c r="D1628">
        <v>18956.5</v>
      </c>
      <c r="E1628">
        <v>2021</v>
      </c>
      <c r="F1628" s="168" t="s">
        <v>592</v>
      </c>
      <c r="G1628" s="168" t="s">
        <v>633</v>
      </c>
      <c r="H1628" s="168" t="s">
        <v>608</v>
      </c>
      <c r="I1628">
        <v>0</v>
      </c>
    </row>
    <row r="1629" spans="1:9" x14ac:dyDescent="0.3">
      <c r="A1629">
        <v>48</v>
      </c>
      <c r="B1629" s="168" t="s">
        <v>71</v>
      </c>
      <c r="C1629" s="168" t="s">
        <v>72</v>
      </c>
      <c r="D1629">
        <v>18956.5</v>
      </c>
      <c r="E1629">
        <v>2021</v>
      </c>
      <c r="F1629" s="168" t="s">
        <v>592</v>
      </c>
      <c r="G1629" s="168" t="s">
        <v>633</v>
      </c>
      <c r="H1629" s="168" t="s">
        <v>609</v>
      </c>
      <c r="I1629">
        <v>342725.30973451299</v>
      </c>
    </row>
    <row r="1630" spans="1:9" x14ac:dyDescent="0.3">
      <c r="A1630">
        <v>48</v>
      </c>
      <c r="B1630" s="168" t="s">
        <v>71</v>
      </c>
      <c r="C1630" s="168" t="s">
        <v>72</v>
      </c>
      <c r="D1630">
        <v>18956.5</v>
      </c>
      <c r="E1630">
        <v>2021</v>
      </c>
      <c r="F1630" s="168" t="s">
        <v>592</v>
      </c>
      <c r="G1630" s="168" t="s">
        <v>623</v>
      </c>
      <c r="H1630" s="168" t="s">
        <v>608</v>
      </c>
      <c r="I1630">
        <v>97634.615384615405</v>
      </c>
    </row>
    <row r="1631" spans="1:9" x14ac:dyDescent="0.3">
      <c r="A1631">
        <v>48</v>
      </c>
      <c r="B1631" s="168" t="s">
        <v>71</v>
      </c>
      <c r="C1631" s="168" t="s">
        <v>72</v>
      </c>
      <c r="D1631">
        <v>18956.5</v>
      </c>
      <c r="E1631">
        <v>2021</v>
      </c>
      <c r="F1631" s="168" t="s">
        <v>592</v>
      </c>
      <c r="G1631" s="168" t="s">
        <v>623</v>
      </c>
      <c r="H1631" s="168" t="s">
        <v>609</v>
      </c>
      <c r="I1631">
        <v>71020.782500000001</v>
      </c>
    </row>
    <row r="1632" spans="1:9" x14ac:dyDescent="0.3">
      <c r="A1632">
        <v>48</v>
      </c>
      <c r="B1632" s="168" t="s">
        <v>71</v>
      </c>
      <c r="C1632" s="168" t="s">
        <v>72</v>
      </c>
      <c r="D1632">
        <v>18956.5</v>
      </c>
      <c r="E1632">
        <v>2021</v>
      </c>
      <c r="F1632" s="168" t="s">
        <v>592</v>
      </c>
      <c r="G1632" s="168" t="s">
        <v>625</v>
      </c>
      <c r="H1632" s="168" t="s">
        <v>608</v>
      </c>
      <c r="I1632">
        <v>0</v>
      </c>
    </row>
    <row r="1633" spans="1:9" x14ac:dyDescent="0.3">
      <c r="A1633">
        <v>48</v>
      </c>
      <c r="B1633" s="168" t="s">
        <v>71</v>
      </c>
      <c r="C1633" s="168" t="s">
        <v>72</v>
      </c>
      <c r="D1633">
        <v>18956.5</v>
      </c>
      <c r="E1633">
        <v>2021</v>
      </c>
      <c r="F1633" s="168" t="s">
        <v>592</v>
      </c>
      <c r="G1633" s="168" t="s">
        <v>625</v>
      </c>
      <c r="H1633" s="168" t="s">
        <v>609</v>
      </c>
      <c r="I1633">
        <v>101498</v>
      </c>
    </row>
    <row r="1634" spans="1:9" x14ac:dyDescent="0.3">
      <c r="A1634">
        <v>48</v>
      </c>
      <c r="B1634" s="168" t="s">
        <v>71</v>
      </c>
      <c r="C1634" s="168" t="s">
        <v>72</v>
      </c>
      <c r="D1634">
        <v>18956.5</v>
      </c>
      <c r="E1634">
        <v>2021</v>
      </c>
      <c r="F1634" s="168" t="s">
        <v>592</v>
      </c>
      <c r="G1634" s="168" t="s">
        <v>615</v>
      </c>
      <c r="H1634" s="168" t="s">
        <v>608</v>
      </c>
      <c r="I1634">
        <v>0</v>
      </c>
    </row>
    <row r="1635" spans="1:9" x14ac:dyDescent="0.3">
      <c r="A1635">
        <v>48</v>
      </c>
      <c r="B1635" s="168" t="s">
        <v>71</v>
      </c>
      <c r="C1635" s="168" t="s">
        <v>72</v>
      </c>
      <c r="D1635">
        <v>18956.5</v>
      </c>
      <c r="E1635">
        <v>2021</v>
      </c>
      <c r="F1635" s="168" t="s">
        <v>592</v>
      </c>
      <c r="G1635" s="168" t="s">
        <v>615</v>
      </c>
      <c r="H1635" s="168" t="s">
        <v>609</v>
      </c>
      <c r="I1635">
        <v>22609.756097560974</v>
      </c>
    </row>
    <row r="1636" spans="1:9" x14ac:dyDescent="0.3">
      <c r="A1636">
        <v>48</v>
      </c>
      <c r="B1636" s="168" t="s">
        <v>71</v>
      </c>
      <c r="C1636" s="168" t="s">
        <v>72</v>
      </c>
      <c r="D1636">
        <v>18956.5</v>
      </c>
      <c r="E1636">
        <v>2021</v>
      </c>
      <c r="F1636" s="168" t="s">
        <v>592</v>
      </c>
      <c r="G1636" s="168" t="s">
        <v>630</v>
      </c>
      <c r="H1636" s="168" t="s">
        <v>608</v>
      </c>
      <c r="I1636">
        <v>354629.68152015435</v>
      </c>
    </row>
    <row r="1637" spans="1:9" x14ac:dyDescent="0.3">
      <c r="A1637">
        <v>48</v>
      </c>
      <c r="B1637" s="168" t="s">
        <v>71</v>
      </c>
      <c r="C1637" s="168" t="s">
        <v>72</v>
      </c>
      <c r="D1637">
        <v>18956.5</v>
      </c>
      <c r="E1637">
        <v>2021</v>
      </c>
      <c r="F1637" s="168" t="s">
        <v>592</v>
      </c>
      <c r="G1637" s="168" t="s">
        <v>630</v>
      </c>
      <c r="H1637" s="168" t="s">
        <v>609</v>
      </c>
      <c r="I1637">
        <v>373064.56945313641</v>
      </c>
    </row>
    <row r="1638" spans="1:9" x14ac:dyDescent="0.3">
      <c r="A1638">
        <v>48</v>
      </c>
      <c r="B1638" s="168" t="s">
        <v>71</v>
      </c>
      <c r="C1638" s="168" t="s">
        <v>72</v>
      </c>
      <c r="D1638">
        <v>18956.5</v>
      </c>
      <c r="E1638">
        <v>2021</v>
      </c>
      <c r="F1638" s="168" t="s">
        <v>592</v>
      </c>
      <c r="G1638" s="168" t="s">
        <v>611</v>
      </c>
      <c r="H1638" s="168" t="s">
        <v>608</v>
      </c>
      <c r="I1638">
        <v>0</v>
      </c>
    </row>
    <row r="1639" spans="1:9" x14ac:dyDescent="0.3">
      <c r="A1639">
        <v>48</v>
      </c>
      <c r="B1639" s="168" t="s">
        <v>71</v>
      </c>
      <c r="C1639" s="168" t="s">
        <v>72</v>
      </c>
      <c r="D1639">
        <v>18956.5</v>
      </c>
      <c r="E1639">
        <v>2021</v>
      </c>
      <c r="F1639" s="168" t="s">
        <v>592</v>
      </c>
      <c r="G1639" s="168" t="s">
        <v>611</v>
      </c>
      <c r="H1639" s="168" t="s">
        <v>609</v>
      </c>
      <c r="I1639">
        <v>87158.94016684829</v>
      </c>
    </row>
    <row r="1640" spans="1:9" x14ac:dyDescent="0.3">
      <c r="A1640">
        <v>48</v>
      </c>
      <c r="B1640" s="168" t="s">
        <v>71</v>
      </c>
      <c r="C1640" s="168" t="s">
        <v>72</v>
      </c>
      <c r="D1640">
        <v>18956.5</v>
      </c>
      <c r="E1640">
        <v>2021</v>
      </c>
      <c r="F1640" s="168" t="s">
        <v>592</v>
      </c>
      <c r="G1640" s="168" t="s">
        <v>621</v>
      </c>
      <c r="H1640" s="168" t="s">
        <v>608</v>
      </c>
      <c r="I1640">
        <v>0</v>
      </c>
    </row>
    <row r="1641" spans="1:9" x14ac:dyDescent="0.3">
      <c r="A1641">
        <v>48</v>
      </c>
      <c r="B1641" s="168" t="s">
        <v>71</v>
      </c>
      <c r="C1641" s="168" t="s">
        <v>72</v>
      </c>
      <c r="D1641">
        <v>18956.5</v>
      </c>
      <c r="E1641">
        <v>2021</v>
      </c>
      <c r="F1641" s="168" t="s">
        <v>592</v>
      </c>
      <c r="G1641" s="168" t="s">
        <v>621</v>
      </c>
      <c r="H1641" s="168" t="s">
        <v>609</v>
      </c>
      <c r="I1641">
        <v>1187546.67</v>
      </c>
    </row>
    <row r="1642" spans="1:9" x14ac:dyDescent="0.3">
      <c r="A1642">
        <v>48</v>
      </c>
      <c r="B1642" s="168" t="s">
        <v>71</v>
      </c>
      <c r="C1642" s="168" t="s">
        <v>72</v>
      </c>
      <c r="D1642">
        <v>18956.5</v>
      </c>
      <c r="E1642">
        <v>2021</v>
      </c>
      <c r="F1642" s="168" t="s">
        <v>592</v>
      </c>
      <c r="G1642" s="168" t="s">
        <v>626</v>
      </c>
      <c r="H1642" s="168" t="s">
        <v>608</v>
      </c>
      <c r="I1642">
        <v>0</v>
      </c>
    </row>
    <row r="1643" spans="1:9" x14ac:dyDescent="0.3">
      <c r="A1643">
        <v>48</v>
      </c>
      <c r="B1643" s="168" t="s">
        <v>71</v>
      </c>
      <c r="C1643" s="168" t="s">
        <v>72</v>
      </c>
      <c r="D1643">
        <v>18956.5</v>
      </c>
      <c r="E1643">
        <v>2021</v>
      </c>
      <c r="F1643" s="168" t="s">
        <v>592</v>
      </c>
      <c r="G1643" s="168" t="s">
        <v>626</v>
      </c>
      <c r="H1643" s="168" t="s">
        <v>609</v>
      </c>
      <c r="I1643">
        <v>59500</v>
      </c>
    </row>
    <row r="1644" spans="1:9" x14ac:dyDescent="0.3">
      <c r="A1644">
        <v>48</v>
      </c>
      <c r="B1644" s="168" t="s">
        <v>71</v>
      </c>
      <c r="C1644" s="168" t="s">
        <v>72</v>
      </c>
      <c r="D1644">
        <v>18956.5</v>
      </c>
      <c r="E1644">
        <v>2021</v>
      </c>
      <c r="F1644" s="168" t="s">
        <v>592</v>
      </c>
      <c r="G1644" s="168" t="s">
        <v>613</v>
      </c>
      <c r="H1644" s="168" t="s">
        <v>608</v>
      </c>
      <c r="I1644">
        <v>1343339.1517835618</v>
      </c>
    </row>
    <row r="1645" spans="1:9" x14ac:dyDescent="0.3">
      <c r="A1645">
        <v>48</v>
      </c>
      <c r="B1645" s="168" t="s">
        <v>71</v>
      </c>
      <c r="C1645" s="168" t="s">
        <v>72</v>
      </c>
      <c r="D1645">
        <v>18956.5</v>
      </c>
      <c r="E1645">
        <v>2021</v>
      </c>
      <c r="F1645" s="168" t="s">
        <v>592</v>
      </c>
      <c r="G1645" s="168" t="s">
        <v>613</v>
      </c>
      <c r="H1645" s="168" t="s">
        <v>609</v>
      </c>
      <c r="I1645">
        <v>547743.12073964393</v>
      </c>
    </row>
    <row r="1646" spans="1:9" x14ac:dyDescent="0.3">
      <c r="A1646">
        <v>48</v>
      </c>
      <c r="B1646" s="168" t="s">
        <v>71</v>
      </c>
      <c r="C1646" s="168" t="s">
        <v>72</v>
      </c>
      <c r="D1646">
        <v>18956.5</v>
      </c>
      <c r="E1646">
        <v>2021</v>
      </c>
      <c r="F1646" s="168" t="s">
        <v>592</v>
      </c>
      <c r="G1646" s="168" t="s">
        <v>622</v>
      </c>
      <c r="H1646" s="168" t="s">
        <v>608</v>
      </c>
      <c r="I1646">
        <v>3052.8092904743239</v>
      </c>
    </row>
    <row r="1647" spans="1:9" x14ac:dyDescent="0.3">
      <c r="A1647">
        <v>48</v>
      </c>
      <c r="B1647" s="168" t="s">
        <v>71</v>
      </c>
      <c r="C1647" s="168" t="s">
        <v>72</v>
      </c>
      <c r="D1647">
        <v>18956.5</v>
      </c>
      <c r="E1647">
        <v>2021</v>
      </c>
      <c r="F1647" s="168" t="s">
        <v>592</v>
      </c>
      <c r="G1647" s="168" t="s">
        <v>622</v>
      </c>
      <c r="H1647" s="168" t="s">
        <v>609</v>
      </c>
      <c r="I1647">
        <v>0</v>
      </c>
    </row>
    <row r="1648" spans="1:9" x14ac:dyDescent="0.3">
      <c r="A1648">
        <v>49</v>
      </c>
      <c r="B1648" s="168" t="s">
        <v>73</v>
      </c>
      <c r="C1648" s="168" t="s">
        <v>74</v>
      </c>
      <c r="D1648">
        <v>2378.5</v>
      </c>
      <c r="E1648">
        <v>2021</v>
      </c>
      <c r="F1648" s="168" t="s">
        <v>592</v>
      </c>
      <c r="G1648" s="168" t="s">
        <v>607</v>
      </c>
      <c r="H1648" s="168" t="s">
        <v>608</v>
      </c>
      <c r="I1648">
        <v>21651.817841676224</v>
      </c>
    </row>
    <row r="1649" spans="1:9" x14ac:dyDescent="0.3">
      <c r="A1649">
        <v>49</v>
      </c>
      <c r="B1649" s="168" t="s">
        <v>73</v>
      </c>
      <c r="C1649" s="168" t="s">
        <v>74</v>
      </c>
      <c r="D1649">
        <v>2378.5</v>
      </c>
      <c r="E1649">
        <v>2021</v>
      </c>
      <c r="F1649" s="168" t="s">
        <v>592</v>
      </c>
      <c r="G1649" s="168" t="s">
        <v>607</v>
      </c>
      <c r="H1649" s="168" t="s">
        <v>609</v>
      </c>
      <c r="I1649">
        <v>61304.34782608696</v>
      </c>
    </row>
    <row r="1650" spans="1:9" x14ac:dyDescent="0.3">
      <c r="A1650">
        <v>49</v>
      </c>
      <c r="B1650" s="168" t="s">
        <v>73</v>
      </c>
      <c r="C1650" s="168" t="s">
        <v>74</v>
      </c>
      <c r="D1650">
        <v>2378.5</v>
      </c>
      <c r="E1650">
        <v>2021</v>
      </c>
      <c r="F1650" s="168" t="s">
        <v>592</v>
      </c>
      <c r="G1650" s="168" t="s">
        <v>612</v>
      </c>
      <c r="H1650" s="168" t="s">
        <v>608</v>
      </c>
      <c r="I1650">
        <v>0</v>
      </c>
    </row>
    <row r="1651" spans="1:9" x14ac:dyDescent="0.3">
      <c r="A1651">
        <v>49</v>
      </c>
      <c r="B1651" s="168" t="s">
        <v>73</v>
      </c>
      <c r="C1651" s="168" t="s">
        <v>74</v>
      </c>
      <c r="D1651">
        <v>2378.5</v>
      </c>
      <c r="E1651">
        <v>2021</v>
      </c>
      <c r="F1651" s="168" t="s">
        <v>592</v>
      </c>
      <c r="G1651" s="168" t="s">
        <v>612</v>
      </c>
      <c r="H1651" s="168" t="s">
        <v>609</v>
      </c>
      <c r="I1651">
        <v>45200</v>
      </c>
    </row>
    <row r="1652" spans="1:9" x14ac:dyDescent="0.3">
      <c r="A1652">
        <v>49</v>
      </c>
      <c r="B1652" s="168" t="s">
        <v>73</v>
      </c>
      <c r="C1652" s="168" t="s">
        <v>74</v>
      </c>
      <c r="D1652">
        <v>2378.5</v>
      </c>
      <c r="E1652">
        <v>2021</v>
      </c>
      <c r="F1652" s="168" t="s">
        <v>592</v>
      </c>
      <c r="G1652" s="168" t="s">
        <v>617</v>
      </c>
      <c r="H1652" s="168" t="s">
        <v>608</v>
      </c>
      <c r="I1652">
        <v>1606.5144060662321</v>
      </c>
    </row>
    <row r="1653" spans="1:9" x14ac:dyDescent="0.3">
      <c r="A1653">
        <v>49</v>
      </c>
      <c r="B1653" s="168" t="s">
        <v>73</v>
      </c>
      <c r="C1653" s="168" t="s">
        <v>74</v>
      </c>
      <c r="D1653">
        <v>2378.5</v>
      </c>
      <c r="E1653">
        <v>2021</v>
      </c>
      <c r="F1653" s="168" t="s">
        <v>592</v>
      </c>
      <c r="G1653" s="168" t="s">
        <v>617</v>
      </c>
      <c r="H1653" s="168" t="s">
        <v>609</v>
      </c>
      <c r="I1653">
        <v>4516.88580454967</v>
      </c>
    </row>
    <row r="1654" spans="1:9" x14ac:dyDescent="0.3">
      <c r="A1654">
        <v>49</v>
      </c>
      <c r="B1654" s="168" t="s">
        <v>73</v>
      </c>
      <c r="C1654" s="168" t="s">
        <v>74</v>
      </c>
      <c r="D1654">
        <v>2378.5</v>
      </c>
      <c r="E1654">
        <v>2021</v>
      </c>
      <c r="F1654" s="168" t="s">
        <v>592</v>
      </c>
      <c r="G1654" s="168" t="s">
        <v>619</v>
      </c>
      <c r="H1654" s="168" t="s">
        <v>608</v>
      </c>
      <c r="I1654">
        <v>0</v>
      </c>
    </row>
    <row r="1655" spans="1:9" x14ac:dyDescent="0.3">
      <c r="A1655">
        <v>49</v>
      </c>
      <c r="B1655" s="168" t="s">
        <v>73</v>
      </c>
      <c r="C1655" s="168" t="s">
        <v>74</v>
      </c>
      <c r="D1655">
        <v>2378.5</v>
      </c>
      <c r="E1655">
        <v>2021</v>
      </c>
      <c r="F1655" s="168" t="s">
        <v>592</v>
      </c>
      <c r="G1655" s="168" t="s">
        <v>619</v>
      </c>
      <c r="H1655" s="168" t="s">
        <v>609</v>
      </c>
      <c r="I1655">
        <v>318000</v>
      </c>
    </row>
    <row r="1656" spans="1:9" x14ac:dyDescent="0.3">
      <c r="A1656">
        <v>49</v>
      </c>
      <c r="B1656" s="168" t="s">
        <v>73</v>
      </c>
      <c r="C1656" s="168" t="s">
        <v>74</v>
      </c>
      <c r="D1656">
        <v>2378.5</v>
      </c>
      <c r="E1656">
        <v>2021</v>
      </c>
      <c r="F1656" s="168" t="s">
        <v>592</v>
      </c>
      <c r="G1656" s="168" t="s">
        <v>610</v>
      </c>
      <c r="H1656" s="168" t="s">
        <v>608</v>
      </c>
      <c r="I1656">
        <v>0</v>
      </c>
    </row>
    <row r="1657" spans="1:9" x14ac:dyDescent="0.3">
      <c r="A1657">
        <v>49</v>
      </c>
      <c r="B1657" s="168" t="s">
        <v>73</v>
      </c>
      <c r="C1657" s="168" t="s">
        <v>74</v>
      </c>
      <c r="D1657">
        <v>2378.5</v>
      </c>
      <c r="E1657">
        <v>2021</v>
      </c>
      <c r="F1657" s="168" t="s">
        <v>592</v>
      </c>
      <c r="G1657" s="168" t="s">
        <v>610</v>
      </c>
      <c r="H1657" s="168" t="s">
        <v>609</v>
      </c>
      <c r="I1657">
        <v>6545.454545454545</v>
      </c>
    </row>
    <row r="1658" spans="1:9" x14ac:dyDescent="0.3">
      <c r="A1658">
        <v>49</v>
      </c>
      <c r="B1658" s="168" t="s">
        <v>73</v>
      </c>
      <c r="C1658" s="168" t="s">
        <v>74</v>
      </c>
      <c r="D1658">
        <v>2378.5</v>
      </c>
      <c r="E1658">
        <v>2021</v>
      </c>
      <c r="F1658" s="168" t="s">
        <v>592</v>
      </c>
      <c r="G1658" s="168" t="s">
        <v>620</v>
      </c>
      <c r="H1658" s="168" t="s">
        <v>608</v>
      </c>
      <c r="I1658">
        <v>388226.92720235052</v>
      </c>
    </row>
    <row r="1659" spans="1:9" x14ac:dyDescent="0.3">
      <c r="A1659">
        <v>49</v>
      </c>
      <c r="B1659" s="168" t="s">
        <v>73</v>
      </c>
      <c r="C1659" s="168" t="s">
        <v>74</v>
      </c>
      <c r="D1659">
        <v>2378.5</v>
      </c>
      <c r="E1659">
        <v>2021</v>
      </c>
      <c r="F1659" s="168" t="s">
        <v>592</v>
      </c>
      <c r="G1659" s="168" t="s">
        <v>620</v>
      </c>
      <c r="H1659" s="168" t="s">
        <v>609</v>
      </c>
      <c r="I1659">
        <v>712071.02179032797</v>
      </c>
    </row>
    <row r="1660" spans="1:9" x14ac:dyDescent="0.3">
      <c r="A1660">
        <v>49</v>
      </c>
      <c r="B1660" s="168" t="s">
        <v>73</v>
      </c>
      <c r="C1660" s="168" t="s">
        <v>74</v>
      </c>
      <c r="D1660">
        <v>2378.5</v>
      </c>
      <c r="E1660">
        <v>2021</v>
      </c>
      <c r="F1660" s="168" t="s">
        <v>592</v>
      </c>
      <c r="G1660" s="168" t="s">
        <v>625</v>
      </c>
      <c r="H1660" s="168" t="s">
        <v>608</v>
      </c>
      <c r="I1660">
        <v>0</v>
      </c>
    </row>
    <row r="1661" spans="1:9" x14ac:dyDescent="0.3">
      <c r="A1661">
        <v>49</v>
      </c>
      <c r="B1661" s="168" t="s">
        <v>73</v>
      </c>
      <c r="C1661" s="168" t="s">
        <v>74</v>
      </c>
      <c r="D1661">
        <v>2378.5</v>
      </c>
      <c r="E1661">
        <v>2021</v>
      </c>
      <c r="F1661" s="168" t="s">
        <v>592</v>
      </c>
      <c r="G1661" s="168" t="s">
        <v>625</v>
      </c>
      <c r="H1661" s="168" t="s">
        <v>609</v>
      </c>
      <c r="I1661">
        <v>101498</v>
      </c>
    </row>
    <row r="1662" spans="1:9" x14ac:dyDescent="0.3">
      <c r="A1662">
        <v>49</v>
      </c>
      <c r="B1662" s="168" t="s">
        <v>73</v>
      </c>
      <c r="C1662" s="168" t="s">
        <v>74</v>
      </c>
      <c r="D1662">
        <v>2378.5</v>
      </c>
      <c r="E1662">
        <v>2021</v>
      </c>
      <c r="F1662" s="168" t="s">
        <v>592</v>
      </c>
      <c r="G1662" s="168" t="s">
        <v>615</v>
      </c>
      <c r="H1662" s="168" t="s">
        <v>608</v>
      </c>
      <c r="I1662">
        <v>0</v>
      </c>
    </row>
    <row r="1663" spans="1:9" x14ac:dyDescent="0.3">
      <c r="A1663">
        <v>49</v>
      </c>
      <c r="B1663" s="168" t="s">
        <v>73</v>
      </c>
      <c r="C1663" s="168" t="s">
        <v>74</v>
      </c>
      <c r="D1663">
        <v>2378.5</v>
      </c>
      <c r="E1663">
        <v>2021</v>
      </c>
      <c r="F1663" s="168" t="s">
        <v>592</v>
      </c>
      <c r="G1663" s="168" t="s">
        <v>615</v>
      </c>
      <c r="H1663" s="168" t="s">
        <v>609</v>
      </c>
      <c r="I1663">
        <v>7536.5853658536589</v>
      </c>
    </row>
    <row r="1664" spans="1:9" x14ac:dyDescent="0.3">
      <c r="A1664">
        <v>49</v>
      </c>
      <c r="B1664" s="168" t="s">
        <v>73</v>
      </c>
      <c r="C1664" s="168" t="s">
        <v>74</v>
      </c>
      <c r="D1664">
        <v>2378.5</v>
      </c>
      <c r="E1664">
        <v>2021</v>
      </c>
      <c r="F1664" s="168" t="s">
        <v>592</v>
      </c>
      <c r="G1664" s="168" t="s">
        <v>630</v>
      </c>
      <c r="H1664" s="168" t="s">
        <v>608</v>
      </c>
      <c r="I1664">
        <v>35561.325316100985</v>
      </c>
    </row>
    <row r="1665" spans="1:9" x14ac:dyDescent="0.3">
      <c r="A1665">
        <v>49</v>
      </c>
      <c r="B1665" s="168" t="s">
        <v>73</v>
      </c>
      <c r="C1665" s="168" t="s">
        <v>74</v>
      </c>
      <c r="D1665">
        <v>2378.5</v>
      </c>
      <c r="E1665">
        <v>2021</v>
      </c>
      <c r="F1665" s="168" t="s">
        <v>592</v>
      </c>
      <c r="G1665" s="168" t="s">
        <v>630</v>
      </c>
      <c r="H1665" s="168" t="s">
        <v>609</v>
      </c>
      <c r="I1665">
        <v>37874.377881110282</v>
      </c>
    </row>
    <row r="1666" spans="1:9" x14ac:dyDescent="0.3">
      <c r="A1666">
        <v>49</v>
      </c>
      <c r="B1666" s="168" t="s">
        <v>73</v>
      </c>
      <c r="C1666" s="168" t="s">
        <v>74</v>
      </c>
      <c r="D1666">
        <v>2378.5</v>
      </c>
      <c r="E1666">
        <v>2021</v>
      </c>
      <c r="F1666" s="168" t="s">
        <v>592</v>
      </c>
      <c r="G1666" s="168" t="s">
        <v>611</v>
      </c>
      <c r="H1666" s="168" t="s">
        <v>608</v>
      </c>
      <c r="I1666">
        <v>0</v>
      </c>
    </row>
    <row r="1667" spans="1:9" x14ac:dyDescent="0.3">
      <c r="A1667">
        <v>49</v>
      </c>
      <c r="B1667" s="168" t="s">
        <v>73</v>
      </c>
      <c r="C1667" s="168" t="s">
        <v>74</v>
      </c>
      <c r="D1667">
        <v>2378.5</v>
      </c>
      <c r="E1667">
        <v>2021</v>
      </c>
      <c r="F1667" s="168" t="s">
        <v>592</v>
      </c>
      <c r="G1667" s="168" t="s">
        <v>611</v>
      </c>
      <c r="H1667" s="168" t="s">
        <v>609</v>
      </c>
      <c r="I1667">
        <v>994.82615114999976</v>
      </c>
    </row>
    <row r="1668" spans="1:9" x14ac:dyDescent="0.3">
      <c r="A1668">
        <v>49</v>
      </c>
      <c r="B1668" s="168" t="s">
        <v>73</v>
      </c>
      <c r="C1668" s="168" t="s">
        <v>74</v>
      </c>
      <c r="D1668">
        <v>2378.5</v>
      </c>
      <c r="E1668">
        <v>2021</v>
      </c>
      <c r="F1668" s="168" t="s">
        <v>592</v>
      </c>
      <c r="G1668" s="168" t="s">
        <v>626</v>
      </c>
      <c r="H1668" s="168" t="s">
        <v>608</v>
      </c>
      <c r="I1668">
        <v>0</v>
      </c>
    </row>
    <row r="1669" spans="1:9" x14ac:dyDescent="0.3">
      <c r="A1669">
        <v>49</v>
      </c>
      <c r="B1669" s="168" t="s">
        <v>73</v>
      </c>
      <c r="C1669" s="168" t="s">
        <v>74</v>
      </c>
      <c r="D1669">
        <v>2378.5</v>
      </c>
      <c r="E1669">
        <v>2021</v>
      </c>
      <c r="F1669" s="168" t="s">
        <v>592</v>
      </c>
      <c r="G1669" s="168" t="s">
        <v>626</v>
      </c>
      <c r="H1669" s="168" t="s">
        <v>609</v>
      </c>
      <c r="I1669">
        <v>10500</v>
      </c>
    </row>
    <row r="1670" spans="1:9" x14ac:dyDescent="0.3">
      <c r="A1670">
        <v>49</v>
      </c>
      <c r="B1670" s="168" t="s">
        <v>73</v>
      </c>
      <c r="C1670" s="168" t="s">
        <v>74</v>
      </c>
      <c r="D1670">
        <v>2378.5</v>
      </c>
      <c r="E1670">
        <v>2021</v>
      </c>
      <c r="F1670" s="168" t="s">
        <v>592</v>
      </c>
      <c r="G1670" s="168" t="s">
        <v>613</v>
      </c>
      <c r="H1670" s="168" t="s">
        <v>608</v>
      </c>
      <c r="I1670">
        <v>168550.743677219</v>
      </c>
    </row>
    <row r="1671" spans="1:9" x14ac:dyDescent="0.3">
      <c r="A1671">
        <v>49</v>
      </c>
      <c r="B1671" s="168" t="s">
        <v>73</v>
      </c>
      <c r="C1671" s="168" t="s">
        <v>74</v>
      </c>
      <c r="D1671">
        <v>2378.5</v>
      </c>
      <c r="E1671">
        <v>2021</v>
      </c>
      <c r="F1671" s="168" t="s">
        <v>592</v>
      </c>
      <c r="G1671" s="168" t="s">
        <v>613</v>
      </c>
      <c r="H1671" s="168" t="s">
        <v>609</v>
      </c>
      <c r="I1671">
        <v>68726.136822685905</v>
      </c>
    </row>
    <row r="1672" spans="1:9" x14ac:dyDescent="0.3">
      <c r="A1672">
        <v>49</v>
      </c>
      <c r="B1672" s="168" t="s">
        <v>73</v>
      </c>
      <c r="C1672" s="168" t="s">
        <v>74</v>
      </c>
      <c r="D1672">
        <v>2378.5</v>
      </c>
      <c r="E1672">
        <v>2021</v>
      </c>
      <c r="F1672" s="168" t="s">
        <v>592</v>
      </c>
      <c r="G1672" s="168" t="s">
        <v>622</v>
      </c>
      <c r="H1672" s="168" t="s">
        <v>608</v>
      </c>
      <c r="I1672">
        <v>32436.098711289691</v>
      </c>
    </row>
    <row r="1673" spans="1:9" x14ac:dyDescent="0.3">
      <c r="A1673">
        <v>49</v>
      </c>
      <c r="B1673" s="168" t="s">
        <v>73</v>
      </c>
      <c r="C1673" s="168" t="s">
        <v>74</v>
      </c>
      <c r="D1673">
        <v>2378.5</v>
      </c>
      <c r="E1673">
        <v>2021</v>
      </c>
      <c r="F1673" s="168" t="s">
        <v>592</v>
      </c>
      <c r="G1673" s="168" t="s">
        <v>622</v>
      </c>
      <c r="H1673" s="168" t="s">
        <v>609</v>
      </c>
      <c r="I1673">
        <v>0</v>
      </c>
    </row>
    <row r="1674" spans="1:9" x14ac:dyDescent="0.3">
      <c r="A1674">
        <v>50</v>
      </c>
      <c r="B1674" s="168" t="s">
        <v>75</v>
      </c>
      <c r="C1674" s="168" t="s">
        <v>76</v>
      </c>
      <c r="D1674">
        <v>6733.6</v>
      </c>
      <c r="E1674">
        <v>2021</v>
      </c>
      <c r="F1674" s="168" t="s">
        <v>592</v>
      </c>
      <c r="G1674" s="168" t="s">
        <v>607</v>
      </c>
      <c r="H1674" s="168" t="s">
        <v>608</v>
      </c>
      <c r="I1674">
        <v>1812328.73</v>
      </c>
    </row>
    <row r="1675" spans="1:9" x14ac:dyDescent="0.3">
      <c r="A1675">
        <v>50</v>
      </c>
      <c r="B1675" s="168" t="s">
        <v>75</v>
      </c>
      <c r="C1675" s="168" t="s">
        <v>76</v>
      </c>
      <c r="D1675">
        <v>6733.6</v>
      </c>
      <c r="E1675">
        <v>2021</v>
      </c>
      <c r="F1675" s="168" t="s">
        <v>592</v>
      </c>
      <c r="G1675" s="168" t="s">
        <v>607</v>
      </c>
      <c r="H1675" s="168" t="s">
        <v>609</v>
      </c>
      <c r="I1675">
        <v>776712.31</v>
      </c>
    </row>
    <row r="1676" spans="1:9" x14ac:dyDescent="0.3">
      <c r="A1676">
        <v>50</v>
      </c>
      <c r="B1676" s="168" t="s">
        <v>75</v>
      </c>
      <c r="C1676" s="168" t="s">
        <v>76</v>
      </c>
      <c r="D1676">
        <v>6733.6</v>
      </c>
      <c r="E1676">
        <v>2021</v>
      </c>
      <c r="F1676" s="168" t="s">
        <v>592</v>
      </c>
      <c r="G1676" s="168" t="s">
        <v>629</v>
      </c>
      <c r="H1676" s="168" t="s">
        <v>608</v>
      </c>
      <c r="I1676">
        <v>0</v>
      </c>
    </row>
    <row r="1677" spans="1:9" x14ac:dyDescent="0.3">
      <c r="A1677">
        <v>50</v>
      </c>
      <c r="B1677" s="168" t="s">
        <v>75</v>
      </c>
      <c r="C1677" s="168" t="s">
        <v>76</v>
      </c>
      <c r="D1677">
        <v>6733.6</v>
      </c>
      <c r="E1677">
        <v>2021</v>
      </c>
      <c r="F1677" s="168" t="s">
        <v>592</v>
      </c>
      <c r="G1677" s="168" t="s">
        <v>629</v>
      </c>
      <c r="H1677" s="168" t="s">
        <v>609</v>
      </c>
      <c r="I1677">
        <v>148998.18322167807</v>
      </c>
    </row>
    <row r="1678" spans="1:9" x14ac:dyDescent="0.3">
      <c r="A1678">
        <v>50</v>
      </c>
      <c r="B1678" s="168" t="s">
        <v>75</v>
      </c>
      <c r="C1678" s="168" t="s">
        <v>76</v>
      </c>
      <c r="D1678">
        <v>6733.6</v>
      </c>
      <c r="E1678">
        <v>2021</v>
      </c>
      <c r="F1678" s="168" t="s">
        <v>592</v>
      </c>
      <c r="G1678" s="168" t="s">
        <v>617</v>
      </c>
      <c r="H1678" s="168" t="s">
        <v>608</v>
      </c>
      <c r="I1678">
        <v>4548.0871997845616</v>
      </c>
    </row>
    <row r="1679" spans="1:9" x14ac:dyDescent="0.3">
      <c r="A1679">
        <v>50</v>
      </c>
      <c r="B1679" s="168" t="s">
        <v>75</v>
      </c>
      <c r="C1679" s="168" t="s">
        <v>76</v>
      </c>
      <c r="D1679">
        <v>6733.6</v>
      </c>
      <c r="E1679">
        <v>2021</v>
      </c>
      <c r="F1679" s="168" t="s">
        <v>592</v>
      </c>
      <c r="G1679" s="168" t="s">
        <v>617</v>
      </c>
      <c r="H1679" s="168" t="s">
        <v>609</v>
      </c>
      <c r="I1679">
        <v>3411.0653998384214</v>
      </c>
    </row>
    <row r="1680" spans="1:9" x14ac:dyDescent="0.3">
      <c r="A1680">
        <v>50</v>
      </c>
      <c r="B1680" s="168" t="s">
        <v>75</v>
      </c>
      <c r="C1680" s="168" t="s">
        <v>76</v>
      </c>
      <c r="D1680">
        <v>6733.6</v>
      </c>
      <c r="E1680">
        <v>2021</v>
      </c>
      <c r="F1680" s="168" t="s">
        <v>592</v>
      </c>
      <c r="G1680" s="168" t="s">
        <v>618</v>
      </c>
      <c r="H1680" s="168" t="s">
        <v>608</v>
      </c>
      <c r="I1680">
        <v>0</v>
      </c>
    </row>
    <row r="1681" spans="1:9" x14ac:dyDescent="0.3">
      <c r="A1681">
        <v>50</v>
      </c>
      <c r="B1681" s="168" t="s">
        <v>75</v>
      </c>
      <c r="C1681" s="168" t="s">
        <v>76</v>
      </c>
      <c r="D1681">
        <v>6733.6</v>
      </c>
      <c r="E1681">
        <v>2021</v>
      </c>
      <c r="F1681" s="168" t="s">
        <v>592</v>
      </c>
      <c r="G1681" s="168" t="s">
        <v>618</v>
      </c>
      <c r="H1681" s="168" t="s">
        <v>609</v>
      </c>
      <c r="I1681">
        <v>15977.528089887641</v>
      </c>
    </row>
    <row r="1682" spans="1:9" x14ac:dyDescent="0.3">
      <c r="A1682">
        <v>50</v>
      </c>
      <c r="B1682" s="168" t="s">
        <v>75</v>
      </c>
      <c r="C1682" s="168" t="s">
        <v>76</v>
      </c>
      <c r="D1682">
        <v>6733.6</v>
      </c>
      <c r="E1682">
        <v>2021</v>
      </c>
      <c r="F1682" s="168" t="s">
        <v>592</v>
      </c>
      <c r="G1682" s="168" t="s">
        <v>610</v>
      </c>
      <c r="H1682" s="168" t="s">
        <v>608</v>
      </c>
      <c r="I1682">
        <v>0</v>
      </c>
    </row>
    <row r="1683" spans="1:9" x14ac:dyDescent="0.3">
      <c r="A1683">
        <v>50</v>
      </c>
      <c r="B1683" s="168" t="s">
        <v>75</v>
      </c>
      <c r="C1683" s="168" t="s">
        <v>76</v>
      </c>
      <c r="D1683">
        <v>6733.6</v>
      </c>
      <c r="E1683">
        <v>2021</v>
      </c>
      <c r="F1683" s="168" t="s">
        <v>592</v>
      </c>
      <c r="G1683" s="168" t="s">
        <v>610</v>
      </c>
      <c r="H1683" s="168" t="s">
        <v>609</v>
      </c>
      <c r="I1683">
        <v>6545.454545454545</v>
      </c>
    </row>
    <row r="1684" spans="1:9" x14ac:dyDescent="0.3">
      <c r="A1684">
        <v>50</v>
      </c>
      <c r="B1684" s="168" t="s">
        <v>75</v>
      </c>
      <c r="C1684" s="168" t="s">
        <v>76</v>
      </c>
      <c r="D1684">
        <v>6733.6</v>
      </c>
      <c r="E1684">
        <v>2021</v>
      </c>
      <c r="F1684" s="168" t="s">
        <v>592</v>
      </c>
      <c r="G1684" s="168" t="s">
        <v>623</v>
      </c>
      <c r="H1684" s="168" t="s">
        <v>608</v>
      </c>
      <c r="I1684">
        <v>95576.923076923093</v>
      </c>
    </row>
    <row r="1685" spans="1:9" x14ac:dyDescent="0.3">
      <c r="A1685">
        <v>50</v>
      </c>
      <c r="B1685" s="168" t="s">
        <v>75</v>
      </c>
      <c r="C1685" s="168" t="s">
        <v>76</v>
      </c>
      <c r="D1685">
        <v>6733.6</v>
      </c>
      <c r="E1685">
        <v>2021</v>
      </c>
      <c r="F1685" s="168" t="s">
        <v>592</v>
      </c>
      <c r="G1685" s="168" t="s">
        <v>623</v>
      </c>
      <c r="H1685" s="168" t="s">
        <v>609</v>
      </c>
      <c r="I1685">
        <v>71020.782500000001</v>
      </c>
    </row>
    <row r="1686" spans="1:9" x14ac:dyDescent="0.3">
      <c r="A1686">
        <v>50</v>
      </c>
      <c r="B1686" s="168" t="s">
        <v>75</v>
      </c>
      <c r="C1686" s="168" t="s">
        <v>76</v>
      </c>
      <c r="D1686">
        <v>6733.6</v>
      </c>
      <c r="E1686">
        <v>2021</v>
      </c>
      <c r="F1686" s="168" t="s">
        <v>592</v>
      </c>
      <c r="G1686" s="168" t="s">
        <v>615</v>
      </c>
      <c r="H1686" s="168" t="s">
        <v>608</v>
      </c>
      <c r="I1686">
        <v>0</v>
      </c>
    </row>
    <row r="1687" spans="1:9" x14ac:dyDescent="0.3">
      <c r="A1687">
        <v>50</v>
      </c>
      <c r="B1687" s="168" t="s">
        <v>75</v>
      </c>
      <c r="C1687" s="168" t="s">
        <v>76</v>
      </c>
      <c r="D1687">
        <v>6733.6</v>
      </c>
      <c r="E1687">
        <v>2021</v>
      </c>
      <c r="F1687" s="168" t="s">
        <v>592</v>
      </c>
      <c r="G1687" s="168" t="s">
        <v>615</v>
      </c>
      <c r="H1687" s="168" t="s">
        <v>609</v>
      </c>
      <c r="I1687">
        <v>22609.756097560974</v>
      </c>
    </row>
    <row r="1688" spans="1:9" x14ac:dyDescent="0.3">
      <c r="A1688">
        <v>50</v>
      </c>
      <c r="B1688" s="168" t="s">
        <v>75</v>
      </c>
      <c r="C1688" s="168" t="s">
        <v>76</v>
      </c>
      <c r="D1688">
        <v>6733.6</v>
      </c>
      <c r="E1688">
        <v>2021</v>
      </c>
      <c r="F1688" s="168" t="s">
        <v>592</v>
      </c>
      <c r="G1688" s="168" t="s">
        <v>630</v>
      </c>
      <c r="H1688" s="168" t="s">
        <v>608</v>
      </c>
      <c r="I1688">
        <v>100675.10622177742</v>
      </c>
    </row>
    <row r="1689" spans="1:9" x14ac:dyDescent="0.3">
      <c r="A1689">
        <v>50</v>
      </c>
      <c r="B1689" s="168" t="s">
        <v>75</v>
      </c>
      <c r="C1689" s="168" t="s">
        <v>76</v>
      </c>
      <c r="D1689">
        <v>6733.6</v>
      </c>
      <c r="E1689">
        <v>2021</v>
      </c>
      <c r="F1689" s="168" t="s">
        <v>592</v>
      </c>
      <c r="G1689" s="168" t="s">
        <v>630</v>
      </c>
      <c r="H1689" s="168" t="s">
        <v>609</v>
      </c>
      <c r="I1689">
        <v>107223.42270348717</v>
      </c>
    </row>
    <row r="1690" spans="1:9" x14ac:dyDescent="0.3">
      <c r="A1690">
        <v>50</v>
      </c>
      <c r="B1690" s="168" t="s">
        <v>75</v>
      </c>
      <c r="C1690" s="168" t="s">
        <v>76</v>
      </c>
      <c r="D1690">
        <v>6733.6</v>
      </c>
      <c r="E1690">
        <v>2021</v>
      </c>
      <c r="F1690" s="168" t="s">
        <v>592</v>
      </c>
      <c r="G1690" s="168" t="s">
        <v>611</v>
      </c>
      <c r="H1690" s="168" t="s">
        <v>608</v>
      </c>
      <c r="I1690">
        <v>0</v>
      </c>
    </row>
    <row r="1691" spans="1:9" x14ac:dyDescent="0.3">
      <c r="A1691">
        <v>50</v>
      </c>
      <c r="B1691" s="168" t="s">
        <v>75</v>
      </c>
      <c r="C1691" s="168" t="s">
        <v>76</v>
      </c>
      <c r="D1691">
        <v>6733.6</v>
      </c>
      <c r="E1691">
        <v>2021</v>
      </c>
      <c r="F1691" s="168" t="s">
        <v>592</v>
      </c>
      <c r="G1691" s="168" t="s">
        <v>611</v>
      </c>
      <c r="H1691" s="168" t="s">
        <v>609</v>
      </c>
      <c r="I1691">
        <v>2816.3806480486182</v>
      </c>
    </row>
    <row r="1692" spans="1:9" x14ac:dyDescent="0.3">
      <c r="A1692">
        <v>50</v>
      </c>
      <c r="B1692" s="168" t="s">
        <v>75</v>
      </c>
      <c r="C1692" s="168" t="s">
        <v>76</v>
      </c>
      <c r="D1692">
        <v>6733.6</v>
      </c>
      <c r="E1692">
        <v>2021</v>
      </c>
      <c r="F1692" s="168" t="s">
        <v>592</v>
      </c>
      <c r="G1692" s="168" t="s">
        <v>613</v>
      </c>
      <c r="H1692" s="168" t="s">
        <v>608</v>
      </c>
      <c r="I1692">
        <v>254180.5753543734</v>
      </c>
    </row>
    <row r="1693" spans="1:9" x14ac:dyDescent="0.3">
      <c r="A1693">
        <v>50</v>
      </c>
      <c r="B1693" s="168" t="s">
        <v>75</v>
      </c>
      <c r="C1693" s="168" t="s">
        <v>76</v>
      </c>
      <c r="D1693">
        <v>6733.6</v>
      </c>
      <c r="E1693">
        <v>2021</v>
      </c>
      <c r="F1693" s="168" t="s">
        <v>592</v>
      </c>
      <c r="G1693" s="168" t="s">
        <v>613</v>
      </c>
      <c r="H1693" s="168" t="s">
        <v>609</v>
      </c>
      <c r="I1693">
        <v>51591.031026648598</v>
      </c>
    </row>
    <row r="1694" spans="1:9" x14ac:dyDescent="0.3">
      <c r="A1694">
        <v>51</v>
      </c>
      <c r="B1694" s="168" t="s">
        <v>77</v>
      </c>
      <c r="C1694" s="168" t="s">
        <v>78</v>
      </c>
      <c r="D1694">
        <v>1557</v>
      </c>
      <c r="E1694">
        <v>2021</v>
      </c>
      <c r="F1694" s="168" t="s">
        <v>592</v>
      </c>
      <c r="G1694" s="168" t="s">
        <v>607</v>
      </c>
      <c r="H1694" s="168" t="s">
        <v>608</v>
      </c>
      <c r="I1694">
        <v>14173.588555598013</v>
      </c>
    </row>
    <row r="1695" spans="1:9" x14ac:dyDescent="0.3">
      <c r="A1695">
        <v>51</v>
      </c>
      <c r="B1695" s="168" t="s">
        <v>77</v>
      </c>
      <c r="C1695" s="168" t="s">
        <v>78</v>
      </c>
      <c r="D1695">
        <v>1557</v>
      </c>
      <c r="E1695">
        <v>2021</v>
      </c>
      <c r="F1695" s="168" t="s">
        <v>592</v>
      </c>
      <c r="G1695" s="168" t="s">
        <v>607</v>
      </c>
      <c r="H1695" s="168" t="s">
        <v>609</v>
      </c>
      <c r="I1695">
        <v>0</v>
      </c>
    </row>
    <row r="1696" spans="1:9" x14ac:dyDescent="0.3">
      <c r="A1696">
        <v>51</v>
      </c>
      <c r="B1696" s="168" t="s">
        <v>77</v>
      </c>
      <c r="C1696" s="168" t="s">
        <v>78</v>
      </c>
      <c r="D1696">
        <v>1557</v>
      </c>
      <c r="E1696">
        <v>2021</v>
      </c>
      <c r="F1696" s="168" t="s">
        <v>592</v>
      </c>
      <c r="G1696" s="168" t="s">
        <v>617</v>
      </c>
      <c r="H1696" s="168" t="s">
        <v>608</v>
      </c>
      <c r="I1696">
        <v>1051.6472273471193</v>
      </c>
    </row>
    <row r="1697" spans="1:9" x14ac:dyDescent="0.3">
      <c r="A1697">
        <v>51</v>
      </c>
      <c r="B1697" s="168" t="s">
        <v>77</v>
      </c>
      <c r="C1697" s="168" t="s">
        <v>78</v>
      </c>
      <c r="D1697">
        <v>1557</v>
      </c>
      <c r="E1697">
        <v>2021</v>
      </c>
      <c r="F1697" s="168" t="s">
        <v>592</v>
      </c>
      <c r="G1697" s="168" t="s">
        <v>617</v>
      </c>
      <c r="H1697" s="168" t="s">
        <v>609</v>
      </c>
      <c r="I1697">
        <v>788.73542051033951</v>
      </c>
    </row>
    <row r="1698" spans="1:9" x14ac:dyDescent="0.3">
      <c r="A1698">
        <v>51</v>
      </c>
      <c r="B1698" s="168" t="s">
        <v>77</v>
      </c>
      <c r="C1698" s="168" t="s">
        <v>78</v>
      </c>
      <c r="D1698">
        <v>1557</v>
      </c>
      <c r="E1698">
        <v>2021</v>
      </c>
      <c r="F1698" s="168" t="s">
        <v>592</v>
      </c>
      <c r="G1698" s="168" t="s">
        <v>618</v>
      </c>
      <c r="H1698" s="168" t="s">
        <v>608</v>
      </c>
      <c r="I1698">
        <v>0</v>
      </c>
    </row>
    <row r="1699" spans="1:9" x14ac:dyDescent="0.3">
      <c r="A1699">
        <v>51</v>
      </c>
      <c r="B1699" s="168" t="s">
        <v>77</v>
      </c>
      <c r="C1699" s="168" t="s">
        <v>78</v>
      </c>
      <c r="D1699">
        <v>1557</v>
      </c>
      <c r="E1699">
        <v>2021</v>
      </c>
      <c r="F1699" s="168" t="s">
        <v>592</v>
      </c>
      <c r="G1699" s="168" t="s">
        <v>618</v>
      </c>
      <c r="H1699" s="168" t="s">
        <v>609</v>
      </c>
      <c r="I1699">
        <v>111842.69662921347</v>
      </c>
    </row>
    <row r="1700" spans="1:9" x14ac:dyDescent="0.3">
      <c r="A1700">
        <v>51</v>
      </c>
      <c r="B1700" s="168" t="s">
        <v>77</v>
      </c>
      <c r="C1700" s="168" t="s">
        <v>78</v>
      </c>
      <c r="D1700">
        <v>1557</v>
      </c>
      <c r="E1700">
        <v>2021</v>
      </c>
      <c r="F1700" s="168" t="s">
        <v>592</v>
      </c>
      <c r="G1700" s="168" t="s">
        <v>610</v>
      </c>
      <c r="H1700" s="168" t="s">
        <v>608</v>
      </c>
      <c r="I1700">
        <v>0</v>
      </c>
    </row>
    <row r="1701" spans="1:9" x14ac:dyDescent="0.3">
      <c r="A1701">
        <v>51</v>
      </c>
      <c r="B1701" s="168" t="s">
        <v>77</v>
      </c>
      <c r="C1701" s="168" t="s">
        <v>78</v>
      </c>
      <c r="D1701">
        <v>1557</v>
      </c>
      <c r="E1701">
        <v>2021</v>
      </c>
      <c r="F1701" s="168" t="s">
        <v>592</v>
      </c>
      <c r="G1701" s="168" t="s">
        <v>610</v>
      </c>
      <c r="H1701" s="168" t="s">
        <v>609</v>
      </c>
      <c r="I1701">
        <v>6545.454545454545</v>
      </c>
    </row>
    <row r="1702" spans="1:9" x14ac:dyDescent="0.3">
      <c r="A1702">
        <v>51</v>
      </c>
      <c r="B1702" s="168" t="s">
        <v>77</v>
      </c>
      <c r="C1702" s="168" t="s">
        <v>78</v>
      </c>
      <c r="D1702">
        <v>1557</v>
      </c>
      <c r="E1702">
        <v>2021</v>
      </c>
      <c r="F1702" s="168" t="s">
        <v>592</v>
      </c>
      <c r="G1702" s="168" t="s">
        <v>620</v>
      </c>
      <c r="H1702" s="168" t="s">
        <v>608</v>
      </c>
      <c r="I1702">
        <v>96190.661290322576</v>
      </c>
    </row>
    <row r="1703" spans="1:9" x14ac:dyDescent="0.3">
      <c r="A1703">
        <v>51</v>
      </c>
      <c r="B1703" s="168" t="s">
        <v>77</v>
      </c>
      <c r="C1703" s="168" t="s">
        <v>78</v>
      </c>
      <c r="D1703">
        <v>1557</v>
      </c>
      <c r="E1703">
        <v>2021</v>
      </c>
      <c r="F1703" s="168" t="s">
        <v>592</v>
      </c>
      <c r="G1703" s="168" t="s">
        <v>620</v>
      </c>
      <c r="H1703" s="168" t="s">
        <v>609</v>
      </c>
      <c r="I1703">
        <v>0</v>
      </c>
    </row>
    <row r="1704" spans="1:9" x14ac:dyDescent="0.3">
      <c r="A1704">
        <v>51</v>
      </c>
      <c r="B1704" s="168" t="s">
        <v>77</v>
      </c>
      <c r="C1704" s="168" t="s">
        <v>78</v>
      </c>
      <c r="D1704">
        <v>1557</v>
      </c>
      <c r="E1704">
        <v>2021</v>
      </c>
      <c r="F1704" s="168" t="s">
        <v>592</v>
      </c>
      <c r="G1704" s="168" t="s">
        <v>630</v>
      </c>
      <c r="H1704" s="168" t="s">
        <v>608</v>
      </c>
      <c r="I1704">
        <v>29127.6561668494</v>
      </c>
    </row>
    <row r="1705" spans="1:9" x14ac:dyDescent="0.3">
      <c r="A1705">
        <v>51</v>
      </c>
      <c r="B1705" s="168" t="s">
        <v>77</v>
      </c>
      <c r="C1705" s="168" t="s">
        <v>78</v>
      </c>
      <c r="D1705">
        <v>1557</v>
      </c>
      <c r="E1705">
        <v>2021</v>
      </c>
      <c r="F1705" s="168" t="s">
        <v>592</v>
      </c>
      <c r="G1705" s="168" t="s">
        <v>630</v>
      </c>
      <c r="H1705" s="168" t="s">
        <v>609</v>
      </c>
      <c r="I1705">
        <v>30641.813343103098</v>
      </c>
    </row>
    <row r="1706" spans="1:9" x14ac:dyDescent="0.3">
      <c r="A1706">
        <v>51</v>
      </c>
      <c r="B1706" s="168" t="s">
        <v>77</v>
      </c>
      <c r="C1706" s="168" t="s">
        <v>78</v>
      </c>
      <c r="D1706">
        <v>1557</v>
      </c>
      <c r="E1706">
        <v>2021</v>
      </c>
      <c r="F1706" s="168" t="s">
        <v>592</v>
      </c>
      <c r="G1706" s="168" t="s">
        <v>613</v>
      </c>
      <c r="H1706" s="168" t="s">
        <v>608</v>
      </c>
      <c r="I1706">
        <v>58773.784576862206</v>
      </c>
    </row>
    <row r="1707" spans="1:9" x14ac:dyDescent="0.3">
      <c r="A1707">
        <v>51</v>
      </c>
      <c r="B1707" s="168" t="s">
        <v>77</v>
      </c>
      <c r="C1707" s="168" t="s">
        <v>78</v>
      </c>
      <c r="D1707">
        <v>1557</v>
      </c>
      <c r="E1707">
        <v>2021</v>
      </c>
      <c r="F1707" s="168" t="s">
        <v>592</v>
      </c>
      <c r="G1707" s="168" t="s">
        <v>613</v>
      </c>
      <c r="H1707" s="168" t="s">
        <v>609</v>
      </c>
      <c r="I1707">
        <v>11929.314973935467</v>
      </c>
    </row>
    <row r="1708" spans="1:9" x14ac:dyDescent="0.3">
      <c r="A1708">
        <v>52</v>
      </c>
      <c r="B1708" s="168" t="s">
        <v>79</v>
      </c>
      <c r="C1708" s="168" t="s">
        <v>80</v>
      </c>
      <c r="D1708">
        <v>5057.3</v>
      </c>
      <c r="E1708">
        <v>2021</v>
      </c>
      <c r="F1708" s="168" t="s">
        <v>592</v>
      </c>
      <c r="G1708" s="168" t="s">
        <v>607</v>
      </c>
      <c r="H1708" s="168" t="s">
        <v>608</v>
      </c>
      <c r="I1708">
        <v>46037.308543497646</v>
      </c>
    </row>
    <row r="1709" spans="1:9" x14ac:dyDescent="0.3">
      <c r="A1709">
        <v>52</v>
      </c>
      <c r="B1709" s="168" t="s">
        <v>79</v>
      </c>
      <c r="C1709" s="168" t="s">
        <v>80</v>
      </c>
      <c r="D1709">
        <v>5057.3</v>
      </c>
      <c r="E1709">
        <v>2021</v>
      </c>
      <c r="F1709" s="168" t="s">
        <v>592</v>
      </c>
      <c r="G1709" s="168" t="s">
        <v>607</v>
      </c>
      <c r="H1709" s="168" t="s">
        <v>609</v>
      </c>
      <c r="I1709">
        <v>0</v>
      </c>
    </row>
    <row r="1710" spans="1:9" x14ac:dyDescent="0.3">
      <c r="A1710">
        <v>52</v>
      </c>
      <c r="B1710" s="168" t="s">
        <v>79</v>
      </c>
      <c r="C1710" s="168" t="s">
        <v>80</v>
      </c>
      <c r="D1710">
        <v>5057.3</v>
      </c>
      <c r="E1710">
        <v>2021</v>
      </c>
      <c r="F1710" s="168" t="s">
        <v>592</v>
      </c>
      <c r="G1710" s="168" t="s">
        <v>617</v>
      </c>
      <c r="H1710" s="168" t="s">
        <v>608</v>
      </c>
      <c r="I1710">
        <v>3415.8609652296641</v>
      </c>
    </row>
    <row r="1711" spans="1:9" x14ac:dyDescent="0.3">
      <c r="A1711">
        <v>52</v>
      </c>
      <c r="B1711" s="168" t="s">
        <v>79</v>
      </c>
      <c r="C1711" s="168" t="s">
        <v>80</v>
      </c>
      <c r="D1711">
        <v>5057.3</v>
      </c>
      <c r="E1711">
        <v>2021</v>
      </c>
      <c r="F1711" s="168" t="s">
        <v>592</v>
      </c>
      <c r="G1711" s="168" t="s">
        <v>617</v>
      </c>
      <c r="H1711" s="168" t="s">
        <v>609</v>
      </c>
      <c r="I1711">
        <v>2561.8957239222477</v>
      </c>
    </row>
    <row r="1712" spans="1:9" x14ac:dyDescent="0.3">
      <c r="A1712">
        <v>52</v>
      </c>
      <c r="B1712" s="168" t="s">
        <v>79</v>
      </c>
      <c r="C1712" s="168" t="s">
        <v>80</v>
      </c>
      <c r="D1712">
        <v>5057.3</v>
      </c>
      <c r="E1712">
        <v>2021</v>
      </c>
      <c r="F1712" s="168" t="s">
        <v>592</v>
      </c>
      <c r="G1712" s="168" t="s">
        <v>610</v>
      </c>
      <c r="H1712" s="168" t="s">
        <v>608</v>
      </c>
      <c r="I1712">
        <v>0</v>
      </c>
    </row>
    <row r="1713" spans="1:9" x14ac:dyDescent="0.3">
      <c r="A1713">
        <v>52</v>
      </c>
      <c r="B1713" s="168" t="s">
        <v>79</v>
      </c>
      <c r="C1713" s="168" t="s">
        <v>80</v>
      </c>
      <c r="D1713">
        <v>5057.3</v>
      </c>
      <c r="E1713">
        <v>2021</v>
      </c>
      <c r="F1713" s="168" t="s">
        <v>592</v>
      </c>
      <c r="G1713" s="168" t="s">
        <v>610</v>
      </c>
      <c r="H1713" s="168" t="s">
        <v>609</v>
      </c>
      <c r="I1713">
        <v>6545.454545454545</v>
      </c>
    </row>
    <row r="1714" spans="1:9" x14ac:dyDescent="0.3">
      <c r="A1714">
        <v>52</v>
      </c>
      <c r="B1714" s="168" t="s">
        <v>79</v>
      </c>
      <c r="C1714" s="168" t="s">
        <v>80</v>
      </c>
      <c r="D1714">
        <v>5057.3</v>
      </c>
      <c r="E1714">
        <v>2021</v>
      </c>
      <c r="F1714" s="168" t="s">
        <v>592</v>
      </c>
      <c r="G1714" s="168" t="s">
        <v>620</v>
      </c>
      <c r="H1714" s="168" t="s">
        <v>608</v>
      </c>
      <c r="I1714">
        <v>38476.264516129027</v>
      </c>
    </row>
    <row r="1715" spans="1:9" x14ac:dyDescent="0.3">
      <c r="A1715">
        <v>52</v>
      </c>
      <c r="B1715" s="168" t="s">
        <v>79</v>
      </c>
      <c r="C1715" s="168" t="s">
        <v>80</v>
      </c>
      <c r="D1715">
        <v>5057.3</v>
      </c>
      <c r="E1715">
        <v>2021</v>
      </c>
      <c r="F1715" s="168" t="s">
        <v>592</v>
      </c>
      <c r="G1715" s="168" t="s">
        <v>620</v>
      </c>
      <c r="H1715" s="168" t="s">
        <v>609</v>
      </c>
      <c r="I1715">
        <v>0</v>
      </c>
    </row>
    <row r="1716" spans="1:9" x14ac:dyDescent="0.3">
      <c r="A1716">
        <v>52</v>
      </c>
      <c r="B1716" s="168" t="s">
        <v>79</v>
      </c>
      <c r="C1716" s="168" t="s">
        <v>80</v>
      </c>
      <c r="D1716">
        <v>5057.3</v>
      </c>
      <c r="E1716">
        <v>2021</v>
      </c>
      <c r="F1716" s="168" t="s">
        <v>592</v>
      </c>
      <c r="G1716" s="168" t="s">
        <v>625</v>
      </c>
      <c r="H1716" s="168" t="s">
        <v>608</v>
      </c>
      <c r="I1716">
        <v>0</v>
      </c>
    </row>
    <row r="1717" spans="1:9" x14ac:dyDescent="0.3">
      <c r="A1717">
        <v>52</v>
      </c>
      <c r="B1717" s="168" t="s">
        <v>79</v>
      </c>
      <c r="C1717" s="168" t="s">
        <v>80</v>
      </c>
      <c r="D1717">
        <v>5057.3</v>
      </c>
      <c r="E1717">
        <v>2021</v>
      </c>
      <c r="F1717" s="168" t="s">
        <v>592</v>
      </c>
      <c r="G1717" s="168" t="s">
        <v>625</v>
      </c>
      <c r="H1717" s="168" t="s">
        <v>609</v>
      </c>
      <c r="I1717">
        <v>101498</v>
      </c>
    </row>
    <row r="1718" spans="1:9" x14ac:dyDescent="0.3">
      <c r="A1718">
        <v>52</v>
      </c>
      <c r="B1718" s="168" t="s">
        <v>79</v>
      </c>
      <c r="C1718" s="168" t="s">
        <v>80</v>
      </c>
      <c r="D1718">
        <v>5057.3</v>
      </c>
      <c r="E1718">
        <v>2021</v>
      </c>
      <c r="F1718" s="168" t="s">
        <v>592</v>
      </c>
      <c r="G1718" s="168" t="s">
        <v>630</v>
      </c>
      <c r="H1718" s="168" t="s">
        <v>608</v>
      </c>
      <c r="I1718">
        <v>94609.69526821289</v>
      </c>
    </row>
    <row r="1719" spans="1:9" x14ac:dyDescent="0.3">
      <c r="A1719">
        <v>52</v>
      </c>
      <c r="B1719" s="168" t="s">
        <v>79</v>
      </c>
      <c r="C1719" s="168" t="s">
        <v>80</v>
      </c>
      <c r="D1719">
        <v>5057.3</v>
      </c>
      <c r="E1719">
        <v>2021</v>
      </c>
      <c r="F1719" s="168" t="s">
        <v>592</v>
      </c>
      <c r="G1719" s="168" t="s">
        <v>630</v>
      </c>
      <c r="H1719" s="168" t="s">
        <v>609</v>
      </c>
      <c r="I1719">
        <v>99527.837264017595</v>
      </c>
    </row>
    <row r="1720" spans="1:9" x14ac:dyDescent="0.3">
      <c r="A1720">
        <v>52</v>
      </c>
      <c r="B1720" s="168" t="s">
        <v>79</v>
      </c>
      <c r="C1720" s="168" t="s">
        <v>80</v>
      </c>
      <c r="D1720">
        <v>5057.3</v>
      </c>
      <c r="E1720">
        <v>2021</v>
      </c>
      <c r="F1720" s="168" t="s">
        <v>592</v>
      </c>
      <c r="G1720" s="168" t="s">
        <v>621</v>
      </c>
      <c r="H1720" s="168" t="s">
        <v>608</v>
      </c>
      <c r="I1720">
        <v>0</v>
      </c>
    </row>
    <row r="1721" spans="1:9" x14ac:dyDescent="0.3">
      <c r="A1721">
        <v>52</v>
      </c>
      <c r="B1721" s="168" t="s">
        <v>79</v>
      </c>
      <c r="C1721" s="168" t="s">
        <v>80</v>
      </c>
      <c r="D1721">
        <v>5057.3</v>
      </c>
      <c r="E1721">
        <v>2021</v>
      </c>
      <c r="F1721" s="168" t="s">
        <v>592</v>
      </c>
      <c r="G1721" s="168" t="s">
        <v>621</v>
      </c>
      <c r="H1721" s="168" t="s">
        <v>609</v>
      </c>
      <c r="I1721">
        <v>2724045.06</v>
      </c>
    </row>
    <row r="1722" spans="1:9" x14ac:dyDescent="0.3">
      <c r="A1722">
        <v>52</v>
      </c>
      <c r="B1722" s="168" t="s">
        <v>79</v>
      </c>
      <c r="C1722" s="168" t="s">
        <v>80</v>
      </c>
      <c r="D1722">
        <v>5057.3</v>
      </c>
      <c r="E1722">
        <v>2021</v>
      </c>
      <c r="F1722" s="168" t="s">
        <v>592</v>
      </c>
      <c r="G1722" s="168" t="s">
        <v>613</v>
      </c>
      <c r="H1722" s="168" t="s">
        <v>608</v>
      </c>
      <c r="I1722">
        <v>358382.03741803602</v>
      </c>
    </row>
    <row r="1723" spans="1:9" x14ac:dyDescent="0.3">
      <c r="A1723">
        <v>52</v>
      </c>
      <c r="B1723" s="168" t="s">
        <v>79</v>
      </c>
      <c r="C1723" s="168" t="s">
        <v>80</v>
      </c>
      <c r="D1723">
        <v>5057.3</v>
      </c>
      <c r="E1723">
        <v>2021</v>
      </c>
      <c r="F1723" s="168" t="s">
        <v>592</v>
      </c>
      <c r="G1723" s="168" t="s">
        <v>613</v>
      </c>
      <c r="H1723" s="168" t="s">
        <v>609</v>
      </c>
      <c r="I1723">
        <v>146129.36378111009</v>
      </c>
    </row>
    <row r="1724" spans="1:9" x14ac:dyDescent="0.3">
      <c r="A1724">
        <v>53</v>
      </c>
      <c r="B1724" s="168" t="s">
        <v>81</v>
      </c>
      <c r="C1724" s="168" t="s">
        <v>82</v>
      </c>
      <c r="D1724">
        <v>286.89999999999998</v>
      </c>
      <c r="E1724">
        <v>2021</v>
      </c>
      <c r="F1724" s="168" t="s">
        <v>592</v>
      </c>
      <c r="G1724" s="168" t="s">
        <v>607</v>
      </c>
      <c r="H1724" s="168" t="s">
        <v>608</v>
      </c>
      <c r="I1724">
        <v>2611.6907877977328</v>
      </c>
    </row>
    <row r="1725" spans="1:9" x14ac:dyDescent="0.3">
      <c r="A1725">
        <v>53</v>
      </c>
      <c r="B1725" s="168" t="s">
        <v>81</v>
      </c>
      <c r="C1725" s="168" t="s">
        <v>82</v>
      </c>
      <c r="D1725">
        <v>286.89999999999998</v>
      </c>
      <c r="E1725">
        <v>2021</v>
      </c>
      <c r="F1725" s="168" t="s">
        <v>592</v>
      </c>
      <c r="G1725" s="168" t="s">
        <v>607</v>
      </c>
      <c r="H1725" s="168" t="s">
        <v>609</v>
      </c>
      <c r="I1725">
        <v>0</v>
      </c>
    </row>
    <row r="1726" spans="1:9" x14ac:dyDescent="0.3">
      <c r="A1726">
        <v>53</v>
      </c>
      <c r="B1726" s="168" t="s">
        <v>81</v>
      </c>
      <c r="C1726" s="168" t="s">
        <v>82</v>
      </c>
      <c r="D1726">
        <v>286.89999999999998</v>
      </c>
      <c r="E1726">
        <v>2021</v>
      </c>
      <c r="F1726" s="168" t="s">
        <v>592</v>
      </c>
      <c r="G1726" s="168" t="s">
        <v>617</v>
      </c>
      <c r="H1726" s="168" t="s">
        <v>608</v>
      </c>
      <c r="I1726">
        <v>193.78136771091104</v>
      </c>
    </row>
    <row r="1727" spans="1:9" x14ac:dyDescent="0.3">
      <c r="A1727">
        <v>53</v>
      </c>
      <c r="B1727" s="168" t="s">
        <v>81</v>
      </c>
      <c r="C1727" s="168" t="s">
        <v>82</v>
      </c>
      <c r="D1727">
        <v>286.89999999999998</v>
      </c>
      <c r="E1727">
        <v>2021</v>
      </c>
      <c r="F1727" s="168" t="s">
        <v>592</v>
      </c>
      <c r="G1727" s="168" t="s">
        <v>617</v>
      </c>
      <c r="H1727" s="168" t="s">
        <v>609</v>
      </c>
      <c r="I1727">
        <v>145.33602578318326</v>
      </c>
    </row>
    <row r="1728" spans="1:9" x14ac:dyDescent="0.3">
      <c r="A1728">
        <v>54</v>
      </c>
      <c r="B1728" s="168" t="s">
        <v>81</v>
      </c>
      <c r="C1728" s="168" t="s">
        <v>83</v>
      </c>
      <c r="D1728">
        <v>155.69999999999999</v>
      </c>
      <c r="E1728">
        <v>2021</v>
      </c>
      <c r="F1728" s="168" t="s">
        <v>592</v>
      </c>
      <c r="G1728" s="168" t="s">
        <v>607</v>
      </c>
      <c r="H1728" s="168" t="s">
        <v>608</v>
      </c>
      <c r="I1728">
        <v>1417.3588555598014</v>
      </c>
    </row>
    <row r="1729" spans="1:9" x14ac:dyDescent="0.3">
      <c r="A1729">
        <v>54</v>
      </c>
      <c r="B1729" s="168" t="s">
        <v>81</v>
      </c>
      <c r="C1729" s="168" t="s">
        <v>83</v>
      </c>
      <c r="D1729">
        <v>155.69999999999999</v>
      </c>
      <c r="E1729">
        <v>2021</v>
      </c>
      <c r="F1729" s="168" t="s">
        <v>592</v>
      </c>
      <c r="G1729" s="168" t="s">
        <v>607</v>
      </c>
      <c r="H1729" s="168" t="s">
        <v>609</v>
      </c>
      <c r="I1729">
        <v>0</v>
      </c>
    </row>
    <row r="1730" spans="1:9" x14ac:dyDescent="0.3">
      <c r="A1730">
        <v>54</v>
      </c>
      <c r="B1730" s="168" t="s">
        <v>81</v>
      </c>
      <c r="C1730" s="168" t="s">
        <v>83</v>
      </c>
      <c r="D1730">
        <v>155.69999999999999</v>
      </c>
      <c r="E1730">
        <v>2021</v>
      </c>
      <c r="F1730" s="168" t="s">
        <v>592</v>
      </c>
      <c r="G1730" s="168" t="s">
        <v>617</v>
      </c>
      <c r="H1730" s="168" t="s">
        <v>608</v>
      </c>
      <c r="I1730">
        <v>105.16472273471193</v>
      </c>
    </row>
    <row r="1731" spans="1:9" x14ac:dyDescent="0.3">
      <c r="A1731">
        <v>54</v>
      </c>
      <c r="B1731" s="168" t="s">
        <v>81</v>
      </c>
      <c r="C1731" s="168" t="s">
        <v>83</v>
      </c>
      <c r="D1731">
        <v>155.69999999999999</v>
      </c>
      <c r="E1731">
        <v>2021</v>
      </c>
      <c r="F1731" s="168" t="s">
        <v>592</v>
      </c>
      <c r="G1731" s="168" t="s">
        <v>617</v>
      </c>
      <c r="H1731" s="168" t="s">
        <v>609</v>
      </c>
      <c r="I1731">
        <v>78.873542051033951</v>
      </c>
    </row>
    <row r="1732" spans="1:9" x14ac:dyDescent="0.3">
      <c r="A1732">
        <v>54</v>
      </c>
      <c r="B1732" s="168" t="s">
        <v>81</v>
      </c>
      <c r="C1732" s="168" t="s">
        <v>83</v>
      </c>
      <c r="D1732">
        <v>155.69999999999999</v>
      </c>
      <c r="E1732">
        <v>2021</v>
      </c>
      <c r="F1732" s="168" t="s">
        <v>592</v>
      </c>
      <c r="G1732" s="168" t="s">
        <v>621</v>
      </c>
      <c r="H1732" s="168" t="s">
        <v>608</v>
      </c>
      <c r="I1732">
        <v>0</v>
      </c>
    </row>
    <row r="1733" spans="1:9" x14ac:dyDescent="0.3">
      <c r="A1733">
        <v>54</v>
      </c>
      <c r="B1733" s="168" t="s">
        <v>81</v>
      </c>
      <c r="C1733" s="168" t="s">
        <v>83</v>
      </c>
      <c r="D1733">
        <v>155.69999999999999</v>
      </c>
      <c r="E1733">
        <v>2021</v>
      </c>
      <c r="F1733" s="168" t="s">
        <v>592</v>
      </c>
      <c r="G1733" s="168" t="s">
        <v>621</v>
      </c>
      <c r="H1733" s="168" t="s">
        <v>609</v>
      </c>
      <c r="I1733">
        <v>4532960</v>
      </c>
    </row>
    <row r="1734" spans="1:9" x14ac:dyDescent="0.3">
      <c r="A1734">
        <v>55</v>
      </c>
      <c r="B1734" s="168" t="s">
        <v>81</v>
      </c>
      <c r="C1734" s="168" t="s">
        <v>84</v>
      </c>
      <c r="D1734">
        <v>1142.7</v>
      </c>
      <c r="E1734">
        <v>2021</v>
      </c>
      <c r="F1734" s="168" t="s">
        <v>592</v>
      </c>
      <c r="G1734" s="168" t="s">
        <v>607</v>
      </c>
      <c r="H1734" s="168" t="s">
        <v>608</v>
      </c>
      <c r="I1734">
        <v>10402.157766526558</v>
      </c>
    </row>
    <row r="1735" spans="1:9" x14ac:dyDescent="0.3">
      <c r="A1735">
        <v>55</v>
      </c>
      <c r="B1735" s="168" t="s">
        <v>81</v>
      </c>
      <c r="C1735" s="168" t="s">
        <v>84</v>
      </c>
      <c r="D1735">
        <v>1142.7</v>
      </c>
      <c r="E1735">
        <v>2021</v>
      </c>
      <c r="F1735" s="168" t="s">
        <v>592</v>
      </c>
      <c r="G1735" s="168" t="s">
        <v>607</v>
      </c>
      <c r="H1735" s="168" t="s">
        <v>609</v>
      </c>
      <c r="I1735">
        <v>7826.086956521739</v>
      </c>
    </row>
    <row r="1736" spans="1:9" x14ac:dyDescent="0.3">
      <c r="A1736">
        <v>55</v>
      </c>
      <c r="B1736" s="168" t="s">
        <v>81</v>
      </c>
      <c r="C1736" s="168" t="s">
        <v>84</v>
      </c>
      <c r="D1736">
        <v>1142.7</v>
      </c>
      <c r="E1736">
        <v>2021</v>
      </c>
      <c r="F1736" s="168" t="s">
        <v>592</v>
      </c>
      <c r="G1736" s="168" t="s">
        <v>617</v>
      </c>
      <c r="H1736" s="168" t="s">
        <v>608</v>
      </c>
      <c r="I1736">
        <v>771.8158552919416</v>
      </c>
    </row>
    <row r="1737" spans="1:9" x14ac:dyDescent="0.3">
      <c r="A1737">
        <v>55</v>
      </c>
      <c r="B1737" s="168" t="s">
        <v>81</v>
      </c>
      <c r="C1737" s="168" t="s">
        <v>84</v>
      </c>
      <c r="D1737">
        <v>1142.7</v>
      </c>
      <c r="E1737">
        <v>2021</v>
      </c>
      <c r="F1737" s="168" t="s">
        <v>592</v>
      </c>
      <c r="G1737" s="168" t="s">
        <v>617</v>
      </c>
      <c r="H1737" s="168" t="s">
        <v>609</v>
      </c>
      <c r="I1737">
        <v>578.86189146895629</v>
      </c>
    </row>
    <row r="1738" spans="1:9" x14ac:dyDescent="0.3">
      <c r="A1738">
        <v>55</v>
      </c>
      <c r="B1738" s="168" t="s">
        <v>81</v>
      </c>
      <c r="C1738" s="168" t="s">
        <v>84</v>
      </c>
      <c r="D1738">
        <v>1142.7</v>
      </c>
      <c r="E1738">
        <v>2021</v>
      </c>
      <c r="F1738" s="168" t="s">
        <v>592</v>
      </c>
      <c r="G1738" s="168" t="s">
        <v>618</v>
      </c>
      <c r="H1738" s="168" t="s">
        <v>608</v>
      </c>
      <c r="I1738">
        <v>0</v>
      </c>
    </row>
    <row r="1739" spans="1:9" x14ac:dyDescent="0.3">
      <c r="A1739">
        <v>55</v>
      </c>
      <c r="B1739" s="168" t="s">
        <v>81</v>
      </c>
      <c r="C1739" s="168" t="s">
        <v>84</v>
      </c>
      <c r="D1739">
        <v>1142.7</v>
      </c>
      <c r="E1739">
        <v>2021</v>
      </c>
      <c r="F1739" s="168" t="s">
        <v>592</v>
      </c>
      <c r="G1739" s="168" t="s">
        <v>618</v>
      </c>
      <c r="H1739" s="168" t="s">
        <v>609</v>
      </c>
      <c r="I1739">
        <v>37280.898876404492</v>
      </c>
    </row>
    <row r="1740" spans="1:9" x14ac:dyDescent="0.3">
      <c r="A1740">
        <v>55</v>
      </c>
      <c r="B1740" s="168" t="s">
        <v>81</v>
      </c>
      <c r="C1740" s="168" t="s">
        <v>84</v>
      </c>
      <c r="D1740">
        <v>1142.7</v>
      </c>
      <c r="E1740">
        <v>2021</v>
      </c>
      <c r="F1740" s="168" t="s">
        <v>592</v>
      </c>
      <c r="G1740" s="168" t="s">
        <v>610</v>
      </c>
      <c r="H1740" s="168" t="s">
        <v>608</v>
      </c>
      <c r="I1740">
        <v>0</v>
      </c>
    </row>
    <row r="1741" spans="1:9" x14ac:dyDescent="0.3">
      <c r="A1741">
        <v>55</v>
      </c>
      <c r="B1741" s="168" t="s">
        <v>81</v>
      </c>
      <c r="C1741" s="168" t="s">
        <v>84</v>
      </c>
      <c r="D1741">
        <v>1142.7</v>
      </c>
      <c r="E1741">
        <v>2021</v>
      </c>
      <c r="F1741" s="168" t="s">
        <v>592</v>
      </c>
      <c r="G1741" s="168" t="s">
        <v>610</v>
      </c>
      <c r="H1741" s="168" t="s">
        <v>609</v>
      </c>
      <c r="I1741">
        <v>6545.454545454545</v>
      </c>
    </row>
    <row r="1742" spans="1:9" x14ac:dyDescent="0.3">
      <c r="A1742">
        <v>55</v>
      </c>
      <c r="B1742" s="168" t="s">
        <v>81</v>
      </c>
      <c r="C1742" s="168" t="s">
        <v>84</v>
      </c>
      <c r="D1742">
        <v>1142.7</v>
      </c>
      <c r="E1742">
        <v>2021</v>
      </c>
      <c r="F1742" s="168" t="s">
        <v>592</v>
      </c>
      <c r="G1742" s="168" t="s">
        <v>620</v>
      </c>
      <c r="H1742" s="168" t="s">
        <v>608</v>
      </c>
      <c r="I1742">
        <v>186515.41295527678</v>
      </c>
    </row>
    <row r="1743" spans="1:9" x14ac:dyDescent="0.3">
      <c r="A1743">
        <v>55</v>
      </c>
      <c r="B1743" s="168" t="s">
        <v>81</v>
      </c>
      <c r="C1743" s="168" t="s">
        <v>84</v>
      </c>
      <c r="D1743">
        <v>1142.7</v>
      </c>
      <c r="E1743">
        <v>2021</v>
      </c>
      <c r="F1743" s="168" t="s">
        <v>592</v>
      </c>
      <c r="G1743" s="168" t="s">
        <v>620</v>
      </c>
      <c r="H1743" s="168" t="s">
        <v>609</v>
      </c>
      <c r="I1743">
        <v>342099.45621181739</v>
      </c>
    </row>
    <row r="1744" spans="1:9" x14ac:dyDescent="0.3">
      <c r="A1744">
        <v>55</v>
      </c>
      <c r="B1744" s="168" t="s">
        <v>81</v>
      </c>
      <c r="C1744" s="168" t="s">
        <v>84</v>
      </c>
      <c r="D1744">
        <v>1142.7</v>
      </c>
      <c r="E1744">
        <v>2021</v>
      </c>
      <c r="F1744" s="168" t="s">
        <v>592</v>
      </c>
      <c r="G1744" s="168" t="s">
        <v>625</v>
      </c>
      <c r="H1744" s="168" t="s">
        <v>608</v>
      </c>
      <c r="I1744">
        <v>0</v>
      </c>
    </row>
    <row r="1745" spans="1:9" x14ac:dyDescent="0.3">
      <c r="A1745">
        <v>55</v>
      </c>
      <c r="B1745" s="168" t="s">
        <v>81</v>
      </c>
      <c r="C1745" s="168" t="s">
        <v>84</v>
      </c>
      <c r="D1745">
        <v>1142.7</v>
      </c>
      <c r="E1745">
        <v>2021</v>
      </c>
      <c r="F1745" s="168" t="s">
        <v>592</v>
      </c>
      <c r="G1745" s="168" t="s">
        <v>625</v>
      </c>
      <c r="H1745" s="168" t="s">
        <v>609</v>
      </c>
      <c r="I1745">
        <v>101498</v>
      </c>
    </row>
    <row r="1746" spans="1:9" x14ac:dyDescent="0.3">
      <c r="A1746">
        <v>55</v>
      </c>
      <c r="B1746" s="168" t="s">
        <v>81</v>
      </c>
      <c r="C1746" s="168" t="s">
        <v>84</v>
      </c>
      <c r="D1746">
        <v>1142.7</v>
      </c>
      <c r="E1746">
        <v>2021</v>
      </c>
      <c r="F1746" s="168" t="s">
        <v>592</v>
      </c>
      <c r="G1746" s="168" t="s">
        <v>630</v>
      </c>
      <c r="H1746" s="168" t="s">
        <v>608</v>
      </c>
      <c r="I1746">
        <v>17084.686331178724</v>
      </c>
    </row>
    <row r="1747" spans="1:9" x14ac:dyDescent="0.3">
      <c r="A1747">
        <v>55</v>
      </c>
      <c r="B1747" s="168" t="s">
        <v>81</v>
      </c>
      <c r="C1747" s="168" t="s">
        <v>84</v>
      </c>
      <c r="D1747">
        <v>1142.7</v>
      </c>
      <c r="E1747">
        <v>2021</v>
      </c>
      <c r="F1747" s="168" t="s">
        <v>592</v>
      </c>
      <c r="G1747" s="168" t="s">
        <v>630</v>
      </c>
      <c r="H1747" s="168" t="s">
        <v>609</v>
      </c>
      <c r="I1747">
        <v>18195.94349579345</v>
      </c>
    </row>
    <row r="1748" spans="1:9" x14ac:dyDescent="0.3">
      <c r="A1748">
        <v>55</v>
      </c>
      <c r="B1748" s="168" t="s">
        <v>81</v>
      </c>
      <c r="C1748" s="168" t="s">
        <v>84</v>
      </c>
      <c r="D1748">
        <v>1142.7</v>
      </c>
      <c r="E1748">
        <v>2021</v>
      </c>
      <c r="F1748" s="168" t="s">
        <v>592</v>
      </c>
      <c r="G1748" s="168" t="s">
        <v>613</v>
      </c>
      <c r="H1748" s="168" t="s">
        <v>608</v>
      </c>
      <c r="I1748">
        <v>43134.748642248196</v>
      </c>
    </row>
    <row r="1749" spans="1:9" x14ac:dyDescent="0.3">
      <c r="A1749">
        <v>55</v>
      </c>
      <c r="B1749" s="168" t="s">
        <v>81</v>
      </c>
      <c r="C1749" s="168" t="s">
        <v>84</v>
      </c>
      <c r="D1749">
        <v>1142.7</v>
      </c>
      <c r="E1749">
        <v>2021</v>
      </c>
      <c r="F1749" s="168" t="s">
        <v>592</v>
      </c>
      <c r="G1749" s="168" t="s">
        <v>613</v>
      </c>
      <c r="H1749" s="168" t="s">
        <v>609</v>
      </c>
      <c r="I1749">
        <v>8755.0598720077433</v>
      </c>
    </row>
    <row r="1750" spans="1:9" x14ac:dyDescent="0.3">
      <c r="A1750">
        <v>55</v>
      </c>
      <c r="B1750" s="168" t="s">
        <v>81</v>
      </c>
      <c r="C1750" s="168" t="s">
        <v>84</v>
      </c>
      <c r="D1750">
        <v>1142.7</v>
      </c>
      <c r="E1750">
        <v>2021</v>
      </c>
      <c r="F1750" s="168" t="s">
        <v>592</v>
      </c>
      <c r="G1750" s="168" t="s">
        <v>622</v>
      </c>
      <c r="H1750" s="168" t="s">
        <v>608</v>
      </c>
      <c r="I1750">
        <v>0</v>
      </c>
    </row>
    <row r="1751" spans="1:9" x14ac:dyDescent="0.3">
      <c r="A1751">
        <v>55</v>
      </c>
      <c r="B1751" s="168" t="s">
        <v>81</v>
      </c>
      <c r="C1751" s="168" t="s">
        <v>84</v>
      </c>
      <c r="D1751">
        <v>1142.7</v>
      </c>
      <c r="E1751">
        <v>2021</v>
      </c>
      <c r="F1751" s="168" t="s">
        <v>592</v>
      </c>
      <c r="G1751" s="168" t="s">
        <v>622</v>
      </c>
      <c r="H1751" s="168" t="s">
        <v>609</v>
      </c>
      <c r="I1751">
        <v>990000</v>
      </c>
    </row>
    <row r="1752" spans="1:9" x14ac:dyDescent="0.3">
      <c r="A1752">
        <v>56</v>
      </c>
      <c r="B1752" s="168" t="s">
        <v>81</v>
      </c>
      <c r="C1752" s="168" t="s">
        <v>85</v>
      </c>
      <c r="D1752">
        <v>1186.4000000000001</v>
      </c>
      <c r="E1752">
        <v>2021</v>
      </c>
      <c r="F1752" s="168" t="s">
        <v>592</v>
      </c>
      <c r="G1752" s="168" t="s">
        <v>607</v>
      </c>
      <c r="H1752" s="168" t="s">
        <v>608</v>
      </c>
      <c r="I1752">
        <v>10799.964972614955</v>
      </c>
    </row>
    <row r="1753" spans="1:9" x14ac:dyDescent="0.3">
      <c r="A1753">
        <v>56</v>
      </c>
      <c r="B1753" s="168" t="s">
        <v>81</v>
      </c>
      <c r="C1753" s="168" t="s">
        <v>85</v>
      </c>
      <c r="D1753">
        <v>1186.4000000000001</v>
      </c>
      <c r="E1753">
        <v>2021</v>
      </c>
      <c r="F1753" s="168" t="s">
        <v>592</v>
      </c>
      <c r="G1753" s="168" t="s">
        <v>607</v>
      </c>
      <c r="H1753" s="168" t="s">
        <v>609</v>
      </c>
      <c r="I1753">
        <v>0</v>
      </c>
    </row>
    <row r="1754" spans="1:9" x14ac:dyDescent="0.3">
      <c r="A1754">
        <v>56</v>
      </c>
      <c r="B1754" s="168" t="s">
        <v>81</v>
      </c>
      <c r="C1754" s="168" t="s">
        <v>85</v>
      </c>
      <c r="D1754">
        <v>1186.4000000000001</v>
      </c>
      <c r="E1754">
        <v>2021</v>
      </c>
      <c r="F1754" s="168" t="s">
        <v>592</v>
      </c>
      <c r="G1754" s="168" t="s">
        <v>617</v>
      </c>
      <c r="H1754" s="168" t="s">
        <v>608</v>
      </c>
      <c r="I1754">
        <v>801.33222255916667</v>
      </c>
    </row>
    <row r="1755" spans="1:9" x14ac:dyDescent="0.3">
      <c r="A1755">
        <v>56</v>
      </c>
      <c r="B1755" s="168" t="s">
        <v>81</v>
      </c>
      <c r="C1755" s="168" t="s">
        <v>85</v>
      </c>
      <c r="D1755">
        <v>1186.4000000000001</v>
      </c>
      <c r="E1755">
        <v>2021</v>
      </c>
      <c r="F1755" s="168" t="s">
        <v>592</v>
      </c>
      <c r="G1755" s="168" t="s">
        <v>617</v>
      </c>
      <c r="H1755" s="168" t="s">
        <v>609</v>
      </c>
      <c r="I1755">
        <v>600.99916691937494</v>
      </c>
    </row>
    <row r="1756" spans="1:9" x14ac:dyDescent="0.3">
      <c r="A1756">
        <v>56</v>
      </c>
      <c r="B1756" s="168" t="s">
        <v>81</v>
      </c>
      <c r="C1756" s="168" t="s">
        <v>85</v>
      </c>
      <c r="D1756">
        <v>1186.4000000000001</v>
      </c>
      <c r="E1756">
        <v>2021</v>
      </c>
      <c r="F1756" s="168" t="s">
        <v>592</v>
      </c>
      <c r="G1756" s="168" t="s">
        <v>618</v>
      </c>
      <c r="H1756" s="168" t="s">
        <v>608</v>
      </c>
      <c r="I1756">
        <v>0</v>
      </c>
    </row>
    <row r="1757" spans="1:9" x14ac:dyDescent="0.3">
      <c r="A1757">
        <v>56</v>
      </c>
      <c r="B1757" s="168" t="s">
        <v>81</v>
      </c>
      <c r="C1757" s="168" t="s">
        <v>85</v>
      </c>
      <c r="D1757">
        <v>1186.4000000000001</v>
      </c>
      <c r="E1757">
        <v>2021</v>
      </c>
      <c r="F1757" s="168" t="s">
        <v>592</v>
      </c>
      <c r="G1757" s="168" t="s">
        <v>618</v>
      </c>
      <c r="H1757" s="168" t="s">
        <v>609</v>
      </c>
      <c r="I1757">
        <v>53258.426966292136</v>
      </c>
    </row>
    <row r="1758" spans="1:9" x14ac:dyDescent="0.3">
      <c r="A1758">
        <v>56</v>
      </c>
      <c r="B1758" s="168" t="s">
        <v>81</v>
      </c>
      <c r="C1758" s="168" t="s">
        <v>85</v>
      </c>
      <c r="D1758">
        <v>1186.4000000000001</v>
      </c>
      <c r="E1758">
        <v>2021</v>
      </c>
      <c r="F1758" s="168" t="s">
        <v>592</v>
      </c>
      <c r="G1758" s="168" t="s">
        <v>610</v>
      </c>
      <c r="H1758" s="168" t="s">
        <v>608</v>
      </c>
      <c r="I1758">
        <v>0</v>
      </c>
    </row>
    <row r="1759" spans="1:9" x14ac:dyDescent="0.3">
      <c r="A1759">
        <v>56</v>
      </c>
      <c r="B1759" s="168" t="s">
        <v>81</v>
      </c>
      <c r="C1759" s="168" t="s">
        <v>85</v>
      </c>
      <c r="D1759">
        <v>1186.4000000000001</v>
      </c>
      <c r="E1759">
        <v>2021</v>
      </c>
      <c r="F1759" s="168" t="s">
        <v>592</v>
      </c>
      <c r="G1759" s="168" t="s">
        <v>610</v>
      </c>
      <c r="H1759" s="168" t="s">
        <v>609</v>
      </c>
      <c r="I1759">
        <v>6545.454545454545</v>
      </c>
    </row>
    <row r="1760" spans="1:9" x14ac:dyDescent="0.3">
      <c r="A1760">
        <v>56</v>
      </c>
      <c r="B1760" s="168" t="s">
        <v>81</v>
      </c>
      <c r="C1760" s="168" t="s">
        <v>85</v>
      </c>
      <c r="D1760">
        <v>1186.4000000000001</v>
      </c>
      <c r="E1760">
        <v>2021</v>
      </c>
      <c r="F1760" s="168" t="s">
        <v>592</v>
      </c>
      <c r="G1760" s="168" t="s">
        <v>623</v>
      </c>
      <c r="H1760" s="168" t="s">
        <v>608</v>
      </c>
      <c r="I1760">
        <v>37500</v>
      </c>
    </row>
    <row r="1761" spans="1:9" x14ac:dyDescent="0.3">
      <c r="A1761">
        <v>56</v>
      </c>
      <c r="B1761" s="168" t="s">
        <v>81</v>
      </c>
      <c r="C1761" s="168" t="s">
        <v>85</v>
      </c>
      <c r="D1761">
        <v>1186.4000000000001</v>
      </c>
      <c r="E1761">
        <v>2021</v>
      </c>
      <c r="F1761" s="168" t="s">
        <v>592</v>
      </c>
      <c r="G1761" s="168" t="s">
        <v>623</v>
      </c>
      <c r="H1761" s="168" t="s">
        <v>609</v>
      </c>
      <c r="I1761">
        <v>35510.391250000001</v>
      </c>
    </row>
    <row r="1762" spans="1:9" x14ac:dyDescent="0.3">
      <c r="A1762">
        <v>56</v>
      </c>
      <c r="B1762" s="168" t="s">
        <v>81</v>
      </c>
      <c r="C1762" s="168" t="s">
        <v>85</v>
      </c>
      <c r="D1762">
        <v>1186.4000000000001</v>
      </c>
      <c r="E1762">
        <v>2021</v>
      </c>
      <c r="F1762" s="168" t="s">
        <v>592</v>
      </c>
      <c r="G1762" s="168" t="s">
        <v>630</v>
      </c>
      <c r="H1762" s="168" t="s">
        <v>608</v>
      </c>
      <c r="I1762">
        <v>17738.051862527729</v>
      </c>
    </row>
    <row r="1763" spans="1:9" x14ac:dyDescent="0.3">
      <c r="A1763">
        <v>56</v>
      </c>
      <c r="B1763" s="168" t="s">
        <v>81</v>
      </c>
      <c r="C1763" s="168" t="s">
        <v>85</v>
      </c>
      <c r="D1763">
        <v>1186.4000000000001</v>
      </c>
      <c r="E1763">
        <v>2021</v>
      </c>
      <c r="F1763" s="168" t="s">
        <v>592</v>
      </c>
      <c r="G1763" s="168" t="s">
        <v>630</v>
      </c>
      <c r="H1763" s="168" t="s">
        <v>609</v>
      </c>
      <c r="I1763">
        <v>18891.806566386058</v>
      </c>
    </row>
    <row r="1764" spans="1:9" x14ac:dyDescent="0.3">
      <c r="A1764">
        <v>56</v>
      </c>
      <c r="B1764" s="168" t="s">
        <v>81</v>
      </c>
      <c r="C1764" s="168" t="s">
        <v>85</v>
      </c>
      <c r="D1764">
        <v>1186.4000000000001</v>
      </c>
      <c r="E1764">
        <v>2021</v>
      </c>
      <c r="F1764" s="168" t="s">
        <v>592</v>
      </c>
      <c r="G1764" s="168" t="s">
        <v>613</v>
      </c>
      <c r="H1764" s="168" t="s">
        <v>608</v>
      </c>
      <c r="I1764">
        <v>44784.340412324549</v>
      </c>
    </row>
    <row r="1765" spans="1:9" x14ac:dyDescent="0.3">
      <c r="A1765">
        <v>56</v>
      </c>
      <c r="B1765" s="168" t="s">
        <v>81</v>
      </c>
      <c r="C1765" s="168" t="s">
        <v>85</v>
      </c>
      <c r="D1765">
        <v>1186.4000000000001</v>
      </c>
      <c r="E1765">
        <v>2021</v>
      </c>
      <c r="F1765" s="168" t="s">
        <v>592</v>
      </c>
      <c r="G1765" s="168" t="s">
        <v>613</v>
      </c>
      <c r="H1765" s="168" t="s">
        <v>609</v>
      </c>
      <c r="I1765">
        <v>9089.8775112890416</v>
      </c>
    </row>
    <row r="1766" spans="1:9" x14ac:dyDescent="0.3">
      <c r="A1766">
        <v>57</v>
      </c>
      <c r="B1766" s="168" t="s">
        <v>81</v>
      </c>
      <c r="C1766" s="168" t="s">
        <v>86</v>
      </c>
      <c r="D1766">
        <v>122.7</v>
      </c>
      <c r="E1766">
        <v>2021</v>
      </c>
      <c r="F1766" s="168" t="s">
        <v>592</v>
      </c>
      <c r="G1766" s="168" t="s">
        <v>607</v>
      </c>
      <c r="H1766" s="168" t="s">
        <v>608</v>
      </c>
      <c r="I1766">
        <v>1116.9552445548338</v>
      </c>
    </row>
    <row r="1767" spans="1:9" x14ac:dyDescent="0.3">
      <c r="A1767">
        <v>57</v>
      </c>
      <c r="B1767" s="168" t="s">
        <v>81</v>
      </c>
      <c r="C1767" s="168" t="s">
        <v>86</v>
      </c>
      <c r="D1767">
        <v>122.7</v>
      </c>
      <c r="E1767">
        <v>2021</v>
      </c>
      <c r="F1767" s="168" t="s">
        <v>592</v>
      </c>
      <c r="G1767" s="168" t="s">
        <v>607</v>
      </c>
      <c r="H1767" s="168" t="s">
        <v>609</v>
      </c>
      <c r="I1767">
        <v>0</v>
      </c>
    </row>
    <row r="1768" spans="1:9" x14ac:dyDescent="0.3">
      <c r="A1768">
        <v>57</v>
      </c>
      <c r="B1768" s="168" t="s">
        <v>81</v>
      </c>
      <c r="C1768" s="168" t="s">
        <v>86</v>
      </c>
      <c r="D1768">
        <v>122.7</v>
      </c>
      <c r="E1768">
        <v>2021</v>
      </c>
      <c r="F1768" s="168" t="s">
        <v>592</v>
      </c>
      <c r="G1768" s="168" t="s">
        <v>617</v>
      </c>
      <c r="H1768" s="168" t="s">
        <v>608</v>
      </c>
      <c r="I1768">
        <v>82.875475141613066</v>
      </c>
    </row>
    <row r="1769" spans="1:9" x14ac:dyDescent="0.3">
      <c r="A1769">
        <v>57</v>
      </c>
      <c r="B1769" s="168" t="s">
        <v>81</v>
      </c>
      <c r="C1769" s="168" t="s">
        <v>86</v>
      </c>
      <c r="D1769">
        <v>122.7</v>
      </c>
      <c r="E1769">
        <v>2021</v>
      </c>
      <c r="F1769" s="168" t="s">
        <v>592</v>
      </c>
      <c r="G1769" s="168" t="s">
        <v>617</v>
      </c>
      <c r="H1769" s="168" t="s">
        <v>609</v>
      </c>
      <c r="I1769">
        <v>62.156606356209799</v>
      </c>
    </row>
    <row r="1770" spans="1:9" hidden="1" x14ac:dyDescent="0.3">
      <c r="A1770">
        <v>58</v>
      </c>
      <c r="B1770" s="168" t="s">
        <v>34</v>
      </c>
      <c r="C1770" s="168" t="s">
        <v>87</v>
      </c>
      <c r="D1770">
        <v>52.6</v>
      </c>
      <c r="E1770">
        <v>2021</v>
      </c>
      <c r="F1770" s="168" t="s">
        <v>593</v>
      </c>
      <c r="G1770" s="168" t="s">
        <v>607</v>
      </c>
      <c r="H1770" s="168" t="s">
        <v>608</v>
      </c>
      <c r="I1770">
        <v>478.82514966246345</v>
      </c>
    </row>
    <row r="1771" spans="1:9" hidden="1" x14ac:dyDescent="0.3">
      <c r="A1771">
        <v>58</v>
      </c>
      <c r="B1771" s="168" t="s">
        <v>34</v>
      </c>
      <c r="C1771" s="168" t="s">
        <v>87</v>
      </c>
      <c r="D1771">
        <v>52.6</v>
      </c>
      <c r="E1771">
        <v>2021</v>
      </c>
      <c r="F1771" s="168" t="s">
        <v>593</v>
      </c>
      <c r="G1771" s="168" t="s">
        <v>607</v>
      </c>
      <c r="H1771" s="168" t="s">
        <v>609</v>
      </c>
      <c r="I1771">
        <v>0</v>
      </c>
    </row>
    <row r="1772" spans="1:9" hidden="1" x14ac:dyDescent="0.3">
      <c r="A1772">
        <v>58</v>
      </c>
      <c r="B1772" s="168" t="s">
        <v>34</v>
      </c>
      <c r="C1772" s="168" t="s">
        <v>87</v>
      </c>
      <c r="D1772">
        <v>52.6</v>
      </c>
      <c r="E1772">
        <v>2021</v>
      </c>
      <c r="F1772" s="168" t="s">
        <v>593</v>
      </c>
      <c r="G1772" s="168" t="s">
        <v>617</v>
      </c>
      <c r="H1772" s="168" t="s">
        <v>608</v>
      </c>
      <c r="I1772">
        <v>35.527709799909104</v>
      </c>
    </row>
    <row r="1773" spans="1:9" hidden="1" x14ac:dyDescent="0.3">
      <c r="A1773">
        <v>58</v>
      </c>
      <c r="B1773" s="168" t="s">
        <v>34</v>
      </c>
      <c r="C1773" s="168" t="s">
        <v>87</v>
      </c>
      <c r="D1773">
        <v>52.6</v>
      </c>
      <c r="E1773">
        <v>2021</v>
      </c>
      <c r="F1773" s="168" t="s">
        <v>593</v>
      </c>
      <c r="G1773" s="168" t="s">
        <v>617</v>
      </c>
      <c r="H1773" s="168" t="s">
        <v>609</v>
      </c>
      <c r="I1773">
        <v>26.645782349931828</v>
      </c>
    </row>
    <row r="1774" spans="1:9" hidden="1" x14ac:dyDescent="0.3">
      <c r="A1774">
        <v>58</v>
      </c>
      <c r="B1774" s="168" t="s">
        <v>34</v>
      </c>
      <c r="C1774" s="168" t="s">
        <v>87</v>
      </c>
      <c r="D1774">
        <v>52.6</v>
      </c>
      <c r="E1774">
        <v>2021</v>
      </c>
      <c r="F1774" s="168" t="s">
        <v>593</v>
      </c>
      <c r="G1774" s="168" t="s">
        <v>630</v>
      </c>
      <c r="H1774" s="168" t="s">
        <v>608</v>
      </c>
      <c r="I1774">
        <v>197.58633496494139</v>
      </c>
    </row>
    <row r="1775" spans="1:9" hidden="1" x14ac:dyDescent="0.3">
      <c r="A1775">
        <v>58</v>
      </c>
      <c r="B1775" s="168" t="s">
        <v>34</v>
      </c>
      <c r="C1775" s="168" t="s">
        <v>87</v>
      </c>
      <c r="D1775">
        <v>52.6</v>
      </c>
      <c r="E1775">
        <v>2021</v>
      </c>
      <c r="F1775" s="168" t="s">
        <v>593</v>
      </c>
      <c r="G1775" s="168" t="s">
        <v>630</v>
      </c>
      <c r="H1775" s="168" t="s">
        <v>609</v>
      </c>
      <c r="I1775">
        <v>197.58633496494139</v>
      </c>
    </row>
    <row r="1776" spans="1:9" hidden="1" x14ac:dyDescent="0.3">
      <c r="A1776">
        <v>59</v>
      </c>
      <c r="B1776" s="168" t="s">
        <v>34</v>
      </c>
      <c r="C1776" s="168" t="s">
        <v>88</v>
      </c>
      <c r="D1776">
        <v>54.9</v>
      </c>
      <c r="E1776">
        <v>2021</v>
      </c>
      <c r="F1776" s="168" t="s">
        <v>593</v>
      </c>
      <c r="G1776" s="168" t="s">
        <v>607</v>
      </c>
      <c r="H1776" s="168" t="s">
        <v>608</v>
      </c>
      <c r="I1776">
        <v>499.76237103553694</v>
      </c>
    </row>
    <row r="1777" spans="1:9" hidden="1" x14ac:dyDescent="0.3">
      <c r="A1777">
        <v>59</v>
      </c>
      <c r="B1777" s="168" t="s">
        <v>34</v>
      </c>
      <c r="C1777" s="168" t="s">
        <v>88</v>
      </c>
      <c r="D1777">
        <v>54.9</v>
      </c>
      <c r="E1777">
        <v>2021</v>
      </c>
      <c r="F1777" s="168" t="s">
        <v>593</v>
      </c>
      <c r="G1777" s="168" t="s">
        <v>607</v>
      </c>
      <c r="H1777" s="168" t="s">
        <v>609</v>
      </c>
      <c r="I1777">
        <v>0</v>
      </c>
    </row>
    <row r="1778" spans="1:9" hidden="1" x14ac:dyDescent="0.3">
      <c r="A1778">
        <v>59</v>
      </c>
      <c r="B1778" s="168" t="s">
        <v>34</v>
      </c>
      <c r="C1778" s="168" t="s">
        <v>88</v>
      </c>
      <c r="D1778">
        <v>54.9</v>
      </c>
      <c r="E1778">
        <v>2021</v>
      </c>
      <c r="F1778" s="168" t="s">
        <v>593</v>
      </c>
      <c r="G1778" s="168" t="s">
        <v>612</v>
      </c>
      <c r="H1778" s="168" t="s">
        <v>608</v>
      </c>
      <c r="I1778">
        <v>0</v>
      </c>
    </row>
    <row r="1779" spans="1:9" hidden="1" x14ac:dyDescent="0.3">
      <c r="A1779">
        <v>59</v>
      </c>
      <c r="B1779" s="168" t="s">
        <v>34</v>
      </c>
      <c r="C1779" s="168" t="s">
        <v>88</v>
      </c>
      <c r="D1779">
        <v>54.9</v>
      </c>
      <c r="E1779">
        <v>2021</v>
      </c>
      <c r="F1779" s="168" t="s">
        <v>593</v>
      </c>
      <c r="G1779" s="168" t="s">
        <v>612</v>
      </c>
      <c r="H1779" s="168" t="s">
        <v>609</v>
      </c>
      <c r="I1779">
        <v>68.793268981875869</v>
      </c>
    </row>
    <row r="1780" spans="1:9" hidden="1" x14ac:dyDescent="0.3">
      <c r="A1780">
        <v>59</v>
      </c>
      <c r="B1780" s="168" t="s">
        <v>34</v>
      </c>
      <c r="C1780" s="168" t="s">
        <v>88</v>
      </c>
      <c r="D1780">
        <v>54.9</v>
      </c>
      <c r="E1780">
        <v>2021</v>
      </c>
      <c r="F1780" s="168" t="s">
        <v>593</v>
      </c>
      <c r="G1780" s="168" t="s">
        <v>617</v>
      </c>
      <c r="H1780" s="168" t="s">
        <v>608</v>
      </c>
      <c r="I1780">
        <v>37.081202813973569</v>
      </c>
    </row>
    <row r="1781" spans="1:9" hidden="1" x14ac:dyDescent="0.3">
      <c r="A1781">
        <v>59</v>
      </c>
      <c r="B1781" s="168" t="s">
        <v>34</v>
      </c>
      <c r="C1781" s="168" t="s">
        <v>88</v>
      </c>
      <c r="D1781">
        <v>54.9</v>
      </c>
      <c r="E1781">
        <v>2021</v>
      </c>
      <c r="F1781" s="168" t="s">
        <v>593</v>
      </c>
      <c r="G1781" s="168" t="s">
        <v>617</v>
      </c>
      <c r="H1781" s="168" t="s">
        <v>609</v>
      </c>
      <c r="I1781">
        <v>27.810902110480175</v>
      </c>
    </row>
    <row r="1782" spans="1:9" hidden="1" x14ac:dyDescent="0.3">
      <c r="A1782">
        <v>59</v>
      </c>
      <c r="B1782" s="168" t="s">
        <v>34</v>
      </c>
      <c r="C1782" s="168" t="s">
        <v>88</v>
      </c>
      <c r="D1782">
        <v>54.9</v>
      </c>
      <c r="E1782">
        <v>2021</v>
      </c>
      <c r="F1782" s="168" t="s">
        <v>593</v>
      </c>
      <c r="G1782" s="168" t="s">
        <v>633</v>
      </c>
      <c r="H1782" s="168" t="s">
        <v>608</v>
      </c>
      <c r="I1782">
        <v>0</v>
      </c>
    </row>
    <row r="1783" spans="1:9" hidden="1" x14ac:dyDescent="0.3">
      <c r="A1783">
        <v>59</v>
      </c>
      <c r="B1783" s="168" t="s">
        <v>34</v>
      </c>
      <c r="C1783" s="168" t="s">
        <v>88</v>
      </c>
      <c r="D1783">
        <v>54.9</v>
      </c>
      <c r="E1783">
        <v>2021</v>
      </c>
      <c r="F1783" s="168" t="s">
        <v>593</v>
      </c>
      <c r="G1783" s="168" t="s">
        <v>633</v>
      </c>
      <c r="H1783" s="168" t="s">
        <v>609</v>
      </c>
      <c r="I1783">
        <v>145433.62831858409</v>
      </c>
    </row>
    <row r="1784" spans="1:9" hidden="1" x14ac:dyDescent="0.3">
      <c r="A1784">
        <v>59</v>
      </c>
      <c r="B1784" s="168" t="s">
        <v>34</v>
      </c>
      <c r="C1784" s="168" t="s">
        <v>88</v>
      </c>
      <c r="D1784">
        <v>54.9</v>
      </c>
      <c r="E1784">
        <v>2021</v>
      </c>
      <c r="F1784" s="168" t="s">
        <v>593</v>
      </c>
      <c r="G1784" s="168" t="s">
        <v>630</v>
      </c>
      <c r="H1784" s="168" t="s">
        <v>608</v>
      </c>
      <c r="I1784">
        <v>206.22604162690649</v>
      </c>
    </row>
    <row r="1785" spans="1:9" hidden="1" x14ac:dyDescent="0.3">
      <c r="A1785">
        <v>59</v>
      </c>
      <c r="B1785" s="168" t="s">
        <v>34</v>
      </c>
      <c r="C1785" s="168" t="s">
        <v>88</v>
      </c>
      <c r="D1785">
        <v>54.9</v>
      </c>
      <c r="E1785">
        <v>2021</v>
      </c>
      <c r="F1785" s="168" t="s">
        <v>593</v>
      </c>
      <c r="G1785" s="168" t="s">
        <v>630</v>
      </c>
      <c r="H1785" s="168" t="s">
        <v>609</v>
      </c>
      <c r="I1785">
        <v>206.22604162690649</v>
      </c>
    </row>
    <row r="1786" spans="1:9" x14ac:dyDescent="0.3">
      <c r="A1786">
        <v>60</v>
      </c>
      <c r="B1786" s="168" t="s">
        <v>60</v>
      </c>
      <c r="C1786" s="168" t="s">
        <v>89</v>
      </c>
      <c r="D1786">
        <v>11053.9</v>
      </c>
      <c r="E1786">
        <v>2021</v>
      </c>
      <c r="F1786" s="168" t="s">
        <v>592</v>
      </c>
      <c r="G1786" s="168" t="s">
        <v>612</v>
      </c>
      <c r="H1786" s="168" t="s">
        <v>608</v>
      </c>
      <c r="I1786">
        <v>0</v>
      </c>
    </row>
    <row r="1787" spans="1:9" x14ac:dyDescent="0.3">
      <c r="A1787">
        <v>60</v>
      </c>
      <c r="B1787" s="168" t="s">
        <v>60</v>
      </c>
      <c r="C1787" s="168" t="s">
        <v>89</v>
      </c>
      <c r="D1787">
        <v>11053.9</v>
      </c>
      <c r="E1787">
        <v>2021</v>
      </c>
      <c r="F1787" s="168" t="s">
        <v>592</v>
      </c>
      <c r="G1787" s="168" t="s">
        <v>612</v>
      </c>
      <c r="H1787" s="168" t="s">
        <v>609</v>
      </c>
      <c r="I1787">
        <v>13851.255300523817</v>
      </c>
    </row>
    <row r="1788" spans="1:9" x14ac:dyDescent="0.3">
      <c r="A1788">
        <v>60</v>
      </c>
      <c r="B1788" s="168" t="s">
        <v>60</v>
      </c>
      <c r="C1788" s="168" t="s">
        <v>89</v>
      </c>
      <c r="D1788">
        <v>11053.9</v>
      </c>
      <c r="E1788">
        <v>2021</v>
      </c>
      <c r="F1788" s="168" t="s">
        <v>592</v>
      </c>
      <c r="G1788" s="168" t="s">
        <v>629</v>
      </c>
      <c r="H1788" s="168" t="s">
        <v>608</v>
      </c>
      <c r="I1788">
        <v>3609883.8517911453</v>
      </c>
    </row>
    <row r="1789" spans="1:9" x14ac:dyDescent="0.3">
      <c r="A1789">
        <v>60</v>
      </c>
      <c r="B1789" s="168" t="s">
        <v>60</v>
      </c>
      <c r="C1789" s="168" t="s">
        <v>89</v>
      </c>
      <c r="D1789">
        <v>11053.9</v>
      </c>
      <c r="E1789">
        <v>2021</v>
      </c>
      <c r="F1789" s="168" t="s">
        <v>592</v>
      </c>
      <c r="G1789" s="168" t="s">
        <v>629</v>
      </c>
      <c r="H1789" s="168" t="s">
        <v>609</v>
      </c>
      <c r="I1789">
        <v>642398.67138219427</v>
      </c>
    </row>
    <row r="1790" spans="1:9" x14ac:dyDescent="0.3">
      <c r="A1790">
        <v>60</v>
      </c>
      <c r="B1790" s="168" t="s">
        <v>60</v>
      </c>
      <c r="C1790" s="168" t="s">
        <v>89</v>
      </c>
      <c r="D1790">
        <v>11053.9</v>
      </c>
      <c r="E1790">
        <v>2021</v>
      </c>
      <c r="F1790" s="168" t="s">
        <v>592</v>
      </c>
      <c r="G1790" s="168" t="s">
        <v>617</v>
      </c>
      <c r="H1790" s="168" t="s">
        <v>608</v>
      </c>
      <c r="I1790">
        <v>7466.15496876835</v>
      </c>
    </row>
    <row r="1791" spans="1:9" x14ac:dyDescent="0.3">
      <c r="A1791">
        <v>60</v>
      </c>
      <c r="B1791" s="168" t="s">
        <v>60</v>
      </c>
      <c r="C1791" s="168" t="s">
        <v>89</v>
      </c>
      <c r="D1791">
        <v>11053.9</v>
      </c>
      <c r="E1791">
        <v>2021</v>
      </c>
      <c r="F1791" s="168" t="s">
        <v>592</v>
      </c>
      <c r="G1791" s="168" t="s">
        <v>617</v>
      </c>
      <c r="H1791" s="168" t="s">
        <v>609</v>
      </c>
      <c r="I1791">
        <v>8792.4162265762607</v>
      </c>
    </row>
    <row r="1792" spans="1:9" x14ac:dyDescent="0.3">
      <c r="A1792">
        <v>60</v>
      </c>
      <c r="B1792" s="168" t="s">
        <v>60</v>
      </c>
      <c r="C1792" s="168" t="s">
        <v>89</v>
      </c>
      <c r="D1792">
        <v>11053.9</v>
      </c>
      <c r="E1792">
        <v>2021</v>
      </c>
      <c r="F1792" s="168" t="s">
        <v>592</v>
      </c>
      <c r="G1792" s="168" t="s">
        <v>618</v>
      </c>
      <c r="H1792" s="168" t="s">
        <v>608</v>
      </c>
      <c r="I1792">
        <v>0</v>
      </c>
    </row>
    <row r="1793" spans="1:9" x14ac:dyDescent="0.3">
      <c r="A1793">
        <v>60</v>
      </c>
      <c r="B1793" s="168" t="s">
        <v>60</v>
      </c>
      <c r="C1793" s="168" t="s">
        <v>89</v>
      </c>
      <c r="D1793">
        <v>11053.9</v>
      </c>
      <c r="E1793">
        <v>2021</v>
      </c>
      <c r="F1793" s="168" t="s">
        <v>592</v>
      </c>
      <c r="G1793" s="168" t="s">
        <v>618</v>
      </c>
      <c r="H1793" s="168" t="s">
        <v>609</v>
      </c>
      <c r="I1793">
        <v>15977.528089887641</v>
      </c>
    </row>
    <row r="1794" spans="1:9" x14ac:dyDescent="0.3">
      <c r="A1794">
        <v>60</v>
      </c>
      <c r="B1794" s="168" t="s">
        <v>60</v>
      </c>
      <c r="C1794" s="168" t="s">
        <v>89</v>
      </c>
      <c r="D1794">
        <v>11053.9</v>
      </c>
      <c r="E1794">
        <v>2021</v>
      </c>
      <c r="F1794" s="168" t="s">
        <v>592</v>
      </c>
      <c r="G1794" s="168" t="s">
        <v>610</v>
      </c>
      <c r="H1794" s="168" t="s">
        <v>608</v>
      </c>
      <c r="I1794">
        <v>0</v>
      </c>
    </row>
    <row r="1795" spans="1:9" x14ac:dyDescent="0.3">
      <c r="A1795">
        <v>60</v>
      </c>
      <c r="B1795" s="168" t="s">
        <v>60</v>
      </c>
      <c r="C1795" s="168" t="s">
        <v>89</v>
      </c>
      <c r="D1795">
        <v>11053.9</v>
      </c>
      <c r="E1795">
        <v>2021</v>
      </c>
      <c r="F1795" s="168" t="s">
        <v>592</v>
      </c>
      <c r="G1795" s="168" t="s">
        <v>610</v>
      </c>
      <c r="H1795" s="168" t="s">
        <v>609</v>
      </c>
      <c r="I1795">
        <v>6545.454545454545</v>
      </c>
    </row>
    <row r="1796" spans="1:9" x14ac:dyDescent="0.3">
      <c r="A1796">
        <v>60</v>
      </c>
      <c r="B1796" s="168" t="s">
        <v>60</v>
      </c>
      <c r="C1796" s="168" t="s">
        <v>89</v>
      </c>
      <c r="D1796">
        <v>11053.9</v>
      </c>
      <c r="E1796">
        <v>2021</v>
      </c>
      <c r="F1796" s="168" t="s">
        <v>592</v>
      </c>
      <c r="G1796" s="168" t="s">
        <v>620</v>
      </c>
      <c r="H1796" s="168" t="s">
        <v>608</v>
      </c>
      <c r="I1796">
        <v>96190.661290322576</v>
      </c>
    </row>
    <row r="1797" spans="1:9" x14ac:dyDescent="0.3">
      <c r="A1797">
        <v>60</v>
      </c>
      <c r="B1797" s="168" t="s">
        <v>60</v>
      </c>
      <c r="C1797" s="168" t="s">
        <v>89</v>
      </c>
      <c r="D1797">
        <v>11053.9</v>
      </c>
      <c r="E1797">
        <v>2021</v>
      </c>
      <c r="F1797" s="168" t="s">
        <v>592</v>
      </c>
      <c r="G1797" s="168" t="s">
        <v>620</v>
      </c>
      <c r="H1797" s="168" t="s">
        <v>609</v>
      </c>
      <c r="I1797">
        <v>0</v>
      </c>
    </row>
    <row r="1798" spans="1:9" x14ac:dyDescent="0.3">
      <c r="A1798">
        <v>60</v>
      </c>
      <c r="B1798" s="168" t="s">
        <v>60</v>
      </c>
      <c r="C1798" s="168" t="s">
        <v>89</v>
      </c>
      <c r="D1798">
        <v>11053.9</v>
      </c>
      <c r="E1798">
        <v>2021</v>
      </c>
      <c r="F1798" s="168" t="s">
        <v>592</v>
      </c>
      <c r="G1798" s="168" t="s">
        <v>623</v>
      </c>
      <c r="H1798" s="168" t="s">
        <v>608</v>
      </c>
      <c r="I1798">
        <v>48817.307692307702</v>
      </c>
    </row>
    <row r="1799" spans="1:9" x14ac:dyDescent="0.3">
      <c r="A1799">
        <v>60</v>
      </c>
      <c r="B1799" s="168" t="s">
        <v>60</v>
      </c>
      <c r="C1799" s="168" t="s">
        <v>89</v>
      </c>
      <c r="D1799">
        <v>11053.9</v>
      </c>
      <c r="E1799">
        <v>2021</v>
      </c>
      <c r="F1799" s="168" t="s">
        <v>592</v>
      </c>
      <c r="G1799" s="168" t="s">
        <v>623</v>
      </c>
      <c r="H1799" s="168" t="s">
        <v>609</v>
      </c>
      <c r="I1799">
        <v>35510.391250000001</v>
      </c>
    </row>
    <row r="1800" spans="1:9" x14ac:dyDescent="0.3">
      <c r="A1800">
        <v>60</v>
      </c>
      <c r="B1800" s="168" t="s">
        <v>60</v>
      </c>
      <c r="C1800" s="168" t="s">
        <v>89</v>
      </c>
      <c r="D1800">
        <v>11053.9</v>
      </c>
      <c r="E1800">
        <v>2021</v>
      </c>
      <c r="F1800" s="168" t="s">
        <v>592</v>
      </c>
      <c r="G1800" s="168" t="s">
        <v>625</v>
      </c>
      <c r="H1800" s="168" t="s">
        <v>608</v>
      </c>
      <c r="I1800">
        <v>0</v>
      </c>
    </row>
    <row r="1801" spans="1:9" x14ac:dyDescent="0.3">
      <c r="A1801">
        <v>60</v>
      </c>
      <c r="B1801" s="168" t="s">
        <v>60</v>
      </c>
      <c r="C1801" s="168" t="s">
        <v>89</v>
      </c>
      <c r="D1801">
        <v>11053.9</v>
      </c>
      <c r="E1801">
        <v>2021</v>
      </c>
      <c r="F1801" s="168" t="s">
        <v>592</v>
      </c>
      <c r="G1801" s="168" t="s">
        <v>625</v>
      </c>
      <c r="H1801" s="168" t="s">
        <v>609</v>
      </c>
      <c r="I1801">
        <v>195848.85</v>
      </c>
    </row>
    <row r="1802" spans="1:9" x14ac:dyDescent="0.3">
      <c r="A1802">
        <v>60</v>
      </c>
      <c r="B1802" s="168" t="s">
        <v>60</v>
      </c>
      <c r="C1802" s="168" t="s">
        <v>89</v>
      </c>
      <c r="D1802">
        <v>11053.9</v>
      </c>
      <c r="E1802">
        <v>2021</v>
      </c>
      <c r="F1802" s="168" t="s">
        <v>592</v>
      </c>
      <c r="G1802" s="168" t="s">
        <v>630</v>
      </c>
      <c r="H1802" s="168" t="s">
        <v>608</v>
      </c>
      <c r="I1802">
        <v>206791.39274421037</v>
      </c>
    </row>
    <row r="1803" spans="1:9" x14ac:dyDescent="0.3">
      <c r="A1803">
        <v>60</v>
      </c>
      <c r="B1803" s="168" t="s">
        <v>60</v>
      </c>
      <c r="C1803" s="168" t="s">
        <v>89</v>
      </c>
      <c r="D1803">
        <v>11053.9</v>
      </c>
      <c r="E1803">
        <v>2021</v>
      </c>
      <c r="F1803" s="168" t="s">
        <v>592</v>
      </c>
      <c r="G1803" s="168" t="s">
        <v>630</v>
      </c>
      <c r="H1803" s="168" t="s">
        <v>609</v>
      </c>
      <c r="I1803">
        <v>217541.13070862339</v>
      </c>
    </row>
    <row r="1804" spans="1:9" x14ac:dyDescent="0.3">
      <c r="A1804">
        <v>60</v>
      </c>
      <c r="B1804" s="168" t="s">
        <v>60</v>
      </c>
      <c r="C1804" s="168" t="s">
        <v>89</v>
      </c>
      <c r="D1804">
        <v>11053.9</v>
      </c>
      <c r="E1804">
        <v>2021</v>
      </c>
      <c r="F1804" s="168" t="s">
        <v>592</v>
      </c>
      <c r="G1804" s="168" t="s">
        <v>621</v>
      </c>
      <c r="H1804" s="168" t="s">
        <v>608</v>
      </c>
      <c r="I1804">
        <v>0</v>
      </c>
    </row>
    <row r="1805" spans="1:9" x14ac:dyDescent="0.3">
      <c r="A1805">
        <v>60</v>
      </c>
      <c r="B1805" s="168" t="s">
        <v>60</v>
      </c>
      <c r="C1805" s="168" t="s">
        <v>89</v>
      </c>
      <c r="D1805">
        <v>11053.9</v>
      </c>
      <c r="E1805">
        <v>2021</v>
      </c>
      <c r="F1805" s="168" t="s">
        <v>592</v>
      </c>
      <c r="G1805" s="168" t="s">
        <v>621</v>
      </c>
      <c r="H1805" s="168" t="s">
        <v>609</v>
      </c>
      <c r="I1805">
        <v>98047.2</v>
      </c>
    </row>
    <row r="1806" spans="1:9" x14ac:dyDescent="0.3">
      <c r="A1806">
        <v>60</v>
      </c>
      <c r="B1806" s="168" t="s">
        <v>60</v>
      </c>
      <c r="C1806" s="168" t="s">
        <v>89</v>
      </c>
      <c r="D1806">
        <v>11053.9</v>
      </c>
      <c r="E1806">
        <v>2021</v>
      </c>
      <c r="F1806" s="168" t="s">
        <v>592</v>
      </c>
      <c r="G1806" s="168" t="s">
        <v>627</v>
      </c>
      <c r="H1806" s="168" t="s">
        <v>608</v>
      </c>
      <c r="I1806">
        <v>0</v>
      </c>
    </row>
    <row r="1807" spans="1:9" x14ac:dyDescent="0.3">
      <c r="A1807">
        <v>60</v>
      </c>
      <c r="B1807" s="168" t="s">
        <v>60</v>
      </c>
      <c r="C1807" s="168" t="s">
        <v>89</v>
      </c>
      <c r="D1807">
        <v>11053.9</v>
      </c>
      <c r="E1807">
        <v>2021</v>
      </c>
      <c r="F1807" s="168" t="s">
        <v>592</v>
      </c>
      <c r="G1807" s="168" t="s">
        <v>627</v>
      </c>
      <c r="H1807" s="168" t="s">
        <v>609</v>
      </c>
      <c r="I1807">
        <v>1351680.56</v>
      </c>
    </row>
    <row r="1808" spans="1:9" x14ac:dyDescent="0.3">
      <c r="A1808">
        <v>60</v>
      </c>
      <c r="B1808" s="168" t="s">
        <v>60</v>
      </c>
      <c r="C1808" s="168" t="s">
        <v>89</v>
      </c>
      <c r="D1808">
        <v>11053.9</v>
      </c>
      <c r="E1808">
        <v>2021</v>
      </c>
      <c r="F1808" s="168" t="s">
        <v>592</v>
      </c>
      <c r="G1808" s="168" t="s">
        <v>613</v>
      </c>
      <c r="H1808" s="168" t="s">
        <v>608</v>
      </c>
      <c r="I1808">
        <v>417263.6720193816</v>
      </c>
    </row>
    <row r="1809" spans="1:9" x14ac:dyDescent="0.3">
      <c r="A1809">
        <v>60</v>
      </c>
      <c r="B1809" s="168" t="s">
        <v>60</v>
      </c>
      <c r="C1809" s="168" t="s">
        <v>89</v>
      </c>
      <c r="D1809">
        <v>11053.9</v>
      </c>
      <c r="E1809">
        <v>2021</v>
      </c>
      <c r="F1809" s="168" t="s">
        <v>592</v>
      </c>
      <c r="G1809" s="168" t="s">
        <v>613</v>
      </c>
      <c r="H1809" s="168" t="s">
        <v>609</v>
      </c>
      <c r="I1809">
        <v>84692.006930241012</v>
      </c>
    </row>
    <row r="1810" spans="1:9" x14ac:dyDescent="0.3">
      <c r="A1810">
        <v>60</v>
      </c>
      <c r="B1810" s="168" t="s">
        <v>60</v>
      </c>
      <c r="C1810" s="168" t="s">
        <v>89</v>
      </c>
      <c r="D1810">
        <v>11053.9</v>
      </c>
      <c r="E1810">
        <v>2021</v>
      </c>
      <c r="F1810" s="168" t="s">
        <v>592</v>
      </c>
      <c r="G1810" s="168" t="s">
        <v>622</v>
      </c>
      <c r="H1810" s="168" t="s">
        <v>608</v>
      </c>
      <c r="I1810">
        <v>136318.1108506468</v>
      </c>
    </row>
    <row r="1811" spans="1:9" x14ac:dyDescent="0.3">
      <c r="A1811">
        <v>60</v>
      </c>
      <c r="B1811" s="168" t="s">
        <v>60</v>
      </c>
      <c r="C1811" s="168" t="s">
        <v>89</v>
      </c>
      <c r="D1811">
        <v>11053.9</v>
      </c>
      <c r="E1811">
        <v>2021</v>
      </c>
      <c r="F1811" s="168" t="s">
        <v>592</v>
      </c>
      <c r="G1811" s="168" t="s">
        <v>622</v>
      </c>
      <c r="H1811" s="168" t="s">
        <v>609</v>
      </c>
      <c r="I1811">
        <v>0</v>
      </c>
    </row>
    <row r="1812" spans="1:9" x14ac:dyDescent="0.3">
      <c r="A1812">
        <v>61</v>
      </c>
      <c r="B1812" s="168" t="s">
        <v>90</v>
      </c>
      <c r="C1812" s="168" t="s">
        <v>91</v>
      </c>
      <c r="D1812">
        <v>17563.900000000001</v>
      </c>
      <c r="E1812">
        <v>2021</v>
      </c>
      <c r="F1812" s="168" t="s">
        <v>592</v>
      </c>
      <c r="G1812" s="168" t="s">
        <v>612</v>
      </c>
      <c r="H1812" s="168" t="s">
        <v>608</v>
      </c>
      <c r="I1812">
        <v>0</v>
      </c>
    </row>
    <row r="1813" spans="1:9" x14ac:dyDescent="0.3">
      <c r="A1813">
        <v>61</v>
      </c>
      <c r="B1813" s="168" t="s">
        <v>90</v>
      </c>
      <c r="C1813" s="168" t="s">
        <v>91</v>
      </c>
      <c r="D1813">
        <v>17563.900000000001</v>
      </c>
      <c r="E1813">
        <v>2021</v>
      </c>
      <c r="F1813" s="168" t="s">
        <v>592</v>
      </c>
      <c r="G1813" s="168" t="s">
        <v>612</v>
      </c>
      <c r="H1813" s="168" t="s">
        <v>609</v>
      </c>
      <c r="I1813">
        <v>89808.708507664298</v>
      </c>
    </row>
    <row r="1814" spans="1:9" x14ac:dyDescent="0.3">
      <c r="A1814">
        <v>61</v>
      </c>
      <c r="B1814" s="168" t="s">
        <v>90</v>
      </c>
      <c r="C1814" s="168" t="s">
        <v>91</v>
      </c>
      <c r="D1814">
        <v>17563.900000000001</v>
      </c>
      <c r="E1814">
        <v>2021</v>
      </c>
      <c r="F1814" s="168" t="s">
        <v>592</v>
      </c>
      <c r="G1814" s="168" t="s">
        <v>629</v>
      </c>
      <c r="H1814" s="168" t="s">
        <v>608</v>
      </c>
      <c r="I1814">
        <v>0</v>
      </c>
    </row>
    <row r="1815" spans="1:9" x14ac:dyDescent="0.3">
      <c r="A1815">
        <v>61</v>
      </c>
      <c r="B1815" s="168" t="s">
        <v>90</v>
      </c>
      <c r="C1815" s="168" t="s">
        <v>91</v>
      </c>
      <c r="D1815">
        <v>17563.900000000001</v>
      </c>
      <c r="E1815">
        <v>2021</v>
      </c>
      <c r="F1815" s="168" t="s">
        <v>592</v>
      </c>
      <c r="G1815" s="168" t="s">
        <v>629</v>
      </c>
      <c r="H1815" s="168" t="s">
        <v>609</v>
      </c>
      <c r="I1815">
        <v>298973</v>
      </c>
    </row>
    <row r="1816" spans="1:9" x14ac:dyDescent="0.3">
      <c r="A1816">
        <v>61</v>
      </c>
      <c r="B1816" s="168" t="s">
        <v>90</v>
      </c>
      <c r="C1816" s="168" t="s">
        <v>91</v>
      </c>
      <c r="D1816">
        <v>17563.900000000001</v>
      </c>
      <c r="E1816">
        <v>2021</v>
      </c>
      <c r="F1816" s="168" t="s">
        <v>592</v>
      </c>
      <c r="G1816" s="168" t="s">
        <v>617</v>
      </c>
      <c r="H1816" s="168" t="s">
        <v>608</v>
      </c>
      <c r="I1816">
        <v>11863.215630316037</v>
      </c>
    </row>
    <row r="1817" spans="1:9" x14ac:dyDescent="0.3">
      <c r="A1817">
        <v>61</v>
      </c>
      <c r="B1817" s="168" t="s">
        <v>90</v>
      </c>
      <c r="C1817" s="168" t="s">
        <v>91</v>
      </c>
      <c r="D1817">
        <v>17563.900000000001</v>
      </c>
      <c r="E1817">
        <v>2021</v>
      </c>
      <c r="F1817" s="168" t="s">
        <v>592</v>
      </c>
      <c r="G1817" s="168" t="s">
        <v>617</v>
      </c>
      <c r="H1817" s="168" t="s">
        <v>609</v>
      </c>
      <c r="I1817">
        <v>69089.711722737033</v>
      </c>
    </row>
    <row r="1818" spans="1:9" x14ac:dyDescent="0.3">
      <c r="A1818">
        <v>61</v>
      </c>
      <c r="B1818" s="168" t="s">
        <v>90</v>
      </c>
      <c r="C1818" s="168" t="s">
        <v>91</v>
      </c>
      <c r="D1818">
        <v>17563.900000000001</v>
      </c>
      <c r="E1818">
        <v>2021</v>
      </c>
      <c r="F1818" s="168" t="s">
        <v>592</v>
      </c>
      <c r="G1818" s="168" t="s">
        <v>610</v>
      </c>
      <c r="H1818" s="168" t="s">
        <v>608</v>
      </c>
      <c r="I1818">
        <v>0</v>
      </c>
    </row>
    <row r="1819" spans="1:9" x14ac:dyDescent="0.3">
      <c r="A1819">
        <v>61</v>
      </c>
      <c r="B1819" s="168" t="s">
        <v>90</v>
      </c>
      <c r="C1819" s="168" t="s">
        <v>91</v>
      </c>
      <c r="D1819">
        <v>17563.900000000001</v>
      </c>
      <c r="E1819">
        <v>2021</v>
      </c>
      <c r="F1819" s="168" t="s">
        <v>592</v>
      </c>
      <c r="G1819" s="168" t="s">
        <v>610</v>
      </c>
      <c r="H1819" s="168" t="s">
        <v>609</v>
      </c>
      <c r="I1819">
        <v>6545.454545454545</v>
      </c>
    </row>
    <row r="1820" spans="1:9" x14ac:dyDescent="0.3">
      <c r="A1820">
        <v>61</v>
      </c>
      <c r="B1820" s="168" t="s">
        <v>90</v>
      </c>
      <c r="C1820" s="168" t="s">
        <v>91</v>
      </c>
      <c r="D1820">
        <v>17563.900000000001</v>
      </c>
      <c r="E1820">
        <v>2021</v>
      </c>
      <c r="F1820" s="168" t="s">
        <v>592</v>
      </c>
      <c r="G1820" s="168" t="s">
        <v>620</v>
      </c>
      <c r="H1820" s="168" t="s">
        <v>608</v>
      </c>
      <c r="I1820">
        <v>163524.12419354837</v>
      </c>
    </row>
    <row r="1821" spans="1:9" x14ac:dyDescent="0.3">
      <c r="A1821">
        <v>61</v>
      </c>
      <c r="B1821" s="168" t="s">
        <v>90</v>
      </c>
      <c r="C1821" s="168" t="s">
        <v>91</v>
      </c>
      <c r="D1821">
        <v>17563.900000000001</v>
      </c>
      <c r="E1821">
        <v>2021</v>
      </c>
      <c r="F1821" s="168" t="s">
        <v>592</v>
      </c>
      <c r="G1821" s="168" t="s">
        <v>620</v>
      </c>
      <c r="H1821" s="168" t="s">
        <v>609</v>
      </c>
      <c r="I1821">
        <v>0</v>
      </c>
    </row>
    <row r="1822" spans="1:9" x14ac:dyDescent="0.3">
      <c r="A1822">
        <v>61</v>
      </c>
      <c r="B1822" s="168" t="s">
        <v>90</v>
      </c>
      <c r="C1822" s="168" t="s">
        <v>91</v>
      </c>
      <c r="D1822">
        <v>17563.900000000001</v>
      </c>
      <c r="E1822">
        <v>2021</v>
      </c>
      <c r="F1822" s="168" t="s">
        <v>592</v>
      </c>
      <c r="G1822" s="168" t="s">
        <v>623</v>
      </c>
      <c r="H1822" s="168" t="s">
        <v>608</v>
      </c>
      <c r="I1822">
        <v>97634.615384615405</v>
      </c>
    </row>
    <row r="1823" spans="1:9" x14ac:dyDescent="0.3">
      <c r="A1823">
        <v>61</v>
      </c>
      <c r="B1823" s="168" t="s">
        <v>90</v>
      </c>
      <c r="C1823" s="168" t="s">
        <v>91</v>
      </c>
      <c r="D1823">
        <v>17563.900000000001</v>
      </c>
      <c r="E1823">
        <v>2021</v>
      </c>
      <c r="F1823" s="168" t="s">
        <v>592</v>
      </c>
      <c r="G1823" s="168" t="s">
        <v>623</v>
      </c>
      <c r="H1823" s="168" t="s">
        <v>609</v>
      </c>
      <c r="I1823">
        <v>71020.782500000001</v>
      </c>
    </row>
    <row r="1824" spans="1:9" x14ac:dyDescent="0.3">
      <c r="A1824">
        <v>61</v>
      </c>
      <c r="B1824" s="168" t="s">
        <v>90</v>
      </c>
      <c r="C1824" s="168" t="s">
        <v>91</v>
      </c>
      <c r="D1824">
        <v>17563.900000000001</v>
      </c>
      <c r="E1824">
        <v>2021</v>
      </c>
      <c r="F1824" s="168" t="s">
        <v>592</v>
      </c>
      <c r="G1824" s="168" t="s">
        <v>615</v>
      </c>
      <c r="H1824" s="168" t="s">
        <v>608</v>
      </c>
      <c r="I1824">
        <v>0</v>
      </c>
    </row>
    <row r="1825" spans="1:9" x14ac:dyDescent="0.3">
      <c r="A1825">
        <v>61</v>
      </c>
      <c r="B1825" s="168" t="s">
        <v>90</v>
      </c>
      <c r="C1825" s="168" t="s">
        <v>91</v>
      </c>
      <c r="D1825">
        <v>17563.900000000001</v>
      </c>
      <c r="E1825">
        <v>2021</v>
      </c>
      <c r="F1825" s="168" t="s">
        <v>592</v>
      </c>
      <c r="G1825" s="168" t="s">
        <v>615</v>
      </c>
      <c r="H1825" s="168" t="s">
        <v>609</v>
      </c>
      <c r="I1825">
        <v>15073.170731707318</v>
      </c>
    </row>
    <row r="1826" spans="1:9" x14ac:dyDescent="0.3">
      <c r="A1826">
        <v>61</v>
      </c>
      <c r="B1826" s="168" t="s">
        <v>90</v>
      </c>
      <c r="C1826" s="168" t="s">
        <v>91</v>
      </c>
      <c r="D1826">
        <v>17563.900000000001</v>
      </c>
      <c r="E1826">
        <v>2021</v>
      </c>
      <c r="F1826" s="168" t="s">
        <v>592</v>
      </c>
      <c r="G1826" s="168" t="s">
        <v>630</v>
      </c>
      <c r="H1826" s="168" t="s">
        <v>608</v>
      </c>
      <c r="I1826">
        <v>328577.54665955459</v>
      </c>
    </row>
    <row r="1827" spans="1:9" x14ac:dyDescent="0.3">
      <c r="A1827">
        <v>61</v>
      </c>
      <c r="B1827" s="168" t="s">
        <v>90</v>
      </c>
      <c r="C1827" s="168" t="s">
        <v>91</v>
      </c>
      <c r="D1827">
        <v>17563.900000000001</v>
      </c>
      <c r="E1827">
        <v>2021</v>
      </c>
      <c r="F1827" s="168" t="s">
        <v>592</v>
      </c>
      <c r="G1827" s="168" t="s">
        <v>630</v>
      </c>
      <c r="H1827" s="168" t="s">
        <v>609</v>
      </c>
      <c r="I1827">
        <v>345658.15374240757</v>
      </c>
    </row>
    <row r="1828" spans="1:9" x14ac:dyDescent="0.3">
      <c r="A1828">
        <v>61</v>
      </c>
      <c r="B1828" s="168" t="s">
        <v>90</v>
      </c>
      <c r="C1828" s="168" t="s">
        <v>91</v>
      </c>
      <c r="D1828">
        <v>17563.900000000001</v>
      </c>
      <c r="E1828">
        <v>2021</v>
      </c>
      <c r="F1828" s="168" t="s">
        <v>592</v>
      </c>
      <c r="G1828" s="168" t="s">
        <v>611</v>
      </c>
      <c r="H1828" s="168" t="s">
        <v>608</v>
      </c>
      <c r="I1828">
        <v>0</v>
      </c>
    </row>
    <row r="1829" spans="1:9" x14ac:dyDescent="0.3">
      <c r="A1829">
        <v>61</v>
      </c>
      <c r="B1829" s="168" t="s">
        <v>90</v>
      </c>
      <c r="C1829" s="168" t="s">
        <v>91</v>
      </c>
      <c r="D1829">
        <v>17563.900000000001</v>
      </c>
      <c r="E1829">
        <v>2021</v>
      </c>
      <c r="F1829" s="168" t="s">
        <v>592</v>
      </c>
      <c r="G1829" s="168" t="s">
        <v>611</v>
      </c>
      <c r="H1829" s="168" t="s">
        <v>609</v>
      </c>
      <c r="I1829">
        <v>7346.2379803167878</v>
      </c>
    </row>
    <row r="1830" spans="1:9" x14ac:dyDescent="0.3">
      <c r="A1830">
        <v>61</v>
      </c>
      <c r="B1830" s="168" t="s">
        <v>90</v>
      </c>
      <c r="C1830" s="168" t="s">
        <v>91</v>
      </c>
      <c r="D1830">
        <v>17563.900000000001</v>
      </c>
      <c r="E1830">
        <v>2021</v>
      </c>
      <c r="F1830" s="168" t="s">
        <v>592</v>
      </c>
      <c r="G1830" s="168" t="s">
        <v>621</v>
      </c>
      <c r="H1830" s="168" t="s">
        <v>608</v>
      </c>
      <c r="I1830">
        <v>0</v>
      </c>
    </row>
    <row r="1831" spans="1:9" x14ac:dyDescent="0.3">
      <c r="A1831">
        <v>61</v>
      </c>
      <c r="B1831" s="168" t="s">
        <v>90</v>
      </c>
      <c r="C1831" s="168" t="s">
        <v>91</v>
      </c>
      <c r="D1831">
        <v>17563.900000000001</v>
      </c>
      <c r="E1831">
        <v>2021</v>
      </c>
      <c r="F1831" s="168" t="s">
        <v>592</v>
      </c>
      <c r="G1831" s="168" t="s">
        <v>621</v>
      </c>
      <c r="H1831" s="168" t="s">
        <v>609</v>
      </c>
      <c r="I1831">
        <v>640942.24</v>
      </c>
    </row>
    <row r="1832" spans="1:9" x14ac:dyDescent="0.3">
      <c r="A1832">
        <v>61</v>
      </c>
      <c r="B1832" s="168" t="s">
        <v>90</v>
      </c>
      <c r="C1832" s="168" t="s">
        <v>91</v>
      </c>
      <c r="D1832">
        <v>17563.900000000001</v>
      </c>
      <c r="E1832">
        <v>2021</v>
      </c>
      <c r="F1832" s="168" t="s">
        <v>592</v>
      </c>
      <c r="G1832" s="168" t="s">
        <v>613</v>
      </c>
      <c r="H1832" s="168" t="s">
        <v>608</v>
      </c>
      <c r="I1832">
        <v>663003.77323670534</v>
      </c>
    </row>
    <row r="1833" spans="1:9" x14ac:dyDescent="0.3">
      <c r="A1833">
        <v>61</v>
      </c>
      <c r="B1833" s="168" t="s">
        <v>90</v>
      </c>
      <c r="C1833" s="168" t="s">
        <v>91</v>
      </c>
      <c r="D1833">
        <v>17563.900000000001</v>
      </c>
      <c r="E1833">
        <v>2021</v>
      </c>
      <c r="F1833" s="168" t="s">
        <v>592</v>
      </c>
      <c r="G1833" s="168" t="s">
        <v>613</v>
      </c>
      <c r="H1833" s="168" t="s">
        <v>609</v>
      </c>
      <c r="I1833">
        <v>134569.8749330155</v>
      </c>
    </row>
    <row r="1834" spans="1:9" x14ac:dyDescent="0.3">
      <c r="A1834">
        <v>61</v>
      </c>
      <c r="B1834" s="168" t="s">
        <v>90</v>
      </c>
      <c r="C1834" s="168" t="s">
        <v>91</v>
      </c>
      <c r="D1834">
        <v>17563.900000000001</v>
      </c>
      <c r="E1834">
        <v>2021</v>
      </c>
      <c r="F1834" s="168" t="s">
        <v>592</v>
      </c>
      <c r="G1834" s="168" t="s">
        <v>622</v>
      </c>
      <c r="H1834" s="168" t="s">
        <v>608</v>
      </c>
      <c r="I1834">
        <v>114480.34839278714</v>
      </c>
    </row>
    <row r="1835" spans="1:9" x14ac:dyDescent="0.3">
      <c r="A1835">
        <v>61</v>
      </c>
      <c r="B1835" s="168" t="s">
        <v>90</v>
      </c>
      <c r="C1835" s="168" t="s">
        <v>91</v>
      </c>
      <c r="D1835">
        <v>17563.900000000001</v>
      </c>
      <c r="E1835">
        <v>2021</v>
      </c>
      <c r="F1835" s="168" t="s">
        <v>592</v>
      </c>
      <c r="G1835" s="168" t="s">
        <v>622</v>
      </c>
      <c r="H1835" s="168" t="s">
        <v>609</v>
      </c>
      <c r="I1835">
        <v>0</v>
      </c>
    </row>
    <row r="1836" spans="1:9" x14ac:dyDescent="0.3">
      <c r="A1836">
        <v>62</v>
      </c>
      <c r="B1836" s="168" t="s">
        <v>92</v>
      </c>
      <c r="C1836" s="168" t="s">
        <v>93</v>
      </c>
      <c r="D1836">
        <v>21448.3</v>
      </c>
      <c r="E1836">
        <v>2021</v>
      </c>
      <c r="F1836" s="168" t="s">
        <v>592</v>
      </c>
      <c r="G1836" s="168" t="s">
        <v>612</v>
      </c>
      <c r="H1836" s="168" t="s">
        <v>608</v>
      </c>
      <c r="I1836">
        <v>0</v>
      </c>
    </row>
    <row r="1837" spans="1:9" x14ac:dyDescent="0.3">
      <c r="A1837">
        <v>62</v>
      </c>
      <c r="B1837" s="168" t="s">
        <v>92</v>
      </c>
      <c r="C1837" s="168" t="s">
        <v>93</v>
      </c>
      <c r="D1837">
        <v>21448.3</v>
      </c>
      <c r="E1837">
        <v>2021</v>
      </c>
      <c r="F1837" s="168" t="s">
        <v>592</v>
      </c>
      <c r="G1837" s="168" t="s">
        <v>612</v>
      </c>
      <c r="H1837" s="168" t="s">
        <v>609</v>
      </c>
      <c r="I1837">
        <v>26876.114227758979</v>
      </c>
    </row>
    <row r="1838" spans="1:9" x14ac:dyDescent="0.3">
      <c r="A1838">
        <v>62</v>
      </c>
      <c r="B1838" s="168" t="s">
        <v>92</v>
      </c>
      <c r="C1838" s="168" t="s">
        <v>93</v>
      </c>
      <c r="D1838">
        <v>21448.3</v>
      </c>
      <c r="E1838">
        <v>2021</v>
      </c>
      <c r="F1838" s="168" t="s">
        <v>592</v>
      </c>
      <c r="G1838" s="168" t="s">
        <v>629</v>
      </c>
      <c r="H1838" s="168" t="s">
        <v>608</v>
      </c>
      <c r="I1838">
        <v>2959761.6282088547</v>
      </c>
    </row>
    <row r="1839" spans="1:9" x14ac:dyDescent="0.3">
      <c r="A1839">
        <v>62</v>
      </c>
      <c r="B1839" s="168" t="s">
        <v>92</v>
      </c>
      <c r="C1839" s="168" t="s">
        <v>93</v>
      </c>
      <c r="D1839">
        <v>21448.3</v>
      </c>
      <c r="E1839">
        <v>2021</v>
      </c>
      <c r="F1839" s="168" t="s">
        <v>592</v>
      </c>
      <c r="G1839" s="168" t="s">
        <v>629</v>
      </c>
      <c r="H1839" s="168" t="s">
        <v>609</v>
      </c>
      <c r="I1839">
        <v>526705.84861780563</v>
      </c>
    </row>
    <row r="1840" spans="1:9" x14ac:dyDescent="0.3">
      <c r="A1840">
        <v>62</v>
      </c>
      <c r="B1840" s="168" t="s">
        <v>92</v>
      </c>
      <c r="C1840" s="168" t="s">
        <v>93</v>
      </c>
      <c r="D1840">
        <v>21448.3</v>
      </c>
      <c r="E1840">
        <v>2021</v>
      </c>
      <c r="F1840" s="168" t="s">
        <v>592</v>
      </c>
      <c r="G1840" s="168" t="s">
        <v>617</v>
      </c>
      <c r="H1840" s="168" t="s">
        <v>608</v>
      </c>
      <c r="I1840">
        <v>14486.862701547345</v>
      </c>
    </row>
    <row r="1841" spans="1:9" x14ac:dyDescent="0.3">
      <c r="A1841">
        <v>62</v>
      </c>
      <c r="B1841" s="168" t="s">
        <v>92</v>
      </c>
      <c r="C1841" s="168" t="s">
        <v>93</v>
      </c>
      <c r="D1841">
        <v>21448.3</v>
      </c>
      <c r="E1841">
        <v>2021</v>
      </c>
      <c r="F1841" s="168" t="s">
        <v>592</v>
      </c>
      <c r="G1841" s="168" t="s">
        <v>617</v>
      </c>
      <c r="H1841" s="168" t="s">
        <v>609</v>
      </c>
      <c r="I1841">
        <v>10865.14702616051</v>
      </c>
    </row>
    <row r="1842" spans="1:9" x14ac:dyDescent="0.3">
      <c r="A1842">
        <v>62</v>
      </c>
      <c r="B1842" s="168" t="s">
        <v>92</v>
      </c>
      <c r="C1842" s="168" t="s">
        <v>93</v>
      </c>
      <c r="D1842">
        <v>21448.3</v>
      </c>
      <c r="E1842">
        <v>2021</v>
      </c>
      <c r="F1842" s="168" t="s">
        <v>592</v>
      </c>
      <c r="G1842" s="168" t="s">
        <v>618</v>
      </c>
      <c r="H1842" s="168" t="s">
        <v>608</v>
      </c>
      <c r="I1842">
        <v>0</v>
      </c>
    </row>
    <row r="1843" spans="1:9" x14ac:dyDescent="0.3">
      <c r="A1843">
        <v>62</v>
      </c>
      <c r="B1843" s="168" t="s">
        <v>92</v>
      </c>
      <c r="C1843" s="168" t="s">
        <v>93</v>
      </c>
      <c r="D1843">
        <v>21448.3</v>
      </c>
      <c r="E1843">
        <v>2021</v>
      </c>
      <c r="F1843" s="168" t="s">
        <v>592</v>
      </c>
      <c r="G1843" s="168" t="s">
        <v>618</v>
      </c>
      <c r="H1843" s="168" t="s">
        <v>609</v>
      </c>
      <c r="I1843">
        <v>10651.685393258427</v>
      </c>
    </row>
    <row r="1844" spans="1:9" x14ac:dyDescent="0.3">
      <c r="A1844">
        <v>62</v>
      </c>
      <c r="B1844" s="168" t="s">
        <v>92</v>
      </c>
      <c r="C1844" s="168" t="s">
        <v>93</v>
      </c>
      <c r="D1844">
        <v>21448.3</v>
      </c>
      <c r="E1844">
        <v>2021</v>
      </c>
      <c r="F1844" s="168" t="s">
        <v>592</v>
      </c>
      <c r="G1844" s="168" t="s">
        <v>610</v>
      </c>
      <c r="H1844" s="168" t="s">
        <v>608</v>
      </c>
      <c r="I1844">
        <v>0</v>
      </c>
    </row>
    <row r="1845" spans="1:9" x14ac:dyDescent="0.3">
      <c r="A1845">
        <v>62</v>
      </c>
      <c r="B1845" s="168" t="s">
        <v>92</v>
      </c>
      <c r="C1845" s="168" t="s">
        <v>93</v>
      </c>
      <c r="D1845">
        <v>21448.3</v>
      </c>
      <c r="E1845">
        <v>2021</v>
      </c>
      <c r="F1845" s="168" t="s">
        <v>592</v>
      </c>
      <c r="G1845" s="168" t="s">
        <v>610</v>
      </c>
      <c r="H1845" s="168" t="s">
        <v>609</v>
      </c>
      <c r="I1845">
        <v>26181.81818181818</v>
      </c>
    </row>
    <row r="1846" spans="1:9" x14ac:dyDescent="0.3">
      <c r="A1846">
        <v>62</v>
      </c>
      <c r="B1846" s="168" t="s">
        <v>92</v>
      </c>
      <c r="C1846" s="168" t="s">
        <v>93</v>
      </c>
      <c r="D1846">
        <v>21448.3</v>
      </c>
      <c r="E1846">
        <v>2021</v>
      </c>
      <c r="F1846" s="168" t="s">
        <v>592</v>
      </c>
      <c r="G1846" s="168" t="s">
        <v>620</v>
      </c>
      <c r="H1846" s="168" t="s">
        <v>608</v>
      </c>
      <c r="I1846">
        <v>76952.529032258055</v>
      </c>
    </row>
    <row r="1847" spans="1:9" x14ac:dyDescent="0.3">
      <c r="A1847">
        <v>62</v>
      </c>
      <c r="B1847" s="168" t="s">
        <v>92</v>
      </c>
      <c r="C1847" s="168" t="s">
        <v>93</v>
      </c>
      <c r="D1847">
        <v>21448.3</v>
      </c>
      <c r="E1847">
        <v>2021</v>
      </c>
      <c r="F1847" s="168" t="s">
        <v>592</v>
      </c>
      <c r="G1847" s="168" t="s">
        <v>620</v>
      </c>
      <c r="H1847" s="168" t="s">
        <v>609</v>
      </c>
      <c r="I1847">
        <v>0</v>
      </c>
    </row>
    <row r="1848" spans="1:9" x14ac:dyDescent="0.3">
      <c r="A1848">
        <v>62</v>
      </c>
      <c r="B1848" s="168" t="s">
        <v>92</v>
      </c>
      <c r="C1848" s="168" t="s">
        <v>93</v>
      </c>
      <c r="D1848">
        <v>21448.3</v>
      </c>
      <c r="E1848">
        <v>2021</v>
      </c>
      <c r="F1848" s="168" t="s">
        <v>592</v>
      </c>
      <c r="G1848" s="168" t="s">
        <v>623</v>
      </c>
      <c r="H1848" s="168" t="s">
        <v>608</v>
      </c>
      <c r="I1848">
        <v>48817.307692307702</v>
      </c>
    </row>
    <row r="1849" spans="1:9" x14ac:dyDescent="0.3">
      <c r="A1849">
        <v>62</v>
      </c>
      <c r="B1849" s="168" t="s">
        <v>92</v>
      </c>
      <c r="C1849" s="168" t="s">
        <v>93</v>
      </c>
      <c r="D1849">
        <v>21448.3</v>
      </c>
      <c r="E1849">
        <v>2021</v>
      </c>
      <c r="F1849" s="168" t="s">
        <v>592</v>
      </c>
      <c r="G1849" s="168" t="s">
        <v>623</v>
      </c>
      <c r="H1849" s="168" t="s">
        <v>609</v>
      </c>
      <c r="I1849">
        <v>35510.391250000001</v>
      </c>
    </row>
    <row r="1850" spans="1:9" x14ac:dyDescent="0.3">
      <c r="A1850">
        <v>62</v>
      </c>
      <c r="B1850" s="168" t="s">
        <v>92</v>
      </c>
      <c r="C1850" s="168" t="s">
        <v>93</v>
      </c>
      <c r="D1850">
        <v>21448.3</v>
      </c>
      <c r="E1850">
        <v>2021</v>
      </c>
      <c r="F1850" s="168" t="s">
        <v>592</v>
      </c>
      <c r="G1850" s="168" t="s">
        <v>625</v>
      </c>
      <c r="H1850" s="168" t="s">
        <v>608</v>
      </c>
      <c r="I1850">
        <v>0</v>
      </c>
    </row>
    <row r="1851" spans="1:9" x14ac:dyDescent="0.3">
      <c r="A1851">
        <v>62</v>
      </c>
      <c r="B1851" s="168" t="s">
        <v>92</v>
      </c>
      <c r="C1851" s="168" t="s">
        <v>93</v>
      </c>
      <c r="D1851">
        <v>21448.3</v>
      </c>
      <c r="E1851">
        <v>2021</v>
      </c>
      <c r="F1851" s="168" t="s">
        <v>592</v>
      </c>
      <c r="G1851" s="168" t="s">
        <v>625</v>
      </c>
      <c r="H1851" s="168" t="s">
        <v>609</v>
      </c>
      <c r="I1851">
        <v>101498</v>
      </c>
    </row>
    <row r="1852" spans="1:9" x14ac:dyDescent="0.3">
      <c r="A1852">
        <v>62</v>
      </c>
      <c r="B1852" s="168" t="s">
        <v>92</v>
      </c>
      <c r="C1852" s="168" t="s">
        <v>93</v>
      </c>
      <c r="D1852">
        <v>21448.3</v>
      </c>
      <c r="E1852">
        <v>2021</v>
      </c>
      <c r="F1852" s="168" t="s">
        <v>592</v>
      </c>
      <c r="G1852" s="168" t="s">
        <v>615</v>
      </c>
      <c r="H1852" s="168" t="s">
        <v>608</v>
      </c>
      <c r="I1852">
        <v>0</v>
      </c>
    </row>
    <row r="1853" spans="1:9" x14ac:dyDescent="0.3">
      <c r="A1853">
        <v>62</v>
      </c>
      <c r="B1853" s="168" t="s">
        <v>92</v>
      </c>
      <c r="C1853" s="168" t="s">
        <v>93</v>
      </c>
      <c r="D1853">
        <v>21448.3</v>
      </c>
      <c r="E1853">
        <v>2021</v>
      </c>
      <c r="F1853" s="168" t="s">
        <v>592</v>
      </c>
      <c r="G1853" s="168" t="s">
        <v>615</v>
      </c>
      <c r="H1853" s="168" t="s">
        <v>609</v>
      </c>
      <c r="I1853">
        <v>7536.5853658536589</v>
      </c>
    </row>
    <row r="1854" spans="1:9" x14ac:dyDescent="0.3">
      <c r="A1854">
        <v>62</v>
      </c>
      <c r="B1854" s="168" t="s">
        <v>92</v>
      </c>
      <c r="C1854" s="168" t="s">
        <v>93</v>
      </c>
      <c r="D1854">
        <v>21448.3</v>
      </c>
      <c r="E1854">
        <v>2021</v>
      </c>
      <c r="F1854" s="168" t="s">
        <v>592</v>
      </c>
      <c r="G1854" s="168" t="s">
        <v>630</v>
      </c>
      <c r="H1854" s="168" t="s">
        <v>608</v>
      </c>
      <c r="I1854">
        <v>401245.15591742838</v>
      </c>
    </row>
    <row r="1855" spans="1:9" x14ac:dyDescent="0.3">
      <c r="A1855">
        <v>62</v>
      </c>
      <c r="B1855" s="168" t="s">
        <v>92</v>
      </c>
      <c r="C1855" s="168" t="s">
        <v>93</v>
      </c>
      <c r="D1855">
        <v>21448.3</v>
      </c>
      <c r="E1855">
        <v>2021</v>
      </c>
      <c r="F1855" s="168" t="s">
        <v>592</v>
      </c>
      <c r="G1855" s="168" t="s">
        <v>630</v>
      </c>
      <c r="H1855" s="168" t="s">
        <v>609</v>
      </c>
      <c r="I1855">
        <v>422103.27882265742</v>
      </c>
    </row>
    <row r="1856" spans="1:9" x14ac:dyDescent="0.3">
      <c r="A1856">
        <v>62</v>
      </c>
      <c r="B1856" s="168" t="s">
        <v>92</v>
      </c>
      <c r="C1856" s="168" t="s">
        <v>93</v>
      </c>
      <c r="D1856">
        <v>21448.3</v>
      </c>
      <c r="E1856">
        <v>2021</v>
      </c>
      <c r="F1856" s="168" t="s">
        <v>592</v>
      </c>
      <c r="G1856" s="168" t="s">
        <v>613</v>
      </c>
      <c r="H1856" s="168" t="s">
        <v>608</v>
      </c>
      <c r="I1856">
        <v>1519918.820942651</v>
      </c>
    </row>
    <row r="1857" spans="1:9" x14ac:dyDescent="0.3">
      <c r="A1857">
        <v>62</v>
      </c>
      <c r="B1857" s="168" t="s">
        <v>92</v>
      </c>
      <c r="C1857" s="168" t="s">
        <v>93</v>
      </c>
      <c r="D1857">
        <v>21448.3</v>
      </c>
      <c r="E1857">
        <v>2021</v>
      </c>
      <c r="F1857" s="168" t="s">
        <v>592</v>
      </c>
      <c r="G1857" s="168" t="s">
        <v>613</v>
      </c>
      <c r="H1857" s="168" t="s">
        <v>609</v>
      </c>
      <c r="I1857">
        <v>619743.03149632702</v>
      </c>
    </row>
    <row r="1858" spans="1:9" x14ac:dyDescent="0.3">
      <c r="A1858">
        <v>62</v>
      </c>
      <c r="B1858" s="168" t="s">
        <v>92</v>
      </c>
      <c r="C1858" s="168" t="s">
        <v>93</v>
      </c>
      <c r="D1858">
        <v>21448.3</v>
      </c>
      <c r="E1858">
        <v>2021</v>
      </c>
      <c r="F1858" s="168" t="s">
        <v>592</v>
      </c>
      <c r="G1858" s="168" t="s">
        <v>622</v>
      </c>
      <c r="H1858" s="168" t="s">
        <v>608</v>
      </c>
      <c r="I1858">
        <v>21624.065807526462</v>
      </c>
    </row>
    <row r="1859" spans="1:9" x14ac:dyDescent="0.3">
      <c r="A1859">
        <v>62</v>
      </c>
      <c r="B1859" s="168" t="s">
        <v>92</v>
      </c>
      <c r="C1859" s="168" t="s">
        <v>93</v>
      </c>
      <c r="D1859">
        <v>21448.3</v>
      </c>
      <c r="E1859">
        <v>2021</v>
      </c>
      <c r="F1859" s="168" t="s">
        <v>592</v>
      </c>
      <c r="G1859" s="168" t="s">
        <v>622</v>
      </c>
      <c r="H1859" s="168" t="s">
        <v>609</v>
      </c>
      <c r="I1859">
        <v>0</v>
      </c>
    </row>
    <row r="1860" spans="1:9" hidden="1" x14ac:dyDescent="0.3">
      <c r="A1860">
        <v>63</v>
      </c>
      <c r="B1860" s="168" t="s">
        <v>94</v>
      </c>
      <c r="C1860" s="168" t="s">
        <v>95</v>
      </c>
      <c r="D1860">
        <v>348.4</v>
      </c>
      <c r="E1860">
        <v>2021</v>
      </c>
      <c r="F1860" s="168" t="s">
        <v>593</v>
      </c>
      <c r="G1860" s="168" t="s">
        <v>612</v>
      </c>
      <c r="H1860" s="168" t="s">
        <v>608</v>
      </c>
      <c r="I1860">
        <v>0</v>
      </c>
    </row>
    <row r="1861" spans="1:9" hidden="1" x14ac:dyDescent="0.3">
      <c r="A1861">
        <v>63</v>
      </c>
      <c r="B1861" s="168" t="s">
        <v>94</v>
      </c>
      <c r="C1861" s="168" t="s">
        <v>95</v>
      </c>
      <c r="D1861">
        <v>348.4</v>
      </c>
      <c r="E1861">
        <v>2021</v>
      </c>
      <c r="F1861" s="168" t="s">
        <v>593</v>
      </c>
      <c r="G1861" s="168" t="s">
        <v>612</v>
      </c>
      <c r="H1861" s="168" t="s">
        <v>609</v>
      </c>
      <c r="I1861">
        <v>436.56784905802459</v>
      </c>
    </row>
    <row r="1862" spans="1:9" hidden="1" x14ac:dyDescent="0.3">
      <c r="A1862">
        <v>63</v>
      </c>
      <c r="B1862" s="168" t="s">
        <v>94</v>
      </c>
      <c r="C1862" s="168" t="s">
        <v>95</v>
      </c>
      <c r="D1862">
        <v>348.4</v>
      </c>
      <c r="E1862">
        <v>2021</v>
      </c>
      <c r="F1862" s="168" t="s">
        <v>593</v>
      </c>
      <c r="G1862" s="168" t="s">
        <v>617</v>
      </c>
      <c r="H1862" s="168" t="s">
        <v>608</v>
      </c>
      <c r="I1862">
        <v>235.32042004350438</v>
      </c>
    </row>
    <row r="1863" spans="1:9" hidden="1" x14ac:dyDescent="0.3">
      <c r="A1863">
        <v>63</v>
      </c>
      <c r="B1863" s="168" t="s">
        <v>94</v>
      </c>
      <c r="C1863" s="168" t="s">
        <v>95</v>
      </c>
      <c r="D1863">
        <v>348.4</v>
      </c>
      <c r="E1863">
        <v>2021</v>
      </c>
      <c r="F1863" s="168" t="s">
        <v>593</v>
      </c>
      <c r="G1863" s="168" t="s">
        <v>617</v>
      </c>
      <c r="H1863" s="168" t="s">
        <v>609</v>
      </c>
      <c r="I1863">
        <v>176.49031503262827</v>
      </c>
    </row>
    <row r="1864" spans="1:9" hidden="1" x14ac:dyDescent="0.3">
      <c r="A1864">
        <v>63</v>
      </c>
      <c r="B1864" s="168" t="s">
        <v>94</v>
      </c>
      <c r="C1864" s="168" t="s">
        <v>95</v>
      </c>
      <c r="D1864">
        <v>348.4</v>
      </c>
      <c r="E1864">
        <v>2021</v>
      </c>
      <c r="F1864" s="168" t="s">
        <v>593</v>
      </c>
      <c r="G1864" s="168" t="s">
        <v>620</v>
      </c>
      <c r="H1864" s="168" t="s">
        <v>608</v>
      </c>
      <c r="I1864">
        <v>56867.04285780908</v>
      </c>
    </row>
    <row r="1865" spans="1:9" hidden="1" x14ac:dyDescent="0.3">
      <c r="A1865">
        <v>63</v>
      </c>
      <c r="B1865" s="168" t="s">
        <v>94</v>
      </c>
      <c r="C1865" s="168" t="s">
        <v>95</v>
      </c>
      <c r="D1865">
        <v>348.4</v>
      </c>
      <c r="E1865">
        <v>2021</v>
      </c>
      <c r="F1865" s="168" t="s">
        <v>593</v>
      </c>
      <c r="G1865" s="168" t="s">
        <v>620</v>
      </c>
      <c r="H1865" s="168" t="s">
        <v>609</v>
      </c>
      <c r="I1865">
        <v>104303.36093830156</v>
      </c>
    </row>
    <row r="1866" spans="1:9" hidden="1" x14ac:dyDescent="0.3">
      <c r="A1866">
        <v>63</v>
      </c>
      <c r="B1866" s="168" t="s">
        <v>94</v>
      </c>
      <c r="C1866" s="168" t="s">
        <v>95</v>
      </c>
      <c r="D1866">
        <v>348.4</v>
      </c>
      <c r="E1866">
        <v>2021</v>
      </c>
      <c r="F1866" s="168" t="s">
        <v>593</v>
      </c>
      <c r="G1866" s="168" t="s">
        <v>630</v>
      </c>
      <c r="H1866" s="168" t="s">
        <v>608</v>
      </c>
      <c r="I1866">
        <v>5208.9828632035233</v>
      </c>
    </row>
    <row r="1867" spans="1:9" hidden="1" x14ac:dyDescent="0.3">
      <c r="A1867">
        <v>63</v>
      </c>
      <c r="B1867" s="168" t="s">
        <v>94</v>
      </c>
      <c r="C1867" s="168" t="s">
        <v>95</v>
      </c>
      <c r="D1867">
        <v>348.4</v>
      </c>
      <c r="E1867">
        <v>2021</v>
      </c>
      <c r="F1867" s="168" t="s">
        <v>593</v>
      </c>
      <c r="G1867" s="168" t="s">
        <v>630</v>
      </c>
      <c r="H1867" s="168" t="s">
        <v>609</v>
      </c>
      <c r="I1867">
        <v>5547.7961966696748</v>
      </c>
    </row>
    <row r="1868" spans="1:9" hidden="1" x14ac:dyDescent="0.3">
      <c r="A1868">
        <v>63</v>
      </c>
      <c r="B1868" s="168" t="s">
        <v>94</v>
      </c>
      <c r="C1868" s="168" t="s">
        <v>95</v>
      </c>
      <c r="D1868">
        <v>348.4</v>
      </c>
      <c r="E1868">
        <v>2021</v>
      </c>
      <c r="F1868" s="168" t="s">
        <v>593</v>
      </c>
      <c r="G1868" s="168" t="s">
        <v>613</v>
      </c>
      <c r="H1868" s="168" t="s">
        <v>608</v>
      </c>
      <c r="I1868">
        <v>24689.1230175081</v>
      </c>
    </row>
    <row r="1869" spans="1:9" hidden="1" x14ac:dyDescent="0.3">
      <c r="A1869">
        <v>63</v>
      </c>
      <c r="B1869" s="168" t="s">
        <v>94</v>
      </c>
      <c r="C1869" s="168" t="s">
        <v>95</v>
      </c>
      <c r="D1869">
        <v>348.4</v>
      </c>
      <c r="E1869">
        <v>2021</v>
      </c>
      <c r="F1869" s="168" t="s">
        <v>593</v>
      </c>
      <c r="G1869" s="168" t="s">
        <v>613</v>
      </c>
      <c r="H1869" s="168" t="s">
        <v>609</v>
      </c>
      <c r="I1869">
        <v>10066.927083886379</v>
      </c>
    </row>
    <row r="1870" spans="1:9" x14ac:dyDescent="0.3">
      <c r="A1870">
        <v>64</v>
      </c>
      <c r="B1870" s="168" t="s">
        <v>81</v>
      </c>
      <c r="C1870" s="168" t="s">
        <v>96</v>
      </c>
      <c r="D1870">
        <v>60.7</v>
      </c>
      <c r="E1870">
        <v>2021</v>
      </c>
      <c r="F1870" s="168" t="s">
        <v>592</v>
      </c>
      <c r="G1870" s="168" t="s">
        <v>612</v>
      </c>
      <c r="H1870" s="168" t="s">
        <v>608</v>
      </c>
      <c r="I1870">
        <v>0</v>
      </c>
    </row>
    <row r="1871" spans="1:9" x14ac:dyDescent="0.3">
      <c r="A1871">
        <v>64</v>
      </c>
      <c r="B1871" s="168" t="s">
        <v>81</v>
      </c>
      <c r="C1871" s="168" t="s">
        <v>96</v>
      </c>
      <c r="D1871">
        <v>60.7</v>
      </c>
      <c r="E1871">
        <v>2021</v>
      </c>
      <c r="F1871" s="168" t="s">
        <v>592</v>
      </c>
      <c r="G1871" s="168" t="s">
        <v>612</v>
      </c>
      <c r="H1871" s="168" t="s">
        <v>609</v>
      </c>
      <c r="I1871">
        <v>76.061046032784432</v>
      </c>
    </row>
    <row r="1872" spans="1:9" x14ac:dyDescent="0.3">
      <c r="A1872">
        <v>64</v>
      </c>
      <c r="B1872" s="168" t="s">
        <v>81</v>
      </c>
      <c r="C1872" s="168" t="s">
        <v>96</v>
      </c>
      <c r="D1872">
        <v>60.7</v>
      </c>
      <c r="E1872">
        <v>2021</v>
      </c>
      <c r="F1872" s="168" t="s">
        <v>592</v>
      </c>
      <c r="G1872" s="168" t="s">
        <v>617</v>
      </c>
      <c r="H1872" s="168" t="s">
        <v>608</v>
      </c>
      <c r="I1872">
        <v>40.998706936397006</v>
      </c>
    </row>
    <row r="1873" spans="1:9" x14ac:dyDescent="0.3">
      <c r="A1873">
        <v>64</v>
      </c>
      <c r="B1873" s="168" t="s">
        <v>81</v>
      </c>
      <c r="C1873" s="168" t="s">
        <v>96</v>
      </c>
      <c r="D1873">
        <v>60.7</v>
      </c>
      <c r="E1873">
        <v>2021</v>
      </c>
      <c r="F1873" s="168" t="s">
        <v>592</v>
      </c>
      <c r="G1873" s="168" t="s">
        <v>617</v>
      </c>
      <c r="H1873" s="168" t="s">
        <v>609</v>
      </c>
      <c r="I1873">
        <v>30.749030202297757</v>
      </c>
    </row>
    <row r="1874" spans="1:9" x14ac:dyDescent="0.3">
      <c r="A1874">
        <v>64</v>
      </c>
      <c r="B1874" s="168" t="s">
        <v>81</v>
      </c>
      <c r="C1874" s="168" t="s">
        <v>96</v>
      </c>
      <c r="D1874">
        <v>60.7</v>
      </c>
      <c r="E1874">
        <v>2021</v>
      </c>
      <c r="F1874" s="168" t="s">
        <v>592</v>
      </c>
      <c r="G1874" s="168" t="s">
        <v>620</v>
      </c>
      <c r="H1874" s="168" t="s">
        <v>608</v>
      </c>
      <c r="I1874">
        <v>9907.6621741360832</v>
      </c>
    </row>
    <row r="1875" spans="1:9" x14ac:dyDescent="0.3">
      <c r="A1875">
        <v>64</v>
      </c>
      <c r="B1875" s="168" t="s">
        <v>81</v>
      </c>
      <c r="C1875" s="168" t="s">
        <v>96</v>
      </c>
      <c r="D1875">
        <v>60.7</v>
      </c>
      <c r="E1875">
        <v>2021</v>
      </c>
      <c r="F1875" s="168" t="s">
        <v>592</v>
      </c>
      <c r="G1875" s="168" t="s">
        <v>620</v>
      </c>
      <c r="H1875" s="168" t="s">
        <v>609</v>
      </c>
      <c r="I1875">
        <v>18172.256053257479</v>
      </c>
    </row>
    <row r="1876" spans="1:9" x14ac:dyDescent="0.3">
      <c r="A1876">
        <v>64</v>
      </c>
      <c r="B1876" s="168" t="s">
        <v>81</v>
      </c>
      <c r="C1876" s="168" t="s">
        <v>96</v>
      </c>
      <c r="D1876">
        <v>60.7</v>
      </c>
      <c r="E1876">
        <v>2021</v>
      </c>
      <c r="F1876" s="168" t="s">
        <v>592</v>
      </c>
      <c r="G1876" s="168" t="s">
        <v>615</v>
      </c>
      <c r="H1876" s="168" t="s">
        <v>608</v>
      </c>
      <c r="I1876">
        <v>0</v>
      </c>
    </row>
    <row r="1877" spans="1:9" x14ac:dyDescent="0.3">
      <c r="A1877">
        <v>64</v>
      </c>
      <c r="B1877" s="168" t="s">
        <v>81</v>
      </c>
      <c r="C1877" s="168" t="s">
        <v>96</v>
      </c>
      <c r="D1877">
        <v>60.7</v>
      </c>
      <c r="E1877">
        <v>2021</v>
      </c>
      <c r="F1877" s="168" t="s">
        <v>592</v>
      </c>
      <c r="G1877" s="168" t="s">
        <v>615</v>
      </c>
      <c r="H1877" s="168" t="s">
        <v>609</v>
      </c>
      <c r="I1877">
        <v>150731.70731707316</v>
      </c>
    </row>
    <row r="1878" spans="1:9" x14ac:dyDescent="0.3">
      <c r="A1878">
        <v>64</v>
      </c>
      <c r="B1878" s="168" t="s">
        <v>81</v>
      </c>
      <c r="C1878" s="168" t="s">
        <v>96</v>
      </c>
      <c r="D1878">
        <v>60.7</v>
      </c>
      <c r="E1878">
        <v>2021</v>
      </c>
      <c r="F1878" s="168" t="s">
        <v>592</v>
      </c>
      <c r="G1878" s="168" t="s">
        <v>613</v>
      </c>
      <c r="H1878" s="168" t="s">
        <v>608</v>
      </c>
      <c r="I1878">
        <v>2010.1537740655308</v>
      </c>
    </row>
    <row r="1879" spans="1:9" x14ac:dyDescent="0.3">
      <c r="A1879">
        <v>64</v>
      </c>
      <c r="B1879" s="168" t="s">
        <v>81</v>
      </c>
      <c r="C1879" s="168" t="s">
        <v>96</v>
      </c>
      <c r="D1879">
        <v>60.7</v>
      </c>
      <c r="E1879">
        <v>2021</v>
      </c>
      <c r="F1879" s="168" t="s">
        <v>592</v>
      </c>
      <c r="G1879" s="168" t="s">
        <v>613</v>
      </c>
      <c r="H1879" s="168" t="s">
        <v>609</v>
      </c>
      <c r="I1879">
        <v>1288.8435959641595</v>
      </c>
    </row>
    <row r="1880" spans="1:9" x14ac:dyDescent="0.3">
      <c r="A1880">
        <v>65</v>
      </c>
      <c r="B1880" s="168" t="s">
        <v>73</v>
      </c>
      <c r="C1880" s="168" t="s">
        <v>97</v>
      </c>
      <c r="D1880">
        <v>358.3</v>
      </c>
      <c r="E1880">
        <v>2021</v>
      </c>
      <c r="F1880" s="168" t="s">
        <v>592</v>
      </c>
      <c r="G1880" s="168" t="s">
        <v>612</v>
      </c>
      <c r="H1880" s="168" t="s">
        <v>608</v>
      </c>
      <c r="I1880">
        <v>0</v>
      </c>
    </row>
    <row r="1881" spans="1:9" x14ac:dyDescent="0.3">
      <c r="A1881">
        <v>65</v>
      </c>
      <c r="B1881" s="168" t="s">
        <v>73</v>
      </c>
      <c r="C1881" s="168" t="s">
        <v>97</v>
      </c>
      <c r="D1881">
        <v>358.3</v>
      </c>
      <c r="E1881">
        <v>2021</v>
      </c>
      <c r="F1881" s="168" t="s">
        <v>592</v>
      </c>
      <c r="G1881" s="168" t="s">
        <v>612</v>
      </c>
      <c r="H1881" s="168" t="s">
        <v>609</v>
      </c>
      <c r="I1881">
        <v>448.97319264492029</v>
      </c>
    </row>
    <row r="1882" spans="1:9" x14ac:dyDescent="0.3">
      <c r="A1882">
        <v>65</v>
      </c>
      <c r="B1882" s="168" t="s">
        <v>73</v>
      </c>
      <c r="C1882" s="168" t="s">
        <v>97</v>
      </c>
      <c r="D1882">
        <v>358.3</v>
      </c>
      <c r="E1882">
        <v>2021</v>
      </c>
      <c r="F1882" s="168" t="s">
        <v>592</v>
      </c>
      <c r="G1882" s="168" t="s">
        <v>617</v>
      </c>
      <c r="H1882" s="168" t="s">
        <v>608</v>
      </c>
      <c r="I1882">
        <v>242.00719432143407</v>
      </c>
    </row>
    <row r="1883" spans="1:9" x14ac:dyDescent="0.3">
      <c r="A1883">
        <v>65</v>
      </c>
      <c r="B1883" s="168" t="s">
        <v>73</v>
      </c>
      <c r="C1883" s="168" t="s">
        <v>97</v>
      </c>
      <c r="D1883">
        <v>358.3</v>
      </c>
      <c r="E1883">
        <v>2021</v>
      </c>
      <c r="F1883" s="168" t="s">
        <v>592</v>
      </c>
      <c r="G1883" s="168" t="s">
        <v>617</v>
      </c>
      <c r="H1883" s="168" t="s">
        <v>609</v>
      </c>
      <c r="I1883">
        <v>181.50539574107555</v>
      </c>
    </row>
    <row r="1884" spans="1:9" x14ac:dyDescent="0.3">
      <c r="A1884">
        <v>65</v>
      </c>
      <c r="B1884" s="168" t="s">
        <v>73</v>
      </c>
      <c r="C1884" s="168" t="s">
        <v>97</v>
      </c>
      <c r="D1884">
        <v>358.3</v>
      </c>
      <c r="E1884">
        <v>2021</v>
      </c>
      <c r="F1884" s="168" t="s">
        <v>592</v>
      </c>
      <c r="G1884" s="168" t="s">
        <v>610</v>
      </c>
      <c r="H1884" s="168" t="s">
        <v>608</v>
      </c>
      <c r="I1884">
        <v>0</v>
      </c>
    </row>
    <row r="1885" spans="1:9" x14ac:dyDescent="0.3">
      <c r="A1885">
        <v>65</v>
      </c>
      <c r="B1885" s="168" t="s">
        <v>73</v>
      </c>
      <c r="C1885" s="168" t="s">
        <v>97</v>
      </c>
      <c r="D1885">
        <v>358.3</v>
      </c>
      <c r="E1885">
        <v>2021</v>
      </c>
      <c r="F1885" s="168" t="s">
        <v>592</v>
      </c>
      <c r="G1885" s="168" t="s">
        <v>610</v>
      </c>
      <c r="H1885" s="168" t="s">
        <v>609</v>
      </c>
      <c r="I1885">
        <v>6545.454545454545</v>
      </c>
    </row>
    <row r="1886" spans="1:9" x14ac:dyDescent="0.3">
      <c r="A1886">
        <v>65</v>
      </c>
      <c r="B1886" s="168" t="s">
        <v>73</v>
      </c>
      <c r="C1886" s="168" t="s">
        <v>97</v>
      </c>
      <c r="D1886">
        <v>358.3</v>
      </c>
      <c r="E1886">
        <v>2021</v>
      </c>
      <c r="F1886" s="168" t="s">
        <v>592</v>
      </c>
      <c r="G1886" s="168" t="s">
        <v>620</v>
      </c>
      <c r="H1886" s="168" t="s">
        <v>608</v>
      </c>
      <c r="I1886">
        <v>58482.954810427655</v>
      </c>
    </row>
    <row r="1887" spans="1:9" x14ac:dyDescent="0.3">
      <c r="A1887">
        <v>65</v>
      </c>
      <c r="B1887" s="168" t="s">
        <v>73</v>
      </c>
      <c r="C1887" s="168" t="s">
        <v>97</v>
      </c>
      <c r="D1887">
        <v>358.3</v>
      </c>
      <c r="E1887">
        <v>2021</v>
      </c>
      <c r="F1887" s="168" t="s">
        <v>592</v>
      </c>
      <c r="G1887" s="168" t="s">
        <v>620</v>
      </c>
      <c r="H1887" s="168" t="s">
        <v>609</v>
      </c>
      <c r="I1887">
        <v>107267.20500629579</v>
      </c>
    </row>
    <row r="1888" spans="1:9" x14ac:dyDescent="0.3">
      <c r="A1888">
        <v>65</v>
      </c>
      <c r="B1888" s="168" t="s">
        <v>73</v>
      </c>
      <c r="C1888" s="168" t="s">
        <v>97</v>
      </c>
      <c r="D1888">
        <v>358.3</v>
      </c>
      <c r="E1888">
        <v>2021</v>
      </c>
      <c r="F1888" s="168" t="s">
        <v>592</v>
      </c>
      <c r="G1888" s="168" t="s">
        <v>630</v>
      </c>
      <c r="H1888" s="168" t="s">
        <v>608</v>
      </c>
      <c r="I1888">
        <v>5356.9993108089056</v>
      </c>
    </row>
    <row r="1889" spans="1:9" x14ac:dyDescent="0.3">
      <c r="A1889">
        <v>65</v>
      </c>
      <c r="B1889" s="168" t="s">
        <v>73</v>
      </c>
      <c r="C1889" s="168" t="s">
        <v>97</v>
      </c>
      <c r="D1889">
        <v>358.3</v>
      </c>
      <c r="E1889">
        <v>2021</v>
      </c>
      <c r="F1889" s="168" t="s">
        <v>592</v>
      </c>
      <c r="G1889" s="168" t="s">
        <v>630</v>
      </c>
      <c r="H1889" s="168" t="s">
        <v>609</v>
      </c>
      <c r="I1889">
        <v>5705.4402332570171</v>
      </c>
    </row>
    <row r="1890" spans="1:9" x14ac:dyDescent="0.3">
      <c r="A1890">
        <v>65</v>
      </c>
      <c r="B1890" s="168" t="s">
        <v>73</v>
      </c>
      <c r="C1890" s="168" t="s">
        <v>97</v>
      </c>
      <c r="D1890">
        <v>358.3</v>
      </c>
      <c r="E1890">
        <v>2021</v>
      </c>
      <c r="F1890" s="168" t="s">
        <v>592</v>
      </c>
      <c r="G1890" s="168" t="s">
        <v>613</v>
      </c>
      <c r="H1890" s="168" t="s">
        <v>608</v>
      </c>
      <c r="I1890">
        <v>13525.142590809075</v>
      </c>
    </row>
    <row r="1891" spans="1:9" x14ac:dyDescent="0.3">
      <c r="A1891">
        <v>65</v>
      </c>
      <c r="B1891" s="168" t="s">
        <v>73</v>
      </c>
      <c r="C1891" s="168" t="s">
        <v>97</v>
      </c>
      <c r="D1891">
        <v>358.3</v>
      </c>
      <c r="E1891">
        <v>2021</v>
      </c>
      <c r="F1891" s="168" t="s">
        <v>592</v>
      </c>
      <c r="G1891" s="168" t="s">
        <v>613</v>
      </c>
      <c r="H1891" s="168" t="s">
        <v>609</v>
      </c>
      <c r="I1891">
        <v>2745.1981728715978</v>
      </c>
    </row>
    <row r="1892" spans="1:9" x14ac:dyDescent="0.3">
      <c r="A1892">
        <v>66</v>
      </c>
      <c r="B1892" s="168" t="s">
        <v>98</v>
      </c>
      <c r="C1892" s="168" t="s">
        <v>99</v>
      </c>
      <c r="D1892">
        <v>196.6</v>
      </c>
      <c r="E1892">
        <v>2021</v>
      </c>
      <c r="F1892" s="168" t="s">
        <v>592</v>
      </c>
      <c r="G1892" s="168" t="s">
        <v>612</v>
      </c>
      <c r="H1892" s="168" t="s">
        <v>608</v>
      </c>
      <c r="I1892">
        <v>0</v>
      </c>
    </row>
    <row r="1893" spans="1:9" x14ac:dyDescent="0.3">
      <c r="A1893">
        <v>66</v>
      </c>
      <c r="B1893" s="168" t="s">
        <v>98</v>
      </c>
      <c r="C1893" s="168" t="s">
        <v>99</v>
      </c>
      <c r="D1893">
        <v>196.6</v>
      </c>
      <c r="E1893">
        <v>2021</v>
      </c>
      <c r="F1893" s="168" t="s">
        <v>592</v>
      </c>
      <c r="G1893" s="168" t="s">
        <v>612</v>
      </c>
      <c r="H1893" s="168" t="s">
        <v>609</v>
      </c>
      <c r="I1893">
        <v>246.35258072562468</v>
      </c>
    </row>
    <row r="1894" spans="1:9" x14ac:dyDescent="0.3">
      <c r="A1894">
        <v>66</v>
      </c>
      <c r="B1894" s="168" t="s">
        <v>98</v>
      </c>
      <c r="C1894" s="168" t="s">
        <v>99</v>
      </c>
      <c r="D1894">
        <v>196.6</v>
      </c>
      <c r="E1894">
        <v>2021</v>
      </c>
      <c r="F1894" s="168" t="s">
        <v>592</v>
      </c>
      <c r="G1894" s="168" t="s">
        <v>617</v>
      </c>
      <c r="H1894" s="168" t="s">
        <v>608</v>
      </c>
      <c r="I1894">
        <v>132.78988111524961</v>
      </c>
    </row>
    <row r="1895" spans="1:9" x14ac:dyDescent="0.3">
      <c r="A1895">
        <v>66</v>
      </c>
      <c r="B1895" s="168" t="s">
        <v>98</v>
      </c>
      <c r="C1895" s="168" t="s">
        <v>99</v>
      </c>
      <c r="D1895">
        <v>196.6</v>
      </c>
      <c r="E1895">
        <v>2021</v>
      </c>
      <c r="F1895" s="168" t="s">
        <v>592</v>
      </c>
      <c r="G1895" s="168" t="s">
        <v>617</v>
      </c>
      <c r="H1895" s="168" t="s">
        <v>609</v>
      </c>
      <c r="I1895">
        <v>99.59241083643721</v>
      </c>
    </row>
    <row r="1896" spans="1:9" x14ac:dyDescent="0.3">
      <c r="A1896">
        <v>67</v>
      </c>
      <c r="B1896" s="168" t="s">
        <v>81</v>
      </c>
      <c r="C1896" s="168" t="s">
        <v>100</v>
      </c>
      <c r="D1896">
        <v>54.4</v>
      </c>
      <c r="E1896">
        <v>2021</v>
      </c>
      <c r="F1896" s="168" t="s">
        <v>592</v>
      </c>
      <c r="G1896" s="168" t="s">
        <v>612</v>
      </c>
      <c r="H1896" s="168" t="s">
        <v>608</v>
      </c>
      <c r="I1896">
        <v>0</v>
      </c>
    </row>
    <row r="1897" spans="1:9" x14ac:dyDescent="0.3">
      <c r="A1897">
        <v>67</v>
      </c>
      <c r="B1897" s="168" t="s">
        <v>81</v>
      </c>
      <c r="C1897" s="168" t="s">
        <v>100</v>
      </c>
      <c r="D1897">
        <v>54.4</v>
      </c>
      <c r="E1897">
        <v>2021</v>
      </c>
      <c r="F1897" s="168" t="s">
        <v>592</v>
      </c>
      <c r="G1897" s="168" t="s">
        <v>612</v>
      </c>
      <c r="H1897" s="168" t="s">
        <v>609</v>
      </c>
      <c r="I1897">
        <v>68.166736477487191</v>
      </c>
    </row>
    <row r="1898" spans="1:9" x14ac:dyDescent="0.3">
      <c r="A1898">
        <v>67</v>
      </c>
      <c r="B1898" s="168" t="s">
        <v>81</v>
      </c>
      <c r="C1898" s="168" t="s">
        <v>100</v>
      </c>
      <c r="D1898">
        <v>54.4</v>
      </c>
      <c r="E1898">
        <v>2021</v>
      </c>
      <c r="F1898" s="168" t="s">
        <v>592</v>
      </c>
      <c r="G1898" s="168" t="s">
        <v>617</v>
      </c>
      <c r="H1898" s="168" t="s">
        <v>608</v>
      </c>
      <c r="I1898">
        <v>36.743486941350859</v>
      </c>
    </row>
    <row r="1899" spans="1:9" x14ac:dyDescent="0.3">
      <c r="A1899">
        <v>67</v>
      </c>
      <c r="B1899" s="168" t="s">
        <v>81</v>
      </c>
      <c r="C1899" s="168" t="s">
        <v>100</v>
      </c>
      <c r="D1899">
        <v>54.4</v>
      </c>
      <c r="E1899">
        <v>2021</v>
      </c>
      <c r="F1899" s="168" t="s">
        <v>592</v>
      </c>
      <c r="G1899" s="168" t="s">
        <v>617</v>
      </c>
      <c r="H1899" s="168" t="s">
        <v>609</v>
      </c>
      <c r="I1899">
        <v>27.557615206013146</v>
      </c>
    </row>
    <row r="1900" spans="1:9" hidden="1" x14ac:dyDescent="0.3">
      <c r="A1900">
        <v>68</v>
      </c>
      <c r="B1900" s="168" t="s">
        <v>101</v>
      </c>
      <c r="C1900" s="168" t="s">
        <v>102</v>
      </c>
      <c r="D1900">
        <v>217</v>
      </c>
      <c r="E1900">
        <v>2021</v>
      </c>
      <c r="F1900" s="168" t="s">
        <v>593</v>
      </c>
      <c r="G1900" s="168" t="s">
        <v>612</v>
      </c>
      <c r="H1900" s="168" t="s">
        <v>608</v>
      </c>
      <c r="I1900">
        <v>0</v>
      </c>
    </row>
    <row r="1901" spans="1:9" hidden="1" x14ac:dyDescent="0.3">
      <c r="A1901">
        <v>68</v>
      </c>
      <c r="B1901" s="168" t="s">
        <v>101</v>
      </c>
      <c r="C1901" s="168" t="s">
        <v>102</v>
      </c>
      <c r="D1901">
        <v>217</v>
      </c>
      <c r="E1901">
        <v>2021</v>
      </c>
      <c r="F1901" s="168" t="s">
        <v>593</v>
      </c>
      <c r="G1901" s="168" t="s">
        <v>612</v>
      </c>
      <c r="H1901" s="168" t="s">
        <v>609</v>
      </c>
      <c r="I1901">
        <v>271.91510690468237</v>
      </c>
    </row>
    <row r="1902" spans="1:9" hidden="1" x14ac:dyDescent="0.3">
      <c r="A1902">
        <v>68</v>
      </c>
      <c r="B1902" s="168" t="s">
        <v>101</v>
      </c>
      <c r="C1902" s="168" t="s">
        <v>102</v>
      </c>
      <c r="D1902">
        <v>217</v>
      </c>
      <c r="E1902">
        <v>2021</v>
      </c>
      <c r="F1902" s="168" t="s">
        <v>593</v>
      </c>
      <c r="G1902" s="168" t="s">
        <v>617</v>
      </c>
      <c r="H1902" s="168" t="s">
        <v>608</v>
      </c>
      <c r="I1902">
        <v>146.56868871825617</v>
      </c>
    </row>
    <row r="1903" spans="1:9" hidden="1" x14ac:dyDescent="0.3">
      <c r="A1903">
        <v>68</v>
      </c>
      <c r="B1903" s="168" t="s">
        <v>101</v>
      </c>
      <c r="C1903" s="168" t="s">
        <v>102</v>
      </c>
      <c r="D1903">
        <v>217</v>
      </c>
      <c r="E1903">
        <v>2021</v>
      </c>
      <c r="F1903" s="168" t="s">
        <v>593</v>
      </c>
      <c r="G1903" s="168" t="s">
        <v>617</v>
      </c>
      <c r="H1903" s="168" t="s">
        <v>609</v>
      </c>
      <c r="I1903">
        <v>109.92651653869213</v>
      </c>
    </row>
    <row r="1904" spans="1:9" hidden="1" x14ac:dyDescent="0.3">
      <c r="A1904">
        <v>68</v>
      </c>
      <c r="B1904" s="168" t="s">
        <v>101</v>
      </c>
      <c r="C1904" s="168" t="s">
        <v>102</v>
      </c>
      <c r="D1904">
        <v>217</v>
      </c>
      <c r="E1904">
        <v>2021</v>
      </c>
      <c r="F1904" s="168" t="s">
        <v>593</v>
      </c>
      <c r="G1904" s="168" t="s">
        <v>630</v>
      </c>
      <c r="H1904" s="168" t="s">
        <v>608</v>
      </c>
      <c r="I1904">
        <v>815.13754158540451</v>
      </c>
    </row>
    <row r="1905" spans="1:9" hidden="1" x14ac:dyDescent="0.3">
      <c r="A1905">
        <v>68</v>
      </c>
      <c r="B1905" s="168" t="s">
        <v>101</v>
      </c>
      <c r="C1905" s="168" t="s">
        <v>102</v>
      </c>
      <c r="D1905">
        <v>217</v>
      </c>
      <c r="E1905">
        <v>2021</v>
      </c>
      <c r="F1905" s="168" t="s">
        <v>593</v>
      </c>
      <c r="G1905" s="168" t="s">
        <v>630</v>
      </c>
      <c r="H1905" s="168" t="s">
        <v>609</v>
      </c>
      <c r="I1905">
        <v>815.13754158540451</v>
      </c>
    </row>
    <row r="1906" spans="1:9" hidden="1" x14ac:dyDescent="0.3">
      <c r="A1906">
        <v>69</v>
      </c>
      <c r="B1906" s="168" t="s">
        <v>291</v>
      </c>
      <c r="C1906" s="168" t="s">
        <v>103</v>
      </c>
      <c r="D1906">
        <v>482.8</v>
      </c>
      <c r="E1906">
        <v>2021</v>
      </c>
      <c r="F1906" s="168" t="s">
        <v>593</v>
      </c>
      <c r="G1906" s="168" t="s">
        <v>607</v>
      </c>
      <c r="H1906" s="168" t="s">
        <v>609</v>
      </c>
      <c r="I1906">
        <v>2589041.4</v>
      </c>
    </row>
    <row r="1907" spans="1:9" hidden="1" x14ac:dyDescent="0.3">
      <c r="A1907">
        <v>69</v>
      </c>
      <c r="B1907" s="168" t="s">
        <v>291</v>
      </c>
      <c r="C1907" s="168" t="s">
        <v>103</v>
      </c>
      <c r="D1907">
        <v>482.8</v>
      </c>
      <c r="E1907">
        <v>2021</v>
      </c>
      <c r="F1907" s="168" t="s">
        <v>593</v>
      </c>
      <c r="G1907" s="168" t="s">
        <v>612</v>
      </c>
      <c r="H1907" s="168" t="s">
        <v>609</v>
      </c>
      <c r="I1907">
        <v>33853.54</v>
      </c>
    </row>
    <row r="1908" spans="1:9" hidden="1" x14ac:dyDescent="0.3">
      <c r="A1908">
        <v>69</v>
      </c>
      <c r="B1908" s="168" t="s">
        <v>291</v>
      </c>
      <c r="C1908" s="168" t="s">
        <v>103</v>
      </c>
      <c r="D1908">
        <v>482.8</v>
      </c>
      <c r="E1908">
        <v>2021</v>
      </c>
      <c r="F1908" s="168" t="s">
        <v>593</v>
      </c>
      <c r="G1908" s="168" t="s">
        <v>629</v>
      </c>
      <c r="H1908" s="168" t="s">
        <v>609</v>
      </c>
      <c r="I1908">
        <v>894112</v>
      </c>
    </row>
    <row r="1909" spans="1:9" hidden="1" x14ac:dyDescent="0.3">
      <c r="A1909">
        <v>69</v>
      </c>
      <c r="B1909" s="168" t="s">
        <v>291</v>
      </c>
      <c r="C1909" s="168" t="s">
        <v>103</v>
      </c>
      <c r="D1909">
        <v>482.8</v>
      </c>
      <c r="E1909">
        <v>2021</v>
      </c>
      <c r="F1909" s="168" t="s">
        <v>593</v>
      </c>
      <c r="G1909" s="168" t="s">
        <v>617</v>
      </c>
      <c r="H1909" s="168" t="s">
        <v>608</v>
      </c>
      <c r="I1909">
        <v>965.5</v>
      </c>
    </row>
    <row r="1910" spans="1:9" hidden="1" x14ac:dyDescent="0.3">
      <c r="A1910">
        <v>69</v>
      </c>
      <c r="B1910" s="168" t="s">
        <v>291</v>
      </c>
      <c r="C1910" s="168" t="s">
        <v>103</v>
      </c>
      <c r="D1910">
        <v>482.8</v>
      </c>
      <c r="E1910">
        <v>2021</v>
      </c>
      <c r="F1910" s="168" t="s">
        <v>593</v>
      </c>
      <c r="G1910" s="168" t="s">
        <v>617</v>
      </c>
      <c r="H1910" s="168" t="s">
        <v>609</v>
      </c>
      <c r="I1910">
        <v>965.5</v>
      </c>
    </row>
    <row r="1911" spans="1:9" hidden="1" x14ac:dyDescent="0.3">
      <c r="A1911">
        <v>69</v>
      </c>
      <c r="B1911" s="168" t="s">
        <v>291</v>
      </c>
      <c r="C1911" s="168" t="s">
        <v>103</v>
      </c>
      <c r="D1911">
        <v>482.8</v>
      </c>
      <c r="E1911">
        <v>2021</v>
      </c>
      <c r="F1911" s="168" t="s">
        <v>593</v>
      </c>
      <c r="G1911" s="168" t="s">
        <v>610</v>
      </c>
      <c r="H1911" s="168" t="s">
        <v>608</v>
      </c>
      <c r="I1911">
        <v>0</v>
      </c>
    </row>
    <row r="1912" spans="1:9" hidden="1" x14ac:dyDescent="0.3">
      <c r="A1912">
        <v>69</v>
      </c>
      <c r="B1912" s="168" t="s">
        <v>291</v>
      </c>
      <c r="C1912" s="168" t="s">
        <v>103</v>
      </c>
      <c r="D1912">
        <v>482.8</v>
      </c>
      <c r="E1912">
        <v>2021</v>
      </c>
      <c r="F1912" s="168" t="s">
        <v>593</v>
      </c>
      <c r="G1912" s="168" t="s">
        <v>610</v>
      </c>
      <c r="H1912" s="168" t="s">
        <v>609</v>
      </c>
      <c r="I1912">
        <v>3272.7272727272725</v>
      </c>
    </row>
    <row r="1913" spans="1:9" hidden="1" x14ac:dyDescent="0.3">
      <c r="A1913">
        <v>69</v>
      </c>
      <c r="B1913" s="168" t="s">
        <v>291</v>
      </c>
      <c r="C1913" s="168" t="s">
        <v>103</v>
      </c>
      <c r="D1913">
        <v>482.8</v>
      </c>
      <c r="E1913">
        <v>2021</v>
      </c>
      <c r="F1913" s="168" t="s">
        <v>593</v>
      </c>
      <c r="G1913" s="168" t="s">
        <v>630</v>
      </c>
      <c r="H1913" s="168" t="s">
        <v>608</v>
      </c>
      <c r="I1913">
        <v>7218.4182731190049</v>
      </c>
    </row>
    <row r="1914" spans="1:9" hidden="1" x14ac:dyDescent="0.3">
      <c r="A1914">
        <v>69</v>
      </c>
      <c r="B1914" s="168" t="s">
        <v>291</v>
      </c>
      <c r="C1914" s="168" t="s">
        <v>103</v>
      </c>
      <c r="D1914">
        <v>482.8</v>
      </c>
      <c r="E1914">
        <v>2021</v>
      </c>
      <c r="F1914" s="168" t="s">
        <v>593</v>
      </c>
      <c r="G1914" s="168" t="s">
        <v>630</v>
      </c>
      <c r="H1914" s="168" t="s">
        <v>609</v>
      </c>
      <c r="I1914">
        <v>7687.9334206432814</v>
      </c>
    </row>
    <row r="1915" spans="1:9" hidden="1" x14ac:dyDescent="0.3">
      <c r="A1915">
        <v>69</v>
      </c>
      <c r="B1915" s="168" t="s">
        <v>291</v>
      </c>
      <c r="C1915" s="168" t="s">
        <v>103</v>
      </c>
      <c r="D1915">
        <v>482.8</v>
      </c>
      <c r="E1915">
        <v>2021</v>
      </c>
      <c r="F1915" s="168" t="s">
        <v>593</v>
      </c>
      <c r="G1915" s="168" t="s">
        <v>621</v>
      </c>
      <c r="H1915" s="168" t="s">
        <v>609</v>
      </c>
      <c r="I1915">
        <v>0</v>
      </c>
    </row>
    <row r="1916" spans="1:9" hidden="1" x14ac:dyDescent="0.3">
      <c r="A1916">
        <v>69</v>
      </c>
      <c r="B1916" s="168" t="s">
        <v>291</v>
      </c>
      <c r="C1916" s="168" t="s">
        <v>103</v>
      </c>
      <c r="D1916">
        <v>482.8</v>
      </c>
      <c r="E1916">
        <v>2021</v>
      </c>
      <c r="F1916" s="168" t="s">
        <v>593</v>
      </c>
      <c r="G1916" s="168" t="s">
        <v>613</v>
      </c>
      <c r="H1916" s="168" t="s">
        <v>608</v>
      </c>
      <c r="I1916">
        <v>18224.780471232545</v>
      </c>
    </row>
    <row r="1917" spans="1:9" hidden="1" x14ac:dyDescent="0.3">
      <c r="A1917">
        <v>69</v>
      </c>
      <c r="B1917" s="168" t="s">
        <v>291</v>
      </c>
      <c r="C1917" s="168" t="s">
        <v>103</v>
      </c>
      <c r="D1917">
        <v>482.8</v>
      </c>
      <c r="E1917">
        <v>2021</v>
      </c>
      <c r="F1917" s="168" t="s">
        <v>593</v>
      </c>
      <c r="G1917" s="168" t="s">
        <v>613</v>
      </c>
      <c r="H1917" s="168" t="s">
        <v>609</v>
      </c>
      <c r="I1917">
        <v>3699.0836669338746</v>
      </c>
    </row>
    <row r="1918" spans="1:9" hidden="1" x14ac:dyDescent="0.3">
      <c r="A1918">
        <v>70</v>
      </c>
      <c r="B1918" s="168" t="s">
        <v>104</v>
      </c>
      <c r="C1918" s="168" t="s">
        <v>105</v>
      </c>
      <c r="D1918">
        <v>11351</v>
      </c>
      <c r="E1918">
        <v>2021</v>
      </c>
      <c r="F1918" s="168" t="s">
        <v>591</v>
      </c>
      <c r="G1918" s="168" t="s">
        <v>607</v>
      </c>
      <c r="H1918" s="168" t="s">
        <v>608</v>
      </c>
      <c r="I1918">
        <v>1812328.73</v>
      </c>
    </row>
    <row r="1919" spans="1:9" hidden="1" x14ac:dyDescent="0.3">
      <c r="A1919">
        <v>70</v>
      </c>
      <c r="B1919" s="168" t="s">
        <v>104</v>
      </c>
      <c r="C1919" s="168" t="s">
        <v>105</v>
      </c>
      <c r="D1919">
        <v>11351</v>
      </c>
      <c r="E1919">
        <v>2021</v>
      </c>
      <c r="F1919" s="168" t="s">
        <v>591</v>
      </c>
      <c r="G1919" s="168" t="s">
        <v>607</v>
      </c>
      <c r="H1919" s="168" t="s">
        <v>609</v>
      </c>
      <c r="I1919">
        <v>776712.31</v>
      </c>
    </row>
    <row r="1920" spans="1:9" hidden="1" x14ac:dyDescent="0.3">
      <c r="A1920">
        <v>70</v>
      </c>
      <c r="B1920" s="168" t="s">
        <v>104</v>
      </c>
      <c r="C1920" s="168" t="s">
        <v>105</v>
      </c>
      <c r="D1920">
        <v>11351</v>
      </c>
      <c r="E1920">
        <v>2021</v>
      </c>
      <c r="F1920" s="168" t="s">
        <v>591</v>
      </c>
      <c r="G1920" s="168" t="s">
        <v>612</v>
      </c>
      <c r="H1920" s="168" t="s">
        <v>608</v>
      </c>
      <c r="I1920">
        <v>642027.11</v>
      </c>
    </row>
    <row r="1921" spans="1:9" hidden="1" x14ac:dyDescent="0.3">
      <c r="A1921">
        <v>70</v>
      </c>
      <c r="B1921" s="168" t="s">
        <v>104</v>
      </c>
      <c r="C1921" s="168" t="s">
        <v>105</v>
      </c>
      <c r="D1921">
        <v>11351</v>
      </c>
      <c r="E1921">
        <v>2021</v>
      </c>
      <c r="F1921" s="168" t="s">
        <v>591</v>
      </c>
      <c r="G1921" s="168" t="s">
        <v>612</v>
      </c>
      <c r="H1921" s="168" t="s">
        <v>609</v>
      </c>
      <c r="I1921">
        <v>275154.46999999997</v>
      </c>
    </row>
    <row r="1922" spans="1:9" hidden="1" x14ac:dyDescent="0.3">
      <c r="A1922">
        <v>70</v>
      </c>
      <c r="B1922" s="168" t="s">
        <v>104</v>
      </c>
      <c r="C1922" s="168" t="s">
        <v>105</v>
      </c>
      <c r="D1922">
        <v>11351</v>
      </c>
      <c r="E1922">
        <v>2021</v>
      </c>
      <c r="F1922" s="168" t="s">
        <v>591</v>
      </c>
      <c r="G1922" s="168" t="s">
        <v>629</v>
      </c>
      <c r="H1922" s="168" t="s">
        <v>608</v>
      </c>
      <c r="I1922">
        <v>1032940.9999999999</v>
      </c>
    </row>
    <row r="1923" spans="1:9" hidden="1" x14ac:dyDescent="0.3">
      <c r="A1923">
        <v>70</v>
      </c>
      <c r="B1923" s="168" t="s">
        <v>104</v>
      </c>
      <c r="C1923" s="168" t="s">
        <v>105</v>
      </c>
      <c r="D1923">
        <v>11351</v>
      </c>
      <c r="E1923">
        <v>2021</v>
      </c>
      <c r="F1923" s="168" t="s">
        <v>591</v>
      </c>
      <c r="G1923" s="168" t="s">
        <v>629</v>
      </c>
      <c r="H1923" s="168" t="s">
        <v>609</v>
      </c>
      <c r="I1923">
        <v>442689</v>
      </c>
    </row>
    <row r="1924" spans="1:9" hidden="1" x14ac:dyDescent="0.3">
      <c r="A1924">
        <v>70</v>
      </c>
      <c r="B1924" s="168" t="s">
        <v>104</v>
      </c>
      <c r="C1924" s="168" t="s">
        <v>105</v>
      </c>
      <c r="D1924">
        <v>11351</v>
      </c>
      <c r="E1924">
        <v>2021</v>
      </c>
      <c r="F1924" s="168" t="s">
        <v>591</v>
      </c>
      <c r="G1924" s="168" t="s">
        <v>618</v>
      </c>
      <c r="H1924" s="168" t="s">
        <v>608</v>
      </c>
      <c r="I1924">
        <v>0</v>
      </c>
    </row>
    <row r="1925" spans="1:9" hidden="1" x14ac:dyDescent="0.3">
      <c r="A1925">
        <v>70</v>
      </c>
      <c r="B1925" s="168" t="s">
        <v>104</v>
      </c>
      <c r="C1925" s="168" t="s">
        <v>105</v>
      </c>
      <c r="D1925">
        <v>11351</v>
      </c>
      <c r="E1925">
        <v>2021</v>
      </c>
      <c r="F1925" s="168" t="s">
        <v>591</v>
      </c>
      <c r="G1925" s="168" t="s">
        <v>618</v>
      </c>
      <c r="H1925" s="168" t="s">
        <v>609</v>
      </c>
      <c r="I1925">
        <v>226129.2134831461</v>
      </c>
    </row>
    <row r="1926" spans="1:9" hidden="1" x14ac:dyDescent="0.3">
      <c r="A1926">
        <v>70</v>
      </c>
      <c r="B1926" s="168" t="s">
        <v>104</v>
      </c>
      <c r="C1926" s="168" t="s">
        <v>105</v>
      </c>
      <c r="D1926">
        <v>11351</v>
      </c>
      <c r="E1926">
        <v>2021</v>
      </c>
      <c r="F1926" s="168" t="s">
        <v>591</v>
      </c>
      <c r="G1926" s="168" t="s">
        <v>610</v>
      </c>
      <c r="H1926" s="168" t="s">
        <v>608</v>
      </c>
      <c r="I1926">
        <v>0</v>
      </c>
    </row>
    <row r="1927" spans="1:9" hidden="1" x14ac:dyDescent="0.3">
      <c r="A1927">
        <v>70</v>
      </c>
      <c r="B1927" s="168" t="s">
        <v>104</v>
      </c>
      <c r="C1927" s="168" t="s">
        <v>105</v>
      </c>
      <c r="D1927">
        <v>11351</v>
      </c>
      <c r="E1927">
        <v>2021</v>
      </c>
      <c r="F1927" s="168" t="s">
        <v>591</v>
      </c>
      <c r="G1927" s="168" t="s">
        <v>610</v>
      </c>
      <c r="H1927" s="168" t="s">
        <v>609</v>
      </c>
      <c r="I1927">
        <v>6545.454545454545</v>
      </c>
    </row>
    <row r="1928" spans="1:9" hidden="1" x14ac:dyDescent="0.3">
      <c r="A1928">
        <v>70</v>
      </c>
      <c r="B1928" s="168" t="s">
        <v>104</v>
      </c>
      <c r="C1928" s="168" t="s">
        <v>105</v>
      </c>
      <c r="D1928">
        <v>11351</v>
      </c>
      <c r="E1928">
        <v>2021</v>
      </c>
      <c r="F1928" s="168" t="s">
        <v>591</v>
      </c>
      <c r="G1928" s="168" t="s">
        <v>633</v>
      </c>
      <c r="H1928" s="168" t="s">
        <v>608</v>
      </c>
      <c r="I1928">
        <v>43931.185486393493</v>
      </c>
    </row>
    <row r="1929" spans="1:9" hidden="1" x14ac:dyDescent="0.3">
      <c r="A1929">
        <v>70</v>
      </c>
      <c r="B1929" s="168" t="s">
        <v>104</v>
      </c>
      <c r="C1929" s="168" t="s">
        <v>105</v>
      </c>
      <c r="D1929">
        <v>11351</v>
      </c>
      <c r="E1929">
        <v>2021</v>
      </c>
      <c r="F1929" s="168" t="s">
        <v>591</v>
      </c>
      <c r="G1929" s="168" t="s">
        <v>633</v>
      </c>
      <c r="H1929" s="168" t="s">
        <v>609</v>
      </c>
      <c r="I1929">
        <v>18827.650922740071</v>
      </c>
    </row>
    <row r="1930" spans="1:9" hidden="1" x14ac:dyDescent="0.3">
      <c r="A1930">
        <v>70</v>
      </c>
      <c r="B1930" s="168" t="s">
        <v>104</v>
      </c>
      <c r="C1930" s="168" t="s">
        <v>105</v>
      </c>
      <c r="D1930">
        <v>11351</v>
      </c>
      <c r="E1930">
        <v>2021</v>
      </c>
      <c r="F1930" s="168" t="s">
        <v>591</v>
      </c>
      <c r="G1930" s="168" t="s">
        <v>623</v>
      </c>
      <c r="H1930" s="168" t="s">
        <v>608</v>
      </c>
      <c r="I1930">
        <v>276442.30769230769</v>
      </c>
    </row>
    <row r="1931" spans="1:9" hidden="1" x14ac:dyDescent="0.3">
      <c r="A1931">
        <v>70</v>
      </c>
      <c r="B1931" s="168" t="s">
        <v>104</v>
      </c>
      <c r="C1931" s="168" t="s">
        <v>105</v>
      </c>
      <c r="D1931">
        <v>11351</v>
      </c>
      <c r="E1931">
        <v>2021</v>
      </c>
      <c r="F1931" s="168" t="s">
        <v>591</v>
      </c>
      <c r="G1931" s="168" t="s">
        <v>623</v>
      </c>
      <c r="H1931" s="168" t="s">
        <v>609</v>
      </c>
      <c r="I1931">
        <v>213062.3475</v>
      </c>
    </row>
    <row r="1932" spans="1:9" hidden="1" x14ac:dyDescent="0.3">
      <c r="A1932">
        <v>70</v>
      </c>
      <c r="B1932" s="168" t="s">
        <v>104</v>
      </c>
      <c r="C1932" s="168" t="s">
        <v>105</v>
      </c>
      <c r="D1932">
        <v>11351</v>
      </c>
      <c r="E1932">
        <v>2021</v>
      </c>
      <c r="F1932" s="168" t="s">
        <v>591</v>
      </c>
      <c r="G1932" s="168" t="s">
        <v>615</v>
      </c>
      <c r="H1932" s="168" t="s">
        <v>608</v>
      </c>
      <c r="I1932">
        <v>0</v>
      </c>
    </row>
    <row r="1933" spans="1:9" hidden="1" x14ac:dyDescent="0.3">
      <c r="A1933">
        <v>70</v>
      </c>
      <c r="B1933" s="168" t="s">
        <v>104</v>
      </c>
      <c r="C1933" s="168" t="s">
        <v>105</v>
      </c>
      <c r="D1933">
        <v>11351</v>
      </c>
      <c r="E1933">
        <v>2021</v>
      </c>
      <c r="F1933" s="168" t="s">
        <v>591</v>
      </c>
      <c r="G1933" s="168" t="s">
        <v>615</v>
      </c>
      <c r="H1933" s="168" t="s">
        <v>609</v>
      </c>
      <c r="I1933">
        <v>7536.5853658536589</v>
      </c>
    </row>
    <row r="1934" spans="1:9" hidden="1" x14ac:dyDescent="0.3">
      <c r="A1934">
        <v>70</v>
      </c>
      <c r="B1934" s="168" t="s">
        <v>104</v>
      </c>
      <c r="C1934" s="168" t="s">
        <v>105</v>
      </c>
      <c r="D1934">
        <v>11351</v>
      </c>
      <c r="E1934">
        <v>2021</v>
      </c>
      <c r="F1934" s="168" t="s">
        <v>591</v>
      </c>
      <c r="G1934" s="168" t="s">
        <v>630</v>
      </c>
      <c r="H1934" s="168" t="s">
        <v>608</v>
      </c>
      <c r="I1934">
        <v>1368121.048</v>
      </c>
    </row>
    <row r="1935" spans="1:9" hidden="1" x14ac:dyDescent="0.3">
      <c r="A1935">
        <v>70</v>
      </c>
      <c r="B1935" s="168" t="s">
        <v>104</v>
      </c>
      <c r="C1935" s="168" t="s">
        <v>105</v>
      </c>
      <c r="D1935">
        <v>11351</v>
      </c>
      <c r="E1935">
        <v>2021</v>
      </c>
      <c r="F1935" s="168" t="s">
        <v>591</v>
      </c>
      <c r="G1935" s="168" t="s">
        <v>630</v>
      </c>
      <c r="H1935" s="168" t="s">
        <v>609</v>
      </c>
      <c r="I1935">
        <v>586337.59199999995</v>
      </c>
    </row>
    <row r="1936" spans="1:9" hidden="1" x14ac:dyDescent="0.3">
      <c r="A1936">
        <v>70</v>
      </c>
      <c r="B1936" s="168" t="s">
        <v>104</v>
      </c>
      <c r="C1936" s="168" t="s">
        <v>105</v>
      </c>
      <c r="D1936">
        <v>11351</v>
      </c>
      <c r="E1936">
        <v>2021</v>
      </c>
      <c r="F1936" s="168" t="s">
        <v>591</v>
      </c>
      <c r="G1936" s="168" t="s">
        <v>611</v>
      </c>
      <c r="H1936" s="168" t="s">
        <v>608</v>
      </c>
      <c r="I1936">
        <v>0</v>
      </c>
    </row>
    <row r="1937" spans="1:9" hidden="1" x14ac:dyDescent="0.3">
      <c r="A1937">
        <v>70</v>
      </c>
      <c r="B1937" s="168" t="s">
        <v>104</v>
      </c>
      <c r="C1937" s="168" t="s">
        <v>105</v>
      </c>
      <c r="D1937">
        <v>11351</v>
      </c>
      <c r="E1937">
        <v>2021</v>
      </c>
      <c r="F1937" s="168" t="s">
        <v>591</v>
      </c>
      <c r="G1937" s="168" t="s">
        <v>611</v>
      </c>
      <c r="H1937" s="168" t="s">
        <v>609</v>
      </c>
      <c r="I1937">
        <v>47442.429417768071</v>
      </c>
    </row>
    <row r="1938" spans="1:9" hidden="1" x14ac:dyDescent="0.3">
      <c r="A1938">
        <v>70</v>
      </c>
      <c r="B1938" s="168" t="s">
        <v>104</v>
      </c>
      <c r="C1938" s="168" t="s">
        <v>105</v>
      </c>
      <c r="D1938">
        <v>11351</v>
      </c>
      <c r="E1938">
        <v>2021</v>
      </c>
      <c r="F1938" s="168" t="s">
        <v>591</v>
      </c>
      <c r="G1938" s="168" t="s">
        <v>613</v>
      </c>
      <c r="H1938" s="168" t="s">
        <v>608</v>
      </c>
      <c r="I1938">
        <v>428478.63117017527</v>
      </c>
    </row>
    <row r="1939" spans="1:9" hidden="1" x14ac:dyDescent="0.3">
      <c r="A1939">
        <v>70</v>
      </c>
      <c r="B1939" s="168" t="s">
        <v>104</v>
      </c>
      <c r="C1939" s="168" t="s">
        <v>105</v>
      </c>
      <c r="D1939">
        <v>11351</v>
      </c>
      <c r="E1939">
        <v>2021</v>
      </c>
      <c r="F1939" s="168" t="s">
        <v>591</v>
      </c>
      <c r="G1939" s="168" t="s">
        <v>613</v>
      </c>
      <c r="H1939" s="168" t="s">
        <v>609</v>
      </c>
      <c r="I1939">
        <v>86968.307173501264</v>
      </c>
    </row>
    <row r="1940" spans="1:9" hidden="1" x14ac:dyDescent="0.3">
      <c r="A1940">
        <v>71</v>
      </c>
      <c r="B1940" s="168" t="s">
        <v>106</v>
      </c>
      <c r="C1940" s="168" t="s">
        <v>107</v>
      </c>
      <c r="D1940">
        <v>8800.7000000000007</v>
      </c>
      <c r="E1940">
        <v>2021</v>
      </c>
      <c r="F1940" s="168" t="s">
        <v>591</v>
      </c>
      <c r="G1940" s="168" t="s">
        <v>610</v>
      </c>
      <c r="H1940" s="168" t="s">
        <v>608</v>
      </c>
      <c r="I1940">
        <v>0</v>
      </c>
    </row>
    <row r="1941" spans="1:9" hidden="1" x14ac:dyDescent="0.3">
      <c r="A1941">
        <v>71</v>
      </c>
      <c r="B1941" s="168" t="s">
        <v>106</v>
      </c>
      <c r="C1941" s="168" t="s">
        <v>107</v>
      </c>
      <c r="D1941">
        <v>8800.7000000000007</v>
      </c>
      <c r="E1941">
        <v>2021</v>
      </c>
      <c r="F1941" s="168" t="s">
        <v>591</v>
      </c>
      <c r="G1941" s="168" t="s">
        <v>610</v>
      </c>
      <c r="H1941" s="168" t="s">
        <v>609</v>
      </c>
      <c r="I1941">
        <v>6545.454545454545</v>
      </c>
    </row>
    <row r="1942" spans="1:9" hidden="1" x14ac:dyDescent="0.3">
      <c r="A1942">
        <v>72</v>
      </c>
      <c r="B1942" s="168" t="s">
        <v>108</v>
      </c>
      <c r="C1942" s="168" t="s">
        <v>107</v>
      </c>
      <c r="D1942">
        <v>6435.4</v>
      </c>
      <c r="E1942">
        <v>2021</v>
      </c>
      <c r="F1942" s="168" t="s">
        <v>591</v>
      </c>
      <c r="G1942" s="168" t="s">
        <v>607</v>
      </c>
      <c r="H1942" s="168" t="s">
        <v>608</v>
      </c>
      <c r="I1942">
        <v>3624657.46</v>
      </c>
    </row>
    <row r="1943" spans="1:9" hidden="1" x14ac:dyDescent="0.3">
      <c r="A1943">
        <v>72</v>
      </c>
      <c r="B1943" s="168" t="s">
        <v>108</v>
      </c>
      <c r="C1943" s="168" t="s">
        <v>107</v>
      </c>
      <c r="D1943">
        <v>6435.4</v>
      </c>
      <c r="E1943">
        <v>2021</v>
      </c>
      <c r="F1943" s="168" t="s">
        <v>591</v>
      </c>
      <c r="G1943" s="168" t="s">
        <v>607</v>
      </c>
      <c r="H1943" s="168" t="s">
        <v>609</v>
      </c>
      <c r="I1943">
        <v>1553424.62</v>
      </c>
    </row>
    <row r="1944" spans="1:9" hidden="1" x14ac:dyDescent="0.3">
      <c r="A1944">
        <v>72</v>
      </c>
      <c r="B1944" s="168" t="s">
        <v>108</v>
      </c>
      <c r="C1944" s="168" t="s">
        <v>107</v>
      </c>
      <c r="D1944">
        <v>6435.4</v>
      </c>
      <c r="E1944">
        <v>2021</v>
      </c>
      <c r="F1944" s="168" t="s">
        <v>591</v>
      </c>
      <c r="G1944" s="168" t="s">
        <v>612</v>
      </c>
      <c r="H1944" s="168" t="s">
        <v>608</v>
      </c>
      <c r="I1944">
        <v>479353.14279999997</v>
      </c>
    </row>
    <row r="1945" spans="1:9" hidden="1" x14ac:dyDescent="0.3">
      <c r="A1945">
        <v>72</v>
      </c>
      <c r="B1945" s="168" t="s">
        <v>108</v>
      </c>
      <c r="C1945" s="168" t="s">
        <v>107</v>
      </c>
      <c r="D1945">
        <v>6435.4</v>
      </c>
      <c r="E1945">
        <v>2021</v>
      </c>
      <c r="F1945" s="168" t="s">
        <v>591</v>
      </c>
      <c r="G1945" s="168" t="s">
        <v>612</v>
      </c>
      <c r="H1945" s="168" t="s">
        <v>609</v>
      </c>
      <c r="I1945">
        <v>205437.06</v>
      </c>
    </row>
    <row r="1946" spans="1:9" hidden="1" x14ac:dyDescent="0.3">
      <c r="A1946">
        <v>72</v>
      </c>
      <c r="B1946" s="168" t="s">
        <v>108</v>
      </c>
      <c r="C1946" s="168" t="s">
        <v>107</v>
      </c>
      <c r="D1946">
        <v>6435.4</v>
      </c>
      <c r="E1946">
        <v>2021</v>
      </c>
      <c r="F1946" s="168" t="s">
        <v>591</v>
      </c>
      <c r="G1946" s="168" t="s">
        <v>629</v>
      </c>
      <c r="H1946" s="168" t="s">
        <v>608</v>
      </c>
      <c r="I1946">
        <v>585621.39999999991</v>
      </c>
    </row>
    <row r="1947" spans="1:9" hidden="1" x14ac:dyDescent="0.3">
      <c r="A1947">
        <v>72</v>
      </c>
      <c r="B1947" s="168" t="s">
        <v>108</v>
      </c>
      <c r="C1947" s="168" t="s">
        <v>107</v>
      </c>
      <c r="D1947">
        <v>6435.4</v>
      </c>
      <c r="E1947">
        <v>2021</v>
      </c>
      <c r="F1947" s="168" t="s">
        <v>591</v>
      </c>
      <c r="G1947" s="168" t="s">
        <v>629</v>
      </c>
      <c r="H1947" s="168" t="s">
        <v>609</v>
      </c>
      <c r="I1947">
        <v>250980.59999999998</v>
      </c>
    </row>
    <row r="1948" spans="1:9" hidden="1" x14ac:dyDescent="0.3">
      <c r="A1948">
        <v>72</v>
      </c>
      <c r="B1948" s="168" t="s">
        <v>108</v>
      </c>
      <c r="C1948" s="168" t="s">
        <v>107</v>
      </c>
      <c r="D1948">
        <v>6435.4</v>
      </c>
      <c r="E1948">
        <v>2021</v>
      </c>
      <c r="F1948" s="168" t="s">
        <v>591</v>
      </c>
      <c r="G1948" s="168" t="s">
        <v>618</v>
      </c>
      <c r="H1948" s="168" t="s">
        <v>608</v>
      </c>
      <c r="I1948">
        <v>0</v>
      </c>
    </row>
    <row r="1949" spans="1:9" hidden="1" x14ac:dyDescent="0.3">
      <c r="A1949">
        <v>72</v>
      </c>
      <c r="B1949" s="168" t="s">
        <v>108</v>
      </c>
      <c r="C1949" s="168" t="s">
        <v>107</v>
      </c>
      <c r="D1949">
        <v>6435.4</v>
      </c>
      <c r="E1949">
        <v>2021</v>
      </c>
      <c r="F1949" s="168" t="s">
        <v>591</v>
      </c>
      <c r="G1949" s="168" t="s">
        <v>618</v>
      </c>
      <c r="H1949" s="168" t="s">
        <v>609</v>
      </c>
      <c r="I1949">
        <v>10651.685393258427</v>
      </c>
    </row>
    <row r="1950" spans="1:9" hidden="1" x14ac:dyDescent="0.3">
      <c r="A1950">
        <v>72</v>
      </c>
      <c r="B1950" s="168" t="s">
        <v>108</v>
      </c>
      <c r="C1950" s="168" t="s">
        <v>107</v>
      </c>
      <c r="D1950">
        <v>6435.4</v>
      </c>
      <c r="E1950">
        <v>2021</v>
      </c>
      <c r="F1950" s="168" t="s">
        <v>591</v>
      </c>
      <c r="G1950" s="168" t="s">
        <v>619</v>
      </c>
      <c r="H1950" s="168" t="s">
        <v>608</v>
      </c>
      <c r="I1950">
        <v>0</v>
      </c>
    </row>
    <row r="1951" spans="1:9" hidden="1" x14ac:dyDescent="0.3">
      <c r="A1951">
        <v>72</v>
      </c>
      <c r="B1951" s="168" t="s">
        <v>108</v>
      </c>
      <c r="C1951" s="168" t="s">
        <v>107</v>
      </c>
      <c r="D1951">
        <v>6435.4</v>
      </c>
      <c r="E1951">
        <v>2021</v>
      </c>
      <c r="F1951" s="168" t="s">
        <v>591</v>
      </c>
      <c r="G1951" s="168" t="s">
        <v>619</v>
      </c>
      <c r="H1951" s="168" t="s">
        <v>609</v>
      </c>
      <c r="I1951">
        <v>79990</v>
      </c>
    </row>
    <row r="1952" spans="1:9" hidden="1" x14ac:dyDescent="0.3">
      <c r="A1952">
        <v>72</v>
      </c>
      <c r="B1952" s="168" t="s">
        <v>108</v>
      </c>
      <c r="C1952" s="168" t="s">
        <v>107</v>
      </c>
      <c r="D1952">
        <v>6435.4</v>
      </c>
      <c r="E1952">
        <v>2021</v>
      </c>
      <c r="F1952" s="168" t="s">
        <v>591</v>
      </c>
      <c r="G1952" s="168" t="s">
        <v>610</v>
      </c>
      <c r="H1952" s="168" t="s">
        <v>608</v>
      </c>
      <c r="I1952">
        <v>0</v>
      </c>
    </row>
    <row r="1953" spans="1:9" hidden="1" x14ac:dyDescent="0.3">
      <c r="A1953">
        <v>72</v>
      </c>
      <c r="B1953" s="168" t="s">
        <v>108</v>
      </c>
      <c r="C1953" s="168" t="s">
        <v>107</v>
      </c>
      <c r="D1953">
        <v>6435.4</v>
      </c>
      <c r="E1953">
        <v>2021</v>
      </c>
      <c r="F1953" s="168" t="s">
        <v>591</v>
      </c>
      <c r="G1953" s="168" t="s">
        <v>610</v>
      </c>
      <c r="H1953" s="168" t="s">
        <v>609</v>
      </c>
      <c r="I1953">
        <v>6545.454545454545</v>
      </c>
    </row>
    <row r="1954" spans="1:9" hidden="1" x14ac:dyDescent="0.3">
      <c r="A1954">
        <v>72</v>
      </c>
      <c r="B1954" s="168" t="s">
        <v>108</v>
      </c>
      <c r="C1954" s="168" t="s">
        <v>107</v>
      </c>
      <c r="D1954">
        <v>6435.4</v>
      </c>
      <c r="E1954">
        <v>2021</v>
      </c>
      <c r="F1954" s="168" t="s">
        <v>591</v>
      </c>
      <c r="G1954" s="168" t="s">
        <v>633</v>
      </c>
      <c r="H1954" s="168" t="s">
        <v>608</v>
      </c>
      <c r="I1954">
        <v>19272.44291523303</v>
      </c>
    </row>
    <row r="1955" spans="1:9" hidden="1" x14ac:dyDescent="0.3">
      <c r="A1955">
        <v>72</v>
      </c>
      <c r="B1955" s="168" t="s">
        <v>108</v>
      </c>
      <c r="C1955" s="168" t="s">
        <v>107</v>
      </c>
      <c r="D1955">
        <v>6435.4</v>
      </c>
      <c r="E1955">
        <v>2021</v>
      </c>
      <c r="F1955" s="168" t="s">
        <v>591</v>
      </c>
      <c r="G1955" s="168" t="s">
        <v>633</v>
      </c>
      <c r="H1955" s="168" t="s">
        <v>609</v>
      </c>
      <c r="I1955">
        <v>29859.599999999999</v>
      </c>
    </row>
    <row r="1956" spans="1:9" hidden="1" x14ac:dyDescent="0.3">
      <c r="A1956">
        <v>72</v>
      </c>
      <c r="B1956" s="168" t="s">
        <v>108</v>
      </c>
      <c r="C1956" s="168" t="s">
        <v>107</v>
      </c>
      <c r="D1956">
        <v>6435.4</v>
      </c>
      <c r="E1956">
        <v>2021</v>
      </c>
      <c r="F1956" s="168" t="s">
        <v>591</v>
      </c>
      <c r="G1956" s="168" t="s">
        <v>623</v>
      </c>
      <c r="H1956" s="168" t="s">
        <v>608</v>
      </c>
      <c r="I1956">
        <v>48817.307692307702</v>
      </c>
    </row>
    <row r="1957" spans="1:9" hidden="1" x14ac:dyDescent="0.3">
      <c r="A1957">
        <v>72</v>
      </c>
      <c r="B1957" s="168" t="s">
        <v>108</v>
      </c>
      <c r="C1957" s="168" t="s">
        <v>107</v>
      </c>
      <c r="D1957">
        <v>6435.4</v>
      </c>
      <c r="E1957">
        <v>2021</v>
      </c>
      <c r="F1957" s="168" t="s">
        <v>591</v>
      </c>
      <c r="G1957" s="168" t="s">
        <v>623</v>
      </c>
      <c r="H1957" s="168" t="s">
        <v>609</v>
      </c>
      <c r="I1957">
        <v>35510.391250000001</v>
      </c>
    </row>
    <row r="1958" spans="1:9" hidden="1" x14ac:dyDescent="0.3">
      <c r="A1958">
        <v>72</v>
      </c>
      <c r="B1958" s="168" t="s">
        <v>108</v>
      </c>
      <c r="C1958" s="168" t="s">
        <v>107</v>
      </c>
      <c r="D1958">
        <v>6435.4</v>
      </c>
      <c r="E1958">
        <v>2021</v>
      </c>
      <c r="F1958" s="168" t="s">
        <v>591</v>
      </c>
      <c r="G1958" s="168" t="s">
        <v>625</v>
      </c>
      <c r="H1958" s="168" t="s">
        <v>608</v>
      </c>
      <c r="I1958">
        <v>0</v>
      </c>
    </row>
    <row r="1959" spans="1:9" hidden="1" x14ac:dyDescent="0.3">
      <c r="A1959">
        <v>72</v>
      </c>
      <c r="B1959" s="168" t="s">
        <v>108</v>
      </c>
      <c r="C1959" s="168" t="s">
        <v>107</v>
      </c>
      <c r="D1959">
        <v>6435.4</v>
      </c>
      <c r="E1959">
        <v>2021</v>
      </c>
      <c r="F1959" s="168" t="s">
        <v>591</v>
      </c>
      <c r="G1959" s="168" t="s">
        <v>625</v>
      </c>
      <c r="H1959" s="168" t="s">
        <v>609</v>
      </c>
      <c r="I1959">
        <v>51464.1</v>
      </c>
    </row>
    <row r="1960" spans="1:9" hidden="1" x14ac:dyDescent="0.3">
      <c r="A1960">
        <v>72</v>
      </c>
      <c r="B1960" s="168" t="s">
        <v>108</v>
      </c>
      <c r="C1960" s="168" t="s">
        <v>107</v>
      </c>
      <c r="D1960">
        <v>6435.4</v>
      </c>
      <c r="E1960">
        <v>2021</v>
      </c>
      <c r="F1960" s="168" t="s">
        <v>591</v>
      </c>
      <c r="G1960" s="168" t="s">
        <v>630</v>
      </c>
      <c r="H1960" s="168" t="s">
        <v>608</v>
      </c>
      <c r="I1960">
        <v>929545.78499999992</v>
      </c>
    </row>
    <row r="1961" spans="1:9" hidden="1" x14ac:dyDescent="0.3">
      <c r="A1961">
        <v>72</v>
      </c>
      <c r="B1961" s="168" t="s">
        <v>108</v>
      </c>
      <c r="C1961" s="168" t="s">
        <v>107</v>
      </c>
      <c r="D1961">
        <v>6435.4</v>
      </c>
      <c r="E1961">
        <v>2021</v>
      </c>
      <c r="F1961" s="168" t="s">
        <v>591</v>
      </c>
      <c r="G1961" s="168" t="s">
        <v>630</v>
      </c>
      <c r="H1961" s="168" t="s">
        <v>609</v>
      </c>
      <c r="I1961">
        <v>398376.76500000001</v>
      </c>
    </row>
    <row r="1962" spans="1:9" hidden="1" x14ac:dyDescent="0.3">
      <c r="A1962">
        <v>72</v>
      </c>
      <c r="B1962" s="168" t="s">
        <v>108</v>
      </c>
      <c r="C1962" s="168" t="s">
        <v>107</v>
      </c>
      <c r="D1962">
        <v>6435.4</v>
      </c>
      <c r="E1962">
        <v>2021</v>
      </c>
      <c r="F1962" s="168" t="s">
        <v>591</v>
      </c>
      <c r="G1962" s="168" t="s">
        <v>611</v>
      </c>
      <c r="H1962" s="168" t="s">
        <v>608</v>
      </c>
      <c r="I1962">
        <v>0</v>
      </c>
    </row>
    <row r="1963" spans="1:9" hidden="1" x14ac:dyDescent="0.3">
      <c r="A1963">
        <v>72</v>
      </c>
      <c r="B1963" s="168" t="s">
        <v>108</v>
      </c>
      <c r="C1963" s="168" t="s">
        <v>107</v>
      </c>
      <c r="D1963">
        <v>6435.4</v>
      </c>
      <c r="E1963">
        <v>2021</v>
      </c>
      <c r="F1963" s="168" t="s">
        <v>591</v>
      </c>
      <c r="G1963" s="168" t="s">
        <v>611</v>
      </c>
      <c r="H1963" s="168" t="s">
        <v>609</v>
      </c>
      <c r="I1963">
        <v>26897.278678099257</v>
      </c>
    </row>
    <row r="1964" spans="1:9" hidden="1" x14ac:dyDescent="0.3">
      <c r="A1964">
        <v>72</v>
      </c>
      <c r="B1964" s="168" t="s">
        <v>108</v>
      </c>
      <c r="C1964" s="168" t="s">
        <v>107</v>
      </c>
      <c r="D1964">
        <v>6435.4</v>
      </c>
      <c r="E1964">
        <v>2021</v>
      </c>
      <c r="F1964" s="168" t="s">
        <v>591</v>
      </c>
      <c r="G1964" s="168" t="s">
        <v>613</v>
      </c>
      <c r="H1964" s="168" t="s">
        <v>608</v>
      </c>
      <c r="I1964">
        <v>456040.13279813901</v>
      </c>
    </row>
    <row r="1965" spans="1:9" hidden="1" x14ac:dyDescent="0.3">
      <c r="A1965">
        <v>72</v>
      </c>
      <c r="B1965" s="168" t="s">
        <v>108</v>
      </c>
      <c r="C1965" s="168" t="s">
        <v>107</v>
      </c>
      <c r="D1965">
        <v>6435.4</v>
      </c>
      <c r="E1965">
        <v>2021</v>
      </c>
      <c r="F1965" s="168" t="s">
        <v>591</v>
      </c>
      <c r="G1965" s="168" t="s">
        <v>613</v>
      </c>
      <c r="H1965" s="168" t="s">
        <v>609</v>
      </c>
      <c r="I1965">
        <v>185949.20366143071</v>
      </c>
    </row>
    <row r="1966" spans="1:9" hidden="1" x14ac:dyDescent="0.3">
      <c r="A1966">
        <v>73</v>
      </c>
      <c r="B1966" s="168" t="s">
        <v>109</v>
      </c>
      <c r="C1966" s="168" t="s">
        <v>110</v>
      </c>
      <c r="D1966">
        <v>6896.7</v>
      </c>
      <c r="E1966">
        <v>2021</v>
      </c>
      <c r="F1966" s="168" t="s">
        <v>593</v>
      </c>
      <c r="G1966" s="168" t="s">
        <v>607</v>
      </c>
      <c r="H1966" s="168" t="s">
        <v>609</v>
      </c>
      <c r="I1966">
        <v>5178082.08</v>
      </c>
    </row>
    <row r="1967" spans="1:9" hidden="1" x14ac:dyDescent="0.3">
      <c r="A1967">
        <v>73</v>
      </c>
      <c r="B1967" s="168" t="s">
        <v>109</v>
      </c>
      <c r="C1967" s="168" t="s">
        <v>110</v>
      </c>
      <c r="D1967">
        <v>6896.7</v>
      </c>
      <c r="E1967">
        <v>2021</v>
      </c>
      <c r="F1967" s="168" t="s">
        <v>593</v>
      </c>
      <c r="G1967" s="168" t="s">
        <v>612</v>
      </c>
      <c r="H1967" s="168" t="s">
        <v>609</v>
      </c>
      <c r="I1967">
        <v>83532.38</v>
      </c>
    </row>
    <row r="1968" spans="1:9" hidden="1" x14ac:dyDescent="0.3">
      <c r="A1968">
        <v>73</v>
      </c>
      <c r="B1968" s="168" t="s">
        <v>109</v>
      </c>
      <c r="C1968" s="168" t="s">
        <v>110</v>
      </c>
      <c r="D1968">
        <v>6896.7</v>
      </c>
      <c r="E1968">
        <v>2021</v>
      </c>
      <c r="F1968" s="168" t="s">
        <v>593</v>
      </c>
      <c r="G1968" s="168" t="s">
        <v>617</v>
      </c>
      <c r="H1968" s="168" t="s">
        <v>608</v>
      </c>
      <c r="I1968">
        <v>13793.5</v>
      </c>
    </row>
    <row r="1969" spans="1:9" hidden="1" x14ac:dyDescent="0.3">
      <c r="A1969">
        <v>73</v>
      </c>
      <c r="B1969" s="168" t="s">
        <v>109</v>
      </c>
      <c r="C1969" s="168" t="s">
        <v>110</v>
      </c>
      <c r="D1969">
        <v>6896.7</v>
      </c>
      <c r="E1969">
        <v>2021</v>
      </c>
      <c r="F1969" s="168" t="s">
        <v>593</v>
      </c>
      <c r="G1969" s="168" t="s">
        <v>617</v>
      </c>
      <c r="H1969" s="168" t="s">
        <v>609</v>
      </c>
      <c r="I1969">
        <v>13793.5</v>
      </c>
    </row>
    <row r="1970" spans="1:9" hidden="1" x14ac:dyDescent="0.3">
      <c r="A1970">
        <v>73</v>
      </c>
      <c r="B1970" s="168" t="s">
        <v>109</v>
      </c>
      <c r="C1970" s="168" t="s">
        <v>110</v>
      </c>
      <c r="D1970">
        <v>6896.7</v>
      </c>
      <c r="E1970">
        <v>2021</v>
      </c>
      <c r="F1970" s="168" t="s">
        <v>593</v>
      </c>
      <c r="G1970" s="168" t="s">
        <v>618</v>
      </c>
      <c r="H1970" s="168" t="s">
        <v>608</v>
      </c>
      <c r="I1970">
        <v>0</v>
      </c>
    </row>
    <row r="1971" spans="1:9" hidden="1" x14ac:dyDescent="0.3">
      <c r="A1971">
        <v>73</v>
      </c>
      <c r="B1971" s="168" t="s">
        <v>109</v>
      </c>
      <c r="C1971" s="168" t="s">
        <v>110</v>
      </c>
      <c r="D1971">
        <v>6896.7</v>
      </c>
      <c r="E1971">
        <v>2021</v>
      </c>
      <c r="F1971" s="168" t="s">
        <v>593</v>
      </c>
      <c r="G1971" s="168" t="s">
        <v>618</v>
      </c>
      <c r="H1971" s="168" t="s">
        <v>609</v>
      </c>
      <c r="I1971">
        <v>5325.8426966292136</v>
      </c>
    </row>
    <row r="1972" spans="1:9" hidden="1" x14ac:dyDescent="0.3">
      <c r="A1972">
        <v>73</v>
      </c>
      <c r="B1972" s="168" t="s">
        <v>109</v>
      </c>
      <c r="C1972" s="168" t="s">
        <v>110</v>
      </c>
      <c r="D1972">
        <v>6896.7</v>
      </c>
      <c r="E1972">
        <v>2021</v>
      </c>
      <c r="F1972" s="168" t="s">
        <v>593</v>
      </c>
      <c r="G1972" s="168" t="s">
        <v>610</v>
      </c>
      <c r="H1972" s="168" t="s">
        <v>608</v>
      </c>
      <c r="I1972">
        <v>0</v>
      </c>
    </row>
    <row r="1973" spans="1:9" hidden="1" x14ac:dyDescent="0.3">
      <c r="A1973">
        <v>73</v>
      </c>
      <c r="B1973" s="168" t="s">
        <v>109</v>
      </c>
      <c r="C1973" s="168" t="s">
        <v>110</v>
      </c>
      <c r="D1973">
        <v>6896.7</v>
      </c>
      <c r="E1973">
        <v>2021</v>
      </c>
      <c r="F1973" s="168" t="s">
        <v>593</v>
      </c>
      <c r="G1973" s="168" t="s">
        <v>610</v>
      </c>
      <c r="H1973" s="168" t="s">
        <v>609</v>
      </c>
      <c r="I1973">
        <v>6545.454545454545</v>
      </c>
    </row>
    <row r="1974" spans="1:9" hidden="1" x14ac:dyDescent="0.3">
      <c r="A1974">
        <v>73</v>
      </c>
      <c r="B1974" s="168" t="s">
        <v>109</v>
      </c>
      <c r="C1974" s="168" t="s">
        <v>110</v>
      </c>
      <c r="D1974">
        <v>6896.7</v>
      </c>
      <c r="E1974">
        <v>2021</v>
      </c>
      <c r="F1974" s="168" t="s">
        <v>593</v>
      </c>
      <c r="G1974" s="168" t="s">
        <v>620</v>
      </c>
      <c r="H1974" s="168" t="s">
        <v>608</v>
      </c>
      <c r="I1974">
        <v>76952.529032258055</v>
      </c>
    </row>
    <row r="1975" spans="1:9" hidden="1" x14ac:dyDescent="0.3">
      <c r="A1975">
        <v>73</v>
      </c>
      <c r="B1975" s="168" t="s">
        <v>109</v>
      </c>
      <c r="C1975" s="168" t="s">
        <v>110</v>
      </c>
      <c r="D1975">
        <v>6896.7</v>
      </c>
      <c r="E1975">
        <v>2021</v>
      </c>
      <c r="F1975" s="168" t="s">
        <v>593</v>
      </c>
      <c r="G1975" s="168" t="s">
        <v>620</v>
      </c>
      <c r="H1975" s="168" t="s">
        <v>609</v>
      </c>
      <c r="I1975">
        <v>0</v>
      </c>
    </row>
    <row r="1976" spans="1:9" hidden="1" x14ac:dyDescent="0.3">
      <c r="A1976">
        <v>73</v>
      </c>
      <c r="B1976" s="168" t="s">
        <v>109</v>
      </c>
      <c r="C1976" s="168" t="s">
        <v>110</v>
      </c>
      <c r="D1976">
        <v>6896.7</v>
      </c>
      <c r="E1976">
        <v>2021</v>
      </c>
      <c r="F1976" s="168" t="s">
        <v>593</v>
      </c>
      <c r="G1976" s="168" t="s">
        <v>633</v>
      </c>
      <c r="H1976" s="168" t="s">
        <v>608</v>
      </c>
      <c r="I1976">
        <v>0</v>
      </c>
    </row>
    <row r="1977" spans="1:9" hidden="1" x14ac:dyDescent="0.3">
      <c r="A1977">
        <v>73</v>
      </c>
      <c r="B1977" s="168" t="s">
        <v>109</v>
      </c>
      <c r="C1977" s="168" t="s">
        <v>110</v>
      </c>
      <c r="D1977">
        <v>6896.7</v>
      </c>
      <c r="E1977">
        <v>2021</v>
      </c>
      <c r="F1977" s="168" t="s">
        <v>593</v>
      </c>
      <c r="G1977" s="168" t="s">
        <v>633</v>
      </c>
      <c r="H1977" s="168" t="s">
        <v>609</v>
      </c>
      <c r="I1977">
        <v>8814.1592920353978</v>
      </c>
    </row>
    <row r="1978" spans="1:9" hidden="1" x14ac:dyDescent="0.3">
      <c r="A1978">
        <v>73</v>
      </c>
      <c r="B1978" s="168" t="s">
        <v>109</v>
      </c>
      <c r="C1978" s="168" t="s">
        <v>110</v>
      </c>
      <c r="D1978">
        <v>6896.7</v>
      </c>
      <c r="E1978">
        <v>2021</v>
      </c>
      <c r="F1978" s="168" t="s">
        <v>593</v>
      </c>
      <c r="G1978" s="168" t="s">
        <v>615</v>
      </c>
      <c r="H1978" s="168" t="s">
        <v>608</v>
      </c>
      <c r="I1978">
        <v>0</v>
      </c>
    </row>
    <row r="1979" spans="1:9" hidden="1" x14ac:dyDescent="0.3">
      <c r="A1979">
        <v>73</v>
      </c>
      <c r="B1979" s="168" t="s">
        <v>109</v>
      </c>
      <c r="C1979" s="168" t="s">
        <v>110</v>
      </c>
      <c r="D1979">
        <v>6896.7</v>
      </c>
      <c r="E1979">
        <v>2021</v>
      </c>
      <c r="F1979" s="168" t="s">
        <v>593</v>
      </c>
      <c r="G1979" s="168" t="s">
        <v>615</v>
      </c>
      <c r="H1979" s="168" t="s">
        <v>609</v>
      </c>
      <c r="I1979">
        <v>7536.5853658536589</v>
      </c>
    </row>
    <row r="1980" spans="1:9" hidden="1" x14ac:dyDescent="0.3">
      <c r="A1980">
        <v>73</v>
      </c>
      <c r="B1980" s="168" t="s">
        <v>109</v>
      </c>
      <c r="C1980" s="168" t="s">
        <v>110</v>
      </c>
      <c r="D1980">
        <v>6896.7</v>
      </c>
      <c r="E1980">
        <v>2021</v>
      </c>
      <c r="F1980" s="168" t="s">
        <v>593</v>
      </c>
      <c r="G1980" s="168" t="s">
        <v>630</v>
      </c>
      <c r="H1980" s="168" t="s">
        <v>608</v>
      </c>
      <c r="I1980">
        <v>1044065</v>
      </c>
    </row>
    <row r="1981" spans="1:9" hidden="1" x14ac:dyDescent="0.3">
      <c r="A1981">
        <v>73</v>
      </c>
      <c r="B1981" s="168" t="s">
        <v>109</v>
      </c>
      <c r="C1981" s="168" t="s">
        <v>110</v>
      </c>
      <c r="D1981">
        <v>6896.7</v>
      </c>
      <c r="E1981">
        <v>2021</v>
      </c>
      <c r="F1981" s="168" t="s">
        <v>593</v>
      </c>
      <c r="G1981" s="168" t="s">
        <v>630</v>
      </c>
      <c r="H1981" s="168" t="s">
        <v>609</v>
      </c>
      <c r="I1981">
        <v>1044065</v>
      </c>
    </row>
    <row r="1982" spans="1:9" hidden="1" x14ac:dyDescent="0.3">
      <c r="A1982">
        <v>73</v>
      </c>
      <c r="B1982" s="168" t="s">
        <v>109</v>
      </c>
      <c r="C1982" s="168" t="s">
        <v>110</v>
      </c>
      <c r="D1982">
        <v>6896.7</v>
      </c>
      <c r="E1982">
        <v>2021</v>
      </c>
      <c r="F1982" s="168" t="s">
        <v>593</v>
      </c>
      <c r="G1982" s="168" t="s">
        <v>621</v>
      </c>
      <c r="H1982" s="168" t="s">
        <v>609</v>
      </c>
      <c r="I1982">
        <v>4545786</v>
      </c>
    </row>
    <row r="1983" spans="1:9" hidden="1" x14ac:dyDescent="0.3">
      <c r="A1983">
        <v>73</v>
      </c>
      <c r="B1983" s="168" t="s">
        <v>109</v>
      </c>
      <c r="C1983" s="168" t="s">
        <v>110</v>
      </c>
      <c r="D1983">
        <v>6896.7</v>
      </c>
      <c r="E1983">
        <v>2021</v>
      </c>
      <c r="F1983" s="168" t="s">
        <v>593</v>
      </c>
      <c r="G1983" s="168" t="s">
        <v>613</v>
      </c>
      <c r="H1983" s="168" t="s">
        <v>608</v>
      </c>
      <c r="I1983">
        <v>488729.83557648701</v>
      </c>
    </row>
    <row r="1984" spans="1:9" hidden="1" x14ac:dyDescent="0.3">
      <c r="A1984">
        <v>73</v>
      </c>
      <c r="B1984" s="168" t="s">
        <v>109</v>
      </c>
      <c r="C1984" s="168" t="s">
        <v>110</v>
      </c>
      <c r="D1984">
        <v>6896.7</v>
      </c>
      <c r="E1984">
        <v>2021</v>
      </c>
      <c r="F1984" s="168" t="s">
        <v>593</v>
      </c>
      <c r="G1984" s="168" t="s">
        <v>613</v>
      </c>
      <c r="H1984" s="168" t="s">
        <v>609</v>
      </c>
      <c r="I1984">
        <v>669901.57999999996</v>
      </c>
    </row>
    <row r="1985" spans="1:9" hidden="1" x14ac:dyDescent="0.3">
      <c r="A1985">
        <v>75</v>
      </c>
      <c r="B1985" s="168" t="s">
        <v>113</v>
      </c>
      <c r="C1985" s="168" t="s">
        <v>114</v>
      </c>
      <c r="D1985">
        <v>3455.5</v>
      </c>
      <c r="E1985">
        <v>2021</v>
      </c>
      <c r="F1985" s="168" t="s">
        <v>593</v>
      </c>
      <c r="G1985" s="168" t="s">
        <v>607</v>
      </c>
      <c r="H1985" s="168" t="s">
        <v>609</v>
      </c>
      <c r="I1985">
        <v>1294520.52</v>
      </c>
    </row>
    <row r="1986" spans="1:9" hidden="1" x14ac:dyDescent="0.3">
      <c r="A1986">
        <v>75</v>
      </c>
      <c r="B1986" s="168" t="s">
        <v>113</v>
      </c>
      <c r="C1986" s="168" t="s">
        <v>114</v>
      </c>
      <c r="D1986">
        <v>3455.5</v>
      </c>
      <c r="E1986">
        <v>2021</v>
      </c>
      <c r="F1986" s="168" t="s">
        <v>593</v>
      </c>
      <c r="G1986" s="168" t="s">
        <v>612</v>
      </c>
      <c r="H1986" s="168" t="s">
        <v>608</v>
      </c>
      <c r="I1986">
        <v>0</v>
      </c>
    </row>
    <row r="1987" spans="1:9" hidden="1" x14ac:dyDescent="0.3">
      <c r="A1987">
        <v>75</v>
      </c>
      <c r="B1987" s="168" t="s">
        <v>113</v>
      </c>
      <c r="C1987" s="168" t="s">
        <v>114</v>
      </c>
      <c r="D1987">
        <v>3455.5</v>
      </c>
      <c r="E1987">
        <v>2021</v>
      </c>
      <c r="F1987" s="168" t="s">
        <v>593</v>
      </c>
      <c r="G1987" s="168" t="s">
        <v>612</v>
      </c>
      <c r="H1987" s="168" t="s">
        <v>609</v>
      </c>
      <c r="I1987">
        <v>8330</v>
      </c>
    </row>
    <row r="1988" spans="1:9" hidden="1" x14ac:dyDescent="0.3">
      <c r="A1988">
        <v>75</v>
      </c>
      <c r="B1988" s="168" t="s">
        <v>113</v>
      </c>
      <c r="C1988" s="168" t="s">
        <v>114</v>
      </c>
      <c r="D1988">
        <v>3455.5</v>
      </c>
      <c r="E1988">
        <v>2021</v>
      </c>
      <c r="F1988" s="168" t="s">
        <v>593</v>
      </c>
      <c r="G1988" s="168" t="s">
        <v>629</v>
      </c>
      <c r="H1988" s="168" t="s">
        <v>608</v>
      </c>
      <c r="I1988">
        <v>0</v>
      </c>
    </row>
    <row r="1989" spans="1:9" hidden="1" x14ac:dyDescent="0.3">
      <c r="A1989">
        <v>75</v>
      </c>
      <c r="B1989" s="168" t="s">
        <v>113</v>
      </c>
      <c r="C1989" s="168" t="s">
        <v>114</v>
      </c>
      <c r="D1989">
        <v>3455.5</v>
      </c>
      <c r="E1989">
        <v>2021</v>
      </c>
      <c r="F1989" s="168" t="s">
        <v>593</v>
      </c>
      <c r="G1989" s="168" t="s">
        <v>629</v>
      </c>
      <c r="H1989" s="168" t="s">
        <v>609</v>
      </c>
      <c r="I1989">
        <v>757500</v>
      </c>
    </row>
    <row r="1990" spans="1:9" hidden="1" x14ac:dyDescent="0.3">
      <c r="A1990">
        <v>75</v>
      </c>
      <c r="B1990" s="168" t="s">
        <v>113</v>
      </c>
      <c r="C1990" s="168" t="s">
        <v>114</v>
      </c>
      <c r="D1990">
        <v>3455.5</v>
      </c>
      <c r="E1990">
        <v>2021</v>
      </c>
      <c r="F1990" s="168" t="s">
        <v>593</v>
      </c>
      <c r="G1990" s="168" t="s">
        <v>617</v>
      </c>
      <c r="H1990" s="168" t="s">
        <v>608</v>
      </c>
      <c r="I1990">
        <v>6911</v>
      </c>
    </row>
    <row r="1991" spans="1:9" hidden="1" x14ac:dyDescent="0.3">
      <c r="A1991">
        <v>75</v>
      </c>
      <c r="B1991" s="168" t="s">
        <v>113</v>
      </c>
      <c r="C1991" s="168" t="s">
        <v>114</v>
      </c>
      <c r="D1991">
        <v>3455.5</v>
      </c>
      <c r="E1991">
        <v>2021</v>
      </c>
      <c r="F1991" s="168" t="s">
        <v>593</v>
      </c>
      <c r="G1991" s="168" t="s">
        <v>617</v>
      </c>
      <c r="H1991" s="168" t="s">
        <v>609</v>
      </c>
      <c r="I1991">
        <v>6911</v>
      </c>
    </row>
    <row r="1992" spans="1:9" hidden="1" x14ac:dyDescent="0.3">
      <c r="A1992">
        <v>75</v>
      </c>
      <c r="B1992" s="168" t="s">
        <v>113</v>
      </c>
      <c r="C1992" s="168" t="s">
        <v>114</v>
      </c>
      <c r="D1992">
        <v>3455.5</v>
      </c>
      <c r="E1992">
        <v>2021</v>
      </c>
      <c r="F1992" s="168" t="s">
        <v>593</v>
      </c>
      <c r="G1992" s="168" t="s">
        <v>618</v>
      </c>
      <c r="H1992" s="168" t="s">
        <v>608</v>
      </c>
      <c r="I1992">
        <v>0</v>
      </c>
    </row>
    <row r="1993" spans="1:9" hidden="1" x14ac:dyDescent="0.3">
      <c r="A1993">
        <v>75</v>
      </c>
      <c r="B1993" s="168" t="s">
        <v>113</v>
      </c>
      <c r="C1993" s="168" t="s">
        <v>114</v>
      </c>
      <c r="D1993">
        <v>3455.5</v>
      </c>
      <c r="E1993">
        <v>2021</v>
      </c>
      <c r="F1993" s="168" t="s">
        <v>593</v>
      </c>
      <c r="G1993" s="168" t="s">
        <v>618</v>
      </c>
      <c r="H1993" s="168" t="s">
        <v>609</v>
      </c>
      <c r="I1993">
        <v>198000</v>
      </c>
    </row>
    <row r="1994" spans="1:9" hidden="1" x14ac:dyDescent="0.3">
      <c r="A1994">
        <v>75</v>
      </c>
      <c r="B1994" s="168" t="s">
        <v>113</v>
      </c>
      <c r="C1994" s="168" t="s">
        <v>114</v>
      </c>
      <c r="D1994">
        <v>3455.5</v>
      </c>
      <c r="E1994">
        <v>2021</v>
      </c>
      <c r="F1994" s="168" t="s">
        <v>593</v>
      </c>
      <c r="G1994" s="168" t="s">
        <v>610</v>
      </c>
      <c r="H1994" s="168" t="s">
        <v>608</v>
      </c>
      <c r="I1994">
        <v>0</v>
      </c>
    </row>
    <row r="1995" spans="1:9" hidden="1" x14ac:dyDescent="0.3">
      <c r="A1995">
        <v>75</v>
      </c>
      <c r="B1995" s="168" t="s">
        <v>113</v>
      </c>
      <c r="C1995" s="168" t="s">
        <v>114</v>
      </c>
      <c r="D1995">
        <v>3455.5</v>
      </c>
      <c r="E1995">
        <v>2021</v>
      </c>
      <c r="F1995" s="168" t="s">
        <v>593</v>
      </c>
      <c r="G1995" s="168" t="s">
        <v>610</v>
      </c>
      <c r="H1995" s="168" t="s">
        <v>609</v>
      </c>
      <c r="I1995">
        <v>3272.7272727272725</v>
      </c>
    </row>
    <row r="1996" spans="1:9" hidden="1" x14ac:dyDescent="0.3">
      <c r="A1996">
        <v>75</v>
      </c>
      <c r="B1996" s="168" t="s">
        <v>113</v>
      </c>
      <c r="C1996" s="168" t="s">
        <v>114</v>
      </c>
      <c r="D1996">
        <v>3455.5</v>
      </c>
      <c r="E1996">
        <v>2021</v>
      </c>
      <c r="F1996" s="168" t="s">
        <v>593</v>
      </c>
      <c r="G1996" s="168" t="s">
        <v>620</v>
      </c>
      <c r="H1996" s="168" t="s">
        <v>608</v>
      </c>
      <c r="I1996">
        <v>76952.529032258055</v>
      </c>
    </row>
    <row r="1997" spans="1:9" hidden="1" x14ac:dyDescent="0.3">
      <c r="A1997">
        <v>75</v>
      </c>
      <c r="B1997" s="168" t="s">
        <v>113</v>
      </c>
      <c r="C1997" s="168" t="s">
        <v>114</v>
      </c>
      <c r="D1997">
        <v>3455.5</v>
      </c>
      <c r="E1997">
        <v>2021</v>
      </c>
      <c r="F1997" s="168" t="s">
        <v>593</v>
      </c>
      <c r="G1997" s="168" t="s">
        <v>620</v>
      </c>
      <c r="H1997" s="168" t="s">
        <v>609</v>
      </c>
      <c r="I1997">
        <v>0</v>
      </c>
    </row>
    <row r="1998" spans="1:9" hidden="1" x14ac:dyDescent="0.3">
      <c r="A1998">
        <v>75</v>
      </c>
      <c r="B1998" s="168" t="s">
        <v>113</v>
      </c>
      <c r="C1998" s="168" t="s">
        <v>114</v>
      </c>
      <c r="D1998">
        <v>3455.5</v>
      </c>
      <c r="E1998">
        <v>2021</v>
      </c>
      <c r="F1998" s="168" t="s">
        <v>593</v>
      </c>
      <c r="G1998" s="168" t="s">
        <v>625</v>
      </c>
      <c r="H1998" s="168" t="s">
        <v>608</v>
      </c>
      <c r="I1998">
        <v>0</v>
      </c>
    </row>
    <row r="1999" spans="1:9" hidden="1" x14ac:dyDescent="0.3">
      <c r="A1999">
        <v>75</v>
      </c>
      <c r="B1999" s="168" t="s">
        <v>113</v>
      </c>
      <c r="C1999" s="168" t="s">
        <v>114</v>
      </c>
      <c r="D1999">
        <v>3455.5</v>
      </c>
      <c r="E1999">
        <v>2021</v>
      </c>
      <c r="F1999" s="168" t="s">
        <v>593</v>
      </c>
      <c r="G1999" s="168" t="s">
        <v>625</v>
      </c>
      <c r="H1999" s="168" t="s">
        <v>609</v>
      </c>
      <c r="I1999">
        <v>1000000</v>
      </c>
    </row>
    <row r="2000" spans="1:9" hidden="1" x14ac:dyDescent="0.3">
      <c r="A2000">
        <v>75</v>
      </c>
      <c r="B2000" s="168" t="s">
        <v>113</v>
      </c>
      <c r="C2000" s="168" t="s">
        <v>114</v>
      </c>
      <c r="D2000">
        <v>3455.5</v>
      </c>
      <c r="E2000">
        <v>2021</v>
      </c>
      <c r="F2000" s="168" t="s">
        <v>593</v>
      </c>
      <c r="G2000" s="168" t="s">
        <v>630</v>
      </c>
      <c r="H2000" s="168" t="s">
        <v>608</v>
      </c>
      <c r="I2000">
        <v>522032</v>
      </c>
    </row>
    <row r="2001" spans="1:9" hidden="1" x14ac:dyDescent="0.3">
      <c r="A2001">
        <v>75</v>
      </c>
      <c r="B2001" s="168" t="s">
        <v>113</v>
      </c>
      <c r="C2001" s="168" t="s">
        <v>114</v>
      </c>
      <c r="D2001">
        <v>3455.5</v>
      </c>
      <c r="E2001">
        <v>2021</v>
      </c>
      <c r="F2001" s="168" t="s">
        <v>593</v>
      </c>
      <c r="G2001" s="168" t="s">
        <v>630</v>
      </c>
      <c r="H2001" s="168" t="s">
        <v>609</v>
      </c>
      <c r="I2001">
        <v>522032</v>
      </c>
    </row>
    <row r="2002" spans="1:9" hidden="1" x14ac:dyDescent="0.3">
      <c r="A2002">
        <v>75</v>
      </c>
      <c r="B2002" s="168" t="s">
        <v>113</v>
      </c>
      <c r="C2002" s="168" t="s">
        <v>114</v>
      </c>
      <c r="D2002">
        <v>3455.5</v>
      </c>
      <c r="E2002">
        <v>2021</v>
      </c>
      <c r="F2002" s="168" t="s">
        <v>593</v>
      </c>
      <c r="G2002" s="168" t="s">
        <v>621</v>
      </c>
      <c r="H2002" s="168" t="s">
        <v>608</v>
      </c>
      <c r="I2002">
        <v>4277661.5999999996</v>
      </c>
    </row>
    <row r="2003" spans="1:9" hidden="1" x14ac:dyDescent="0.3">
      <c r="A2003">
        <v>75</v>
      </c>
      <c r="B2003" s="168" t="s">
        <v>113</v>
      </c>
      <c r="C2003" s="168" t="s">
        <v>114</v>
      </c>
      <c r="D2003">
        <v>3455.5</v>
      </c>
      <c r="E2003">
        <v>2021</v>
      </c>
      <c r="F2003" s="168" t="s">
        <v>593</v>
      </c>
      <c r="G2003" s="168" t="s">
        <v>621</v>
      </c>
      <c r="H2003" s="168" t="s">
        <v>609</v>
      </c>
      <c r="I2003">
        <v>6522241.5999999996</v>
      </c>
    </row>
    <row r="2004" spans="1:9" hidden="1" x14ac:dyDescent="0.3">
      <c r="A2004">
        <v>75</v>
      </c>
      <c r="B2004" s="168" t="s">
        <v>113</v>
      </c>
      <c r="C2004" s="168" t="s">
        <v>114</v>
      </c>
      <c r="D2004">
        <v>3455.5</v>
      </c>
      <c r="E2004">
        <v>2021</v>
      </c>
      <c r="F2004" s="168" t="s">
        <v>593</v>
      </c>
      <c r="G2004" s="168" t="s">
        <v>626</v>
      </c>
      <c r="H2004" s="168" t="s">
        <v>608</v>
      </c>
      <c r="I2004">
        <v>0</v>
      </c>
    </row>
    <row r="2005" spans="1:9" hidden="1" x14ac:dyDescent="0.3">
      <c r="A2005">
        <v>75</v>
      </c>
      <c r="B2005" s="168" t="s">
        <v>113</v>
      </c>
      <c r="C2005" s="168" t="s">
        <v>114</v>
      </c>
      <c r="D2005">
        <v>3455.5</v>
      </c>
      <c r="E2005">
        <v>2021</v>
      </c>
      <c r="F2005" s="168" t="s">
        <v>593</v>
      </c>
      <c r="G2005" s="168" t="s">
        <v>626</v>
      </c>
      <c r="H2005" s="168" t="s">
        <v>609</v>
      </c>
      <c r="I2005">
        <v>1670000</v>
      </c>
    </row>
    <row r="2006" spans="1:9" hidden="1" x14ac:dyDescent="0.3">
      <c r="A2006">
        <v>75</v>
      </c>
      <c r="B2006" s="168" t="s">
        <v>113</v>
      </c>
      <c r="C2006" s="168" t="s">
        <v>114</v>
      </c>
      <c r="D2006">
        <v>3455.5</v>
      </c>
      <c r="E2006">
        <v>2021</v>
      </c>
      <c r="F2006" s="168" t="s">
        <v>593</v>
      </c>
      <c r="G2006" s="168" t="s">
        <v>613</v>
      </c>
      <c r="H2006" s="168" t="s">
        <v>608</v>
      </c>
      <c r="I2006">
        <v>130438.543741392</v>
      </c>
    </row>
    <row r="2007" spans="1:9" hidden="1" x14ac:dyDescent="0.3">
      <c r="A2007">
        <v>75</v>
      </c>
      <c r="B2007" s="168" t="s">
        <v>113</v>
      </c>
      <c r="C2007" s="168" t="s">
        <v>114</v>
      </c>
      <c r="D2007">
        <v>3455.5</v>
      </c>
      <c r="E2007">
        <v>2021</v>
      </c>
      <c r="F2007" s="168" t="s">
        <v>593</v>
      </c>
      <c r="G2007" s="168" t="s">
        <v>613</v>
      </c>
      <c r="H2007" s="168" t="s">
        <v>609</v>
      </c>
      <c r="I2007">
        <v>415223</v>
      </c>
    </row>
    <row r="2008" spans="1:9" hidden="1" x14ac:dyDescent="0.3">
      <c r="A2008">
        <v>76</v>
      </c>
      <c r="B2008" s="168" t="s">
        <v>115</v>
      </c>
      <c r="C2008" s="168" t="s">
        <v>116</v>
      </c>
      <c r="D2008">
        <v>2482.1</v>
      </c>
      <c r="E2008">
        <v>2021</v>
      </c>
      <c r="F2008" s="168" t="s">
        <v>593</v>
      </c>
      <c r="G2008" s="168" t="s">
        <v>607</v>
      </c>
      <c r="H2008" s="168" t="s">
        <v>609</v>
      </c>
      <c r="I2008">
        <v>1294520.52</v>
      </c>
    </row>
    <row r="2009" spans="1:9" hidden="1" x14ac:dyDescent="0.3">
      <c r="A2009">
        <v>76</v>
      </c>
      <c r="B2009" s="168" t="s">
        <v>115</v>
      </c>
      <c r="C2009" s="168" t="s">
        <v>116</v>
      </c>
      <c r="D2009">
        <v>2482.1</v>
      </c>
      <c r="E2009">
        <v>2021</v>
      </c>
      <c r="F2009" s="168" t="s">
        <v>593</v>
      </c>
      <c r="G2009" s="168" t="s">
        <v>612</v>
      </c>
      <c r="H2009" s="168" t="s">
        <v>608</v>
      </c>
      <c r="I2009">
        <v>0</v>
      </c>
    </row>
    <row r="2010" spans="1:9" hidden="1" x14ac:dyDescent="0.3">
      <c r="A2010">
        <v>76</v>
      </c>
      <c r="B2010" s="168" t="s">
        <v>115</v>
      </c>
      <c r="C2010" s="168" t="s">
        <v>116</v>
      </c>
      <c r="D2010">
        <v>2482.1</v>
      </c>
      <c r="E2010">
        <v>2021</v>
      </c>
      <c r="F2010" s="168" t="s">
        <v>593</v>
      </c>
      <c r="G2010" s="168" t="s">
        <v>612</v>
      </c>
      <c r="H2010" s="168" t="s">
        <v>609</v>
      </c>
      <c r="I2010">
        <v>8330</v>
      </c>
    </row>
    <row r="2011" spans="1:9" hidden="1" x14ac:dyDescent="0.3">
      <c r="A2011">
        <v>76</v>
      </c>
      <c r="B2011" s="168" t="s">
        <v>115</v>
      </c>
      <c r="C2011" s="168" t="s">
        <v>116</v>
      </c>
      <c r="D2011">
        <v>2482.1</v>
      </c>
      <c r="E2011">
        <v>2021</v>
      </c>
      <c r="F2011" s="168" t="s">
        <v>593</v>
      </c>
      <c r="G2011" s="168" t="s">
        <v>629</v>
      </c>
      <c r="H2011" s="168" t="s">
        <v>608</v>
      </c>
      <c r="I2011">
        <v>0</v>
      </c>
    </row>
    <row r="2012" spans="1:9" hidden="1" x14ac:dyDescent="0.3">
      <c r="A2012">
        <v>76</v>
      </c>
      <c r="B2012" s="168" t="s">
        <v>115</v>
      </c>
      <c r="C2012" s="168" t="s">
        <v>116</v>
      </c>
      <c r="D2012">
        <v>2482.1</v>
      </c>
      <c r="E2012">
        <v>2021</v>
      </c>
      <c r="F2012" s="168" t="s">
        <v>593</v>
      </c>
      <c r="G2012" s="168" t="s">
        <v>629</v>
      </c>
      <c r="H2012" s="168" t="s">
        <v>609</v>
      </c>
      <c r="I2012">
        <v>548535</v>
      </c>
    </row>
    <row r="2013" spans="1:9" hidden="1" x14ac:dyDescent="0.3">
      <c r="A2013">
        <v>76</v>
      </c>
      <c r="B2013" s="168" t="s">
        <v>115</v>
      </c>
      <c r="C2013" s="168" t="s">
        <v>116</v>
      </c>
      <c r="D2013">
        <v>2482.1</v>
      </c>
      <c r="E2013">
        <v>2021</v>
      </c>
      <c r="F2013" s="168" t="s">
        <v>593</v>
      </c>
      <c r="G2013" s="168" t="s">
        <v>617</v>
      </c>
      <c r="H2013" s="168" t="s">
        <v>608</v>
      </c>
      <c r="I2013">
        <v>4964</v>
      </c>
    </row>
    <row r="2014" spans="1:9" hidden="1" x14ac:dyDescent="0.3">
      <c r="A2014">
        <v>76</v>
      </c>
      <c r="B2014" s="168" t="s">
        <v>115</v>
      </c>
      <c r="C2014" s="168" t="s">
        <v>116</v>
      </c>
      <c r="D2014">
        <v>2482.1</v>
      </c>
      <c r="E2014">
        <v>2021</v>
      </c>
      <c r="F2014" s="168" t="s">
        <v>593</v>
      </c>
      <c r="G2014" s="168" t="s">
        <v>617</v>
      </c>
      <c r="H2014" s="168" t="s">
        <v>609</v>
      </c>
      <c r="I2014">
        <v>4964</v>
      </c>
    </row>
    <row r="2015" spans="1:9" hidden="1" x14ac:dyDescent="0.3">
      <c r="A2015">
        <v>76</v>
      </c>
      <c r="B2015" s="168" t="s">
        <v>115</v>
      </c>
      <c r="C2015" s="168" t="s">
        <v>116</v>
      </c>
      <c r="D2015">
        <v>2482.1</v>
      </c>
      <c r="E2015">
        <v>2021</v>
      </c>
      <c r="F2015" s="168" t="s">
        <v>593</v>
      </c>
      <c r="G2015" s="168" t="s">
        <v>618</v>
      </c>
      <c r="H2015" s="168" t="s">
        <v>608</v>
      </c>
      <c r="I2015">
        <v>0</v>
      </c>
    </row>
    <row r="2016" spans="1:9" hidden="1" x14ac:dyDescent="0.3">
      <c r="A2016">
        <v>76</v>
      </c>
      <c r="B2016" s="168" t="s">
        <v>115</v>
      </c>
      <c r="C2016" s="168" t="s">
        <v>116</v>
      </c>
      <c r="D2016">
        <v>2482.1</v>
      </c>
      <c r="E2016">
        <v>2021</v>
      </c>
      <c r="F2016" s="168" t="s">
        <v>593</v>
      </c>
      <c r="G2016" s="168" t="s">
        <v>618</v>
      </c>
      <c r="H2016" s="168" t="s">
        <v>609</v>
      </c>
      <c r="I2016">
        <v>198000</v>
      </c>
    </row>
    <row r="2017" spans="1:9" hidden="1" x14ac:dyDescent="0.3">
      <c r="A2017">
        <v>76</v>
      </c>
      <c r="B2017" s="168" t="s">
        <v>115</v>
      </c>
      <c r="C2017" s="168" t="s">
        <v>116</v>
      </c>
      <c r="D2017">
        <v>2482.1</v>
      </c>
      <c r="E2017">
        <v>2021</v>
      </c>
      <c r="F2017" s="168" t="s">
        <v>593</v>
      </c>
      <c r="G2017" s="168" t="s">
        <v>610</v>
      </c>
      <c r="H2017" s="168" t="s">
        <v>608</v>
      </c>
      <c r="I2017">
        <v>0</v>
      </c>
    </row>
    <row r="2018" spans="1:9" hidden="1" x14ac:dyDescent="0.3">
      <c r="A2018">
        <v>76</v>
      </c>
      <c r="B2018" s="168" t="s">
        <v>115</v>
      </c>
      <c r="C2018" s="168" t="s">
        <v>116</v>
      </c>
      <c r="D2018">
        <v>2482.1</v>
      </c>
      <c r="E2018">
        <v>2021</v>
      </c>
      <c r="F2018" s="168" t="s">
        <v>593</v>
      </c>
      <c r="G2018" s="168" t="s">
        <v>610</v>
      </c>
      <c r="H2018" s="168" t="s">
        <v>609</v>
      </c>
      <c r="I2018">
        <v>3272.7272727272725</v>
      </c>
    </row>
    <row r="2019" spans="1:9" hidden="1" x14ac:dyDescent="0.3">
      <c r="A2019">
        <v>76</v>
      </c>
      <c r="B2019" s="168" t="s">
        <v>115</v>
      </c>
      <c r="C2019" s="168" t="s">
        <v>116</v>
      </c>
      <c r="D2019">
        <v>2482.1</v>
      </c>
      <c r="E2019">
        <v>2021</v>
      </c>
      <c r="F2019" s="168" t="s">
        <v>593</v>
      </c>
      <c r="G2019" s="168" t="s">
        <v>620</v>
      </c>
      <c r="H2019" s="168" t="s">
        <v>608</v>
      </c>
      <c r="I2019">
        <v>76952.529032258055</v>
      </c>
    </row>
    <row r="2020" spans="1:9" hidden="1" x14ac:dyDescent="0.3">
      <c r="A2020">
        <v>76</v>
      </c>
      <c r="B2020" s="168" t="s">
        <v>115</v>
      </c>
      <c r="C2020" s="168" t="s">
        <v>116</v>
      </c>
      <c r="D2020">
        <v>2482.1</v>
      </c>
      <c r="E2020">
        <v>2021</v>
      </c>
      <c r="F2020" s="168" t="s">
        <v>593</v>
      </c>
      <c r="G2020" s="168" t="s">
        <v>620</v>
      </c>
      <c r="H2020" s="168" t="s">
        <v>609</v>
      </c>
      <c r="I2020">
        <v>0</v>
      </c>
    </row>
    <row r="2021" spans="1:9" hidden="1" x14ac:dyDescent="0.3">
      <c r="A2021">
        <v>76</v>
      </c>
      <c r="B2021" s="168" t="s">
        <v>115</v>
      </c>
      <c r="C2021" s="168" t="s">
        <v>116</v>
      </c>
      <c r="D2021">
        <v>2482.1</v>
      </c>
      <c r="E2021">
        <v>2021</v>
      </c>
      <c r="F2021" s="168" t="s">
        <v>593</v>
      </c>
      <c r="G2021" s="168" t="s">
        <v>633</v>
      </c>
      <c r="H2021" s="168" t="s">
        <v>608</v>
      </c>
      <c r="I2021">
        <v>0</v>
      </c>
    </row>
    <row r="2022" spans="1:9" hidden="1" x14ac:dyDescent="0.3">
      <c r="A2022">
        <v>76</v>
      </c>
      <c r="B2022" s="168" t="s">
        <v>115</v>
      </c>
      <c r="C2022" s="168" t="s">
        <v>116</v>
      </c>
      <c r="D2022">
        <v>2482.1</v>
      </c>
      <c r="E2022">
        <v>2021</v>
      </c>
      <c r="F2022" s="168" t="s">
        <v>593</v>
      </c>
      <c r="G2022" s="168" t="s">
        <v>633</v>
      </c>
      <c r="H2022" s="168" t="s">
        <v>609</v>
      </c>
      <c r="I2022">
        <v>66106.194690265489</v>
      </c>
    </row>
    <row r="2023" spans="1:9" hidden="1" x14ac:dyDescent="0.3">
      <c r="A2023">
        <v>76</v>
      </c>
      <c r="B2023" s="168" t="s">
        <v>115</v>
      </c>
      <c r="C2023" s="168" t="s">
        <v>116</v>
      </c>
      <c r="D2023">
        <v>2482.1</v>
      </c>
      <c r="E2023">
        <v>2021</v>
      </c>
      <c r="F2023" s="168" t="s">
        <v>593</v>
      </c>
      <c r="G2023" s="168" t="s">
        <v>625</v>
      </c>
      <c r="H2023" s="168" t="s">
        <v>608</v>
      </c>
      <c r="I2023">
        <v>0</v>
      </c>
    </row>
    <row r="2024" spans="1:9" hidden="1" x14ac:dyDescent="0.3">
      <c r="A2024">
        <v>76</v>
      </c>
      <c r="B2024" s="168" t="s">
        <v>115</v>
      </c>
      <c r="C2024" s="168" t="s">
        <v>116</v>
      </c>
      <c r="D2024">
        <v>2482.1</v>
      </c>
      <c r="E2024">
        <v>2021</v>
      </c>
      <c r="F2024" s="168" t="s">
        <v>593</v>
      </c>
      <c r="G2024" s="168" t="s">
        <v>625</v>
      </c>
      <c r="H2024" s="168" t="s">
        <v>609</v>
      </c>
      <c r="I2024">
        <v>247500</v>
      </c>
    </row>
    <row r="2025" spans="1:9" hidden="1" x14ac:dyDescent="0.3">
      <c r="A2025">
        <v>76</v>
      </c>
      <c r="B2025" s="168" t="s">
        <v>115</v>
      </c>
      <c r="C2025" s="168" t="s">
        <v>116</v>
      </c>
      <c r="D2025">
        <v>2482.1</v>
      </c>
      <c r="E2025">
        <v>2021</v>
      </c>
      <c r="F2025" s="168" t="s">
        <v>593</v>
      </c>
      <c r="G2025" s="168" t="s">
        <v>630</v>
      </c>
      <c r="H2025" s="168" t="s">
        <v>608</v>
      </c>
      <c r="I2025">
        <v>522032</v>
      </c>
    </row>
    <row r="2026" spans="1:9" hidden="1" x14ac:dyDescent="0.3">
      <c r="A2026">
        <v>76</v>
      </c>
      <c r="B2026" s="168" t="s">
        <v>115</v>
      </c>
      <c r="C2026" s="168" t="s">
        <v>116</v>
      </c>
      <c r="D2026">
        <v>2482.1</v>
      </c>
      <c r="E2026">
        <v>2021</v>
      </c>
      <c r="F2026" s="168" t="s">
        <v>593</v>
      </c>
      <c r="G2026" s="168" t="s">
        <v>630</v>
      </c>
      <c r="H2026" s="168" t="s">
        <v>609</v>
      </c>
      <c r="I2026">
        <v>522032</v>
      </c>
    </row>
    <row r="2027" spans="1:9" hidden="1" x14ac:dyDescent="0.3">
      <c r="A2027">
        <v>76</v>
      </c>
      <c r="B2027" s="168" t="s">
        <v>115</v>
      </c>
      <c r="C2027" s="168" t="s">
        <v>116</v>
      </c>
      <c r="D2027">
        <v>2482.1</v>
      </c>
      <c r="E2027">
        <v>2021</v>
      </c>
      <c r="F2027" s="168" t="s">
        <v>593</v>
      </c>
      <c r="G2027" s="168" t="s">
        <v>621</v>
      </c>
      <c r="H2027" s="168" t="s">
        <v>608</v>
      </c>
      <c r="I2027">
        <v>0</v>
      </c>
    </row>
    <row r="2028" spans="1:9" hidden="1" x14ac:dyDescent="0.3">
      <c r="A2028">
        <v>76</v>
      </c>
      <c r="B2028" s="168" t="s">
        <v>115</v>
      </c>
      <c r="C2028" s="168" t="s">
        <v>116</v>
      </c>
      <c r="D2028">
        <v>2482.1</v>
      </c>
      <c r="E2028">
        <v>2021</v>
      </c>
      <c r="F2028" s="168" t="s">
        <v>593</v>
      </c>
      <c r="G2028" s="168" t="s">
        <v>613</v>
      </c>
      <c r="H2028" s="168" t="s">
        <v>608</v>
      </c>
      <c r="I2028">
        <v>93694.547654611219</v>
      </c>
    </row>
    <row r="2029" spans="1:9" hidden="1" x14ac:dyDescent="0.3">
      <c r="A2029">
        <v>76</v>
      </c>
      <c r="B2029" s="168" t="s">
        <v>115</v>
      </c>
      <c r="C2029" s="168" t="s">
        <v>116</v>
      </c>
      <c r="D2029">
        <v>2482.1</v>
      </c>
      <c r="E2029">
        <v>2021</v>
      </c>
      <c r="F2029" s="168" t="s">
        <v>593</v>
      </c>
      <c r="G2029" s="168" t="s">
        <v>613</v>
      </c>
      <c r="H2029" s="168" t="s">
        <v>609</v>
      </c>
      <c r="I2029">
        <v>415223</v>
      </c>
    </row>
    <row r="2030" spans="1:9" hidden="1" x14ac:dyDescent="0.3">
      <c r="A2030">
        <v>77</v>
      </c>
      <c r="B2030" s="168" t="s">
        <v>117</v>
      </c>
      <c r="C2030" s="168" t="s">
        <v>118</v>
      </c>
      <c r="D2030">
        <v>404.9</v>
      </c>
      <c r="E2030">
        <v>2021</v>
      </c>
      <c r="F2030" s="168" t="s">
        <v>593</v>
      </c>
      <c r="G2030" s="168" t="s">
        <v>607</v>
      </c>
      <c r="H2030" s="168" t="s">
        <v>608</v>
      </c>
      <c r="I2030">
        <v>54197.279999999999</v>
      </c>
    </row>
    <row r="2031" spans="1:9" hidden="1" x14ac:dyDescent="0.3">
      <c r="A2031">
        <v>77</v>
      </c>
      <c r="B2031" s="168" t="s">
        <v>117</v>
      </c>
      <c r="C2031" s="168" t="s">
        <v>118</v>
      </c>
      <c r="D2031">
        <v>404.9</v>
      </c>
      <c r="E2031">
        <v>2021</v>
      </c>
      <c r="F2031" s="168" t="s">
        <v>593</v>
      </c>
      <c r="G2031" s="168" t="s">
        <v>607</v>
      </c>
      <c r="H2031" s="168" t="s">
        <v>609</v>
      </c>
      <c r="I2031">
        <v>0</v>
      </c>
    </row>
    <row r="2032" spans="1:9" hidden="1" x14ac:dyDescent="0.3">
      <c r="A2032">
        <v>77</v>
      </c>
      <c r="B2032" s="168" t="s">
        <v>117</v>
      </c>
      <c r="C2032" s="168" t="s">
        <v>118</v>
      </c>
      <c r="D2032">
        <v>404.9</v>
      </c>
      <c r="E2032">
        <v>2021</v>
      </c>
      <c r="F2032" s="168" t="s">
        <v>593</v>
      </c>
      <c r="G2032" s="168" t="s">
        <v>612</v>
      </c>
      <c r="H2032" s="168" t="s">
        <v>608</v>
      </c>
      <c r="I2032">
        <v>0</v>
      </c>
    </row>
    <row r="2033" spans="1:9" hidden="1" x14ac:dyDescent="0.3">
      <c r="A2033">
        <v>77</v>
      </c>
      <c r="B2033" s="168" t="s">
        <v>117</v>
      </c>
      <c r="C2033" s="168" t="s">
        <v>118</v>
      </c>
      <c r="D2033">
        <v>404.9</v>
      </c>
      <c r="E2033">
        <v>2021</v>
      </c>
      <c r="F2033" s="168" t="s">
        <v>593</v>
      </c>
      <c r="G2033" s="168" t="s">
        <v>612</v>
      </c>
      <c r="H2033" s="168" t="s">
        <v>609</v>
      </c>
      <c r="I2033">
        <v>507.36602205394416</v>
      </c>
    </row>
    <row r="2034" spans="1:9" hidden="1" x14ac:dyDescent="0.3">
      <c r="A2034">
        <v>77</v>
      </c>
      <c r="B2034" s="168" t="s">
        <v>117</v>
      </c>
      <c r="C2034" s="168" t="s">
        <v>118</v>
      </c>
      <c r="D2034">
        <v>404.9</v>
      </c>
      <c r="E2034">
        <v>2021</v>
      </c>
      <c r="F2034" s="168" t="s">
        <v>593</v>
      </c>
      <c r="G2034" s="168" t="s">
        <v>611</v>
      </c>
      <c r="H2034" s="168" t="s">
        <v>608</v>
      </c>
      <c r="I2034">
        <v>0</v>
      </c>
    </row>
    <row r="2035" spans="1:9" hidden="1" x14ac:dyDescent="0.3">
      <c r="A2035">
        <v>77</v>
      </c>
      <c r="B2035" s="168" t="s">
        <v>117</v>
      </c>
      <c r="C2035" s="168" t="s">
        <v>118</v>
      </c>
      <c r="D2035">
        <v>404.9</v>
      </c>
      <c r="E2035">
        <v>2021</v>
      </c>
      <c r="F2035" s="168" t="s">
        <v>593</v>
      </c>
      <c r="G2035" s="168" t="s">
        <v>611</v>
      </c>
      <c r="H2035" s="168" t="s">
        <v>609</v>
      </c>
      <c r="I2035">
        <v>2884.5984934354437</v>
      </c>
    </row>
    <row r="2036" spans="1:9" x14ac:dyDescent="0.3">
      <c r="A2036">
        <v>78</v>
      </c>
      <c r="B2036" s="168" t="s">
        <v>119</v>
      </c>
      <c r="C2036" s="168" t="s">
        <v>120</v>
      </c>
      <c r="D2036">
        <v>5741.2</v>
      </c>
      <c r="E2036">
        <v>2021</v>
      </c>
      <c r="F2036" s="168" t="s">
        <v>592</v>
      </c>
      <c r="G2036" s="168" t="s">
        <v>612</v>
      </c>
      <c r="H2036" s="168" t="s">
        <v>608</v>
      </c>
      <c r="I2036">
        <v>0</v>
      </c>
    </row>
    <row r="2037" spans="1:9" x14ac:dyDescent="0.3">
      <c r="A2037">
        <v>78</v>
      </c>
      <c r="B2037" s="168" t="s">
        <v>119</v>
      </c>
      <c r="C2037" s="168" t="s">
        <v>120</v>
      </c>
      <c r="D2037">
        <v>5741.2</v>
      </c>
      <c r="E2037">
        <v>2021</v>
      </c>
      <c r="F2037" s="168" t="s">
        <v>592</v>
      </c>
      <c r="G2037" s="168" t="s">
        <v>612</v>
      </c>
      <c r="H2037" s="168" t="s">
        <v>609</v>
      </c>
      <c r="I2037">
        <v>7194.096828392454</v>
      </c>
    </row>
    <row r="2038" spans="1:9" x14ac:dyDescent="0.3">
      <c r="A2038">
        <v>78</v>
      </c>
      <c r="B2038" s="168" t="s">
        <v>119</v>
      </c>
      <c r="C2038" s="168" t="s">
        <v>120</v>
      </c>
      <c r="D2038">
        <v>5741.2</v>
      </c>
      <c r="E2038">
        <v>2021</v>
      </c>
      <c r="F2038" s="168" t="s">
        <v>592</v>
      </c>
      <c r="G2038" s="168" t="s">
        <v>617</v>
      </c>
      <c r="H2038" s="168" t="s">
        <v>608</v>
      </c>
      <c r="I2038">
        <v>3877.7887358030061</v>
      </c>
    </row>
    <row r="2039" spans="1:9" x14ac:dyDescent="0.3">
      <c r="A2039">
        <v>78</v>
      </c>
      <c r="B2039" s="168" t="s">
        <v>119</v>
      </c>
      <c r="C2039" s="168" t="s">
        <v>120</v>
      </c>
      <c r="D2039">
        <v>5741.2</v>
      </c>
      <c r="E2039">
        <v>2021</v>
      </c>
      <c r="F2039" s="168" t="s">
        <v>592</v>
      </c>
      <c r="G2039" s="168" t="s">
        <v>617</v>
      </c>
      <c r="H2039" s="168" t="s">
        <v>609</v>
      </c>
      <c r="I2039">
        <v>2908.3415518522547</v>
      </c>
    </row>
    <row r="2040" spans="1:9" x14ac:dyDescent="0.3">
      <c r="A2040">
        <v>78</v>
      </c>
      <c r="B2040" s="168" t="s">
        <v>119</v>
      </c>
      <c r="C2040" s="168" t="s">
        <v>120</v>
      </c>
      <c r="D2040">
        <v>5741.2</v>
      </c>
      <c r="E2040">
        <v>2021</v>
      </c>
      <c r="F2040" s="168" t="s">
        <v>592</v>
      </c>
      <c r="G2040" s="168" t="s">
        <v>610</v>
      </c>
      <c r="H2040" s="168" t="s">
        <v>608</v>
      </c>
      <c r="I2040">
        <v>0</v>
      </c>
    </row>
    <row r="2041" spans="1:9" x14ac:dyDescent="0.3">
      <c r="A2041">
        <v>78</v>
      </c>
      <c r="B2041" s="168" t="s">
        <v>119</v>
      </c>
      <c r="C2041" s="168" t="s">
        <v>120</v>
      </c>
      <c r="D2041">
        <v>5741.2</v>
      </c>
      <c r="E2041">
        <v>2021</v>
      </c>
      <c r="F2041" s="168" t="s">
        <v>592</v>
      </c>
      <c r="G2041" s="168" t="s">
        <v>610</v>
      </c>
      <c r="H2041" s="168" t="s">
        <v>609</v>
      </c>
      <c r="I2041">
        <v>6545.454545454545</v>
      </c>
    </row>
    <row r="2042" spans="1:9" x14ac:dyDescent="0.3">
      <c r="A2042">
        <v>78</v>
      </c>
      <c r="B2042" s="168" t="s">
        <v>119</v>
      </c>
      <c r="C2042" s="168" t="s">
        <v>120</v>
      </c>
      <c r="D2042">
        <v>5741.2</v>
      </c>
      <c r="E2042">
        <v>2021</v>
      </c>
      <c r="F2042" s="168" t="s">
        <v>592</v>
      </c>
      <c r="G2042" s="168" t="s">
        <v>620</v>
      </c>
      <c r="H2042" s="168" t="s">
        <v>608</v>
      </c>
      <c r="I2042">
        <v>19238.132258064514</v>
      </c>
    </row>
    <row r="2043" spans="1:9" x14ac:dyDescent="0.3">
      <c r="A2043">
        <v>78</v>
      </c>
      <c r="B2043" s="168" t="s">
        <v>119</v>
      </c>
      <c r="C2043" s="168" t="s">
        <v>120</v>
      </c>
      <c r="D2043">
        <v>5741.2</v>
      </c>
      <c r="E2043">
        <v>2021</v>
      </c>
      <c r="F2043" s="168" t="s">
        <v>592</v>
      </c>
      <c r="G2043" s="168" t="s">
        <v>620</v>
      </c>
      <c r="H2043" s="168" t="s">
        <v>609</v>
      </c>
      <c r="I2043">
        <v>0</v>
      </c>
    </row>
    <row r="2044" spans="1:9" x14ac:dyDescent="0.3">
      <c r="A2044">
        <v>78</v>
      </c>
      <c r="B2044" s="168" t="s">
        <v>119</v>
      </c>
      <c r="C2044" s="168" t="s">
        <v>120</v>
      </c>
      <c r="D2044">
        <v>5741.2</v>
      </c>
      <c r="E2044">
        <v>2021</v>
      </c>
      <c r="F2044" s="168" t="s">
        <v>592</v>
      </c>
      <c r="G2044" s="168" t="s">
        <v>615</v>
      </c>
      <c r="H2044" s="168" t="s">
        <v>608</v>
      </c>
      <c r="I2044">
        <v>0</v>
      </c>
    </row>
    <row r="2045" spans="1:9" x14ac:dyDescent="0.3">
      <c r="A2045">
        <v>78</v>
      </c>
      <c r="B2045" s="168" t="s">
        <v>119</v>
      </c>
      <c r="C2045" s="168" t="s">
        <v>120</v>
      </c>
      <c r="D2045">
        <v>5741.2</v>
      </c>
      <c r="E2045">
        <v>2021</v>
      </c>
      <c r="F2045" s="168" t="s">
        <v>592</v>
      </c>
      <c r="G2045" s="168" t="s">
        <v>615</v>
      </c>
      <c r="H2045" s="168" t="s">
        <v>609</v>
      </c>
      <c r="I2045">
        <v>15073.170731707318</v>
      </c>
    </row>
    <row r="2046" spans="1:9" x14ac:dyDescent="0.3">
      <c r="A2046">
        <v>78</v>
      </c>
      <c r="B2046" s="168" t="s">
        <v>119</v>
      </c>
      <c r="C2046" s="168" t="s">
        <v>120</v>
      </c>
      <c r="D2046">
        <v>5741.2</v>
      </c>
      <c r="E2046">
        <v>2021</v>
      </c>
      <c r="F2046" s="168" t="s">
        <v>592</v>
      </c>
      <c r="G2046" s="168" t="s">
        <v>630</v>
      </c>
      <c r="H2046" s="168" t="s">
        <v>608</v>
      </c>
      <c r="I2046">
        <v>107403.78907200749</v>
      </c>
    </row>
    <row r="2047" spans="1:9" x14ac:dyDescent="0.3">
      <c r="A2047">
        <v>78</v>
      </c>
      <c r="B2047" s="168" t="s">
        <v>119</v>
      </c>
      <c r="C2047" s="168" t="s">
        <v>120</v>
      </c>
      <c r="D2047">
        <v>5741.2</v>
      </c>
      <c r="E2047">
        <v>2021</v>
      </c>
      <c r="F2047" s="168" t="s">
        <v>592</v>
      </c>
      <c r="G2047" s="168" t="s">
        <v>630</v>
      </c>
      <c r="H2047" s="168" t="s">
        <v>609</v>
      </c>
      <c r="I2047">
        <v>112987.01269455589</v>
      </c>
    </row>
    <row r="2048" spans="1:9" x14ac:dyDescent="0.3">
      <c r="A2048">
        <v>78</v>
      </c>
      <c r="B2048" s="168" t="s">
        <v>119</v>
      </c>
      <c r="C2048" s="168" t="s">
        <v>120</v>
      </c>
      <c r="D2048">
        <v>5741.2</v>
      </c>
      <c r="E2048">
        <v>2021</v>
      </c>
      <c r="F2048" s="168" t="s">
        <v>592</v>
      </c>
      <c r="G2048" s="168" t="s">
        <v>613</v>
      </c>
      <c r="H2048" s="168" t="s">
        <v>608</v>
      </c>
      <c r="I2048">
        <v>216719.36545451594</v>
      </c>
    </row>
    <row r="2049" spans="1:9" x14ac:dyDescent="0.3">
      <c r="A2049">
        <v>78</v>
      </c>
      <c r="B2049" s="168" t="s">
        <v>119</v>
      </c>
      <c r="C2049" s="168" t="s">
        <v>120</v>
      </c>
      <c r="D2049">
        <v>5741.2</v>
      </c>
      <c r="E2049">
        <v>2021</v>
      </c>
      <c r="F2049" s="168" t="s">
        <v>592</v>
      </c>
      <c r="G2049" s="168" t="s">
        <v>613</v>
      </c>
      <c r="H2049" s="168" t="s">
        <v>609</v>
      </c>
      <c r="I2049">
        <v>43987.529305303979</v>
      </c>
    </row>
    <row r="2050" spans="1:9" x14ac:dyDescent="0.3">
      <c r="A2050">
        <v>78</v>
      </c>
      <c r="B2050" s="168" t="s">
        <v>119</v>
      </c>
      <c r="C2050" s="168" t="s">
        <v>120</v>
      </c>
      <c r="D2050">
        <v>5741.2</v>
      </c>
      <c r="E2050">
        <v>2021</v>
      </c>
      <c r="F2050" s="168" t="s">
        <v>592</v>
      </c>
      <c r="G2050" s="168" t="s">
        <v>622</v>
      </c>
      <c r="H2050" s="168" t="s">
        <v>608</v>
      </c>
      <c r="I2050">
        <v>78457.198765190129</v>
      </c>
    </row>
    <row r="2051" spans="1:9" x14ac:dyDescent="0.3">
      <c r="A2051">
        <v>78</v>
      </c>
      <c r="B2051" s="168" t="s">
        <v>119</v>
      </c>
      <c r="C2051" s="168" t="s">
        <v>120</v>
      </c>
      <c r="D2051">
        <v>5741.2</v>
      </c>
      <c r="E2051">
        <v>2021</v>
      </c>
      <c r="F2051" s="168" t="s">
        <v>592</v>
      </c>
      <c r="G2051" s="168" t="s">
        <v>622</v>
      </c>
      <c r="H2051" s="168" t="s">
        <v>609</v>
      </c>
      <c r="I2051">
        <v>0</v>
      </c>
    </row>
    <row r="2052" spans="1:9" hidden="1" x14ac:dyDescent="0.3">
      <c r="A2052">
        <v>79</v>
      </c>
      <c r="B2052" s="168" t="s">
        <v>121</v>
      </c>
      <c r="C2052" s="168" t="s">
        <v>122</v>
      </c>
      <c r="D2052">
        <v>9.1999999999999993</v>
      </c>
      <c r="E2052">
        <v>2021</v>
      </c>
      <c r="F2052" s="168" t="s">
        <v>593</v>
      </c>
      <c r="G2052" s="168" t="s">
        <v>612</v>
      </c>
      <c r="H2052" s="168" t="s">
        <v>608</v>
      </c>
      <c r="I2052">
        <v>0</v>
      </c>
    </row>
    <row r="2053" spans="1:9" hidden="1" x14ac:dyDescent="0.3">
      <c r="A2053">
        <v>79</v>
      </c>
      <c r="B2053" s="168" t="s">
        <v>121</v>
      </c>
      <c r="C2053" s="168" t="s">
        <v>122</v>
      </c>
      <c r="D2053">
        <v>9.1999999999999993</v>
      </c>
      <c r="E2053">
        <v>2021</v>
      </c>
      <c r="F2053" s="168" t="s">
        <v>593</v>
      </c>
      <c r="G2053" s="168" t="s">
        <v>612</v>
      </c>
      <c r="H2053" s="168" t="s">
        <v>609</v>
      </c>
      <c r="I2053">
        <v>11.52819808075151</v>
      </c>
    </row>
    <row r="2054" spans="1:9" hidden="1" x14ac:dyDescent="0.3">
      <c r="A2054">
        <v>79</v>
      </c>
      <c r="B2054" s="168" t="s">
        <v>121</v>
      </c>
      <c r="C2054" s="168" t="s">
        <v>122</v>
      </c>
      <c r="D2054">
        <v>9.1999999999999993</v>
      </c>
      <c r="E2054">
        <v>2021</v>
      </c>
      <c r="F2054" s="168" t="s">
        <v>593</v>
      </c>
      <c r="G2054" s="168" t="s">
        <v>617</v>
      </c>
      <c r="H2054" s="168" t="s">
        <v>608</v>
      </c>
      <c r="I2054">
        <v>6.213972056257866</v>
      </c>
    </row>
    <row r="2055" spans="1:9" hidden="1" x14ac:dyDescent="0.3">
      <c r="A2055">
        <v>79</v>
      </c>
      <c r="B2055" s="168" t="s">
        <v>121</v>
      </c>
      <c r="C2055" s="168" t="s">
        <v>122</v>
      </c>
      <c r="D2055">
        <v>9.1999999999999993</v>
      </c>
      <c r="E2055">
        <v>2021</v>
      </c>
      <c r="F2055" s="168" t="s">
        <v>593</v>
      </c>
      <c r="G2055" s="168" t="s">
        <v>617</v>
      </c>
      <c r="H2055" s="168" t="s">
        <v>609</v>
      </c>
      <c r="I2055">
        <v>4.6604790421933995</v>
      </c>
    </row>
    <row r="2056" spans="1:9" hidden="1" x14ac:dyDescent="0.3">
      <c r="A2056">
        <v>79</v>
      </c>
      <c r="B2056" s="168" t="s">
        <v>121</v>
      </c>
      <c r="C2056" s="168" t="s">
        <v>122</v>
      </c>
      <c r="D2056">
        <v>9.1999999999999993</v>
      </c>
      <c r="E2056">
        <v>2021</v>
      </c>
      <c r="F2056" s="168" t="s">
        <v>593</v>
      </c>
      <c r="G2056" s="168" t="s">
        <v>630</v>
      </c>
      <c r="H2056" s="168" t="s">
        <v>608</v>
      </c>
      <c r="I2056">
        <v>34.558826647860464</v>
      </c>
    </row>
    <row r="2057" spans="1:9" hidden="1" x14ac:dyDescent="0.3">
      <c r="A2057">
        <v>79</v>
      </c>
      <c r="B2057" s="168" t="s">
        <v>121</v>
      </c>
      <c r="C2057" s="168" t="s">
        <v>122</v>
      </c>
      <c r="D2057">
        <v>9.1999999999999993</v>
      </c>
      <c r="E2057">
        <v>2021</v>
      </c>
      <c r="F2057" s="168" t="s">
        <v>593</v>
      </c>
      <c r="G2057" s="168" t="s">
        <v>630</v>
      </c>
      <c r="H2057" s="168" t="s">
        <v>609</v>
      </c>
      <c r="I2057">
        <v>34.558826647860464</v>
      </c>
    </row>
    <row r="2058" spans="1:9" hidden="1" x14ac:dyDescent="0.3">
      <c r="A2058">
        <v>80</v>
      </c>
      <c r="B2058" s="168" t="s">
        <v>123</v>
      </c>
      <c r="C2058" s="168" t="s">
        <v>124</v>
      </c>
      <c r="D2058">
        <v>43</v>
      </c>
      <c r="E2058">
        <v>2021</v>
      </c>
      <c r="F2058" s="168" t="s">
        <v>593</v>
      </c>
      <c r="G2058" s="168" t="s">
        <v>612</v>
      </c>
      <c r="H2058" s="168" t="s">
        <v>608</v>
      </c>
      <c r="I2058">
        <v>0</v>
      </c>
    </row>
    <row r="2059" spans="1:9" hidden="1" x14ac:dyDescent="0.3">
      <c r="A2059">
        <v>80</v>
      </c>
      <c r="B2059" s="168" t="s">
        <v>123</v>
      </c>
      <c r="C2059" s="168" t="s">
        <v>124</v>
      </c>
      <c r="D2059">
        <v>43</v>
      </c>
      <c r="E2059">
        <v>2021</v>
      </c>
      <c r="F2059" s="168" t="s">
        <v>593</v>
      </c>
      <c r="G2059" s="168" t="s">
        <v>612</v>
      </c>
      <c r="H2059" s="168" t="s">
        <v>609</v>
      </c>
      <c r="I2059">
        <v>53.88179537742554</v>
      </c>
    </row>
    <row r="2060" spans="1:9" hidden="1" x14ac:dyDescent="0.3">
      <c r="A2060">
        <v>80</v>
      </c>
      <c r="B2060" s="168" t="s">
        <v>123</v>
      </c>
      <c r="C2060" s="168" t="s">
        <v>124</v>
      </c>
      <c r="D2060">
        <v>43</v>
      </c>
      <c r="E2060">
        <v>2021</v>
      </c>
      <c r="F2060" s="168" t="s">
        <v>593</v>
      </c>
      <c r="G2060" s="168" t="s">
        <v>617</v>
      </c>
      <c r="H2060" s="168" t="s">
        <v>608</v>
      </c>
      <c r="I2060">
        <v>29.04356504555307</v>
      </c>
    </row>
    <row r="2061" spans="1:9" hidden="1" x14ac:dyDescent="0.3">
      <c r="A2061">
        <v>80</v>
      </c>
      <c r="B2061" s="168" t="s">
        <v>123</v>
      </c>
      <c r="C2061" s="168" t="s">
        <v>124</v>
      </c>
      <c r="D2061">
        <v>43</v>
      </c>
      <c r="E2061">
        <v>2021</v>
      </c>
      <c r="F2061" s="168" t="s">
        <v>593</v>
      </c>
      <c r="G2061" s="168" t="s">
        <v>617</v>
      </c>
      <c r="H2061" s="168" t="s">
        <v>609</v>
      </c>
      <c r="I2061">
        <v>21.782673784164803</v>
      </c>
    </row>
    <row r="2062" spans="1:9" hidden="1" x14ac:dyDescent="0.3">
      <c r="A2062">
        <v>80</v>
      </c>
      <c r="B2062" s="168" t="s">
        <v>123</v>
      </c>
      <c r="C2062" s="168" t="s">
        <v>124</v>
      </c>
      <c r="D2062">
        <v>43</v>
      </c>
      <c r="E2062">
        <v>2021</v>
      </c>
      <c r="F2062" s="168" t="s">
        <v>593</v>
      </c>
      <c r="G2062" s="168" t="s">
        <v>630</v>
      </c>
      <c r="H2062" s="168" t="s">
        <v>608</v>
      </c>
      <c r="I2062">
        <v>161.52495063673913</v>
      </c>
    </row>
    <row r="2063" spans="1:9" hidden="1" x14ac:dyDescent="0.3">
      <c r="A2063">
        <v>80</v>
      </c>
      <c r="B2063" s="168" t="s">
        <v>123</v>
      </c>
      <c r="C2063" s="168" t="s">
        <v>124</v>
      </c>
      <c r="D2063">
        <v>43</v>
      </c>
      <c r="E2063">
        <v>2021</v>
      </c>
      <c r="F2063" s="168" t="s">
        <v>593</v>
      </c>
      <c r="G2063" s="168" t="s">
        <v>630</v>
      </c>
      <c r="H2063" s="168" t="s">
        <v>609</v>
      </c>
      <c r="I2063">
        <v>161.52495063673913</v>
      </c>
    </row>
    <row r="2064" spans="1:9" hidden="1" x14ac:dyDescent="0.3">
      <c r="A2064">
        <v>81</v>
      </c>
      <c r="B2064" s="168" t="s">
        <v>123</v>
      </c>
      <c r="C2064" s="168" t="s">
        <v>125</v>
      </c>
      <c r="D2064">
        <v>31.6</v>
      </c>
      <c r="E2064">
        <v>2021</v>
      </c>
      <c r="F2064" s="168" t="s">
        <v>593</v>
      </c>
      <c r="G2064" s="168" t="s">
        <v>612</v>
      </c>
      <c r="H2064" s="168" t="s">
        <v>608</v>
      </c>
      <c r="I2064">
        <v>0</v>
      </c>
    </row>
    <row r="2065" spans="1:9" hidden="1" x14ac:dyDescent="0.3">
      <c r="A2065">
        <v>81</v>
      </c>
      <c r="B2065" s="168" t="s">
        <v>123</v>
      </c>
      <c r="C2065" s="168" t="s">
        <v>125</v>
      </c>
      <c r="D2065">
        <v>31.6</v>
      </c>
      <c r="E2065">
        <v>2021</v>
      </c>
      <c r="F2065" s="168" t="s">
        <v>593</v>
      </c>
      <c r="G2065" s="168" t="s">
        <v>612</v>
      </c>
      <c r="H2065" s="168" t="s">
        <v>609</v>
      </c>
      <c r="I2065">
        <v>39.596854277363889</v>
      </c>
    </row>
    <row r="2066" spans="1:9" hidden="1" x14ac:dyDescent="0.3">
      <c r="A2066">
        <v>81</v>
      </c>
      <c r="B2066" s="168" t="s">
        <v>123</v>
      </c>
      <c r="C2066" s="168" t="s">
        <v>125</v>
      </c>
      <c r="D2066">
        <v>31.6</v>
      </c>
      <c r="E2066">
        <v>2021</v>
      </c>
      <c r="F2066" s="168" t="s">
        <v>593</v>
      </c>
      <c r="G2066" s="168" t="s">
        <v>617</v>
      </c>
      <c r="H2066" s="168" t="s">
        <v>608</v>
      </c>
      <c r="I2066">
        <v>21.34364314975528</v>
      </c>
    </row>
    <row r="2067" spans="1:9" hidden="1" x14ac:dyDescent="0.3">
      <c r="A2067">
        <v>81</v>
      </c>
      <c r="B2067" s="168" t="s">
        <v>123</v>
      </c>
      <c r="C2067" s="168" t="s">
        <v>125</v>
      </c>
      <c r="D2067">
        <v>31.6</v>
      </c>
      <c r="E2067">
        <v>2021</v>
      </c>
      <c r="F2067" s="168" t="s">
        <v>593</v>
      </c>
      <c r="G2067" s="168" t="s">
        <v>617</v>
      </c>
      <c r="H2067" s="168" t="s">
        <v>609</v>
      </c>
      <c r="I2067">
        <v>16.00773236231646</v>
      </c>
    </row>
    <row r="2068" spans="1:9" hidden="1" x14ac:dyDescent="0.3">
      <c r="A2068">
        <v>81</v>
      </c>
      <c r="B2068" s="168" t="s">
        <v>123</v>
      </c>
      <c r="C2068" s="168" t="s">
        <v>125</v>
      </c>
      <c r="D2068">
        <v>31.6</v>
      </c>
      <c r="E2068">
        <v>2021</v>
      </c>
      <c r="F2068" s="168" t="s">
        <v>593</v>
      </c>
      <c r="G2068" s="168" t="s">
        <v>630</v>
      </c>
      <c r="H2068" s="168" t="s">
        <v>608</v>
      </c>
      <c r="I2068">
        <v>118.70205674699901</v>
      </c>
    </row>
    <row r="2069" spans="1:9" hidden="1" x14ac:dyDescent="0.3">
      <c r="A2069">
        <v>81</v>
      </c>
      <c r="B2069" s="168" t="s">
        <v>123</v>
      </c>
      <c r="C2069" s="168" t="s">
        <v>125</v>
      </c>
      <c r="D2069">
        <v>31.6</v>
      </c>
      <c r="E2069">
        <v>2021</v>
      </c>
      <c r="F2069" s="168" t="s">
        <v>593</v>
      </c>
      <c r="G2069" s="168" t="s">
        <v>630</v>
      </c>
      <c r="H2069" s="168" t="s">
        <v>609</v>
      </c>
      <c r="I2069">
        <v>118.70205674699901</v>
      </c>
    </row>
    <row r="2070" spans="1:9" hidden="1" x14ac:dyDescent="0.3">
      <c r="A2070">
        <v>82</v>
      </c>
      <c r="B2070" s="168" t="s">
        <v>126</v>
      </c>
      <c r="C2070" s="168" t="s">
        <v>127</v>
      </c>
      <c r="D2070">
        <v>147.5</v>
      </c>
      <c r="E2070">
        <v>2021</v>
      </c>
      <c r="F2070" s="168" t="s">
        <v>593</v>
      </c>
      <c r="G2070" s="168" t="s">
        <v>612</v>
      </c>
      <c r="H2070" s="168" t="s">
        <v>608</v>
      </c>
      <c r="I2070">
        <v>0</v>
      </c>
    </row>
    <row r="2071" spans="1:9" hidden="1" x14ac:dyDescent="0.3">
      <c r="A2071">
        <v>82</v>
      </c>
      <c r="B2071" s="168" t="s">
        <v>126</v>
      </c>
      <c r="C2071" s="168" t="s">
        <v>127</v>
      </c>
      <c r="D2071">
        <v>147.5</v>
      </c>
      <c r="E2071">
        <v>2021</v>
      </c>
      <c r="F2071" s="168" t="s">
        <v>593</v>
      </c>
      <c r="G2071" s="168" t="s">
        <v>612</v>
      </c>
      <c r="H2071" s="168" t="s">
        <v>609</v>
      </c>
      <c r="I2071">
        <v>184.82708879465739</v>
      </c>
    </row>
    <row r="2072" spans="1:9" hidden="1" x14ac:dyDescent="0.3">
      <c r="A2072">
        <v>82</v>
      </c>
      <c r="B2072" s="168" t="s">
        <v>126</v>
      </c>
      <c r="C2072" s="168" t="s">
        <v>127</v>
      </c>
      <c r="D2072">
        <v>147.5</v>
      </c>
      <c r="E2072">
        <v>2021</v>
      </c>
      <c r="F2072" s="168" t="s">
        <v>593</v>
      </c>
      <c r="G2072" s="168" t="s">
        <v>617</v>
      </c>
      <c r="H2072" s="168" t="s">
        <v>608</v>
      </c>
      <c r="I2072">
        <v>99.626182423699476</v>
      </c>
    </row>
    <row r="2073" spans="1:9" hidden="1" x14ac:dyDescent="0.3">
      <c r="A2073">
        <v>82</v>
      </c>
      <c r="B2073" s="168" t="s">
        <v>126</v>
      </c>
      <c r="C2073" s="168" t="s">
        <v>127</v>
      </c>
      <c r="D2073">
        <v>147.5</v>
      </c>
      <c r="E2073">
        <v>2021</v>
      </c>
      <c r="F2073" s="168" t="s">
        <v>593</v>
      </c>
      <c r="G2073" s="168" t="s">
        <v>617</v>
      </c>
      <c r="H2073" s="168" t="s">
        <v>609</v>
      </c>
      <c r="I2073">
        <v>74.7196368177746</v>
      </c>
    </row>
    <row r="2074" spans="1:9" hidden="1" x14ac:dyDescent="0.3">
      <c r="A2074">
        <v>82</v>
      </c>
      <c r="B2074" s="168" t="s">
        <v>126</v>
      </c>
      <c r="C2074" s="168" t="s">
        <v>127</v>
      </c>
      <c r="D2074">
        <v>147.5</v>
      </c>
      <c r="E2074">
        <v>2021</v>
      </c>
      <c r="F2074" s="168" t="s">
        <v>593</v>
      </c>
      <c r="G2074" s="168" t="s">
        <v>630</v>
      </c>
      <c r="H2074" s="168" t="s">
        <v>608</v>
      </c>
      <c r="I2074">
        <v>554.06814462602381</v>
      </c>
    </row>
    <row r="2075" spans="1:9" hidden="1" x14ac:dyDescent="0.3">
      <c r="A2075">
        <v>82</v>
      </c>
      <c r="B2075" s="168" t="s">
        <v>126</v>
      </c>
      <c r="C2075" s="168" t="s">
        <v>127</v>
      </c>
      <c r="D2075">
        <v>147.5</v>
      </c>
      <c r="E2075">
        <v>2021</v>
      </c>
      <c r="F2075" s="168" t="s">
        <v>593</v>
      </c>
      <c r="G2075" s="168" t="s">
        <v>630</v>
      </c>
      <c r="H2075" s="168" t="s">
        <v>609</v>
      </c>
      <c r="I2075">
        <v>554.06814462602381</v>
      </c>
    </row>
    <row r="2076" spans="1:9" x14ac:dyDescent="0.3">
      <c r="A2076">
        <v>83</v>
      </c>
      <c r="B2076" s="168" t="s">
        <v>128</v>
      </c>
      <c r="C2076" s="168" t="s">
        <v>129</v>
      </c>
      <c r="D2076">
        <v>3106.9</v>
      </c>
      <c r="E2076">
        <v>2021</v>
      </c>
      <c r="F2076" s="168" t="s">
        <v>592</v>
      </c>
      <c r="G2076" s="168" t="s">
        <v>612</v>
      </c>
      <c r="H2076" s="168" t="s">
        <v>608</v>
      </c>
      <c r="I2076">
        <v>33656</v>
      </c>
    </row>
    <row r="2077" spans="1:9" x14ac:dyDescent="0.3">
      <c r="A2077">
        <v>83</v>
      </c>
      <c r="B2077" s="168" t="s">
        <v>128</v>
      </c>
      <c r="C2077" s="168" t="s">
        <v>129</v>
      </c>
      <c r="D2077">
        <v>3106.9</v>
      </c>
      <c r="E2077">
        <v>2021</v>
      </c>
      <c r="F2077" s="168" t="s">
        <v>592</v>
      </c>
      <c r="G2077" s="168" t="s">
        <v>612</v>
      </c>
      <c r="H2077" s="168" t="s">
        <v>609</v>
      </c>
      <c r="I2077">
        <v>53893.147675770313</v>
      </c>
    </row>
    <row r="2078" spans="1:9" x14ac:dyDescent="0.3">
      <c r="A2078">
        <v>83</v>
      </c>
      <c r="B2078" s="168" t="s">
        <v>128</v>
      </c>
      <c r="C2078" s="168" t="s">
        <v>129</v>
      </c>
      <c r="D2078">
        <v>3106.9</v>
      </c>
      <c r="E2078">
        <v>2021</v>
      </c>
      <c r="F2078" s="168" t="s">
        <v>592</v>
      </c>
      <c r="G2078" s="168" t="s">
        <v>629</v>
      </c>
      <c r="H2078" s="168" t="s">
        <v>608</v>
      </c>
      <c r="I2078">
        <v>0</v>
      </c>
    </row>
    <row r="2079" spans="1:9" x14ac:dyDescent="0.3">
      <c r="A2079">
        <v>83</v>
      </c>
      <c r="B2079" s="168" t="s">
        <v>128</v>
      </c>
      <c r="C2079" s="168" t="s">
        <v>129</v>
      </c>
      <c r="D2079">
        <v>3106.9</v>
      </c>
      <c r="E2079">
        <v>2021</v>
      </c>
      <c r="F2079" s="168" t="s">
        <v>592</v>
      </c>
      <c r="G2079" s="168" t="s">
        <v>629</v>
      </c>
      <c r="H2079" s="168" t="s">
        <v>609</v>
      </c>
      <c r="I2079">
        <v>259290.32</v>
      </c>
    </row>
    <row r="2080" spans="1:9" x14ac:dyDescent="0.3">
      <c r="A2080">
        <v>83</v>
      </c>
      <c r="B2080" s="168" t="s">
        <v>128</v>
      </c>
      <c r="C2080" s="168" t="s">
        <v>129</v>
      </c>
      <c r="D2080">
        <v>3106.9</v>
      </c>
      <c r="E2080">
        <v>2021</v>
      </c>
      <c r="F2080" s="168" t="s">
        <v>592</v>
      </c>
      <c r="G2080" s="168" t="s">
        <v>617</v>
      </c>
      <c r="H2080" s="168" t="s">
        <v>608</v>
      </c>
      <c r="I2080">
        <v>2098.4988893029963</v>
      </c>
    </row>
    <row r="2081" spans="1:9" x14ac:dyDescent="0.3">
      <c r="A2081">
        <v>83</v>
      </c>
      <c r="B2081" s="168" t="s">
        <v>128</v>
      </c>
      <c r="C2081" s="168" t="s">
        <v>129</v>
      </c>
      <c r="D2081">
        <v>3106.9</v>
      </c>
      <c r="E2081">
        <v>2021</v>
      </c>
      <c r="F2081" s="168" t="s">
        <v>592</v>
      </c>
      <c r="G2081" s="168" t="s">
        <v>617</v>
      </c>
      <c r="H2081" s="168" t="s">
        <v>609</v>
      </c>
      <c r="I2081">
        <v>1573.8741669772501</v>
      </c>
    </row>
    <row r="2082" spans="1:9" x14ac:dyDescent="0.3">
      <c r="A2082">
        <v>83</v>
      </c>
      <c r="B2082" s="168" t="s">
        <v>128</v>
      </c>
      <c r="C2082" s="168" t="s">
        <v>129</v>
      </c>
      <c r="D2082">
        <v>3106.9</v>
      </c>
      <c r="E2082">
        <v>2021</v>
      </c>
      <c r="F2082" s="168" t="s">
        <v>592</v>
      </c>
      <c r="G2082" s="168" t="s">
        <v>618</v>
      </c>
      <c r="H2082" s="168" t="s">
        <v>608</v>
      </c>
      <c r="I2082">
        <v>0</v>
      </c>
    </row>
    <row r="2083" spans="1:9" x14ac:dyDescent="0.3">
      <c r="A2083">
        <v>83</v>
      </c>
      <c r="B2083" s="168" t="s">
        <v>128</v>
      </c>
      <c r="C2083" s="168" t="s">
        <v>129</v>
      </c>
      <c r="D2083">
        <v>3106.9</v>
      </c>
      <c r="E2083">
        <v>2021</v>
      </c>
      <c r="F2083" s="168" t="s">
        <v>592</v>
      </c>
      <c r="G2083" s="168" t="s">
        <v>618</v>
      </c>
      <c r="H2083" s="168" t="s">
        <v>609</v>
      </c>
      <c r="I2083">
        <v>15977.528089887641</v>
      </c>
    </row>
    <row r="2084" spans="1:9" x14ac:dyDescent="0.3">
      <c r="A2084">
        <v>83</v>
      </c>
      <c r="B2084" s="168" t="s">
        <v>128</v>
      </c>
      <c r="C2084" s="168" t="s">
        <v>129</v>
      </c>
      <c r="D2084">
        <v>3106.9</v>
      </c>
      <c r="E2084">
        <v>2021</v>
      </c>
      <c r="F2084" s="168" t="s">
        <v>592</v>
      </c>
      <c r="G2084" s="168" t="s">
        <v>610</v>
      </c>
      <c r="H2084" s="168" t="s">
        <v>608</v>
      </c>
      <c r="I2084">
        <v>0</v>
      </c>
    </row>
    <row r="2085" spans="1:9" x14ac:dyDescent="0.3">
      <c r="A2085">
        <v>83</v>
      </c>
      <c r="B2085" s="168" t="s">
        <v>128</v>
      </c>
      <c r="C2085" s="168" t="s">
        <v>129</v>
      </c>
      <c r="D2085">
        <v>3106.9</v>
      </c>
      <c r="E2085">
        <v>2021</v>
      </c>
      <c r="F2085" s="168" t="s">
        <v>592</v>
      </c>
      <c r="G2085" s="168" t="s">
        <v>610</v>
      </c>
      <c r="H2085" s="168" t="s">
        <v>609</v>
      </c>
      <c r="I2085">
        <v>6545.454545454545</v>
      </c>
    </row>
    <row r="2086" spans="1:9" x14ac:dyDescent="0.3">
      <c r="A2086">
        <v>83</v>
      </c>
      <c r="B2086" s="168" t="s">
        <v>128</v>
      </c>
      <c r="C2086" s="168" t="s">
        <v>129</v>
      </c>
      <c r="D2086">
        <v>3106.9</v>
      </c>
      <c r="E2086">
        <v>2021</v>
      </c>
      <c r="F2086" s="168" t="s">
        <v>592</v>
      </c>
      <c r="G2086" s="168" t="s">
        <v>620</v>
      </c>
      <c r="H2086" s="168" t="s">
        <v>608</v>
      </c>
      <c r="I2086">
        <v>19238.132258064514</v>
      </c>
    </row>
    <row r="2087" spans="1:9" x14ac:dyDescent="0.3">
      <c r="A2087">
        <v>83</v>
      </c>
      <c r="B2087" s="168" t="s">
        <v>128</v>
      </c>
      <c r="C2087" s="168" t="s">
        <v>129</v>
      </c>
      <c r="D2087">
        <v>3106.9</v>
      </c>
      <c r="E2087">
        <v>2021</v>
      </c>
      <c r="F2087" s="168" t="s">
        <v>592</v>
      </c>
      <c r="G2087" s="168" t="s">
        <v>620</v>
      </c>
      <c r="H2087" s="168" t="s">
        <v>609</v>
      </c>
      <c r="I2087">
        <v>0</v>
      </c>
    </row>
    <row r="2088" spans="1:9" x14ac:dyDescent="0.3">
      <c r="A2088">
        <v>83</v>
      </c>
      <c r="B2088" s="168" t="s">
        <v>128</v>
      </c>
      <c r="C2088" s="168" t="s">
        <v>129</v>
      </c>
      <c r="D2088">
        <v>3106.9</v>
      </c>
      <c r="E2088">
        <v>2021</v>
      </c>
      <c r="F2088" s="168" t="s">
        <v>592</v>
      </c>
      <c r="G2088" s="168" t="s">
        <v>633</v>
      </c>
      <c r="H2088" s="168" t="s">
        <v>608</v>
      </c>
      <c r="I2088">
        <v>0</v>
      </c>
    </row>
    <row r="2089" spans="1:9" x14ac:dyDescent="0.3">
      <c r="A2089">
        <v>83</v>
      </c>
      <c r="B2089" s="168" t="s">
        <v>128</v>
      </c>
      <c r="C2089" s="168" t="s">
        <v>129</v>
      </c>
      <c r="D2089">
        <v>3106.9</v>
      </c>
      <c r="E2089">
        <v>2021</v>
      </c>
      <c r="F2089" s="168" t="s">
        <v>592</v>
      </c>
      <c r="G2089" s="168" t="s">
        <v>633</v>
      </c>
      <c r="H2089" s="168" t="s">
        <v>609</v>
      </c>
      <c r="I2089">
        <v>70513.274336283182</v>
      </c>
    </row>
    <row r="2090" spans="1:9" x14ac:dyDescent="0.3">
      <c r="A2090">
        <v>83</v>
      </c>
      <c r="B2090" s="168" t="s">
        <v>128</v>
      </c>
      <c r="C2090" s="168" t="s">
        <v>129</v>
      </c>
      <c r="D2090">
        <v>3106.9</v>
      </c>
      <c r="E2090">
        <v>2021</v>
      </c>
      <c r="F2090" s="168" t="s">
        <v>592</v>
      </c>
      <c r="G2090" s="168" t="s">
        <v>623</v>
      </c>
      <c r="H2090" s="168" t="s">
        <v>608</v>
      </c>
      <c r="I2090">
        <v>97634.615384615405</v>
      </c>
    </row>
    <row r="2091" spans="1:9" x14ac:dyDescent="0.3">
      <c r="A2091">
        <v>83</v>
      </c>
      <c r="B2091" s="168" t="s">
        <v>128</v>
      </c>
      <c r="C2091" s="168" t="s">
        <v>129</v>
      </c>
      <c r="D2091">
        <v>3106.9</v>
      </c>
      <c r="E2091">
        <v>2021</v>
      </c>
      <c r="F2091" s="168" t="s">
        <v>592</v>
      </c>
      <c r="G2091" s="168" t="s">
        <v>623</v>
      </c>
      <c r="H2091" s="168" t="s">
        <v>609</v>
      </c>
      <c r="I2091">
        <v>71020.782500000001</v>
      </c>
    </row>
    <row r="2092" spans="1:9" x14ac:dyDescent="0.3">
      <c r="A2092">
        <v>83</v>
      </c>
      <c r="B2092" s="168" t="s">
        <v>128</v>
      </c>
      <c r="C2092" s="168" t="s">
        <v>129</v>
      </c>
      <c r="D2092">
        <v>3106.9</v>
      </c>
      <c r="E2092">
        <v>2021</v>
      </c>
      <c r="F2092" s="168" t="s">
        <v>592</v>
      </c>
      <c r="G2092" s="168" t="s">
        <v>615</v>
      </c>
      <c r="H2092" s="168" t="s">
        <v>608</v>
      </c>
      <c r="I2092">
        <v>0</v>
      </c>
    </row>
    <row r="2093" spans="1:9" x14ac:dyDescent="0.3">
      <c r="A2093">
        <v>83</v>
      </c>
      <c r="B2093" s="168" t="s">
        <v>128</v>
      </c>
      <c r="C2093" s="168" t="s">
        <v>129</v>
      </c>
      <c r="D2093">
        <v>3106.9</v>
      </c>
      <c r="E2093">
        <v>2021</v>
      </c>
      <c r="F2093" s="168" t="s">
        <v>592</v>
      </c>
      <c r="G2093" s="168" t="s">
        <v>615</v>
      </c>
      <c r="H2093" s="168" t="s">
        <v>609</v>
      </c>
      <c r="I2093">
        <v>7536.5853658536589</v>
      </c>
    </row>
    <row r="2094" spans="1:9" x14ac:dyDescent="0.3">
      <c r="A2094">
        <v>83</v>
      </c>
      <c r="B2094" s="168" t="s">
        <v>128</v>
      </c>
      <c r="C2094" s="168" t="s">
        <v>129</v>
      </c>
      <c r="D2094">
        <v>3106.9</v>
      </c>
      <c r="E2094">
        <v>2021</v>
      </c>
      <c r="F2094" s="168" t="s">
        <v>592</v>
      </c>
      <c r="G2094" s="168" t="s">
        <v>630</v>
      </c>
      <c r="H2094" s="168" t="s">
        <v>608</v>
      </c>
      <c r="I2094">
        <v>58122.488724973897</v>
      </c>
    </row>
    <row r="2095" spans="1:9" x14ac:dyDescent="0.3">
      <c r="A2095">
        <v>83</v>
      </c>
      <c r="B2095" s="168" t="s">
        <v>128</v>
      </c>
      <c r="C2095" s="168" t="s">
        <v>129</v>
      </c>
      <c r="D2095">
        <v>3106.9</v>
      </c>
      <c r="E2095">
        <v>2021</v>
      </c>
      <c r="F2095" s="168" t="s">
        <v>592</v>
      </c>
      <c r="G2095" s="168" t="s">
        <v>630</v>
      </c>
      <c r="H2095" s="168" t="s">
        <v>609</v>
      </c>
      <c r="I2095">
        <v>61143.898442958896</v>
      </c>
    </row>
    <row r="2096" spans="1:9" x14ac:dyDescent="0.3">
      <c r="A2096">
        <v>83</v>
      </c>
      <c r="B2096" s="168" t="s">
        <v>128</v>
      </c>
      <c r="C2096" s="168" t="s">
        <v>129</v>
      </c>
      <c r="D2096">
        <v>3106.9</v>
      </c>
      <c r="E2096">
        <v>2021</v>
      </c>
      <c r="F2096" s="168" t="s">
        <v>592</v>
      </c>
      <c r="G2096" s="168" t="s">
        <v>613</v>
      </c>
      <c r="H2096" s="168" t="s">
        <v>608</v>
      </c>
      <c r="I2096">
        <v>220168.30167363898</v>
      </c>
    </row>
    <row r="2097" spans="1:9" x14ac:dyDescent="0.3">
      <c r="A2097">
        <v>83</v>
      </c>
      <c r="B2097" s="168" t="s">
        <v>128</v>
      </c>
      <c r="C2097" s="168" t="s">
        <v>129</v>
      </c>
      <c r="D2097">
        <v>3106.9</v>
      </c>
      <c r="E2097">
        <v>2021</v>
      </c>
      <c r="F2097" s="168" t="s">
        <v>592</v>
      </c>
      <c r="G2097" s="168" t="s">
        <v>613</v>
      </c>
      <c r="H2097" s="168" t="s">
        <v>609</v>
      </c>
      <c r="I2097">
        <v>89773.064744335803</v>
      </c>
    </row>
    <row r="2098" spans="1:9" x14ac:dyDescent="0.3">
      <c r="A2098">
        <v>83</v>
      </c>
      <c r="B2098" s="168" t="s">
        <v>128</v>
      </c>
      <c r="C2098" s="168" t="s">
        <v>129</v>
      </c>
      <c r="D2098">
        <v>3106.9</v>
      </c>
      <c r="E2098">
        <v>2021</v>
      </c>
      <c r="F2098" s="168" t="s">
        <v>592</v>
      </c>
      <c r="G2098" s="168" t="s">
        <v>622</v>
      </c>
      <c r="H2098" s="168" t="s">
        <v>608</v>
      </c>
      <c r="I2098">
        <v>28213.045859466878</v>
      </c>
    </row>
    <row r="2099" spans="1:9" x14ac:dyDescent="0.3">
      <c r="A2099">
        <v>83</v>
      </c>
      <c r="B2099" s="168" t="s">
        <v>128</v>
      </c>
      <c r="C2099" s="168" t="s">
        <v>129</v>
      </c>
      <c r="D2099">
        <v>3106.9</v>
      </c>
      <c r="E2099">
        <v>2021</v>
      </c>
      <c r="F2099" s="168" t="s">
        <v>592</v>
      </c>
      <c r="G2099" s="168" t="s">
        <v>622</v>
      </c>
      <c r="H2099" s="168" t="s">
        <v>609</v>
      </c>
      <c r="I2099">
        <v>0</v>
      </c>
    </row>
    <row r="2100" spans="1:9" x14ac:dyDescent="0.3">
      <c r="A2100">
        <v>84</v>
      </c>
      <c r="B2100" s="168" t="s">
        <v>130</v>
      </c>
      <c r="C2100" s="168" t="s">
        <v>131</v>
      </c>
      <c r="D2100">
        <v>18213.3</v>
      </c>
      <c r="E2100">
        <v>2021</v>
      </c>
      <c r="F2100" s="168" t="s">
        <v>592</v>
      </c>
      <c r="G2100" s="168" t="s">
        <v>612</v>
      </c>
      <c r="H2100" s="168" t="s">
        <v>608</v>
      </c>
      <c r="I2100">
        <v>0</v>
      </c>
    </row>
    <row r="2101" spans="1:9" x14ac:dyDescent="0.3">
      <c r="A2101">
        <v>84</v>
      </c>
      <c r="B2101" s="168" t="s">
        <v>130</v>
      </c>
      <c r="C2101" s="168" t="s">
        <v>131</v>
      </c>
      <c r="D2101">
        <v>18213.3</v>
      </c>
      <c r="E2101">
        <v>2021</v>
      </c>
      <c r="F2101" s="168" t="s">
        <v>592</v>
      </c>
      <c r="G2101" s="168" t="s">
        <v>612</v>
      </c>
      <c r="H2101" s="168" t="s">
        <v>609</v>
      </c>
      <c r="I2101">
        <v>22822.448924364293</v>
      </c>
    </row>
    <row r="2102" spans="1:9" x14ac:dyDescent="0.3">
      <c r="A2102">
        <v>84</v>
      </c>
      <c r="B2102" s="168" t="s">
        <v>130</v>
      </c>
      <c r="C2102" s="168" t="s">
        <v>131</v>
      </c>
      <c r="D2102">
        <v>18213.3</v>
      </c>
      <c r="E2102">
        <v>2021</v>
      </c>
      <c r="F2102" s="168" t="s">
        <v>592</v>
      </c>
      <c r="G2102" s="168" t="s">
        <v>617</v>
      </c>
      <c r="H2102" s="168" t="s">
        <v>608</v>
      </c>
      <c r="I2102">
        <v>12301.841005678411</v>
      </c>
    </row>
    <row r="2103" spans="1:9" x14ac:dyDescent="0.3">
      <c r="A2103">
        <v>84</v>
      </c>
      <c r="B2103" s="168" t="s">
        <v>130</v>
      </c>
      <c r="C2103" s="168" t="s">
        <v>131</v>
      </c>
      <c r="D2103">
        <v>18213.3</v>
      </c>
      <c r="E2103">
        <v>2021</v>
      </c>
      <c r="F2103" s="168" t="s">
        <v>592</v>
      </c>
      <c r="G2103" s="168" t="s">
        <v>617</v>
      </c>
      <c r="H2103" s="168" t="s">
        <v>609</v>
      </c>
      <c r="I2103">
        <v>9226.3807542588074</v>
      </c>
    </row>
    <row r="2104" spans="1:9" x14ac:dyDescent="0.3">
      <c r="A2104">
        <v>84</v>
      </c>
      <c r="B2104" s="168" t="s">
        <v>130</v>
      </c>
      <c r="C2104" s="168" t="s">
        <v>131</v>
      </c>
      <c r="D2104">
        <v>18213.3</v>
      </c>
      <c r="E2104">
        <v>2021</v>
      </c>
      <c r="F2104" s="168" t="s">
        <v>592</v>
      </c>
      <c r="G2104" s="168" t="s">
        <v>618</v>
      </c>
      <c r="H2104" s="168" t="s">
        <v>608</v>
      </c>
      <c r="I2104">
        <v>0</v>
      </c>
    </row>
    <row r="2105" spans="1:9" x14ac:dyDescent="0.3">
      <c r="A2105">
        <v>84</v>
      </c>
      <c r="B2105" s="168" t="s">
        <v>130</v>
      </c>
      <c r="C2105" s="168" t="s">
        <v>131</v>
      </c>
      <c r="D2105">
        <v>18213.3</v>
      </c>
      <c r="E2105">
        <v>2021</v>
      </c>
      <c r="F2105" s="168" t="s">
        <v>592</v>
      </c>
      <c r="G2105" s="168" t="s">
        <v>618</v>
      </c>
      <c r="H2105" s="168" t="s">
        <v>609</v>
      </c>
      <c r="I2105">
        <v>21303.370786516854</v>
      </c>
    </row>
    <row r="2106" spans="1:9" x14ac:dyDescent="0.3">
      <c r="A2106">
        <v>84</v>
      </c>
      <c r="B2106" s="168" t="s">
        <v>130</v>
      </c>
      <c r="C2106" s="168" t="s">
        <v>131</v>
      </c>
      <c r="D2106">
        <v>18213.3</v>
      </c>
      <c r="E2106">
        <v>2021</v>
      </c>
      <c r="F2106" s="168" t="s">
        <v>592</v>
      </c>
      <c r="G2106" s="168" t="s">
        <v>610</v>
      </c>
      <c r="H2106" s="168" t="s">
        <v>608</v>
      </c>
      <c r="I2106">
        <v>0</v>
      </c>
    </row>
    <row r="2107" spans="1:9" x14ac:dyDescent="0.3">
      <c r="A2107">
        <v>84</v>
      </c>
      <c r="B2107" s="168" t="s">
        <v>130</v>
      </c>
      <c r="C2107" s="168" t="s">
        <v>131</v>
      </c>
      <c r="D2107">
        <v>18213.3</v>
      </c>
      <c r="E2107">
        <v>2021</v>
      </c>
      <c r="F2107" s="168" t="s">
        <v>592</v>
      </c>
      <c r="G2107" s="168" t="s">
        <v>610</v>
      </c>
      <c r="H2107" s="168" t="s">
        <v>609</v>
      </c>
      <c r="I2107">
        <v>13090.90909090909</v>
      </c>
    </row>
    <row r="2108" spans="1:9" x14ac:dyDescent="0.3">
      <c r="A2108">
        <v>84</v>
      </c>
      <c r="B2108" s="168" t="s">
        <v>130</v>
      </c>
      <c r="C2108" s="168" t="s">
        <v>131</v>
      </c>
      <c r="D2108">
        <v>18213.3</v>
      </c>
      <c r="E2108">
        <v>2021</v>
      </c>
      <c r="F2108" s="168" t="s">
        <v>592</v>
      </c>
      <c r="G2108" s="168" t="s">
        <v>633</v>
      </c>
      <c r="H2108" s="168" t="s">
        <v>608</v>
      </c>
      <c r="I2108">
        <v>0</v>
      </c>
    </row>
    <row r="2109" spans="1:9" x14ac:dyDescent="0.3">
      <c r="A2109">
        <v>84</v>
      </c>
      <c r="B2109" s="168" t="s">
        <v>130</v>
      </c>
      <c r="C2109" s="168" t="s">
        <v>131</v>
      </c>
      <c r="D2109">
        <v>18213.3</v>
      </c>
      <c r="E2109">
        <v>2021</v>
      </c>
      <c r="F2109" s="168" t="s">
        <v>592</v>
      </c>
      <c r="G2109" s="168" t="s">
        <v>633</v>
      </c>
      <c r="H2109" s="168" t="s">
        <v>609</v>
      </c>
      <c r="I2109">
        <v>79327.433628318584</v>
      </c>
    </row>
    <row r="2110" spans="1:9" x14ac:dyDescent="0.3">
      <c r="A2110">
        <v>84</v>
      </c>
      <c r="B2110" s="168" t="s">
        <v>130</v>
      </c>
      <c r="C2110" s="168" t="s">
        <v>131</v>
      </c>
      <c r="D2110">
        <v>18213.3</v>
      </c>
      <c r="E2110">
        <v>2021</v>
      </c>
      <c r="F2110" s="168" t="s">
        <v>592</v>
      </c>
      <c r="G2110" s="168" t="s">
        <v>623</v>
      </c>
      <c r="H2110" s="168" t="s">
        <v>608</v>
      </c>
      <c r="I2110">
        <v>227625</v>
      </c>
    </row>
    <row r="2111" spans="1:9" x14ac:dyDescent="0.3">
      <c r="A2111">
        <v>84</v>
      </c>
      <c r="B2111" s="168" t="s">
        <v>130</v>
      </c>
      <c r="C2111" s="168" t="s">
        <v>131</v>
      </c>
      <c r="D2111">
        <v>18213.3</v>
      </c>
      <c r="E2111">
        <v>2021</v>
      </c>
      <c r="F2111" s="168" t="s">
        <v>592</v>
      </c>
      <c r="G2111" s="168" t="s">
        <v>623</v>
      </c>
      <c r="H2111" s="168" t="s">
        <v>609</v>
      </c>
      <c r="I2111">
        <v>177551.95625000002</v>
      </c>
    </row>
    <row r="2112" spans="1:9" x14ac:dyDescent="0.3">
      <c r="A2112">
        <v>84</v>
      </c>
      <c r="B2112" s="168" t="s">
        <v>130</v>
      </c>
      <c r="C2112" s="168" t="s">
        <v>131</v>
      </c>
      <c r="D2112">
        <v>18213.3</v>
      </c>
      <c r="E2112">
        <v>2021</v>
      </c>
      <c r="F2112" s="168" t="s">
        <v>592</v>
      </c>
      <c r="G2112" s="168" t="s">
        <v>615</v>
      </c>
      <c r="H2112" s="168" t="s">
        <v>608</v>
      </c>
      <c r="I2112">
        <v>0</v>
      </c>
    </row>
    <row r="2113" spans="1:9" x14ac:dyDescent="0.3">
      <c r="A2113">
        <v>84</v>
      </c>
      <c r="B2113" s="168" t="s">
        <v>130</v>
      </c>
      <c r="C2113" s="168" t="s">
        <v>131</v>
      </c>
      <c r="D2113">
        <v>18213.3</v>
      </c>
      <c r="E2113">
        <v>2021</v>
      </c>
      <c r="F2113" s="168" t="s">
        <v>592</v>
      </c>
      <c r="G2113" s="168" t="s">
        <v>615</v>
      </c>
      <c r="H2113" s="168" t="s">
        <v>609</v>
      </c>
      <c r="I2113">
        <v>7536.5853658536589</v>
      </c>
    </row>
    <row r="2114" spans="1:9" x14ac:dyDescent="0.3">
      <c r="A2114">
        <v>84</v>
      </c>
      <c r="B2114" s="168" t="s">
        <v>130</v>
      </c>
      <c r="C2114" s="168" t="s">
        <v>131</v>
      </c>
      <c r="D2114">
        <v>18213.3</v>
      </c>
      <c r="E2114">
        <v>2021</v>
      </c>
      <c r="F2114" s="168" t="s">
        <v>592</v>
      </c>
      <c r="G2114" s="168" t="s">
        <v>630</v>
      </c>
      <c r="H2114" s="168" t="s">
        <v>608</v>
      </c>
      <c r="I2114">
        <v>340726.22997024941</v>
      </c>
    </row>
    <row r="2115" spans="1:9" x14ac:dyDescent="0.3">
      <c r="A2115">
        <v>84</v>
      </c>
      <c r="B2115" s="168" t="s">
        <v>130</v>
      </c>
      <c r="C2115" s="168" t="s">
        <v>131</v>
      </c>
      <c r="D2115">
        <v>18213.3</v>
      </c>
      <c r="E2115">
        <v>2021</v>
      </c>
      <c r="F2115" s="168" t="s">
        <v>592</v>
      </c>
      <c r="G2115" s="168" t="s">
        <v>630</v>
      </c>
      <c r="H2115" s="168" t="s">
        <v>609</v>
      </c>
      <c r="I2115">
        <v>358438.36799096939</v>
      </c>
    </row>
    <row r="2116" spans="1:9" x14ac:dyDescent="0.3">
      <c r="A2116">
        <v>84</v>
      </c>
      <c r="B2116" s="168" t="s">
        <v>130</v>
      </c>
      <c r="C2116" s="168" t="s">
        <v>131</v>
      </c>
      <c r="D2116">
        <v>18213.3</v>
      </c>
      <c r="E2116">
        <v>2021</v>
      </c>
      <c r="F2116" s="168" t="s">
        <v>592</v>
      </c>
      <c r="G2116" s="168" t="s">
        <v>621</v>
      </c>
      <c r="H2116" s="168" t="s">
        <v>608</v>
      </c>
      <c r="I2116">
        <v>0</v>
      </c>
    </row>
    <row r="2117" spans="1:9" x14ac:dyDescent="0.3">
      <c r="A2117">
        <v>84</v>
      </c>
      <c r="B2117" s="168" t="s">
        <v>130</v>
      </c>
      <c r="C2117" s="168" t="s">
        <v>131</v>
      </c>
      <c r="D2117">
        <v>18213.3</v>
      </c>
      <c r="E2117">
        <v>2021</v>
      </c>
      <c r="F2117" s="168" t="s">
        <v>592</v>
      </c>
      <c r="G2117" s="168" t="s">
        <v>613</v>
      </c>
      <c r="H2117" s="168" t="s">
        <v>608</v>
      </c>
      <c r="I2117">
        <v>687517.38640575798</v>
      </c>
    </row>
    <row r="2118" spans="1:9" x14ac:dyDescent="0.3">
      <c r="A2118">
        <v>84</v>
      </c>
      <c r="B2118" s="168" t="s">
        <v>130</v>
      </c>
      <c r="C2118" s="168" t="s">
        <v>131</v>
      </c>
      <c r="D2118">
        <v>18213.3</v>
      </c>
      <c r="E2118">
        <v>2021</v>
      </c>
      <c r="F2118" s="168" t="s">
        <v>592</v>
      </c>
      <c r="G2118" s="168" t="s">
        <v>613</v>
      </c>
      <c r="H2118" s="168" t="s">
        <v>609</v>
      </c>
      <c r="I2118">
        <v>139545.40296389101</v>
      </c>
    </row>
    <row r="2119" spans="1:9" hidden="1" x14ac:dyDescent="0.3">
      <c r="A2119">
        <v>85</v>
      </c>
      <c r="B2119" s="168" t="s">
        <v>132</v>
      </c>
      <c r="C2119" s="168" t="s">
        <v>133</v>
      </c>
      <c r="D2119">
        <v>14009.5</v>
      </c>
      <c r="E2119">
        <v>2021</v>
      </c>
      <c r="F2119" s="168" t="s">
        <v>591</v>
      </c>
      <c r="G2119" s="168" t="s">
        <v>607</v>
      </c>
      <c r="H2119" s="168" t="s">
        <v>608</v>
      </c>
      <c r="I2119">
        <v>1812328.73</v>
      </c>
    </row>
    <row r="2120" spans="1:9" hidden="1" x14ac:dyDescent="0.3">
      <c r="A2120">
        <v>85</v>
      </c>
      <c r="B2120" s="168" t="s">
        <v>132</v>
      </c>
      <c r="C2120" s="168" t="s">
        <v>133</v>
      </c>
      <c r="D2120">
        <v>14009.5</v>
      </c>
      <c r="E2120">
        <v>2021</v>
      </c>
      <c r="F2120" s="168" t="s">
        <v>591</v>
      </c>
      <c r="G2120" s="168" t="s">
        <v>607</v>
      </c>
      <c r="H2120" s="168" t="s">
        <v>609</v>
      </c>
      <c r="I2120">
        <v>776712.31</v>
      </c>
    </row>
    <row r="2121" spans="1:9" hidden="1" x14ac:dyDescent="0.3">
      <c r="A2121">
        <v>85</v>
      </c>
      <c r="B2121" s="168" t="s">
        <v>132</v>
      </c>
      <c r="C2121" s="168" t="s">
        <v>133</v>
      </c>
      <c r="D2121">
        <v>14009.5</v>
      </c>
      <c r="E2121">
        <v>2021</v>
      </c>
      <c r="F2121" s="168" t="s">
        <v>591</v>
      </c>
      <c r="G2121" s="168" t="s">
        <v>612</v>
      </c>
      <c r="H2121" s="168" t="s">
        <v>608</v>
      </c>
      <c r="I2121">
        <v>738801.87</v>
      </c>
    </row>
    <row r="2122" spans="1:9" hidden="1" x14ac:dyDescent="0.3">
      <c r="A2122">
        <v>85</v>
      </c>
      <c r="B2122" s="168" t="s">
        <v>132</v>
      </c>
      <c r="C2122" s="168" t="s">
        <v>133</v>
      </c>
      <c r="D2122">
        <v>14009.5</v>
      </c>
      <c r="E2122">
        <v>2021</v>
      </c>
      <c r="F2122" s="168" t="s">
        <v>591</v>
      </c>
      <c r="G2122" s="168" t="s">
        <v>612</v>
      </c>
      <c r="H2122" s="168" t="s">
        <v>609</v>
      </c>
      <c r="I2122">
        <v>316629.37358400004</v>
      </c>
    </row>
    <row r="2123" spans="1:9" hidden="1" x14ac:dyDescent="0.3">
      <c r="A2123">
        <v>85</v>
      </c>
      <c r="B2123" s="168" t="s">
        <v>132</v>
      </c>
      <c r="C2123" s="168" t="s">
        <v>133</v>
      </c>
      <c r="D2123">
        <v>14009.5</v>
      </c>
      <c r="E2123">
        <v>2021</v>
      </c>
      <c r="F2123" s="168" t="s">
        <v>591</v>
      </c>
      <c r="G2123" s="168" t="s">
        <v>629</v>
      </c>
      <c r="H2123" s="168" t="s">
        <v>608</v>
      </c>
      <c r="I2123">
        <v>1274864.5</v>
      </c>
    </row>
    <row r="2124" spans="1:9" hidden="1" x14ac:dyDescent="0.3">
      <c r="A2124">
        <v>85</v>
      </c>
      <c r="B2124" s="168" t="s">
        <v>132</v>
      </c>
      <c r="C2124" s="168" t="s">
        <v>133</v>
      </c>
      <c r="D2124">
        <v>14009.5</v>
      </c>
      <c r="E2124">
        <v>2021</v>
      </c>
      <c r="F2124" s="168" t="s">
        <v>591</v>
      </c>
      <c r="G2124" s="168" t="s">
        <v>629</v>
      </c>
      <c r="H2124" s="168" t="s">
        <v>609</v>
      </c>
      <c r="I2124">
        <v>546370.5</v>
      </c>
    </row>
    <row r="2125" spans="1:9" hidden="1" x14ac:dyDescent="0.3">
      <c r="A2125">
        <v>85</v>
      </c>
      <c r="B2125" s="168" t="s">
        <v>132</v>
      </c>
      <c r="C2125" s="168" t="s">
        <v>133</v>
      </c>
      <c r="D2125">
        <v>14009.5</v>
      </c>
      <c r="E2125">
        <v>2021</v>
      </c>
      <c r="F2125" s="168" t="s">
        <v>591</v>
      </c>
      <c r="G2125" s="168" t="s">
        <v>610</v>
      </c>
      <c r="H2125" s="168" t="s">
        <v>608</v>
      </c>
      <c r="I2125">
        <v>0</v>
      </c>
    </row>
    <row r="2126" spans="1:9" hidden="1" x14ac:dyDescent="0.3">
      <c r="A2126">
        <v>85</v>
      </c>
      <c r="B2126" s="168" t="s">
        <v>132</v>
      </c>
      <c r="C2126" s="168" t="s">
        <v>133</v>
      </c>
      <c r="D2126">
        <v>14009.5</v>
      </c>
      <c r="E2126">
        <v>2021</v>
      </c>
      <c r="F2126" s="168" t="s">
        <v>591</v>
      </c>
      <c r="G2126" s="168" t="s">
        <v>610</v>
      </c>
      <c r="H2126" s="168" t="s">
        <v>609</v>
      </c>
      <c r="I2126">
        <v>13090.90909090909</v>
      </c>
    </row>
    <row r="2127" spans="1:9" hidden="1" x14ac:dyDescent="0.3">
      <c r="A2127">
        <v>85</v>
      </c>
      <c r="B2127" s="168" t="s">
        <v>132</v>
      </c>
      <c r="C2127" s="168" t="s">
        <v>133</v>
      </c>
      <c r="D2127">
        <v>14009.5</v>
      </c>
      <c r="E2127">
        <v>2021</v>
      </c>
      <c r="F2127" s="168" t="s">
        <v>591</v>
      </c>
      <c r="G2127" s="168" t="s">
        <v>623</v>
      </c>
      <c r="H2127" s="168" t="s">
        <v>608</v>
      </c>
      <c r="I2127">
        <v>319210.2</v>
      </c>
    </row>
    <row r="2128" spans="1:9" hidden="1" x14ac:dyDescent="0.3">
      <c r="A2128">
        <v>85</v>
      </c>
      <c r="B2128" s="168" t="s">
        <v>132</v>
      </c>
      <c r="C2128" s="168" t="s">
        <v>133</v>
      </c>
      <c r="D2128">
        <v>14009.5</v>
      </c>
      <c r="E2128">
        <v>2021</v>
      </c>
      <c r="F2128" s="168" t="s">
        <v>591</v>
      </c>
      <c r="G2128" s="168" t="s">
        <v>623</v>
      </c>
      <c r="H2128" s="168" t="s">
        <v>609</v>
      </c>
      <c r="I2128">
        <v>111535.67999999999</v>
      </c>
    </row>
    <row r="2129" spans="1:9" hidden="1" x14ac:dyDescent="0.3">
      <c r="A2129">
        <v>85</v>
      </c>
      <c r="B2129" s="168" t="s">
        <v>132</v>
      </c>
      <c r="C2129" s="168" t="s">
        <v>133</v>
      </c>
      <c r="D2129">
        <v>14009.5</v>
      </c>
      <c r="E2129">
        <v>2021</v>
      </c>
      <c r="F2129" s="168" t="s">
        <v>591</v>
      </c>
      <c r="G2129" s="168" t="s">
        <v>630</v>
      </c>
      <c r="H2129" s="168" t="s">
        <v>608</v>
      </c>
      <c r="I2129">
        <v>1601535.6839999999</v>
      </c>
    </row>
    <row r="2130" spans="1:9" hidden="1" x14ac:dyDescent="0.3">
      <c r="A2130">
        <v>85</v>
      </c>
      <c r="B2130" s="168" t="s">
        <v>132</v>
      </c>
      <c r="C2130" s="168" t="s">
        <v>133</v>
      </c>
      <c r="D2130">
        <v>14009.5</v>
      </c>
      <c r="E2130">
        <v>2021</v>
      </c>
      <c r="F2130" s="168" t="s">
        <v>591</v>
      </c>
      <c r="G2130" s="168" t="s">
        <v>630</v>
      </c>
      <c r="H2130" s="168" t="s">
        <v>609</v>
      </c>
      <c r="I2130">
        <v>686372.43599999999</v>
      </c>
    </row>
    <row r="2131" spans="1:9" hidden="1" x14ac:dyDescent="0.3">
      <c r="A2131">
        <v>85</v>
      </c>
      <c r="B2131" s="168" t="s">
        <v>132</v>
      </c>
      <c r="C2131" s="168" t="s">
        <v>133</v>
      </c>
      <c r="D2131">
        <v>14009.5</v>
      </c>
      <c r="E2131">
        <v>2021</v>
      </c>
      <c r="F2131" s="168" t="s">
        <v>591</v>
      </c>
      <c r="G2131" s="168" t="s">
        <v>611</v>
      </c>
      <c r="H2131" s="168" t="s">
        <v>608</v>
      </c>
      <c r="I2131">
        <v>0</v>
      </c>
    </row>
    <row r="2132" spans="1:9" hidden="1" x14ac:dyDescent="0.3">
      <c r="A2132">
        <v>85</v>
      </c>
      <c r="B2132" s="168" t="s">
        <v>132</v>
      </c>
      <c r="C2132" s="168" t="s">
        <v>133</v>
      </c>
      <c r="D2132">
        <v>14009.5</v>
      </c>
      <c r="E2132">
        <v>2021</v>
      </c>
      <c r="F2132" s="168" t="s">
        <v>591</v>
      </c>
      <c r="G2132" s="168" t="s">
        <v>611</v>
      </c>
      <c r="H2132" s="168" t="s">
        <v>609</v>
      </c>
      <c r="I2132">
        <v>58553.846791315467</v>
      </c>
    </row>
    <row r="2133" spans="1:9" hidden="1" x14ac:dyDescent="0.3">
      <c r="A2133">
        <v>85</v>
      </c>
      <c r="B2133" s="168" t="s">
        <v>132</v>
      </c>
      <c r="C2133" s="168" t="s">
        <v>133</v>
      </c>
      <c r="D2133">
        <v>14009.5</v>
      </c>
      <c r="E2133">
        <v>2021</v>
      </c>
      <c r="F2133" s="168" t="s">
        <v>591</v>
      </c>
      <c r="G2133" s="168" t="s">
        <v>628</v>
      </c>
      <c r="H2133" s="168" t="s">
        <v>608</v>
      </c>
      <c r="I2133">
        <v>0</v>
      </c>
    </row>
    <row r="2134" spans="1:9" hidden="1" x14ac:dyDescent="0.3">
      <c r="A2134">
        <v>85</v>
      </c>
      <c r="B2134" s="168" t="s">
        <v>132</v>
      </c>
      <c r="C2134" s="168" t="s">
        <v>133</v>
      </c>
      <c r="D2134">
        <v>14009.5</v>
      </c>
      <c r="E2134">
        <v>2021</v>
      </c>
      <c r="F2134" s="168" t="s">
        <v>591</v>
      </c>
      <c r="G2134" s="168" t="s">
        <v>628</v>
      </c>
      <c r="H2134" s="168" t="s">
        <v>609</v>
      </c>
      <c r="I2134">
        <v>492000</v>
      </c>
    </row>
    <row r="2135" spans="1:9" hidden="1" x14ac:dyDescent="0.3">
      <c r="A2135">
        <v>85</v>
      </c>
      <c r="B2135" s="168" t="s">
        <v>132</v>
      </c>
      <c r="C2135" s="168" t="s">
        <v>133</v>
      </c>
      <c r="D2135">
        <v>14009.5</v>
      </c>
      <c r="E2135">
        <v>2021</v>
      </c>
      <c r="F2135" s="168" t="s">
        <v>591</v>
      </c>
      <c r="G2135" s="168" t="s">
        <v>613</v>
      </c>
      <c r="H2135" s="168" t="s">
        <v>608</v>
      </c>
      <c r="I2135">
        <v>992773.44693966699</v>
      </c>
    </row>
    <row r="2136" spans="1:9" hidden="1" x14ac:dyDescent="0.3">
      <c r="A2136">
        <v>85</v>
      </c>
      <c r="B2136" s="168" t="s">
        <v>132</v>
      </c>
      <c r="C2136" s="168" t="s">
        <v>133</v>
      </c>
      <c r="D2136">
        <v>14009.5</v>
      </c>
      <c r="E2136">
        <v>2021</v>
      </c>
      <c r="F2136" s="168" t="s">
        <v>591</v>
      </c>
      <c r="G2136" s="168" t="s">
        <v>613</v>
      </c>
      <c r="H2136" s="168" t="s">
        <v>609</v>
      </c>
      <c r="I2136">
        <v>404800.84667539096</v>
      </c>
    </row>
    <row r="2137" spans="1:9" hidden="1" x14ac:dyDescent="0.3">
      <c r="A2137">
        <v>86</v>
      </c>
      <c r="B2137" s="168" t="s">
        <v>134</v>
      </c>
      <c r="C2137" s="168" t="s">
        <v>135</v>
      </c>
      <c r="D2137">
        <v>11408</v>
      </c>
      <c r="E2137">
        <v>2021</v>
      </c>
      <c r="F2137" s="168" t="s">
        <v>591</v>
      </c>
      <c r="G2137" s="168" t="s">
        <v>607</v>
      </c>
      <c r="H2137" s="168" t="s">
        <v>608</v>
      </c>
      <c r="I2137">
        <v>1812328.73</v>
      </c>
    </row>
    <row r="2138" spans="1:9" hidden="1" x14ac:dyDescent="0.3">
      <c r="A2138">
        <v>86</v>
      </c>
      <c r="B2138" s="168" t="s">
        <v>134</v>
      </c>
      <c r="C2138" s="168" t="s">
        <v>135</v>
      </c>
      <c r="D2138">
        <v>11408</v>
      </c>
      <c r="E2138">
        <v>2021</v>
      </c>
      <c r="F2138" s="168" t="s">
        <v>591</v>
      </c>
      <c r="G2138" s="168" t="s">
        <v>607</v>
      </c>
      <c r="H2138" s="168" t="s">
        <v>609</v>
      </c>
      <c r="I2138">
        <v>776712.31</v>
      </c>
    </row>
    <row r="2139" spans="1:9" hidden="1" x14ac:dyDescent="0.3">
      <c r="A2139">
        <v>86</v>
      </c>
      <c r="B2139" s="168" t="s">
        <v>134</v>
      </c>
      <c r="C2139" s="168" t="s">
        <v>135</v>
      </c>
      <c r="D2139">
        <v>11408</v>
      </c>
      <c r="E2139">
        <v>2021</v>
      </c>
      <c r="F2139" s="168" t="s">
        <v>591</v>
      </c>
      <c r="G2139" s="168" t="s">
        <v>612</v>
      </c>
      <c r="H2139" s="168" t="s">
        <v>608</v>
      </c>
      <c r="I2139">
        <v>866172.34</v>
      </c>
    </row>
    <row r="2140" spans="1:9" hidden="1" x14ac:dyDescent="0.3">
      <c r="A2140">
        <v>86</v>
      </c>
      <c r="B2140" s="168" t="s">
        <v>134</v>
      </c>
      <c r="C2140" s="168" t="s">
        <v>135</v>
      </c>
      <c r="D2140">
        <v>11408</v>
      </c>
      <c r="E2140">
        <v>2021</v>
      </c>
      <c r="F2140" s="168" t="s">
        <v>591</v>
      </c>
      <c r="G2140" s="168" t="s">
        <v>612</v>
      </c>
      <c r="H2140" s="168" t="s">
        <v>609</v>
      </c>
      <c r="I2140">
        <v>371216.72</v>
      </c>
    </row>
    <row r="2141" spans="1:9" hidden="1" x14ac:dyDescent="0.3">
      <c r="A2141">
        <v>86</v>
      </c>
      <c r="B2141" s="168" t="s">
        <v>134</v>
      </c>
      <c r="C2141" s="168" t="s">
        <v>135</v>
      </c>
      <c r="D2141">
        <v>11408</v>
      </c>
      <c r="E2141">
        <v>2021</v>
      </c>
      <c r="F2141" s="168" t="s">
        <v>591</v>
      </c>
      <c r="G2141" s="168" t="s">
        <v>629</v>
      </c>
      <c r="H2141" s="168" t="s">
        <v>608</v>
      </c>
      <c r="I2141">
        <v>1038127.9999999999</v>
      </c>
    </row>
    <row r="2142" spans="1:9" hidden="1" x14ac:dyDescent="0.3">
      <c r="A2142">
        <v>86</v>
      </c>
      <c r="B2142" s="168" t="s">
        <v>134</v>
      </c>
      <c r="C2142" s="168" t="s">
        <v>135</v>
      </c>
      <c r="D2142">
        <v>11408</v>
      </c>
      <c r="E2142">
        <v>2021</v>
      </c>
      <c r="F2142" s="168" t="s">
        <v>591</v>
      </c>
      <c r="G2142" s="168" t="s">
        <v>629</v>
      </c>
      <c r="H2142" s="168" t="s">
        <v>609</v>
      </c>
      <c r="I2142">
        <v>947732.51</v>
      </c>
    </row>
    <row r="2143" spans="1:9" hidden="1" x14ac:dyDescent="0.3">
      <c r="A2143">
        <v>86</v>
      </c>
      <c r="B2143" s="168" t="s">
        <v>134</v>
      </c>
      <c r="C2143" s="168" t="s">
        <v>135</v>
      </c>
      <c r="D2143">
        <v>11408</v>
      </c>
      <c r="E2143">
        <v>2021</v>
      </c>
      <c r="F2143" s="168" t="s">
        <v>591</v>
      </c>
      <c r="G2143" s="168" t="s">
        <v>618</v>
      </c>
      <c r="H2143" s="168" t="s">
        <v>608</v>
      </c>
      <c r="I2143">
        <v>0</v>
      </c>
    </row>
    <row r="2144" spans="1:9" hidden="1" x14ac:dyDescent="0.3">
      <c r="A2144">
        <v>86</v>
      </c>
      <c r="B2144" s="168" t="s">
        <v>134</v>
      </c>
      <c r="C2144" s="168" t="s">
        <v>135</v>
      </c>
      <c r="D2144">
        <v>11408</v>
      </c>
      <c r="E2144">
        <v>2021</v>
      </c>
      <c r="F2144" s="168" t="s">
        <v>591</v>
      </c>
      <c r="G2144" s="168" t="s">
        <v>618</v>
      </c>
      <c r="H2144" s="168" t="s">
        <v>609</v>
      </c>
      <c r="I2144">
        <v>35205.839999999997</v>
      </c>
    </row>
    <row r="2145" spans="1:9" hidden="1" x14ac:dyDescent="0.3">
      <c r="A2145">
        <v>86</v>
      </c>
      <c r="B2145" s="168" t="s">
        <v>134</v>
      </c>
      <c r="C2145" s="168" t="s">
        <v>135</v>
      </c>
      <c r="D2145">
        <v>11408</v>
      </c>
      <c r="E2145">
        <v>2021</v>
      </c>
      <c r="F2145" s="168" t="s">
        <v>591</v>
      </c>
      <c r="G2145" s="168" t="s">
        <v>610</v>
      </c>
      <c r="H2145" s="168" t="s">
        <v>608</v>
      </c>
      <c r="I2145">
        <v>0</v>
      </c>
    </row>
    <row r="2146" spans="1:9" hidden="1" x14ac:dyDescent="0.3">
      <c r="A2146">
        <v>86</v>
      </c>
      <c r="B2146" s="168" t="s">
        <v>134</v>
      </c>
      <c r="C2146" s="168" t="s">
        <v>135</v>
      </c>
      <c r="D2146">
        <v>11408</v>
      </c>
      <c r="E2146">
        <v>2021</v>
      </c>
      <c r="F2146" s="168" t="s">
        <v>591</v>
      </c>
      <c r="G2146" s="168" t="s">
        <v>610</v>
      </c>
      <c r="H2146" s="168" t="s">
        <v>609</v>
      </c>
      <c r="I2146">
        <v>9818.181818181818</v>
      </c>
    </row>
    <row r="2147" spans="1:9" hidden="1" x14ac:dyDescent="0.3">
      <c r="A2147">
        <v>86</v>
      </c>
      <c r="B2147" s="168" t="s">
        <v>134</v>
      </c>
      <c r="C2147" s="168" t="s">
        <v>135</v>
      </c>
      <c r="D2147">
        <v>11408</v>
      </c>
      <c r="E2147">
        <v>2021</v>
      </c>
      <c r="F2147" s="168" t="s">
        <v>591</v>
      </c>
      <c r="G2147" s="168" t="s">
        <v>623</v>
      </c>
      <c r="H2147" s="168" t="s">
        <v>608</v>
      </c>
      <c r="I2147">
        <v>333321.2</v>
      </c>
    </row>
    <row r="2148" spans="1:9" hidden="1" x14ac:dyDescent="0.3">
      <c r="A2148">
        <v>86</v>
      </c>
      <c r="B2148" s="168" t="s">
        <v>134</v>
      </c>
      <c r="C2148" s="168" t="s">
        <v>135</v>
      </c>
      <c r="D2148">
        <v>11408</v>
      </c>
      <c r="E2148">
        <v>2021</v>
      </c>
      <c r="F2148" s="168" t="s">
        <v>591</v>
      </c>
      <c r="G2148" s="168" t="s">
        <v>623</v>
      </c>
      <c r="H2148" s="168" t="s">
        <v>609</v>
      </c>
      <c r="I2148">
        <v>116754.43999999999</v>
      </c>
    </row>
    <row r="2149" spans="1:9" hidden="1" x14ac:dyDescent="0.3">
      <c r="A2149">
        <v>86</v>
      </c>
      <c r="B2149" s="168" t="s">
        <v>134</v>
      </c>
      <c r="C2149" s="168" t="s">
        <v>135</v>
      </c>
      <c r="D2149">
        <v>11408</v>
      </c>
      <c r="E2149">
        <v>2021</v>
      </c>
      <c r="F2149" s="168" t="s">
        <v>591</v>
      </c>
      <c r="G2149" s="168" t="s">
        <v>615</v>
      </c>
      <c r="H2149" s="168" t="s">
        <v>608</v>
      </c>
      <c r="I2149">
        <v>0</v>
      </c>
    </row>
    <row r="2150" spans="1:9" hidden="1" x14ac:dyDescent="0.3">
      <c r="A2150">
        <v>86</v>
      </c>
      <c r="B2150" s="168" t="s">
        <v>134</v>
      </c>
      <c r="C2150" s="168" t="s">
        <v>135</v>
      </c>
      <c r="D2150">
        <v>11408</v>
      </c>
      <c r="E2150">
        <v>2021</v>
      </c>
      <c r="F2150" s="168" t="s">
        <v>591</v>
      </c>
      <c r="G2150" s="168" t="s">
        <v>615</v>
      </c>
      <c r="H2150" s="168" t="s">
        <v>609</v>
      </c>
      <c r="I2150">
        <v>7536.5853658536589</v>
      </c>
    </row>
    <row r="2151" spans="1:9" hidden="1" x14ac:dyDescent="0.3">
      <c r="A2151">
        <v>86</v>
      </c>
      <c r="B2151" s="168" t="s">
        <v>134</v>
      </c>
      <c r="C2151" s="168" t="s">
        <v>135</v>
      </c>
      <c r="D2151">
        <v>11408</v>
      </c>
      <c r="E2151">
        <v>2021</v>
      </c>
      <c r="F2151" s="168" t="s">
        <v>591</v>
      </c>
      <c r="G2151" s="168" t="s">
        <v>630</v>
      </c>
      <c r="H2151" s="168" t="s">
        <v>608</v>
      </c>
      <c r="I2151">
        <v>1481325.3699999999</v>
      </c>
    </row>
    <row r="2152" spans="1:9" hidden="1" x14ac:dyDescent="0.3">
      <c r="A2152">
        <v>86</v>
      </c>
      <c r="B2152" s="168" t="s">
        <v>134</v>
      </c>
      <c r="C2152" s="168" t="s">
        <v>135</v>
      </c>
      <c r="D2152">
        <v>11408</v>
      </c>
      <c r="E2152">
        <v>2021</v>
      </c>
      <c r="F2152" s="168" t="s">
        <v>591</v>
      </c>
      <c r="G2152" s="168" t="s">
        <v>630</v>
      </c>
      <c r="H2152" s="168" t="s">
        <v>609</v>
      </c>
      <c r="I2152">
        <v>634853.73</v>
      </c>
    </row>
    <row r="2153" spans="1:9" hidden="1" x14ac:dyDescent="0.3">
      <c r="A2153">
        <v>86</v>
      </c>
      <c r="B2153" s="168" t="s">
        <v>134</v>
      </c>
      <c r="C2153" s="168" t="s">
        <v>135</v>
      </c>
      <c r="D2153">
        <v>11408</v>
      </c>
      <c r="E2153">
        <v>2021</v>
      </c>
      <c r="F2153" s="168" t="s">
        <v>591</v>
      </c>
      <c r="G2153" s="168" t="s">
        <v>611</v>
      </c>
      <c r="H2153" s="168" t="s">
        <v>608</v>
      </c>
      <c r="I2153">
        <v>0</v>
      </c>
    </row>
    <row r="2154" spans="1:9" hidden="1" x14ac:dyDescent="0.3">
      <c r="A2154">
        <v>86</v>
      </c>
      <c r="B2154" s="168" t="s">
        <v>134</v>
      </c>
      <c r="C2154" s="168" t="s">
        <v>135</v>
      </c>
      <c r="D2154">
        <v>11408</v>
      </c>
      <c r="E2154">
        <v>2021</v>
      </c>
      <c r="F2154" s="168" t="s">
        <v>591</v>
      </c>
      <c r="G2154" s="168" t="s">
        <v>611</v>
      </c>
      <c r="H2154" s="168" t="s">
        <v>609</v>
      </c>
      <c r="I2154">
        <v>47680.665562320341</v>
      </c>
    </row>
    <row r="2155" spans="1:9" hidden="1" x14ac:dyDescent="0.3">
      <c r="A2155">
        <v>86</v>
      </c>
      <c r="B2155" s="168" t="s">
        <v>134</v>
      </c>
      <c r="C2155" s="168" t="s">
        <v>135</v>
      </c>
      <c r="D2155">
        <v>11408</v>
      </c>
      <c r="E2155">
        <v>2021</v>
      </c>
      <c r="F2155" s="168" t="s">
        <v>591</v>
      </c>
      <c r="G2155" s="168" t="s">
        <v>621</v>
      </c>
      <c r="H2155" s="168" t="s">
        <v>608</v>
      </c>
      <c r="I2155">
        <v>0</v>
      </c>
    </row>
    <row r="2156" spans="1:9" hidden="1" x14ac:dyDescent="0.3">
      <c r="A2156">
        <v>86</v>
      </c>
      <c r="B2156" s="168" t="s">
        <v>134</v>
      </c>
      <c r="C2156" s="168" t="s">
        <v>135</v>
      </c>
      <c r="D2156">
        <v>11408</v>
      </c>
      <c r="E2156">
        <v>2021</v>
      </c>
      <c r="F2156" s="168" t="s">
        <v>591</v>
      </c>
      <c r="G2156" s="168" t="s">
        <v>613</v>
      </c>
      <c r="H2156" s="168" t="s">
        <v>608</v>
      </c>
      <c r="I2156">
        <v>808419.96378798096</v>
      </c>
    </row>
    <row r="2157" spans="1:9" hidden="1" x14ac:dyDescent="0.3">
      <c r="A2157">
        <v>86</v>
      </c>
      <c r="B2157" s="168" t="s">
        <v>134</v>
      </c>
      <c r="C2157" s="168" t="s">
        <v>135</v>
      </c>
      <c r="D2157">
        <v>11408</v>
      </c>
      <c r="E2157">
        <v>2021</v>
      </c>
      <c r="F2157" s="168" t="s">
        <v>591</v>
      </c>
      <c r="G2157" s="168" t="s">
        <v>613</v>
      </c>
      <c r="H2157" s="168" t="s">
        <v>609</v>
      </c>
      <c r="I2157">
        <v>329631.1830452804</v>
      </c>
    </row>
    <row r="2158" spans="1:9" hidden="1" x14ac:dyDescent="0.3">
      <c r="A2158">
        <v>88</v>
      </c>
      <c r="B2158" s="168" t="s">
        <v>138</v>
      </c>
      <c r="C2158" s="168" t="s">
        <v>139</v>
      </c>
      <c r="D2158">
        <v>7858.3</v>
      </c>
      <c r="E2158">
        <v>2021</v>
      </c>
      <c r="F2158" s="168" t="s">
        <v>591</v>
      </c>
      <c r="G2158" s="168" t="s">
        <v>607</v>
      </c>
      <c r="H2158" s="168" t="s">
        <v>608</v>
      </c>
      <c r="I2158">
        <v>1812328.73</v>
      </c>
    </row>
    <row r="2159" spans="1:9" hidden="1" x14ac:dyDescent="0.3">
      <c r="A2159">
        <v>88</v>
      </c>
      <c r="B2159" s="168" t="s">
        <v>138</v>
      </c>
      <c r="C2159" s="168" t="s">
        <v>139</v>
      </c>
      <c r="D2159">
        <v>7858.3</v>
      </c>
      <c r="E2159">
        <v>2021</v>
      </c>
      <c r="F2159" s="168" t="s">
        <v>591</v>
      </c>
      <c r="G2159" s="168" t="s">
        <v>607</v>
      </c>
      <c r="H2159" s="168" t="s">
        <v>609</v>
      </c>
      <c r="I2159">
        <v>776712.31</v>
      </c>
    </row>
    <row r="2160" spans="1:9" hidden="1" x14ac:dyDescent="0.3">
      <c r="A2160">
        <v>88</v>
      </c>
      <c r="B2160" s="168" t="s">
        <v>138</v>
      </c>
      <c r="C2160" s="168" t="s">
        <v>139</v>
      </c>
      <c r="D2160">
        <v>7858.3</v>
      </c>
      <c r="E2160">
        <v>2021</v>
      </c>
      <c r="F2160" s="168" t="s">
        <v>591</v>
      </c>
      <c r="G2160" s="168" t="s">
        <v>612</v>
      </c>
      <c r="H2160" s="168" t="s">
        <v>608</v>
      </c>
      <c r="I2160">
        <v>681570.02</v>
      </c>
    </row>
    <row r="2161" spans="1:9" hidden="1" x14ac:dyDescent="0.3">
      <c r="A2161">
        <v>88</v>
      </c>
      <c r="B2161" s="168" t="s">
        <v>138</v>
      </c>
      <c r="C2161" s="168" t="s">
        <v>139</v>
      </c>
      <c r="D2161">
        <v>7858.3</v>
      </c>
      <c r="E2161">
        <v>2021</v>
      </c>
      <c r="F2161" s="168" t="s">
        <v>591</v>
      </c>
      <c r="G2161" s="168" t="s">
        <v>612</v>
      </c>
      <c r="H2161" s="168" t="s">
        <v>609</v>
      </c>
      <c r="I2161">
        <v>292101.44</v>
      </c>
    </row>
    <row r="2162" spans="1:9" hidden="1" x14ac:dyDescent="0.3">
      <c r="A2162">
        <v>88</v>
      </c>
      <c r="B2162" s="168" t="s">
        <v>138</v>
      </c>
      <c r="C2162" s="168" t="s">
        <v>139</v>
      </c>
      <c r="D2162">
        <v>7858.3</v>
      </c>
      <c r="E2162">
        <v>2021</v>
      </c>
      <c r="F2162" s="168" t="s">
        <v>591</v>
      </c>
      <c r="G2162" s="168" t="s">
        <v>629</v>
      </c>
      <c r="H2162" s="168" t="s">
        <v>608</v>
      </c>
      <c r="I2162">
        <v>715105.29999999993</v>
      </c>
    </row>
    <row r="2163" spans="1:9" hidden="1" x14ac:dyDescent="0.3">
      <c r="A2163">
        <v>88</v>
      </c>
      <c r="B2163" s="168" t="s">
        <v>138</v>
      </c>
      <c r="C2163" s="168" t="s">
        <v>139</v>
      </c>
      <c r="D2163">
        <v>7858.3</v>
      </c>
      <c r="E2163">
        <v>2021</v>
      </c>
      <c r="F2163" s="168" t="s">
        <v>591</v>
      </c>
      <c r="G2163" s="168" t="s">
        <v>629</v>
      </c>
      <c r="H2163" s="168" t="s">
        <v>609</v>
      </c>
      <c r="I2163">
        <v>306473.7</v>
      </c>
    </row>
    <row r="2164" spans="1:9" hidden="1" x14ac:dyDescent="0.3">
      <c r="A2164">
        <v>88</v>
      </c>
      <c r="B2164" s="168" t="s">
        <v>138</v>
      </c>
      <c r="C2164" s="168" t="s">
        <v>139</v>
      </c>
      <c r="D2164">
        <v>7858.3</v>
      </c>
      <c r="E2164">
        <v>2021</v>
      </c>
      <c r="F2164" s="168" t="s">
        <v>591</v>
      </c>
      <c r="G2164" s="168" t="s">
        <v>618</v>
      </c>
      <c r="H2164" s="168" t="s">
        <v>608</v>
      </c>
      <c r="I2164">
        <v>0</v>
      </c>
    </row>
    <row r="2165" spans="1:9" hidden="1" x14ac:dyDescent="0.3">
      <c r="A2165">
        <v>88</v>
      </c>
      <c r="B2165" s="168" t="s">
        <v>138</v>
      </c>
      <c r="C2165" s="168" t="s">
        <v>139</v>
      </c>
      <c r="D2165">
        <v>7858.3</v>
      </c>
      <c r="E2165">
        <v>2021</v>
      </c>
      <c r="F2165" s="168" t="s">
        <v>591</v>
      </c>
      <c r="G2165" s="168" t="s">
        <v>618</v>
      </c>
      <c r="H2165" s="168" t="s">
        <v>609</v>
      </c>
      <c r="I2165">
        <v>37280.898876404492</v>
      </c>
    </row>
    <row r="2166" spans="1:9" hidden="1" x14ac:dyDescent="0.3">
      <c r="A2166">
        <v>88</v>
      </c>
      <c r="B2166" s="168" t="s">
        <v>138</v>
      </c>
      <c r="C2166" s="168" t="s">
        <v>139</v>
      </c>
      <c r="D2166">
        <v>7858.3</v>
      </c>
      <c r="E2166">
        <v>2021</v>
      </c>
      <c r="F2166" s="168" t="s">
        <v>591</v>
      </c>
      <c r="G2166" s="168" t="s">
        <v>610</v>
      </c>
      <c r="H2166" s="168" t="s">
        <v>608</v>
      </c>
      <c r="I2166">
        <v>0</v>
      </c>
    </row>
    <row r="2167" spans="1:9" hidden="1" x14ac:dyDescent="0.3">
      <c r="A2167">
        <v>88</v>
      </c>
      <c r="B2167" s="168" t="s">
        <v>138</v>
      </c>
      <c r="C2167" s="168" t="s">
        <v>139</v>
      </c>
      <c r="D2167">
        <v>7858.3</v>
      </c>
      <c r="E2167">
        <v>2021</v>
      </c>
      <c r="F2167" s="168" t="s">
        <v>591</v>
      </c>
      <c r="G2167" s="168" t="s">
        <v>610</v>
      </c>
      <c r="H2167" s="168" t="s">
        <v>609</v>
      </c>
      <c r="I2167">
        <v>9818.181818181818</v>
      </c>
    </row>
    <row r="2168" spans="1:9" hidden="1" x14ac:dyDescent="0.3">
      <c r="A2168">
        <v>88</v>
      </c>
      <c r="B2168" s="168" t="s">
        <v>138</v>
      </c>
      <c r="C2168" s="168" t="s">
        <v>139</v>
      </c>
      <c r="D2168">
        <v>7858.3</v>
      </c>
      <c r="E2168">
        <v>2021</v>
      </c>
      <c r="F2168" s="168" t="s">
        <v>591</v>
      </c>
      <c r="G2168" s="168" t="s">
        <v>623</v>
      </c>
      <c r="H2168" s="168" t="s">
        <v>608</v>
      </c>
      <c r="I2168">
        <v>311517</v>
      </c>
    </row>
    <row r="2169" spans="1:9" hidden="1" x14ac:dyDescent="0.3">
      <c r="A2169">
        <v>88</v>
      </c>
      <c r="B2169" s="168" t="s">
        <v>138</v>
      </c>
      <c r="C2169" s="168" t="s">
        <v>139</v>
      </c>
      <c r="D2169">
        <v>7858.3</v>
      </c>
      <c r="E2169">
        <v>2021</v>
      </c>
      <c r="F2169" s="168" t="s">
        <v>591</v>
      </c>
      <c r="G2169" s="168" t="s">
        <v>623</v>
      </c>
      <c r="H2169" s="168" t="s">
        <v>609</v>
      </c>
      <c r="I2169">
        <v>108184.87999999999</v>
      </c>
    </row>
    <row r="2170" spans="1:9" hidden="1" x14ac:dyDescent="0.3">
      <c r="A2170">
        <v>88</v>
      </c>
      <c r="B2170" s="168" t="s">
        <v>138</v>
      </c>
      <c r="C2170" s="168" t="s">
        <v>139</v>
      </c>
      <c r="D2170">
        <v>7858.3</v>
      </c>
      <c r="E2170">
        <v>2021</v>
      </c>
      <c r="F2170" s="168" t="s">
        <v>591</v>
      </c>
      <c r="G2170" s="168" t="s">
        <v>630</v>
      </c>
      <c r="H2170" s="168" t="s">
        <v>608</v>
      </c>
      <c r="I2170">
        <v>999455.48499999987</v>
      </c>
    </row>
    <row r="2171" spans="1:9" hidden="1" x14ac:dyDescent="0.3">
      <c r="A2171">
        <v>88</v>
      </c>
      <c r="B2171" s="168" t="s">
        <v>138</v>
      </c>
      <c r="C2171" s="168" t="s">
        <v>139</v>
      </c>
      <c r="D2171">
        <v>7858.3</v>
      </c>
      <c r="E2171">
        <v>2021</v>
      </c>
      <c r="F2171" s="168" t="s">
        <v>591</v>
      </c>
      <c r="G2171" s="168" t="s">
        <v>630</v>
      </c>
      <c r="H2171" s="168" t="s">
        <v>609</v>
      </c>
      <c r="I2171">
        <v>546107</v>
      </c>
    </row>
    <row r="2172" spans="1:9" hidden="1" x14ac:dyDescent="0.3">
      <c r="A2172">
        <v>88</v>
      </c>
      <c r="B2172" s="168" t="s">
        <v>138</v>
      </c>
      <c r="C2172" s="168" t="s">
        <v>139</v>
      </c>
      <c r="D2172">
        <v>7858.3</v>
      </c>
      <c r="E2172">
        <v>2021</v>
      </c>
      <c r="F2172" s="168" t="s">
        <v>591</v>
      </c>
      <c r="G2172" s="168" t="s">
        <v>611</v>
      </c>
      <c r="H2172" s="168" t="s">
        <v>608</v>
      </c>
      <c r="I2172">
        <v>0</v>
      </c>
    </row>
    <row r="2173" spans="1:9" hidden="1" x14ac:dyDescent="0.3">
      <c r="A2173">
        <v>88</v>
      </c>
      <c r="B2173" s="168" t="s">
        <v>138</v>
      </c>
      <c r="C2173" s="168" t="s">
        <v>139</v>
      </c>
      <c r="D2173">
        <v>7858.3</v>
      </c>
      <c r="E2173">
        <v>2021</v>
      </c>
      <c r="F2173" s="168" t="s">
        <v>591</v>
      </c>
      <c r="G2173" s="168" t="s">
        <v>611</v>
      </c>
      <c r="H2173" s="168" t="s">
        <v>609</v>
      </c>
      <c r="I2173">
        <v>32844.405170790844</v>
      </c>
    </row>
    <row r="2174" spans="1:9" hidden="1" x14ac:dyDescent="0.3">
      <c r="A2174">
        <v>88</v>
      </c>
      <c r="B2174" s="168" t="s">
        <v>138</v>
      </c>
      <c r="C2174" s="168" t="s">
        <v>139</v>
      </c>
      <c r="D2174">
        <v>7858.3</v>
      </c>
      <c r="E2174">
        <v>2021</v>
      </c>
      <c r="F2174" s="168" t="s">
        <v>591</v>
      </c>
      <c r="G2174" s="168" t="s">
        <v>613</v>
      </c>
      <c r="H2174" s="168" t="s">
        <v>608</v>
      </c>
      <c r="I2174">
        <v>296635.85827897</v>
      </c>
    </row>
    <row r="2175" spans="1:9" hidden="1" x14ac:dyDescent="0.3">
      <c r="A2175">
        <v>88</v>
      </c>
      <c r="B2175" s="168" t="s">
        <v>138</v>
      </c>
      <c r="C2175" s="168" t="s">
        <v>139</v>
      </c>
      <c r="D2175">
        <v>7858.3</v>
      </c>
      <c r="E2175">
        <v>2021</v>
      </c>
      <c r="F2175" s="168" t="s">
        <v>591</v>
      </c>
      <c r="G2175" s="168" t="s">
        <v>613</v>
      </c>
      <c r="H2175" s="168" t="s">
        <v>609</v>
      </c>
      <c r="I2175">
        <v>60208.179742888293</v>
      </c>
    </row>
    <row r="2176" spans="1:9" hidden="1" x14ac:dyDescent="0.3">
      <c r="A2176">
        <v>89</v>
      </c>
      <c r="B2176" s="168" t="s">
        <v>140</v>
      </c>
      <c r="C2176" s="168" t="s">
        <v>141</v>
      </c>
      <c r="D2176">
        <v>7847.8</v>
      </c>
      <c r="E2176">
        <v>2021</v>
      </c>
      <c r="F2176" s="168" t="s">
        <v>591</v>
      </c>
      <c r="G2176" s="168" t="s">
        <v>607</v>
      </c>
      <c r="H2176" s="168" t="s">
        <v>608</v>
      </c>
      <c r="I2176">
        <v>1812328.73</v>
      </c>
    </row>
    <row r="2177" spans="1:9" hidden="1" x14ac:dyDescent="0.3">
      <c r="A2177">
        <v>89</v>
      </c>
      <c r="B2177" s="168" t="s">
        <v>140</v>
      </c>
      <c r="C2177" s="168" t="s">
        <v>141</v>
      </c>
      <c r="D2177">
        <v>7847.8</v>
      </c>
      <c r="E2177">
        <v>2021</v>
      </c>
      <c r="F2177" s="168" t="s">
        <v>591</v>
      </c>
      <c r="G2177" s="168" t="s">
        <v>607</v>
      </c>
      <c r="H2177" s="168" t="s">
        <v>609</v>
      </c>
      <c r="I2177">
        <v>776712.31</v>
      </c>
    </row>
    <row r="2178" spans="1:9" hidden="1" x14ac:dyDescent="0.3">
      <c r="A2178">
        <v>89</v>
      </c>
      <c r="B2178" s="168" t="s">
        <v>140</v>
      </c>
      <c r="C2178" s="168" t="s">
        <v>141</v>
      </c>
      <c r="D2178">
        <v>7847.8</v>
      </c>
      <c r="E2178">
        <v>2021</v>
      </c>
      <c r="F2178" s="168" t="s">
        <v>591</v>
      </c>
      <c r="G2178" s="168" t="s">
        <v>612</v>
      </c>
      <c r="H2178" s="168" t="s">
        <v>608</v>
      </c>
      <c r="I2178">
        <v>681570.02</v>
      </c>
    </row>
    <row r="2179" spans="1:9" hidden="1" x14ac:dyDescent="0.3">
      <c r="A2179">
        <v>89</v>
      </c>
      <c r="B2179" s="168" t="s">
        <v>140</v>
      </c>
      <c r="C2179" s="168" t="s">
        <v>141</v>
      </c>
      <c r="D2179">
        <v>7847.8</v>
      </c>
      <c r="E2179">
        <v>2021</v>
      </c>
      <c r="F2179" s="168" t="s">
        <v>591</v>
      </c>
      <c r="G2179" s="168" t="s">
        <v>612</v>
      </c>
      <c r="H2179" s="168" t="s">
        <v>609</v>
      </c>
      <c r="I2179">
        <v>292101.44</v>
      </c>
    </row>
    <row r="2180" spans="1:9" hidden="1" x14ac:dyDescent="0.3">
      <c r="A2180">
        <v>89</v>
      </c>
      <c r="B2180" s="168" t="s">
        <v>140</v>
      </c>
      <c r="C2180" s="168" t="s">
        <v>141</v>
      </c>
      <c r="D2180">
        <v>7847.8</v>
      </c>
      <c r="E2180">
        <v>2021</v>
      </c>
      <c r="F2180" s="168" t="s">
        <v>591</v>
      </c>
      <c r="G2180" s="168" t="s">
        <v>629</v>
      </c>
      <c r="H2180" s="168" t="s">
        <v>608</v>
      </c>
      <c r="I2180">
        <v>707243.6</v>
      </c>
    </row>
    <row r="2181" spans="1:9" hidden="1" x14ac:dyDescent="0.3">
      <c r="A2181">
        <v>89</v>
      </c>
      <c r="B2181" s="168" t="s">
        <v>140</v>
      </c>
      <c r="C2181" s="168" t="s">
        <v>141</v>
      </c>
      <c r="D2181">
        <v>7847.8</v>
      </c>
      <c r="E2181">
        <v>2021</v>
      </c>
      <c r="F2181" s="168" t="s">
        <v>591</v>
      </c>
      <c r="G2181" s="168" t="s">
        <v>629</v>
      </c>
      <c r="H2181" s="168" t="s">
        <v>609</v>
      </c>
      <c r="I2181">
        <v>278955.8</v>
      </c>
    </row>
    <row r="2182" spans="1:9" hidden="1" x14ac:dyDescent="0.3">
      <c r="A2182">
        <v>89</v>
      </c>
      <c r="B2182" s="168" t="s">
        <v>140</v>
      </c>
      <c r="C2182" s="168" t="s">
        <v>141</v>
      </c>
      <c r="D2182">
        <v>7847.8</v>
      </c>
      <c r="E2182">
        <v>2021</v>
      </c>
      <c r="F2182" s="168" t="s">
        <v>591</v>
      </c>
      <c r="G2182" s="168" t="s">
        <v>618</v>
      </c>
      <c r="H2182" s="168" t="s">
        <v>608</v>
      </c>
      <c r="I2182">
        <v>0</v>
      </c>
    </row>
    <row r="2183" spans="1:9" hidden="1" x14ac:dyDescent="0.3">
      <c r="A2183">
        <v>89</v>
      </c>
      <c r="B2183" s="168" t="s">
        <v>140</v>
      </c>
      <c r="C2183" s="168" t="s">
        <v>141</v>
      </c>
      <c r="D2183">
        <v>7847.8</v>
      </c>
      <c r="E2183">
        <v>2021</v>
      </c>
      <c r="F2183" s="168" t="s">
        <v>591</v>
      </c>
      <c r="G2183" s="168" t="s">
        <v>618</v>
      </c>
      <c r="H2183" s="168" t="s">
        <v>609</v>
      </c>
      <c r="I2183">
        <v>37280.898876404492</v>
      </c>
    </row>
    <row r="2184" spans="1:9" hidden="1" x14ac:dyDescent="0.3">
      <c r="A2184">
        <v>89</v>
      </c>
      <c r="B2184" s="168" t="s">
        <v>140</v>
      </c>
      <c r="C2184" s="168" t="s">
        <v>141</v>
      </c>
      <c r="D2184">
        <v>7847.8</v>
      </c>
      <c r="E2184">
        <v>2021</v>
      </c>
      <c r="F2184" s="168" t="s">
        <v>591</v>
      </c>
      <c r="G2184" s="168" t="s">
        <v>610</v>
      </c>
      <c r="H2184" s="168" t="s">
        <v>608</v>
      </c>
      <c r="I2184">
        <v>0</v>
      </c>
    </row>
    <row r="2185" spans="1:9" hidden="1" x14ac:dyDescent="0.3">
      <c r="A2185">
        <v>89</v>
      </c>
      <c r="B2185" s="168" t="s">
        <v>140</v>
      </c>
      <c r="C2185" s="168" t="s">
        <v>141</v>
      </c>
      <c r="D2185">
        <v>7847.8</v>
      </c>
      <c r="E2185">
        <v>2021</v>
      </c>
      <c r="F2185" s="168" t="s">
        <v>591</v>
      </c>
      <c r="G2185" s="168" t="s">
        <v>610</v>
      </c>
      <c r="H2185" s="168" t="s">
        <v>609</v>
      </c>
      <c r="I2185">
        <v>9818.181818181818</v>
      </c>
    </row>
    <row r="2186" spans="1:9" hidden="1" x14ac:dyDescent="0.3">
      <c r="A2186">
        <v>89</v>
      </c>
      <c r="B2186" s="168" t="s">
        <v>140</v>
      </c>
      <c r="C2186" s="168" t="s">
        <v>141</v>
      </c>
      <c r="D2186">
        <v>7847.8</v>
      </c>
      <c r="E2186">
        <v>2021</v>
      </c>
      <c r="F2186" s="168" t="s">
        <v>591</v>
      </c>
      <c r="G2186" s="168" t="s">
        <v>623</v>
      </c>
      <c r="H2186" s="168" t="s">
        <v>608</v>
      </c>
      <c r="I2186">
        <v>311517</v>
      </c>
    </row>
    <row r="2187" spans="1:9" hidden="1" x14ac:dyDescent="0.3">
      <c r="A2187">
        <v>89</v>
      </c>
      <c r="B2187" s="168" t="s">
        <v>140</v>
      </c>
      <c r="C2187" s="168" t="s">
        <v>141</v>
      </c>
      <c r="D2187">
        <v>7847.8</v>
      </c>
      <c r="E2187">
        <v>2021</v>
      </c>
      <c r="F2187" s="168" t="s">
        <v>591</v>
      </c>
      <c r="G2187" s="168" t="s">
        <v>623</v>
      </c>
      <c r="H2187" s="168" t="s">
        <v>609</v>
      </c>
      <c r="I2187">
        <v>198184.88</v>
      </c>
    </row>
    <row r="2188" spans="1:9" hidden="1" x14ac:dyDescent="0.3">
      <c r="A2188">
        <v>89</v>
      </c>
      <c r="B2188" s="168" t="s">
        <v>140</v>
      </c>
      <c r="C2188" s="168" t="s">
        <v>141</v>
      </c>
      <c r="D2188">
        <v>7847.8</v>
      </c>
      <c r="E2188">
        <v>2021</v>
      </c>
      <c r="F2188" s="168" t="s">
        <v>591</v>
      </c>
      <c r="G2188" s="168" t="s">
        <v>630</v>
      </c>
      <c r="H2188" s="168" t="s">
        <v>608</v>
      </c>
      <c r="I2188">
        <v>1052576.9169999999</v>
      </c>
    </row>
    <row r="2189" spans="1:9" hidden="1" x14ac:dyDescent="0.3">
      <c r="A2189">
        <v>89</v>
      </c>
      <c r="B2189" s="168" t="s">
        <v>140</v>
      </c>
      <c r="C2189" s="168" t="s">
        <v>141</v>
      </c>
      <c r="D2189">
        <v>7847.8</v>
      </c>
      <c r="E2189">
        <v>2021</v>
      </c>
      <c r="F2189" s="168" t="s">
        <v>591</v>
      </c>
      <c r="G2189" s="168" t="s">
        <v>630</v>
      </c>
      <c r="H2189" s="168" t="s">
        <v>609</v>
      </c>
      <c r="I2189">
        <v>545844</v>
      </c>
    </row>
    <row r="2190" spans="1:9" hidden="1" x14ac:dyDescent="0.3">
      <c r="A2190">
        <v>89</v>
      </c>
      <c r="B2190" s="168" t="s">
        <v>140</v>
      </c>
      <c r="C2190" s="168" t="s">
        <v>141</v>
      </c>
      <c r="D2190">
        <v>7847.8</v>
      </c>
      <c r="E2190">
        <v>2021</v>
      </c>
      <c r="F2190" s="168" t="s">
        <v>591</v>
      </c>
      <c r="G2190" s="168" t="s">
        <v>611</v>
      </c>
      <c r="H2190" s="168" t="s">
        <v>608</v>
      </c>
      <c r="I2190">
        <v>0</v>
      </c>
    </row>
    <row r="2191" spans="1:9" hidden="1" x14ac:dyDescent="0.3">
      <c r="A2191">
        <v>89</v>
      </c>
      <c r="B2191" s="168" t="s">
        <v>140</v>
      </c>
      <c r="C2191" s="168" t="s">
        <v>141</v>
      </c>
      <c r="D2191">
        <v>7847.8</v>
      </c>
      <c r="E2191">
        <v>2021</v>
      </c>
      <c r="F2191" s="168" t="s">
        <v>591</v>
      </c>
      <c r="G2191" s="168" t="s">
        <v>611</v>
      </c>
      <c r="H2191" s="168" t="s">
        <v>609</v>
      </c>
      <c r="I2191">
        <v>32800.519565215422</v>
      </c>
    </row>
    <row r="2192" spans="1:9" hidden="1" x14ac:dyDescent="0.3">
      <c r="A2192">
        <v>89</v>
      </c>
      <c r="B2192" s="168" t="s">
        <v>140</v>
      </c>
      <c r="C2192" s="168" t="s">
        <v>141</v>
      </c>
      <c r="D2192">
        <v>7847.8</v>
      </c>
      <c r="E2192">
        <v>2021</v>
      </c>
      <c r="F2192" s="168" t="s">
        <v>591</v>
      </c>
      <c r="G2192" s="168" t="s">
        <v>613</v>
      </c>
      <c r="H2192" s="168" t="s">
        <v>608</v>
      </c>
      <c r="I2192">
        <v>296239.50327700662</v>
      </c>
    </row>
    <row r="2193" spans="1:9" hidden="1" x14ac:dyDescent="0.3">
      <c r="A2193">
        <v>89</v>
      </c>
      <c r="B2193" s="168" t="s">
        <v>140</v>
      </c>
      <c r="C2193" s="168" t="s">
        <v>141</v>
      </c>
      <c r="D2193">
        <v>7847.8</v>
      </c>
      <c r="E2193">
        <v>2021</v>
      </c>
      <c r="F2193" s="168" t="s">
        <v>591</v>
      </c>
      <c r="G2193" s="168" t="s">
        <v>613</v>
      </c>
      <c r="H2193" s="168" t="s">
        <v>609</v>
      </c>
      <c r="I2193">
        <v>60127.731568690273</v>
      </c>
    </row>
    <row r="2194" spans="1:9" x14ac:dyDescent="0.3">
      <c r="A2194">
        <v>90</v>
      </c>
      <c r="B2194" s="168" t="s">
        <v>142</v>
      </c>
      <c r="C2194" s="168" t="s">
        <v>143</v>
      </c>
      <c r="D2194">
        <v>1453.6</v>
      </c>
      <c r="E2194">
        <v>2021</v>
      </c>
      <c r="F2194" s="168" t="s">
        <v>592</v>
      </c>
      <c r="G2194" s="168" t="s">
        <v>618</v>
      </c>
      <c r="H2194" s="168" t="s">
        <v>608</v>
      </c>
      <c r="I2194">
        <v>0</v>
      </c>
    </row>
    <row r="2195" spans="1:9" x14ac:dyDescent="0.3">
      <c r="A2195">
        <v>90</v>
      </c>
      <c r="B2195" s="168" t="s">
        <v>142</v>
      </c>
      <c r="C2195" s="168" t="s">
        <v>143</v>
      </c>
      <c r="D2195">
        <v>1453.6</v>
      </c>
      <c r="E2195">
        <v>2021</v>
      </c>
      <c r="F2195" s="168" t="s">
        <v>592</v>
      </c>
      <c r="G2195" s="168" t="s">
        <v>618</v>
      </c>
      <c r="H2195" s="168" t="s">
        <v>609</v>
      </c>
      <c r="I2195">
        <v>10651.685393258427</v>
      </c>
    </row>
    <row r="2196" spans="1:9" x14ac:dyDescent="0.3">
      <c r="A2196">
        <v>90</v>
      </c>
      <c r="B2196" s="168" t="s">
        <v>142</v>
      </c>
      <c r="C2196" s="168" t="s">
        <v>143</v>
      </c>
      <c r="D2196">
        <v>1453.6</v>
      </c>
      <c r="E2196">
        <v>2021</v>
      </c>
      <c r="F2196" s="168" t="s">
        <v>592</v>
      </c>
      <c r="G2196" s="168" t="s">
        <v>610</v>
      </c>
      <c r="H2196" s="168" t="s">
        <v>608</v>
      </c>
      <c r="I2196">
        <v>0</v>
      </c>
    </row>
    <row r="2197" spans="1:9" x14ac:dyDescent="0.3">
      <c r="A2197">
        <v>90</v>
      </c>
      <c r="B2197" s="168" t="s">
        <v>142</v>
      </c>
      <c r="C2197" s="168" t="s">
        <v>143</v>
      </c>
      <c r="D2197">
        <v>1453.6</v>
      </c>
      <c r="E2197">
        <v>2021</v>
      </c>
      <c r="F2197" s="168" t="s">
        <v>592</v>
      </c>
      <c r="G2197" s="168" t="s">
        <v>610</v>
      </c>
      <c r="H2197" s="168" t="s">
        <v>609</v>
      </c>
      <c r="I2197">
        <v>13090.90909090909</v>
      </c>
    </row>
    <row r="2198" spans="1:9" x14ac:dyDescent="0.3">
      <c r="A2198">
        <v>90</v>
      </c>
      <c r="B2198" s="168" t="s">
        <v>142</v>
      </c>
      <c r="C2198" s="168" t="s">
        <v>143</v>
      </c>
      <c r="D2198">
        <v>1453.6</v>
      </c>
      <c r="E2198">
        <v>2021</v>
      </c>
      <c r="F2198" s="168" t="s">
        <v>592</v>
      </c>
      <c r="G2198" s="168" t="s">
        <v>630</v>
      </c>
      <c r="H2198" s="168" t="s">
        <v>608</v>
      </c>
      <c r="I2198">
        <v>21733.00083224065</v>
      </c>
    </row>
    <row r="2199" spans="1:9" x14ac:dyDescent="0.3">
      <c r="A2199">
        <v>90</v>
      </c>
      <c r="B2199" s="168" t="s">
        <v>142</v>
      </c>
      <c r="C2199" s="168" t="s">
        <v>143</v>
      </c>
      <c r="D2199">
        <v>1453.6</v>
      </c>
      <c r="E2199">
        <v>2021</v>
      </c>
      <c r="F2199" s="168" t="s">
        <v>592</v>
      </c>
      <c r="G2199" s="168" t="s">
        <v>630</v>
      </c>
      <c r="H2199" s="168" t="s">
        <v>609</v>
      </c>
      <c r="I2199">
        <v>23146.603190238344</v>
      </c>
    </row>
    <row r="2200" spans="1:9" x14ac:dyDescent="0.3">
      <c r="A2200">
        <v>90</v>
      </c>
      <c r="B2200" s="168" t="s">
        <v>142</v>
      </c>
      <c r="C2200" s="168" t="s">
        <v>143</v>
      </c>
      <c r="D2200">
        <v>1453.6</v>
      </c>
      <c r="E2200">
        <v>2021</v>
      </c>
      <c r="F2200" s="168" t="s">
        <v>592</v>
      </c>
      <c r="G2200" s="168" t="s">
        <v>621</v>
      </c>
      <c r="H2200" s="168" t="s">
        <v>609</v>
      </c>
      <c r="I2200">
        <v>599994</v>
      </c>
    </row>
    <row r="2201" spans="1:9" x14ac:dyDescent="0.3">
      <c r="A2201">
        <v>90</v>
      </c>
      <c r="B2201" s="168" t="s">
        <v>142</v>
      </c>
      <c r="C2201" s="168" t="s">
        <v>143</v>
      </c>
      <c r="D2201">
        <v>1453.6</v>
      </c>
      <c r="E2201">
        <v>2021</v>
      </c>
      <c r="F2201" s="168" t="s">
        <v>592</v>
      </c>
      <c r="G2201" s="168" t="s">
        <v>613</v>
      </c>
      <c r="H2201" s="168" t="s">
        <v>608</v>
      </c>
      <c r="I2201">
        <v>54870.631509908097</v>
      </c>
    </row>
    <row r="2202" spans="1:9" x14ac:dyDescent="0.3">
      <c r="A2202">
        <v>90</v>
      </c>
      <c r="B2202" s="168" t="s">
        <v>142</v>
      </c>
      <c r="C2202" s="168" t="s">
        <v>143</v>
      </c>
      <c r="D2202">
        <v>1453.6</v>
      </c>
      <c r="E2202">
        <v>2021</v>
      </c>
      <c r="F2202" s="168" t="s">
        <v>592</v>
      </c>
      <c r="G2202" s="168" t="s">
        <v>613</v>
      </c>
      <c r="H2202" s="168" t="s">
        <v>609</v>
      </c>
      <c r="I2202">
        <v>11137.092001356836</v>
      </c>
    </row>
    <row r="2203" spans="1:9" x14ac:dyDescent="0.3">
      <c r="A2203">
        <v>91</v>
      </c>
      <c r="B2203" s="168" t="s">
        <v>144</v>
      </c>
      <c r="C2203" s="168" t="s">
        <v>145</v>
      </c>
      <c r="D2203">
        <v>6172.3</v>
      </c>
      <c r="E2203">
        <v>2021</v>
      </c>
      <c r="F2203" s="168" t="s">
        <v>592</v>
      </c>
      <c r="G2203" s="168" t="s">
        <v>607</v>
      </c>
      <c r="H2203" s="168" t="s">
        <v>609</v>
      </c>
      <c r="I2203">
        <v>2589041.04</v>
      </c>
    </row>
    <row r="2204" spans="1:9" x14ac:dyDescent="0.3">
      <c r="A2204">
        <v>91</v>
      </c>
      <c r="B2204" s="168" t="s">
        <v>144</v>
      </c>
      <c r="C2204" s="168" t="s">
        <v>145</v>
      </c>
      <c r="D2204">
        <v>6172.3</v>
      </c>
      <c r="E2204">
        <v>2021</v>
      </c>
      <c r="F2204" s="168" t="s">
        <v>592</v>
      </c>
      <c r="G2204" s="168" t="s">
        <v>612</v>
      </c>
      <c r="H2204" s="168" t="s">
        <v>608</v>
      </c>
      <c r="I2204">
        <v>0</v>
      </c>
    </row>
    <row r="2205" spans="1:9" x14ac:dyDescent="0.3">
      <c r="A2205">
        <v>91</v>
      </c>
      <c r="B2205" s="168" t="s">
        <v>144</v>
      </c>
      <c r="C2205" s="168" t="s">
        <v>145</v>
      </c>
      <c r="D2205">
        <v>6172.3</v>
      </c>
      <c r="E2205">
        <v>2021</v>
      </c>
      <c r="F2205" s="168" t="s">
        <v>592</v>
      </c>
      <c r="G2205" s="168" t="s">
        <v>612</v>
      </c>
      <c r="H2205" s="168" t="s">
        <v>609</v>
      </c>
      <c r="I2205">
        <v>363300</v>
      </c>
    </row>
    <row r="2206" spans="1:9" x14ac:dyDescent="0.3">
      <c r="A2206">
        <v>91</v>
      </c>
      <c r="B2206" s="168" t="s">
        <v>144</v>
      </c>
      <c r="C2206" s="168" t="s">
        <v>145</v>
      </c>
      <c r="D2206">
        <v>6172.3</v>
      </c>
      <c r="E2206">
        <v>2021</v>
      </c>
      <c r="F2206" s="168" t="s">
        <v>592</v>
      </c>
      <c r="G2206" s="168" t="s">
        <v>629</v>
      </c>
      <c r="H2206" s="168" t="s">
        <v>608</v>
      </c>
      <c r="I2206">
        <v>0</v>
      </c>
    </row>
    <row r="2207" spans="1:9" x14ac:dyDescent="0.3">
      <c r="A2207">
        <v>91</v>
      </c>
      <c r="B2207" s="168" t="s">
        <v>144</v>
      </c>
      <c r="C2207" s="168" t="s">
        <v>145</v>
      </c>
      <c r="D2207">
        <v>6172.3</v>
      </c>
      <c r="E2207">
        <v>2021</v>
      </c>
      <c r="F2207" s="168" t="s">
        <v>592</v>
      </c>
      <c r="G2207" s="168" t="s">
        <v>629</v>
      </c>
      <c r="H2207" s="168" t="s">
        <v>609</v>
      </c>
      <c r="I2207">
        <v>1211554.3799999999</v>
      </c>
    </row>
    <row r="2208" spans="1:9" x14ac:dyDescent="0.3">
      <c r="A2208">
        <v>91</v>
      </c>
      <c r="B2208" s="168" t="s">
        <v>144</v>
      </c>
      <c r="C2208" s="168" t="s">
        <v>145</v>
      </c>
      <c r="D2208">
        <v>6172.3</v>
      </c>
      <c r="E2208">
        <v>2021</v>
      </c>
      <c r="F2208" s="168" t="s">
        <v>592</v>
      </c>
      <c r="G2208" s="168" t="s">
        <v>617</v>
      </c>
      <c r="H2208" s="168" t="s">
        <v>608</v>
      </c>
      <c r="I2208">
        <v>0</v>
      </c>
    </row>
    <row r="2209" spans="1:9" x14ac:dyDescent="0.3">
      <c r="A2209">
        <v>91</v>
      </c>
      <c r="B2209" s="168" t="s">
        <v>144</v>
      </c>
      <c r="C2209" s="168" t="s">
        <v>145</v>
      </c>
      <c r="D2209">
        <v>6172.3</v>
      </c>
      <c r="E2209">
        <v>2021</v>
      </c>
      <c r="F2209" s="168" t="s">
        <v>592</v>
      </c>
      <c r="G2209" s="168" t="s">
        <v>617</v>
      </c>
      <c r="H2209" s="168" t="s">
        <v>609</v>
      </c>
      <c r="I2209">
        <v>84400</v>
      </c>
    </row>
    <row r="2210" spans="1:9" x14ac:dyDescent="0.3">
      <c r="A2210">
        <v>91</v>
      </c>
      <c r="B2210" s="168" t="s">
        <v>144</v>
      </c>
      <c r="C2210" s="168" t="s">
        <v>145</v>
      </c>
      <c r="D2210">
        <v>6172.3</v>
      </c>
      <c r="E2210">
        <v>2021</v>
      </c>
      <c r="F2210" s="168" t="s">
        <v>592</v>
      </c>
      <c r="G2210" s="168" t="s">
        <v>618</v>
      </c>
      <c r="H2210" s="168" t="s">
        <v>608</v>
      </c>
      <c r="I2210">
        <v>0</v>
      </c>
    </row>
    <row r="2211" spans="1:9" x14ac:dyDescent="0.3">
      <c r="A2211">
        <v>91</v>
      </c>
      <c r="B2211" s="168" t="s">
        <v>144</v>
      </c>
      <c r="C2211" s="168" t="s">
        <v>145</v>
      </c>
      <c r="D2211">
        <v>6172.3</v>
      </c>
      <c r="E2211">
        <v>2021</v>
      </c>
      <c r="F2211" s="168" t="s">
        <v>592</v>
      </c>
      <c r="G2211" s="168" t="s">
        <v>618</v>
      </c>
      <c r="H2211" s="168" t="s">
        <v>609</v>
      </c>
      <c r="I2211">
        <v>149000</v>
      </c>
    </row>
    <row r="2212" spans="1:9" x14ac:dyDescent="0.3">
      <c r="A2212">
        <v>91</v>
      </c>
      <c r="B2212" s="168" t="s">
        <v>144</v>
      </c>
      <c r="C2212" s="168" t="s">
        <v>145</v>
      </c>
      <c r="D2212">
        <v>6172.3</v>
      </c>
      <c r="E2212">
        <v>2021</v>
      </c>
      <c r="F2212" s="168" t="s">
        <v>592</v>
      </c>
      <c r="G2212" s="168" t="s">
        <v>619</v>
      </c>
      <c r="H2212" s="168" t="s">
        <v>608</v>
      </c>
      <c r="I2212">
        <v>0</v>
      </c>
    </row>
    <row r="2213" spans="1:9" x14ac:dyDescent="0.3">
      <c r="A2213">
        <v>91</v>
      </c>
      <c r="B2213" s="168" t="s">
        <v>144</v>
      </c>
      <c r="C2213" s="168" t="s">
        <v>145</v>
      </c>
      <c r="D2213">
        <v>6172.3</v>
      </c>
      <c r="E2213">
        <v>2021</v>
      </c>
      <c r="F2213" s="168" t="s">
        <v>592</v>
      </c>
      <c r="G2213" s="168" t="s">
        <v>619</v>
      </c>
      <c r="H2213" s="168" t="s">
        <v>609</v>
      </c>
      <c r="I2213">
        <v>269000</v>
      </c>
    </row>
    <row r="2214" spans="1:9" x14ac:dyDescent="0.3">
      <c r="A2214">
        <v>91</v>
      </c>
      <c r="B2214" s="168" t="s">
        <v>144</v>
      </c>
      <c r="C2214" s="168" t="s">
        <v>145</v>
      </c>
      <c r="D2214">
        <v>6172.3</v>
      </c>
      <c r="E2214">
        <v>2021</v>
      </c>
      <c r="F2214" s="168" t="s">
        <v>592</v>
      </c>
      <c r="G2214" s="168" t="s">
        <v>610</v>
      </c>
      <c r="H2214" s="168" t="s">
        <v>608</v>
      </c>
      <c r="I2214">
        <v>0</v>
      </c>
    </row>
    <row r="2215" spans="1:9" x14ac:dyDescent="0.3">
      <c r="A2215">
        <v>91</v>
      </c>
      <c r="B2215" s="168" t="s">
        <v>144</v>
      </c>
      <c r="C2215" s="168" t="s">
        <v>145</v>
      </c>
      <c r="D2215">
        <v>6172.3</v>
      </c>
      <c r="E2215">
        <v>2021</v>
      </c>
      <c r="F2215" s="168" t="s">
        <v>592</v>
      </c>
      <c r="G2215" s="168" t="s">
        <v>610</v>
      </c>
      <c r="H2215" s="168" t="s">
        <v>609</v>
      </c>
      <c r="I2215">
        <v>342500</v>
      </c>
    </row>
    <row r="2216" spans="1:9" x14ac:dyDescent="0.3">
      <c r="A2216">
        <v>91</v>
      </c>
      <c r="B2216" s="168" t="s">
        <v>144</v>
      </c>
      <c r="C2216" s="168" t="s">
        <v>145</v>
      </c>
      <c r="D2216">
        <v>6172.3</v>
      </c>
      <c r="E2216">
        <v>2021</v>
      </c>
      <c r="F2216" s="168" t="s">
        <v>592</v>
      </c>
      <c r="G2216" s="168" t="s">
        <v>620</v>
      </c>
      <c r="H2216" s="168" t="s">
        <v>608</v>
      </c>
      <c r="I2216">
        <v>0</v>
      </c>
    </row>
    <row r="2217" spans="1:9" x14ac:dyDescent="0.3">
      <c r="A2217">
        <v>91</v>
      </c>
      <c r="B2217" s="168" t="s">
        <v>144</v>
      </c>
      <c r="C2217" s="168" t="s">
        <v>145</v>
      </c>
      <c r="D2217">
        <v>6172.3</v>
      </c>
      <c r="E2217">
        <v>2021</v>
      </c>
      <c r="F2217" s="168" t="s">
        <v>592</v>
      </c>
      <c r="G2217" s="168" t="s">
        <v>620</v>
      </c>
      <c r="H2217" s="168" t="s">
        <v>609</v>
      </c>
      <c r="I2217">
        <v>32400</v>
      </c>
    </row>
    <row r="2218" spans="1:9" x14ac:dyDescent="0.3">
      <c r="A2218">
        <v>91</v>
      </c>
      <c r="B2218" s="168" t="s">
        <v>144</v>
      </c>
      <c r="C2218" s="168" t="s">
        <v>145</v>
      </c>
      <c r="D2218">
        <v>6172.3</v>
      </c>
      <c r="E2218">
        <v>2021</v>
      </c>
      <c r="F2218" s="168" t="s">
        <v>592</v>
      </c>
      <c r="G2218" s="168" t="s">
        <v>633</v>
      </c>
      <c r="H2218" s="168" t="s">
        <v>608</v>
      </c>
      <c r="I2218">
        <v>0</v>
      </c>
    </row>
    <row r="2219" spans="1:9" x14ac:dyDescent="0.3">
      <c r="A2219">
        <v>91</v>
      </c>
      <c r="B2219" s="168" t="s">
        <v>144</v>
      </c>
      <c r="C2219" s="168" t="s">
        <v>145</v>
      </c>
      <c r="D2219">
        <v>6172.3</v>
      </c>
      <c r="E2219">
        <v>2021</v>
      </c>
      <c r="F2219" s="168" t="s">
        <v>592</v>
      </c>
      <c r="G2219" s="168" t="s">
        <v>623</v>
      </c>
      <c r="H2219" s="168" t="s">
        <v>609</v>
      </c>
      <c r="I2219">
        <v>103938.2</v>
      </c>
    </row>
    <row r="2220" spans="1:9" x14ac:dyDescent="0.3">
      <c r="A2220">
        <v>91</v>
      </c>
      <c r="B2220" s="168" t="s">
        <v>144</v>
      </c>
      <c r="C2220" s="168" t="s">
        <v>145</v>
      </c>
      <c r="D2220">
        <v>6172.3</v>
      </c>
      <c r="E2220">
        <v>2021</v>
      </c>
      <c r="F2220" s="168" t="s">
        <v>592</v>
      </c>
      <c r="G2220" s="168" t="s">
        <v>611</v>
      </c>
      <c r="H2220" s="168" t="s">
        <v>608</v>
      </c>
      <c r="I2220">
        <v>0</v>
      </c>
    </row>
    <row r="2221" spans="1:9" x14ac:dyDescent="0.3">
      <c r="A2221">
        <v>91</v>
      </c>
      <c r="B2221" s="168" t="s">
        <v>144</v>
      </c>
      <c r="C2221" s="168" t="s">
        <v>145</v>
      </c>
      <c r="D2221">
        <v>6172.3</v>
      </c>
      <c r="E2221">
        <v>2021</v>
      </c>
      <c r="F2221" s="168" t="s">
        <v>592</v>
      </c>
      <c r="G2221" s="168" t="s">
        <v>626</v>
      </c>
      <c r="H2221" s="168" t="s">
        <v>608</v>
      </c>
      <c r="I2221">
        <v>0</v>
      </c>
    </row>
    <row r="2222" spans="1:9" x14ac:dyDescent="0.3">
      <c r="A2222">
        <v>91</v>
      </c>
      <c r="B2222" s="168" t="s">
        <v>144</v>
      </c>
      <c r="C2222" s="168" t="s">
        <v>145</v>
      </c>
      <c r="D2222">
        <v>6172.3</v>
      </c>
      <c r="E2222">
        <v>2021</v>
      </c>
      <c r="F2222" s="168" t="s">
        <v>592</v>
      </c>
      <c r="G2222" s="168" t="s">
        <v>626</v>
      </c>
      <c r="H2222" s="168" t="s">
        <v>609</v>
      </c>
      <c r="I2222">
        <v>299500</v>
      </c>
    </row>
    <row r="2223" spans="1:9" x14ac:dyDescent="0.3">
      <c r="A2223">
        <v>91</v>
      </c>
      <c r="B2223" s="168" t="s">
        <v>144</v>
      </c>
      <c r="C2223" s="168" t="s">
        <v>145</v>
      </c>
      <c r="D2223">
        <v>6172.3</v>
      </c>
      <c r="E2223">
        <v>2021</v>
      </c>
      <c r="F2223" s="168" t="s">
        <v>592</v>
      </c>
      <c r="G2223" s="168" t="s">
        <v>613</v>
      </c>
      <c r="H2223" s="168" t="s">
        <v>608</v>
      </c>
      <c r="I2223">
        <v>0</v>
      </c>
    </row>
    <row r="2224" spans="1:9" x14ac:dyDescent="0.3">
      <c r="A2224">
        <v>91</v>
      </c>
      <c r="B2224" s="168" t="s">
        <v>144</v>
      </c>
      <c r="C2224" s="168" t="s">
        <v>145</v>
      </c>
      <c r="D2224">
        <v>6172.3</v>
      </c>
      <c r="E2224">
        <v>2021</v>
      </c>
      <c r="F2224" s="168" t="s">
        <v>592</v>
      </c>
      <c r="G2224" s="168" t="s">
        <v>613</v>
      </c>
      <c r="H2224" s="168" t="s">
        <v>609</v>
      </c>
      <c r="I2224">
        <v>323931.59999999998</v>
      </c>
    </row>
    <row r="2225" spans="1:9" x14ac:dyDescent="0.3">
      <c r="A2225">
        <v>91</v>
      </c>
      <c r="B2225" s="168" t="s">
        <v>144</v>
      </c>
      <c r="C2225" s="168" t="s">
        <v>145</v>
      </c>
      <c r="D2225">
        <v>6172.3</v>
      </c>
      <c r="E2225">
        <v>2021</v>
      </c>
      <c r="F2225" s="168" t="s">
        <v>592</v>
      </c>
      <c r="G2225" s="168" t="s">
        <v>631</v>
      </c>
      <c r="H2225" s="168" t="s">
        <v>609</v>
      </c>
      <c r="I2225">
        <v>267936</v>
      </c>
    </row>
    <row r="2226" spans="1:9" x14ac:dyDescent="0.3">
      <c r="A2226">
        <v>92</v>
      </c>
      <c r="B2226" s="168" t="s">
        <v>146</v>
      </c>
      <c r="C2226" s="168" t="s">
        <v>147</v>
      </c>
      <c r="D2226">
        <v>57815.38</v>
      </c>
      <c r="E2226">
        <v>2021</v>
      </c>
      <c r="F2226" s="168" t="s">
        <v>592</v>
      </c>
      <c r="G2226" s="168" t="s">
        <v>607</v>
      </c>
      <c r="H2226" s="168" t="s">
        <v>608</v>
      </c>
      <c r="I2226">
        <v>7534109</v>
      </c>
    </row>
    <row r="2227" spans="1:9" x14ac:dyDescent="0.3">
      <c r="A2227">
        <v>92</v>
      </c>
      <c r="B2227" s="168" t="s">
        <v>146</v>
      </c>
      <c r="C2227" s="168" t="s">
        <v>147</v>
      </c>
      <c r="D2227">
        <v>57815.38</v>
      </c>
      <c r="E2227">
        <v>2021</v>
      </c>
      <c r="F2227" s="168" t="s">
        <v>592</v>
      </c>
      <c r="G2227" s="168" t="s">
        <v>612</v>
      </c>
      <c r="H2227" s="168" t="s">
        <v>608</v>
      </c>
      <c r="I2227">
        <v>133200</v>
      </c>
    </row>
    <row r="2228" spans="1:9" x14ac:dyDescent="0.3">
      <c r="A2228">
        <v>92</v>
      </c>
      <c r="B2228" s="168" t="s">
        <v>146</v>
      </c>
      <c r="C2228" s="168" t="s">
        <v>147</v>
      </c>
      <c r="D2228">
        <v>57815.38</v>
      </c>
      <c r="E2228">
        <v>2021</v>
      </c>
      <c r="F2228" s="168" t="s">
        <v>592</v>
      </c>
      <c r="G2228" s="168" t="s">
        <v>612</v>
      </c>
      <c r="H2228" s="168" t="s">
        <v>609</v>
      </c>
      <c r="I2228">
        <v>0</v>
      </c>
    </row>
    <row r="2229" spans="1:9" x14ac:dyDescent="0.3">
      <c r="A2229">
        <v>92</v>
      </c>
      <c r="B2229" s="168" t="s">
        <v>146</v>
      </c>
      <c r="C2229" s="168" t="s">
        <v>147</v>
      </c>
      <c r="D2229">
        <v>57815.38</v>
      </c>
      <c r="E2229">
        <v>2021</v>
      </c>
      <c r="F2229" s="168" t="s">
        <v>592</v>
      </c>
      <c r="G2229" s="168" t="s">
        <v>629</v>
      </c>
      <c r="H2229" s="168" t="s">
        <v>608</v>
      </c>
      <c r="I2229">
        <v>113573.5977947661</v>
      </c>
    </row>
    <row r="2230" spans="1:9" x14ac:dyDescent="0.3">
      <c r="A2230">
        <v>92</v>
      </c>
      <c r="B2230" s="168" t="s">
        <v>146</v>
      </c>
      <c r="C2230" s="168" t="s">
        <v>147</v>
      </c>
      <c r="D2230">
        <v>57815.38</v>
      </c>
      <c r="E2230">
        <v>2021</v>
      </c>
      <c r="F2230" s="168" t="s">
        <v>592</v>
      </c>
      <c r="G2230" s="168" t="s">
        <v>629</v>
      </c>
      <c r="H2230" s="168" t="s">
        <v>609</v>
      </c>
      <c r="I2230">
        <v>0</v>
      </c>
    </row>
    <row r="2231" spans="1:9" x14ac:dyDescent="0.3">
      <c r="A2231">
        <v>92</v>
      </c>
      <c r="B2231" s="168" t="s">
        <v>146</v>
      </c>
      <c r="C2231" s="168" t="s">
        <v>147</v>
      </c>
      <c r="D2231">
        <v>57815.38</v>
      </c>
      <c r="E2231">
        <v>2021</v>
      </c>
      <c r="F2231" s="168" t="s">
        <v>592</v>
      </c>
      <c r="G2231" s="168" t="s">
        <v>617</v>
      </c>
      <c r="H2231" s="168" t="s">
        <v>608</v>
      </c>
      <c r="I2231">
        <v>24282</v>
      </c>
    </row>
    <row r="2232" spans="1:9" x14ac:dyDescent="0.3">
      <c r="A2232">
        <v>92</v>
      </c>
      <c r="B2232" s="168" t="s">
        <v>146</v>
      </c>
      <c r="C2232" s="168" t="s">
        <v>147</v>
      </c>
      <c r="D2232">
        <v>57815.38</v>
      </c>
      <c r="E2232">
        <v>2021</v>
      </c>
      <c r="F2232" s="168" t="s">
        <v>592</v>
      </c>
      <c r="G2232" s="168" t="s">
        <v>618</v>
      </c>
      <c r="H2232" s="168" t="s">
        <v>608</v>
      </c>
      <c r="I2232">
        <v>0</v>
      </c>
    </row>
    <row r="2233" spans="1:9" x14ac:dyDescent="0.3">
      <c r="A2233">
        <v>92</v>
      </c>
      <c r="B2233" s="168" t="s">
        <v>146</v>
      </c>
      <c r="C2233" s="168" t="s">
        <v>147</v>
      </c>
      <c r="D2233">
        <v>57815.38</v>
      </c>
      <c r="E2233">
        <v>2021</v>
      </c>
      <c r="F2233" s="168" t="s">
        <v>592</v>
      </c>
      <c r="G2233" s="168" t="s">
        <v>618</v>
      </c>
      <c r="H2233" s="168" t="s">
        <v>609</v>
      </c>
      <c r="I2233">
        <v>5325.8426966292136</v>
      </c>
    </row>
    <row r="2234" spans="1:9" x14ac:dyDescent="0.3">
      <c r="A2234">
        <v>92</v>
      </c>
      <c r="B2234" s="168" t="s">
        <v>146</v>
      </c>
      <c r="C2234" s="168" t="s">
        <v>147</v>
      </c>
      <c r="D2234">
        <v>57815.38</v>
      </c>
      <c r="E2234">
        <v>2021</v>
      </c>
      <c r="F2234" s="168" t="s">
        <v>592</v>
      </c>
      <c r="G2234" s="168" t="s">
        <v>610</v>
      </c>
      <c r="H2234" s="168" t="s">
        <v>608</v>
      </c>
      <c r="I2234">
        <v>0</v>
      </c>
    </row>
    <row r="2235" spans="1:9" x14ac:dyDescent="0.3">
      <c r="A2235">
        <v>92</v>
      </c>
      <c r="B2235" s="168" t="s">
        <v>146</v>
      </c>
      <c r="C2235" s="168" t="s">
        <v>147</v>
      </c>
      <c r="D2235">
        <v>57815.38</v>
      </c>
      <c r="E2235">
        <v>2021</v>
      </c>
      <c r="F2235" s="168" t="s">
        <v>592</v>
      </c>
      <c r="G2235" s="168" t="s">
        <v>610</v>
      </c>
      <c r="H2235" s="168" t="s">
        <v>609</v>
      </c>
      <c r="I2235">
        <v>6545.454545454545</v>
      </c>
    </row>
    <row r="2236" spans="1:9" x14ac:dyDescent="0.3">
      <c r="A2236">
        <v>92</v>
      </c>
      <c r="B2236" s="168" t="s">
        <v>146</v>
      </c>
      <c r="C2236" s="168" t="s">
        <v>147</v>
      </c>
      <c r="D2236">
        <v>57815.38</v>
      </c>
      <c r="E2236">
        <v>2021</v>
      </c>
      <c r="F2236" s="168" t="s">
        <v>592</v>
      </c>
      <c r="G2236" s="168" t="s">
        <v>620</v>
      </c>
      <c r="H2236" s="168" t="s">
        <v>608</v>
      </c>
      <c r="I2236">
        <v>266266</v>
      </c>
    </row>
    <row r="2237" spans="1:9" x14ac:dyDescent="0.3">
      <c r="A2237">
        <v>92</v>
      </c>
      <c r="B2237" s="168" t="s">
        <v>146</v>
      </c>
      <c r="C2237" s="168" t="s">
        <v>147</v>
      </c>
      <c r="D2237">
        <v>57815.38</v>
      </c>
      <c r="E2237">
        <v>2021</v>
      </c>
      <c r="F2237" s="168" t="s">
        <v>592</v>
      </c>
      <c r="G2237" s="168" t="s">
        <v>611</v>
      </c>
      <c r="H2237" s="168" t="s">
        <v>608</v>
      </c>
      <c r="I2237">
        <v>0</v>
      </c>
    </row>
    <row r="2238" spans="1:9" x14ac:dyDescent="0.3">
      <c r="A2238">
        <v>92</v>
      </c>
      <c r="B2238" s="168" t="s">
        <v>146</v>
      </c>
      <c r="C2238" s="168" t="s">
        <v>147</v>
      </c>
      <c r="D2238">
        <v>57815.38</v>
      </c>
      <c r="E2238">
        <v>2021</v>
      </c>
      <c r="F2238" s="168" t="s">
        <v>592</v>
      </c>
      <c r="G2238" s="168" t="s">
        <v>626</v>
      </c>
      <c r="H2238" s="168" t="s">
        <v>608</v>
      </c>
      <c r="I2238">
        <v>0</v>
      </c>
    </row>
    <row r="2239" spans="1:9" x14ac:dyDescent="0.3">
      <c r="A2239">
        <v>92</v>
      </c>
      <c r="B2239" s="168" t="s">
        <v>146</v>
      </c>
      <c r="C2239" s="168" t="s">
        <v>147</v>
      </c>
      <c r="D2239">
        <v>57815.38</v>
      </c>
      <c r="E2239">
        <v>2021</v>
      </c>
      <c r="F2239" s="168" t="s">
        <v>592</v>
      </c>
      <c r="G2239" s="168" t="s">
        <v>626</v>
      </c>
      <c r="H2239" s="168" t="s">
        <v>609</v>
      </c>
      <c r="I2239">
        <v>177172.69675494215</v>
      </c>
    </row>
    <row r="2240" spans="1:9" x14ac:dyDescent="0.3">
      <c r="A2240">
        <v>92</v>
      </c>
      <c r="B2240" s="168" t="s">
        <v>146</v>
      </c>
      <c r="C2240" s="168" t="s">
        <v>147</v>
      </c>
      <c r="D2240">
        <v>57815.38</v>
      </c>
      <c r="E2240">
        <v>2021</v>
      </c>
      <c r="F2240" s="168" t="s">
        <v>592</v>
      </c>
      <c r="G2240" s="168" t="s">
        <v>613</v>
      </c>
      <c r="H2240" s="168" t="s">
        <v>608</v>
      </c>
      <c r="I2240">
        <v>405898.6</v>
      </c>
    </row>
    <row r="2241" spans="1:9" x14ac:dyDescent="0.3">
      <c r="A2241">
        <v>92</v>
      </c>
      <c r="B2241" s="168" t="s">
        <v>146</v>
      </c>
      <c r="C2241" s="168" t="s">
        <v>147</v>
      </c>
      <c r="D2241">
        <v>57815.38</v>
      </c>
      <c r="E2241">
        <v>2021</v>
      </c>
      <c r="F2241" s="168" t="s">
        <v>592</v>
      </c>
      <c r="G2241" s="168" t="s">
        <v>613</v>
      </c>
      <c r="H2241" s="168" t="s">
        <v>609</v>
      </c>
      <c r="I2241">
        <v>1227594.4359346679</v>
      </c>
    </row>
    <row r="2242" spans="1:9" x14ac:dyDescent="0.3">
      <c r="A2242">
        <v>92</v>
      </c>
      <c r="B2242" s="168" t="s">
        <v>146</v>
      </c>
      <c r="C2242" s="168" t="s">
        <v>147</v>
      </c>
      <c r="D2242">
        <v>57815.38</v>
      </c>
      <c r="E2242">
        <v>2021</v>
      </c>
      <c r="F2242" s="168" t="s">
        <v>592</v>
      </c>
      <c r="G2242" s="168" t="s">
        <v>631</v>
      </c>
      <c r="H2242" s="168" t="s">
        <v>609</v>
      </c>
      <c r="I2242">
        <v>78500</v>
      </c>
    </row>
    <row r="2243" spans="1:9" x14ac:dyDescent="0.3">
      <c r="A2243">
        <v>93</v>
      </c>
      <c r="B2243" s="168" t="s">
        <v>148</v>
      </c>
      <c r="C2243" s="168" t="s">
        <v>149</v>
      </c>
      <c r="D2243">
        <v>1556.1</v>
      </c>
      <c r="E2243">
        <v>2021</v>
      </c>
      <c r="F2243" s="168" t="s">
        <v>592</v>
      </c>
      <c r="G2243" s="168" t="s">
        <v>607</v>
      </c>
      <c r="H2243" s="168" t="s">
        <v>608</v>
      </c>
      <c r="I2243">
        <v>330293.3</v>
      </c>
    </row>
    <row r="2244" spans="1:9" x14ac:dyDescent="0.3">
      <c r="A2244">
        <v>93</v>
      </c>
      <c r="B2244" s="168" t="s">
        <v>148</v>
      </c>
      <c r="C2244" s="168" t="s">
        <v>149</v>
      </c>
      <c r="D2244">
        <v>1556.1</v>
      </c>
      <c r="E2244">
        <v>2021</v>
      </c>
      <c r="F2244" s="168" t="s">
        <v>592</v>
      </c>
      <c r="G2244" s="168" t="s">
        <v>612</v>
      </c>
      <c r="H2244" s="168" t="s">
        <v>608</v>
      </c>
      <c r="I2244">
        <v>62248</v>
      </c>
    </row>
    <row r="2245" spans="1:9" x14ac:dyDescent="0.3">
      <c r="A2245">
        <v>93</v>
      </c>
      <c r="B2245" s="168" t="s">
        <v>148</v>
      </c>
      <c r="C2245" s="168" t="s">
        <v>149</v>
      </c>
      <c r="D2245">
        <v>1556.1</v>
      </c>
      <c r="E2245">
        <v>2021</v>
      </c>
      <c r="F2245" s="168" t="s">
        <v>592</v>
      </c>
      <c r="G2245" s="168" t="s">
        <v>612</v>
      </c>
      <c r="H2245" s="168" t="s">
        <v>609</v>
      </c>
      <c r="I2245">
        <v>0</v>
      </c>
    </row>
    <row r="2246" spans="1:9" x14ac:dyDescent="0.3">
      <c r="A2246">
        <v>93</v>
      </c>
      <c r="B2246" s="168" t="s">
        <v>148</v>
      </c>
      <c r="C2246" s="168" t="s">
        <v>149</v>
      </c>
      <c r="D2246">
        <v>1556.1</v>
      </c>
      <c r="E2246">
        <v>2021</v>
      </c>
      <c r="F2246" s="168" t="s">
        <v>592</v>
      </c>
      <c r="G2246" s="168" t="s">
        <v>629</v>
      </c>
      <c r="H2246" s="168" t="s">
        <v>608</v>
      </c>
      <c r="I2246">
        <v>43926.402205233891</v>
      </c>
    </row>
    <row r="2247" spans="1:9" x14ac:dyDescent="0.3">
      <c r="A2247">
        <v>93</v>
      </c>
      <c r="B2247" s="168" t="s">
        <v>148</v>
      </c>
      <c r="C2247" s="168" t="s">
        <v>149</v>
      </c>
      <c r="D2247">
        <v>1556.1</v>
      </c>
      <c r="E2247">
        <v>2021</v>
      </c>
      <c r="F2247" s="168" t="s">
        <v>592</v>
      </c>
      <c r="G2247" s="168" t="s">
        <v>629</v>
      </c>
      <c r="H2247" s="168" t="s">
        <v>609</v>
      </c>
      <c r="I2247">
        <v>0</v>
      </c>
    </row>
    <row r="2248" spans="1:9" x14ac:dyDescent="0.3">
      <c r="A2248">
        <v>93</v>
      </c>
      <c r="B2248" s="168" t="s">
        <v>148</v>
      </c>
      <c r="C2248" s="168" t="s">
        <v>149</v>
      </c>
      <c r="D2248">
        <v>1556.1</v>
      </c>
      <c r="E2248">
        <v>2021</v>
      </c>
      <c r="F2248" s="168" t="s">
        <v>592</v>
      </c>
      <c r="G2248" s="168" t="s">
        <v>617</v>
      </c>
      <c r="H2248" s="168" t="s">
        <v>608</v>
      </c>
      <c r="I2248">
        <v>10974</v>
      </c>
    </row>
    <row r="2249" spans="1:9" x14ac:dyDescent="0.3">
      <c r="A2249">
        <v>93</v>
      </c>
      <c r="B2249" s="168" t="s">
        <v>148</v>
      </c>
      <c r="C2249" s="168" t="s">
        <v>149</v>
      </c>
      <c r="D2249">
        <v>1556.1</v>
      </c>
      <c r="E2249">
        <v>2021</v>
      </c>
      <c r="F2249" s="168" t="s">
        <v>592</v>
      </c>
      <c r="G2249" s="168" t="s">
        <v>618</v>
      </c>
      <c r="H2249" s="168" t="s">
        <v>608</v>
      </c>
      <c r="I2249">
        <v>0</v>
      </c>
    </row>
    <row r="2250" spans="1:9" x14ac:dyDescent="0.3">
      <c r="A2250">
        <v>93</v>
      </c>
      <c r="B2250" s="168" t="s">
        <v>148</v>
      </c>
      <c r="C2250" s="168" t="s">
        <v>149</v>
      </c>
      <c r="D2250">
        <v>1556.1</v>
      </c>
      <c r="E2250">
        <v>2021</v>
      </c>
      <c r="F2250" s="168" t="s">
        <v>592</v>
      </c>
      <c r="G2250" s="168" t="s">
        <v>618</v>
      </c>
      <c r="H2250" s="168" t="s">
        <v>609</v>
      </c>
      <c r="I2250">
        <v>5325.8426966292136</v>
      </c>
    </row>
    <row r="2251" spans="1:9" x14ac:dyDescent="0.3">
      <c r="A2251">
        <v>93</v>
      </c>
      <c r="B2251" s="168" t="s">
        <v>148</v>
      </c>
      <c r="C2251" s="168" t="s">
        <v>149</v>
      </c>
      <c r="D2251">
        <v>1556.1</v>
      </c>
      <c r="E2251">
        <v>2021</v>
      </c>
      <c r="F2251" s="168" t="s">
        <v>592</v>
      </c>
      <c r="G2251" s="168" t="s">
        <v>610</v>
      </c>
      <c r="H2251" s="168" t="s">
        <v>608</v>
      </c>
      <c r="I2251">
        <v>0</v>
      </c>
    </row>
    <row r="2252" spans="1:9" x14ac:dyDescent="0.3">
      <c r="A2252">
        <v>93</v>
      </c>
      <c r="B2252" s="168" t="s">
        <v>148</v>
      </c>
      <c r="C2252" s="168" t="s">
        <v>149</v>
      </c>
      <c r="D2252">
        <v>1556.1</v>
      </c>
      <c r="E2252">
        <v>2021</v>
      </c>
      <c r="F2252" s="168" t="s">
        <v>592</v>
      </c>
      <c r="G2252" s="168" t="s">
        <v>610</v>
      </c>
      <c r="H2252" s="168" t="s">
        <v>609</v>
      </c>
      <c r="I2252">
        <v>6545.454545454545</v>
      </c>
    </row>
    <row r="2253" spans="1:9" x14ac:dyDescent="0.3">
      <c r="A2253">
        <v>93</v>
      </c>
      <c r="B2253" s="168" t="s">
        <v>148</v>
      </c>
      <c r="C2253" s="168" t="s">
        <v>149</v>
      </c>
      <c r="D2253">
        <v>1556.1</v>
      </c>
      <c r="E2253">
        <v>2021</v>
      </c>
      <c r="F2253" s="168" t="s">
        <v>592</v>
      </c>
      <c r="G2253" s="168" t="s">
        <v>620</v>
      </c>
      <c r="H2253" s="168" t="s">
        <v>608</v>
      </c>
      <c r="I2253">
        <v>88484</v>
      </c>
    </row>
    <row r="2254" spans="1:9" x14ac:dyDescent="0.3">
      <c r="A2254">
        <v>93</v>
      </c>
      <c r="B2254" s="168" t="s">
        <v>148</v>
      </c>
      <c r="C2254" s="168" t="s">
        <v>149</v>
      </c>
      <c r="D2254">
        <v>1556.1</v>
      </c>
      <c r="E2254">
        <v>2021</v>
      </c>
      <c r="F2254" s="168" t="s">
        <v>592</v>
      </c>
      <c r="G2254" s="168" t="s">
        <v>614</v>
      </c>
      <c r="H2254" s="168" t="s">
        <v>608</v>
      </c>
      <c r="I2254">
        <v>288000</v>
      </c>
    </row>
    <row r="2255" spans="1:9" x14ac:dyDescent="0.3">
      <c r="A2255">
        <v>93</v>
      </c>
      <c r="B2255" s="168" t="s">
        <v>148</v>
      </c>
      <c r="C2255" s="168" t="s">
        <v>149</v>
      </c>
      <c r="D2255">
        <v>1556.1</v>
      </c>
      <c r="E2255">
        <v>2021</v>
      </c>
      <c r="F2255" s="168" t="s">
        <v>592</v>
      </c>
      <c r="G2255" s="168" t="s">
        <v>614</v>
      </c>
      <c r="H2255" s="168" t="s">
        <v>609</v>
      </c>
      <c r="I2255">
        <v>0</v>
      </c>
    </row>
    <row r="2256" spans="1:9" x14ac:dyDescent="0.3">
      <c r="A2256">
        <v>93</v>
      </c>
      <c r="B2256" s="168" t="s">
        <v>148</v>
      </c>
      <c r="C2256" s="168" t="s">
        <v>149</v>
      </c>
      <c r="D2256">
        <v>1556.1</v>
      </c>
      <c r="E2256">
        <v>2021</v>
      </c>
      <c r="F2256" s="168" t="s">
        <v>592</v>
      </c>
      <c r="G2256" s="168" t="s">
        <v>630</v>
      </c>
      <c r="H2256" s="168" t="s">
        <v>608</v>
      </c>
      <c r="I2256">
        <v>25000</v>
      </c>
    </row>
    <row r="2257" spans="1:9" x14ac:dyDescent="0.3">
      <c r="A2257">
        <v>93</v>
      </c>
      <c r="B2257" s="168" t="s">
        <v>148</v>
      </c>
      <c r="C2257" s="168" t="s">
        <v>149</v>
      </c>
      <c r="D2257">
        <v>1556.1</v>
      </c>
      <c r="E2257">
        <v>2021</v>
      </c>
      <c r="F2257" s="168" t="s">
        <v>592</v>
      </c>
      <c r="G2257" s="168" t="s">
        <v>630</v>
      </c>
      <c r="H2257" s="168" t="s">
        <v>609</v>
      </c>
      <c r="I2257">
        <v>25000</v>
      </c>
    </row>
    <row r="2258" spans="1:9" x14ac:dyDescent="0.3">
      <c r="A2258">
        <v>93</v>
      </c>
      <c r="B2258" s="168" t="s">
        <v>148</v>
      </c>
      <c r="C2258" s="168" t="s">
        <v>149</v>
      </c>
      <c r="D2258">
        <v>1556.1</v>
      </c>
      <c r="E2258">
        <v>2021</v>
      </c>
      <c r="F2258" s="168" t="s">
        <v>592</v>
      </c>
      <c r="G2258" s="168" t="s">
        <v>611</v>
      </c>
      <c r="H2258" s="168" t="s">
        <v>608</v>
      </c>
      <c r="I2258">
        <v>0</v>
      </c>
    </row>
    <row r="2259" spans="1:9" x14ac:dyDescent="0.3">
      <c r="A2259">
        <v>93</v>
      </c>
      <c r="B2259" s="168" t="s">
        <v>148</v>
      </c>
      <c r="C2259" s="168" t="s">
        <v>149</v>
      </c>
      <c r="D2259">
        <v>1556.1</v>
      </c>
      <c r="E2259">
        <v>2021</v>
      </c>
      <c r="F2259" s="168" t="s">
        <v>592</v>
      </c>
      <c r="G2259" s="168" t="s">
        <v>621</v>
      </c>
      <c r="H2259" s="168" t="s">
        <v>608</v>
      </c>
      <c r="I2259">
        <v>6864140</v>
      </c>
    </row>
    <row r="2260" spans="1:9" x14ac:dyDescent="0.3">
      <c r="A2260">
        <v>93</v>
      </c>
      <c r="B2260" s="168" t="s">
        <v>148</v>
      </c>
      <c r="C2260" s="168" t="s">
        <v>149</v>
      </c>
      <c r="D2260">
        <v>1556.1</v>
      </c>
      <c r="E2260">
        <v>2021</v>
      </c>
      <c r="F2260" s="168" t="s">
        <v>592</v>
      </c>
      <c r="G2260" s="168" t="s">
        <v>626</v>
      </c>
      <c r="H2260" s="168" t="s">
        <v>608</v>
      </c>
      <c r="I2260">
        <v>0</v>
      </c>
    </row>
    <row r="2261" spans="1:9" x14ac:dyDescent="0.3">
      <c r="A2261">
        <v>93</v>
      </c>
      <c r="B2261" s="168" t="s">
        <v>148</v>
      </c>
      <c r="C2261" s="168" t="s">
        <v>149</v>
      </c>
      <c r="D2261">
        <v>1556.1</v>
      </c>
      <c r="E2261">
        <v>2021</v>
      </c>
      <c r="F2261" s="168" t="s">
        <v>592</v>
      </c>
      <c r="G2261" s="168" t="s">
        <v>626</v>
      </c>
      <c r="H2261" s="168" t="s">
        <v>609</v>
      </c>
      <c r="I2261">
        <v>22827.303245057814</v>
      </c>
    </row>
    <row r="2262" spans="1:9" x14ac:dyDescent="0.3">
      <c r="A2262">
        <v>93</v>
      </c>
      <c r="B2262" s="168" t="s">
        <v>148</v>
      </c>
      <c r="C2262" s="168" t="s">
        <v>149</v>
      </c>
      <c r="D2262">
        <v>1556.1</v>
      </c>
      <c r="E2262">
        <v>2021</v>
      </c>
      <c r="F2262" s="168" t="s">
        <v>592</v>
      </c>
      <c r="G2262" s="168" t="s">
        <v>613</v>
      </c>
      <c r="H2262" s="168" t="s">
        <v>608</v>
      </c>
      <c r="I2262">
        <v>312625</v>
      </c>
    </row>
    <row r="2263" spans="1:9" x14ac:dyDescent="0.3">
      <c r="A2263">
        <v>93</v>
      </c>
      <c r="B2263" s="168" t="s">
        <v>148</v>
      </c>
      <c r="C2263" s="168" t="s">
        <v>149</v>
      </c>
      <c r="D2263">
        <v>1556.1</v>
      </c>
      <c r="E2263">
        <v>2021</v>
      </c>
      <c r="F2263" s="168" t="s">
        <v>592</v>
      </c>
      <c r="G2263" s="168" t="s">
        <v>613</v>
      </c>
      <c r="H2263" s="168" t="s">
        <v>609</v>
      </c>
      <c r="I2263">
        <v>91346.4</v>
      </c>
    </row>
    <row r="2264" spans="1:9" x14ac:dyDescent="0.3">
      <c r="A2264">
        <v>93</v>
      </c>
      <c r="B2264" s="168" t="s">
        <v>148</v>
      </c>
      <c r="C2264" s="168" t="s">
        <v>149</v>
      </c>
      <c r="D2264">
        <v>1556.1</v>
      </c>
      <c r="E2264">
        <v>2021</v>
      </c>
      <c r="F2264" s="168" t="s">
        <v>592</v>
      </c>
      <c r="G2264" s="168" t="s">
        <v>631</v>
      </c>
      <c r="H2264" s="168" t="s">
        <v>609</v>
      </c>
      <c r="I2264">
        <v>78500</v>
      </c>
    </row>
    <row r="2265" spans="1:9" x14ac:dyDescent="0.3">
      <c r="A2265">
        <v>94</v>
      </c>
      <c r="B2265" s="168" t="s">
        <v>150</v>
      </c>
      <c r="C2265" s="168" t="s">
        <v>151</v>
      </c>
      <c r="D2265">
        <v>2615.5</v>
      </c>
      <c r="E2265">
        <v>2021</v>
      </c>
      <c r="F2265" s="168" t="s">
        <v>592</v>
      </c>
      <c r="G2265" s="168" t="s">
        <v>607</v>
      </c>
      <c r="H2265" s="168" t="s">
        <v>608</v>
      </c>
      <c r="I2265">
        <v>13445205.199999999</v>
      </c>
    </row>
    <row r="2266" spans="1:9" x14ac:dyDescent="0.3">
      <c r="A2266">
        <v>94</v>
      </c>
      <c r="B2266" s="168" t="s">
        <v>150</v>
      </c>
      <c r="C2266" s="168" t="s">
        <v>151</v>
      </c>
      <c r="D2266">
        <v>2615.5</v>
      </c>
      <c r="E2266">
        <v>2021</v>
      </c>
      <c r="F2266" s="168" t="s">
        <v>592</v>
      </c>
      <c r="G2266" s="168" t="s">
        <v>607</v>
      </c>
      <c r="H2266" s="168" t="s">
        <v>609</v>
      </c>
      <c r="I2266">
        <v>1970835.3</v>
      </c>
    </row>
    <row r="2267" spans="1:9" x14ac:dyDescent="0.3">
      <c r="A2267">
        <v>94</v>
      </c>
      <c r="B2267" s="168" t="s">
        <v>150</v>
      </c>
      <c r="C2267" s="168" t="s">
        <v>151</v>
      </c>
      <c r="D2267">
        <v>2615.5</v>
      </c>
      <c r="E2267">
        <v>2021</v>
      </c>
      <c r="F2267" s="168" t="s">
        <v>592</v>
      </c>
      <c r="G2267" s="168" t="s">
        <v>612</v>
      </c>
      <c r="H2267" s="168" t="s">
        <v>608</v>
      </c>
      <c r="I2267">
        <v>579860</v>
      </c>
    </row>
    <row r="2268" spans="1:9" x14ac:dyDescent="0.3">
      <c r="A2268">
        <v>94</v>
      </c>
      <c r="B2268" s="168" t="s">
        <v>150</v>
      </c>
      <c r="C2268" s="168" t="s">
        <v>151</v>
      </c>
      <c r="D2268">
        <v>2615.5</v>
      </c>
      <c r="E2268">
        <v>2021</v>
      </c>
      <c r="F2268" s="168" t="s">
        <v>592</v>
      </c>
      <c r="G2268" s="168" t="s">
        <v>612</v>
      </c>
      <c r="H2268" s="168" t="s">
        <v>609</v>
      </c>
      <c r="I2268">
        <v>30163</v>
      </c>
    </row>
    <row r="2269" spans="1:9" x14ac:dyDescent="0.3">
      <c r="A2269">
        <v>94</v>
      </c>
      <c r="B2269" s="168" t="s">
        <v>150</v>
      </c>
      <c r="C2269" s="168" t="s">
        <v>151</v>
      </c>
      <c r="D2269">
        <v>2615.5</v>
      </c>
      <c r="E2269">
        <v>2021</v>
      </c>
      <c r="F2269" s="168" t="s">
        <v>592</v>
      </c>
      <c r="G2269" s="168" t="s">
        <v>629</v>
      </c>
      <c r="H2269" s="168" t="s">
        <v>608</v>
      </c>
      <c r="I2269">
        <v>150323.47</v>
      </c>
    </row>
    <row r="2270" spans="1:9" x14ac:dyDescent="0.3">
      <c r="A2270">
        <v>94</v>
      </c>
      <c r="B2270" s="168" t="s">
        <v>150</v>
      </c>
      <c r="C2270" s="168" t="s">
        <v>151</v>
      </c>
      <c r="D2270">
        <v>2615.5</v>
      </c>
      <c r="E2270">
        <v>2021</v>
      </c>
      <c r="F2270" s="168" t="s">
        <v>592</v>
      </c>
      <c r="G2270" s="168" t="s">
        <v>629</v>
      </c>
      <c r="H2270" s="168" t="s">
        <v>609</v>
      </c>
      <c r="I2270">
        <v>226579</v>
      </c>
    </row>
    <row r="2271" spans="1:9" x14ac:dyDescent="0.3">
      <c r="A2271">
        <v>94</v>
      </c>
      <c r="B2271" s="168" t="s">
        <v>150</v>
      </c>
      <c r="C2271" s="168" t="s">
        <v>151</v>
      </c>
      <c r="D2271">
        <v>2615.5</v>
      </c>
      <c r="E2271">
        <v>2021</v>
      </c>
      <c r="F2271" s="168" t="s">
        <v>592</v>
      </c>
      <c r="G2271" s="168" t="s">
        <v>617</v>
      </c>
      <c r="H2271" s="168" t="s">
        <v>609</v>
      </c>
      <c r="I2271">
        <v>384655.45</v>
      </c>
    </row>
    <row r="2272" spans="1:9" x14ac:dyDescent="0.3">
      <c r="A2272">
        <v>94</v>
      </c>
      <c r="B2272" s="168" t="s">
        <v>150</v>
      </c>
      <c r="C2272" s="168" t="s">
        <v>151</v>
      </c>
      <c r="D2272">
        <v>2615.5</v>
      </c>
      <c r="E2272">
        <v>2021</v>
      </c>
      <c r="F2272" s="168" t="s">
        <v>592</v>
      </c>
      <c r="G2272" s="168" t="s">
        <v>619</v>
      </c>
      <c r="H2272" s="168" t="s">
        <v>609</v>
      </c>
      <c r="I2272">
        <v>88000</v>
      </c>
    </row>
    <row r="2273" spans="1:9" x14ac:dyDescent="0.3">
      <c r="A2273">
        <v>94</v>
      </c>
      <c r="B2273" s="168" t="s">
        <v>150</v>
      </c>
      <c r="C2273" s="168" t="s">
        <v>151</v>
      </c>
      <c r="D2273">
        <v>2615.5</v>
      </c>
      <c r="E2273">
        <v>2021</v>
      </c>
      <c r="F2273" s="168" t="s">
        <v>592</v>
      </c>
      <c r="G2273" s="168" t="s">
        <v>610</v>
      </c>
      <c r="H2273" s="168" t="s">
        <v>608</v>
      </c>
      <c r="I2273">
        <v>0</v>
      </c>
    </row>
    <row r="2274" spans="1:9" x14ac:dyDescent="0.3">
      <c r="A2274">
        <v>94</v>
      </c>
      <c r="B2274" s="168" t="s">
        <v>150</v>
      </c>
      <c r="C2274" s="168" t="s">
        <v>151</v>
      </c>
      <c r="D2274">
        <v>2615.5</v>
      </c>
      <c r="E2274">
        <v>2021</v>
      </c>
      <c r="F2274" s="168" t="s">
        <v>592</v>
      </c>
      <c r="G2274" s="168" t="s">
        <v>620</v>
      </c>
      <c r="H2274" s="168" t="s">
        <v>608</v>
      </c>
      <c r="I2274">
        <v>430392.75</v>
      </c>
    </row>
    <row r="2275" spans="1:9" x14ac:dyDescent="0.3">
      <c r="A2275">
        <v>94</v>
      </c>
      <c r="B2275" s="168" t="s">
        <v>150</v>
      </c>
      <c r="C2275" s="168" t="s">
        <v>151</v>
      </c>
      <c r="D2275">
        <v>2615.5</v>
      </c>
      <c r="E2275">
        <v>2021</v>
      </c>
      <c r="F2275" s="168" t="s">
        <v>592</v>
      </c>
      <c r="G2275" s="168" t="s">
        <v>620</v>
      </c>
      <c r="H2275" s="168" t="s">
        <v>609</v>
      </c>
      <c r="I2275">
        <v>1069607.25</v>
      </c>
    </row>
    <row r="2276" spans="1:9" x14ac:dyDescent="0.3">
      <c r="A2276">
        <v>94</v>
      </c>
      <c r="B2276" s="168" t="s">
        <v>150</v>
      </c>
      <c r="C2276" s="168" t="s">
        <v>151</v>
      </c>
      <c r="D2276">
        <v>2615.5</v>
      </c>
      <c r="E2276">
        <v>2021</v>
      </c>
      <c r="F2276" s="168" t="s">
        <v>592</v>
      </c>
      <c r="G2276" s="168" t="s">
        <v>625</v>
      </c>
      <c r="H2276" s="168" t="s">
        <v>608</v>
      </c>
      <c r="I2276">
        <v>153000</v>
      </c>
    </row>
    <row r="2277" spans="1:9" x14ac:dyDescent="0.3">
      <c r="A2277">
        <v>94</v>
      </c>
      <c r="B2277" s="168" t="s">
        <v>150</v>
      </c>
      <c r="C2277" s="168" t="s">
        <v>151</v>
      </c>
      <c r="D2277">
        <v>2615.5</v>
      </c>
      <c r="E2277">
        <v>2021</v>
      </c>
      <c r="F2277" s="168" t="s">
        <v>592</v>
      </c>
      <c r="G2277" s="168" t="s">
        <v>630</v>
      </c>
      <c r="H2277" s="168" t="s">
        <v>608</v>
      </c>
      <c r="I2277">
        <v>140000</v>
      </c>
    </row>
    <row r="2278" spans="1:9" x14ac:dyDescent="0.3">
      <c r="A2278">
        <v>94</v>
      </c>
      <c r="B2278" s="168" t="s">
        <v>150</v>
      </c>
      <c r="C2278" s="168" t="s">
        <v>151</v>
      </c>
      <c r="D2278">
        <v>2615.5</v>
      </c>
      <c r="E2278">
        <v>2021</v>
      </c>
      <c r="F2278" s="168" t="s">
        <v>592</v>
      </c>
      <c r="G2278" s="168" t="s">
        <v>630</v>
      </c>
      <c r="H2278" s="168" t="s">
        <v>609</v>
      </c>
      <c r="I2278">
        <v>527739.38</v>
      </c>
    </row>
    <row r="2279" spans="1:9" x14ac:dyDescent="0.3">
      <c r="A2279">
        <v>94</v>
      </c>
      <c r="B2279" s="168" t="s">
        <v>150</v>
      </c>
      <c r="C2279" s="168" t="s">
        <v>151</v>
      </c>
      <c r="D2279">
        <v>2615.5</v>
      </c>
      <c r="E2279">
        <v>2021</v>
      </c>
      <c r="F2279" s="168" t="s">
        <v>592</v>
      </c>
      <c r="G2279" s="168" t="s">
        <v>611</v>
      </c>
      <c r="H2279" s="168" t="s">
        <v>608</v>
      </c>
      <c r="I2279">
        <v>0</v>
      </c>
    </row>
    <row r="2280" spans="1:9" x14ac:dyDescent="0.3">
      <c r="A2280">
        <v>94</v>
      </c>
      <c r="B2280" s="168" t="s">
        <v>150</v>
      </c>
      <c r="C2280" s="168" t="s">
        <v>151</v>
      </c>
      <c r="D2280">
        <v>2615.5</v>
      </c>
      <c r="E2280">
        <v>2021</v>
      </c>
      <c r="F2280" s="168" t="s">
        <v>592</v>
      </c>
      <c r="G2280" s="168" t="s">
        <v>611</v>
      </c>
      <c r="H2280" s="168" t="s">
        <v>609</v>
      </c>
      <c r="I2280">
        <v>27237</v>
      </c>
    </row>
    <row r="2281" spans="1:9" x14ac:dyDescent="0.3">
      <c r="A2281">
        <v>94</v>
      </c>
      <c r="B2281" s="168" t="s">
        <v>150</v>
      </c>
      <c r="C2281" s="168" t="s">
        <v>151</v>
      </c>
      <c r="D2281">
        <v>2615.5</v>
      </c>
      <c r="E2281">
        <v>2021</v>
      </c>
      <c r="F2281" s="168" t="s">
        <v>592</v>
      </c>
      <c r="G2281" s="168" t="s">
        <v>621</v>
      </c>
      <c r="H2281" s="168" t="s">
        <v>609</v>
      </c>
      <c r="I2281">
        <v>7298464.2800000003</v>
      </c>
    </row>
    <row r="2282" spans="1:9" x14ac:dyDescent="0.3">
      <c r="A2282">
        <v>94</v>
      </c>
      <c r="B2282" s="168" t="s">
        <v>150</v>
      </c>
      <c r="C2282" s="168" t="s">
        <v>151</v>
      </c>
      <c r="D2282">
        <v>2615.5</v>
      </c>
      <c r="E2282">
        <v>2021</v>
      </c>
      <c r="F2282" s="168" t="s">
        <v>592</v>
      </c>
      <c r="G2282" s="168" t="s">
        <v>613</v>
      </c>
      <c r="H2282" s="168" t="s">
        <v>608</v>
      </c>
      <c r="I2282">
        <v>256838.69</v>
      </c>
    </row>
    <row r="2283" spans="1:9" x14ac:dyDescent="0.3">
      <c r="A2283">
        <v>94</v>
      </c>
      <c r="B2283" s="168" t="s">
        <v>150</v>
      </c>
      <c r="C2283" s="168" t="s">
        <v>151</v>
      </c>
      <c r="D2283">
        <v>2615.5</v>
      </c>
      <c r="E2283">
        <v>2021</v>
      </c>
      <c r="F2283" s="168" t="s">
        <v>592</v>
      </c>
      <c r="G2283" s="168" t="s">
        <v>613</v>
      </c>
      <c r="H2283" s="168" t="s">
        <v>609</v>
      </c>
      <c r="I2283">
        <v>3415258.97</v>
      </c>
    </row>
    <row r="2284" spans="1:9" x14ac:dyDescent="0.3">
      <c r="A2284">
        <v>94</v>
      </c>
      <c r="B2284" s="168" t="s">
        <v>150</v>
      </c>
      <c r="C2284" s="168" t="s">
        <v>151</v>
      </c>
      <c r="D2284">
        <v>2615.5</v>
      </c>
      <c r="E2284">
        <v>2021</v>
      </c>
      <c r="F2284" s="168" t="s">
        <v>592</v>
      </c>
      <c r="G2284" s="168" t="s">
        <v>622</v>
      </c>
      <c r="H2284" s="168" t="s">
        <v>609</v>
      </c>
      <c r="I2284">
        <v>0</v>
      </c>
    </row>
    <row r="2285" spans="1:9" x14ac:dyDescent="0.3">
      <c r="A2285">
        <v>94</v>
      </c>
      <c r="B2285" s="168" t="s">
        <v>150</v>
      </c>
      <c r="C2285" s="168" t="s">
        <v>151</v>
      </c>
      <c r="D2285">
        <v>2615.5</v>
      </c>
      <c r="E2285">
        <v>2021</v>
      </c>
      <c r="F2285" s="168" t="s">
        <v>592</v>
      </c>
      <c r="G2285" s="168" t="s">
        <v>631</v>
      </c>
      <c r="H2285" s="168" t="s">
        <v>608</v>
      </c>
      <c r="I2285">
        <v>119000</v>
      </c>
    </row>
    <row r="2286" spans="1:9" x14ac:dyDescent="0.3">
      <c r="A2286">
        <v>94</v>
      </c>
      <c r="B2286" s="168" t="s">
        <v>150</v>
      </c>
      <c r="C2286" s="168" t="s">
        <v>151</v>
      </c>
      <c r="D2286">
        <v>2615.5</v>
      </c>
      <c r="E2286">
        <v>2021</v>
      </c>
      <c r="F2286" s="168" t="s">
        <v>592</v>
      </c>
      <c r="G2286" s="168" t="s">
        <v>631</v>
      </c>
      <c r="H2286" s="168" t="s">
        <v>609</v>
      </c>
      <c r="I2286">
        <v>78894</v>
      </c>
    </row>
    <row r="2287" spans="1:9" x14ac:dyDescent="0.3">
      <c r="A2287">
        <v>94</v>
      </c>
      <c r="B2287" s="168" t="s">
        <v>150</v>
      </c>
      <c r="C2287" s="168" t="s">
        <v>151</v>
      </c>
      <c r="D2287">
        <v>2615.5</v>
      </c>
      <c r="E2287">
        <v>2021</v>
      </c>
      <c r="F2287" s="168" t="s">
        <v>592</v>
      </c>
      <c r="G2287" s="168" t="s">
        <v>632</v>
      </c>
      <c r="H2287" s="168" t="s">
        <v>608</v>
      </c>
      <c r="I2287">
        <v>190000</v>
      </c>
    </row>
    <row r="2288" spans="1:9" x14ac:dyDescent="0.3">
      <c r="A2288">
        <v>95</v>
      </c>
      <c r="B2288" s="168" t="s">
        <v>152</v>
      </c>
      <c r="C2288" s="168" t="s">
        <v>153</v>
      </c>
      <c r="D2288">
        <v>22228.9</v>
      </c>
      <c r="E2288">
        <v>2021</v>
      </c>
      <c r="F2288" s="168" t="s">
        <v>592</v>
      </c>
      <c r="G2288" s="168" t="s">
        <v>607</v>
      </c>
      <c r="H2288" s="168" t="s">
        <v>608</v>
      </c>
      <c r="I2288">
        <v>15534246.24</v>
      </c>
    </row>
    <row r="2289" spans="1:9" x14ac:dyDescent="0.3">
      <c r="A2289">
        <v>95</v>
      </c>
      <c r="B2289" s="168" t="s">
        <v>152</v>
      </c>
      <c r="C2289" s="168" t="s">
        <v>153</v>
      </c>
      <c r="D2289">
        <v>22228.9</v>
      </c>
      <c r="E2289">
        <v>2021</v>
      </c>
      <c r="F2289" s="168" t="s">
        <v>592</v>
      </c>
      <c r="G2289" s="168" t="s">
        <v>612</v>
      </c>
      <c r="H2289" s="168" t="s">
        <v>608</v>
      </c>
      <c r="I2289">
        <v>115098.98</v>
      </c>
    </row>
    <row r="2290" spans="1:9" x14ac:dyDescent="0.3">
      <c r="A2290">
        <v>95</v>
      </c>
      <c r="B2290" s="168" t="s">
        <v>152</v>
      </c>
      <c r="C2290" s="168" t="s">
        <v>153</v>
      </c>
      <c r="D2290">
        <v>22228.9</v>
      </c>
      <c r="E2290">
        <v>2021</v>
      </c>
      <c r="F2290" s="168" t="s">
        <v>592</v>
      </c>
      <c r="G2290" s="168" t="s">
        <v>612</v>
      </c>
      <c r="H2290" s="168" t="s">
        <v>609</v>
      </c>
      <c r="I2290">
        <v>46778.14</v>
      </c>
    </row>
    <row r="2291" spans="1:9" x14ac:dyDescent="0.3">
      <c r="A2291">
        <v>95</v>
      </c>
      <c r="B2291" s="168" t="s">
        <v>152</v>
      </c>
      <c r="C2291" s="168" t="s">
        <v>153</v>
      </c>
      <c r="D2291">
        <v>22228.9</v>
      </c>
      <c r="E2291">
        <v>2021</v>
      </c>
      <c r="F2291" s="168" t="s">
        <v>592</v>
      </c>
      <c r="G2291" s="168" t="s">
        <v>629</v>
      </c>
      <c r="H2291" s="168" t="s">
        <v>608</v>
      </c>
      <c r="I2291">
        <v>5124440.68</v>
      </c>
    </row>
    <row r="2292" spans="1:9" x14ac:dyDescent="0.3">
      <c r="A2292">
        <v>95</v>
      </c>
      <c r="B2292" s="168" t="s">
        <v>152</v>
      </c>
      <c r="C2292" s="168" t="s">
        <v>153</v>
      </c>
      <c r="D2292">
        <v>22228.9</v>
      </c>
      <c r="E2292">
        <v>2021</v>
      </c>
      <c r="F2292" s="168" t="s">
        <v>592</v>
      </c>
      <c r="G2292" s="168" t="s">
        <v>629</v>
      </c>
      <c r="H2292" s="168" t="s">
        <v>609</v>
      </c>
      <c r="I2292">
        <v>1189591.3200000003</v>
      </c>
    </row>
    <row r="2293" spans="1:9" x14ac:dyDescent="0.3">
      <c r="A2293">
        <v>95</v>
      </c>
      <c r="B2293" s="168" t="s">
        <v>152</v>
      </c>
      <c r="C2293" s="168" t="s">
        <v>153</v>
      </c>
      <c r="D2293">
        <v>22228.9</v>
      </c>
      <c r="E2293">
        <v>2021</v>
      </c>
      <c r="F2293" s="168" t="s">
        <v>592</v>
      </c>
      <c r="G2293" s="168" t="s">
        <v>617</v>
      </c>
      <c r="H2293" s="168" t="s">
        <v>608</v>
      </c>
      <c r="I2293">
        <v>0</v>
      </c>
    </row>
    <row r="2294" spans="1:9" x14ac:dyDescent="0.3">
      <c r="A2294">
        <v>95</v>
      </c>
      <c r="B2294" s="168" t="s">
        <v>152</v>
      </c>
      <c r="C2294" s="168" t="s">
        <v>153</v>
      </c>
      <c r="D2294">
        <v>22228.9</v>
      </c>
      <c r="E2294">
        <v>2021</v>
      </c>
      <c r="F2294" s="168" t="s">
        <v>592</v>
      </c>
      <c r="G2294" s="168" t="s">
        <v>610</v>
      </c>
      <c r="H2294" s="168" t="s">
        <v>608</v>
      </c>
      <c r="I2294">
        <v>0</v>
      </c>
    </row>
    <row r="2295" spans="1:9" x14ac:dyDescent="0.3">
      <c r="A2295">
        <v>95</v>
      </c>
      <c r="B2295" s="168" t="s">
        <v>152</v>
      </c>
      <c r="C2295" s="168" t="s">
        <v>153</v>
      </c>
      <c r="D2295">
        <v>22228.9</v>
      </c>
      <c r="E2295">
        <v>2021</v>
      </c>
      <c r="F2295" s="168" t="s">
        <v>592</v>
      </c>
      <c r="G2295" s="168" t="s">
        <v>610</v>
      </c>
      <c r="H2295" s="168" t="s">
        <v>609</v>
      </c>
      <c r="I2295">
        <v>32727.272727272728</v>
      </c>
    </row>
    <row r="2296" spans="1:9" x14ac:dyDescent="0.3">
      <c r="A2296">
        <v>95</v>
      </c>
      <c r="B2296" s="168" t="s">
        <v>152</v>
      </c>
      <c r="C2296" s="168" t="s">
        <v>153</v>
      </c>
      <c r="D2296">
        <v>22228.9</v>
      </c>
      <c r="E2296">
        <v>2021</v>
      </c>
      <c r="F2296" s="168" t="s">
        <v>592</v>
      </c>
      <c r="G2296" s="168" t="s">
        <v>633</v>
      </c>
      <c r="H2296" s="168" t="s">
        <v>608</v>
      </c>
      <c r="I2296">
        <v>0</v>
      </c>
    </row>
    <row r="2297" spans="1:9" x14ac:dyDescent="0.3">
      <c r="A2297">
        <v>95</v>
      </c>
      <c r="B2297" s="168" t="s">
        <v>152</v>
      </c>
      <c r="C2297" s="168" t="s">
        <v>153</v>
      </c>
      <c r="D2297">
        <v>22228.9</v>
      </c>
      <c r="E2297">
        <v>2021</v>
      </c>
      <c r="F2297" s="168" t="s">
        <v>592</v>
      </c>
      <c r="G2297" s="168" t="s">
        <v>633</v>
      </c>
      <c r="H2297" s="168" t="s">
        <v>609</v>
      </c>
      <c r="I2297">
        <v>354974.56912338495</v>
      </c>
    </row>
    <row r="2298" spans="1:9" x14ac:dyDescent="0.3">
      <c r="A2298">
        <v>95</v>
      </c>
      <c r="B2298" s="168" t="s">
        <v>152</v>
      </c>
      <c r="C2298" s="168" t="s">
        <v>153</v>
      </c>
      <c r="D2298">
        <v>22228.9</v>
      </c>
      <c r="E2298">
        <v>2021</v>
      </c>
      <c r="F2298" s="168" t="s">
        <v>592</v>
      </c>
      <c r="G2298" s="168" t="s">
        <v>623</v>
      </c>
      <c r="H2298" s="168" t="s">
        <v>608</v>
      </c>
      <c r="I2298">
        <v>0</v>
      </c>
    </row>
    <row r="2299" spans="1:9" x14ac:dyDescent="0.3">
      <c r="A2299">
        <v>95</v>
      </c>
      <c r="B2299" s="168" t="s">
        <v>152</v>
      </c>
      <c r="C2299" s="168" t="s">
        <v>153</v>
      </c>
      <c r="D2299">
        <v>22228.9</v>
      </c>
      <c r="E2299">
        <v>2021</v>
      </c>
      <c r="F2299" s="168" t="s">
        <v>592</v>
      </c>
      <c r="G2299" s="168" t="s">
        <v>623</v>
      </c>
      <c r="H2299" s="168" t="s">
        <v>609</v>
      </c>
      <c r="I2299">
        <v>415752.78</v>
      </c>
    </row>
    <row r="2300" spans="1:9" x14ac:dyDescent="0.3">
      <c r="A2300">
        <v>95</v>
      </c>
      <c r="B2300" s="168" t="s">
        <v>152</v>
      </c>
      <c r="C2300" s="168" t="s">
        <v>153</v>
      </c>
      <c r="D2300">
        <v>22228.9</v>
      </c>
      <c r="E2300">
        <v>2021</v>
      </c>
      <c r="F2300" s="168" t="s">
        <v>592</v>
      </c>
      <c r="G2300" s="168" t="s">
        <v>615</v>
      </c>
      <c r="H2300" s="168" t="s">
        <v>608</v>
      </c>
      <c r="I2300">
        <v>0</v>
      </c>
    </row>
    <row r="2301" spans="1:9" x14ac:dyDescent="0.3">
      <c r="A2301">
        <v>95</v>
      </c>
      <c r="B2301" s="168" t="s">
        <v>152</v>
      </c>
      <c r="C2301" s="168" t="s">
        <v>153</v>
      </c>
      <c r="D2301">
        <v>22228.9</v>
      </c>
      <c r="E2301">
        <v>2021</v>
      </c>
      <c r="F2301" s="168" t="s">
        <v>592</v>
      </c>
      <c r="G2301" s="168" t="s">
        <v>615</v>
      </c>
      <c r="H2301" s="168" t="s">
        <v>609</v>
      </c>
      <c r="I2301">
        <v>7536.5853658536589</v>
      </c>
    </row>
    <row r="2302" spans="1:9" x14ac:dyDescent="0.3">
      <c r="A2302">
        <v>95</v>
      </c>
      <c r="B2302" s="168" t="s">
        <v>152</v>
      </c>
      <c r="C2302" s="168" t="s">
        <v>153</v>
      </c>
      <c r="D2302">
        <v>22228.9</v>
      </c>
      <c r="E2302">
        <v>2021</v>
      </c>
      <c r="F2302" s="168" t="s">
        <v>592</v>
      </c>
      <c r="G2302" s="168" t="s">
        <v>630</v>
      </c>
      <c r="H2302" s="168" t="s">
        <v>608</v>
      </c>
      <c r="I2302">
        <v>3600012</v>
      </c>
    </row>
    <row r="2303" spans="1:9" x14ac:dyDescent="0.3">
      <c r="A2303">
        <v>95</v>
      </c>
      <c r="B2303" s="168" t="s">
        <v>152</v>
      </c>
      <c r="C2303" s="168" t="s">
        <v>153</v>
      </c>
      <c r="D2303">
        <v>22228.9</v>
      </c>
      <c r="E2303">
        <v>2021</v>
      </c>
      <c r="F2303" s="168" t="s">
        <v>592</v>
      </c>
      <c r="G2303" s="168" t="s">
        <v>630</v>
      </c>
      <c r="H2303" s="168" t="s">
        <v>609</v>
      </c>
      <c r="I2303">
        <v>1124687.1400000001</v>
      </c>
    </row>
    <row r="2304" spans="1:9" x14ac:dyDescent="0.3">
      <c r="A2304">
        <v>95</v>
      </c>
      <c r="B2304" s="168" t="s">
        <v>152</v>
      </c>
      <c r="C2304" s="168" t="s">
        <v>153</v>
      </c>
      <c r="D2304">
        <v>22228.9</v>
      </c>
      <c r="E2304">
        <v>2021</v>
      </c>
      <c r="F2304" s="168" t="s">
        <v>592</v>
      </c>
      <c r="G2304" s="168" t="s">
        <v>611</v>
      </c>
      <c r="H2304" s="168" t="s">
        <v>608</v>
      </c>
      <c r="I2304">
        <v>0</v>
      </c>
    </row>
    <row r="2305" spans="1:9" x14ac:dyDescent="0.3">
      <c r="A2305">
        <v>95</v>
      </c>
      <c r="B2305" s="168" t="s">
        <v>152</v>
      </c>
      <c r="C2305" s="168" t="s">
        <v>153</v>
      </c>
      <c r="D2305">
        <v>22228.9</v>
      </c>
      <c r="E2305">
        <v>2021</v>
      </c>
      <c r="F2305" s="168" t="s">
        <v>592</v>
      </c>
      <c r="G2305" s="168" t="s">
        <v>611</v>
      </c>
      <c r="H2305" s="168" t="s">
        <v>609</v>
      </c>
      <c r="I2305">
        <v>92907.49883575234</v>
      </c>
    </row>
    <row r="2306" spans="1:9" x14ac:dyDescent="0.3">
      <c r="A2306">
        <v>95</v>
      </c>
      <c r="B2306" s="168" t="s">
        <v>152</v>
      </c>
      <c r="C2306" s="168" t="s">
        <v>153</v>
      </c>
      <c r="D2306">
        <v>22228.9</v>
      </c>
      <c r="E2306">
        <v>2021</v>
      </c>
      <c r="F2306" s="168" t="s">
        <v>592</v>
      </c>
      <c r="G2306" s="168" t="s">
        <v>621</v>
      </c>
      <c r="H2306" s="168" t="s">
        <v>608</v>
      </c>
      <c r="I2306">
        <v>0</v>
      </c>
    </row>
    <row r="2307" spans="1:9" x14ac:dyDescent="0.3">
      <c r="A2307">
        <v>95</v>
      </c>
      <c r="B2307" s="168" t="s">
        <v>152</v>
      </c>
      <c r="C2307" s="168" t="s">
        <v>153</v>
      </c>
      <c r="D2307">
        <v>22228.9</v>
      </c>
      <c r="E2307">
        <v>2021</v>
      </c>
      <c r="F2307" s="168" t="s">
        <v>592</v>
      </c>
      <c r="G2307" s="168" t="s">
        <v>621</v>
      </c>
      <c r="H2307" s="168" t="s">
        <v>609</v>
      </c>
      <c r="I2307">
        <v>910711.2</v>
      </c>
    </row>
    <row r="2308" spans="1:9" x14ac:dyDescent="0.3">
      <c r="A2308">
        <v>95</v>
      </c>
      <c r="B2308" s="168" t="s">
        <v>152</v>
      </c>
      <c r="C2308" s="168" t="s">
        <v>153</v>
      </c>
      <c r="D2308">
        <v>22228.9</v>
      </c>
      <c r="E2308">
        <v>2021</v>
      </c>
      <c r="F2308" s="168" t="s">
        <v>592</v>
      </c>
      <c r="G2308" s="168" t="s">
        <v>613</v>
      </c>
      <c r="H2308" s="168" t="s">
        <v>608</v>
      </c>
      <c r="I2308">
        <v>0</v>
      </c>
    </row>
    <row r="2309" spans="1:9" x14ac:dyDescent="0.3">
      <c r="A2309">
        <v>95</v>
      </c>
      <c r="B2309" s="168" t="s">
        <v>152</v>
      </c>
      <c r="C2309" s="168" t="s">
        <v>153</v>
      </c>
      <c r="D2309">
        <v>22228.9</v>
      </c>
      <c r="E2309">
        <v>2021</v>
      </c>
      <c r="F2309" s="168" t="s">
        <v>592</v>
      </c>
      <c r="G2309" s="168" t="s">
        <v>613</v>
      </c>
      <c r="H2309" s="168" t="s">
        <v>609</v>
      </c>
      <c r="I2309">
        <v>2780651.5710701784</v>
      </c>
    </row>
    <row r="2310" spans="1:9" hidden="1" x14ac:dyDescent="0.3">
      <c r="A2310">
        <v>96</v>
      </c>
      <c r="B2310" s="168" t="s">
        <v>154</v>
      </c>
      <c r="C2310" s="168" t="s">
        <v>155</v>
      </c>
      <c r="D2310">
        <v>481.3</v>
      </c>
      <c r="E2310">
        <v>2021</v>
      </c>
      <c r="F2310" s="168" t="s">
        <v>593</v>
      </c>
      <c r="G2310" s="168" t="s">
        <v>617</v>
      </c>
      <c r="H2310" s="168" t="s">
        <v>608</v>
      </c>
      <c r="I2310">
        <v>0</v>
      </c>
    </row>
    <row r="2311" spans="1:9" hidden="1" x14ac:dyDescent="0.3">
      <c r="A2311">
        <v>96</v>
      </c>
      <c r="B2311" s="168" t="s">
        <v>154</v>
      </c>
      <c r="C2311" s="168" t="s">
        <v>155</v>
      </c>
      <c r="D2311">
        <v>481.3</v>
      </c>
      <c r="E2311">
        <v>2021</v>
      </c>
      <c r="F2311" s="168" t="s">
        <v>593</v>
      </c>
      <c r="G2311" s="168" t="s">
        <v>630</v>
      </c>
      <c r="H2311" s="168" t="s">
        <v>608</v>
      </c>
      <c r="I2311">
        <v>65457</v>
      </c>
    </row>
    <row r="2312" spans="1:9" hidden="1" x14ac:dyDescent="0.3">
      <c r="A2312">
        <v>96</v>
      </c>
      <c r="B2312" s="168" t="s">
        <v>154</v>
      </c>
      <c r="C2312" s="168" t="s">
        <v>155</v>
      </c>
      <c r="D2312">
        <v>481.3</v>
      </c>
      <c r="E2312">
        <v>2021</v>
      </c>
      <c r="F2312" s="168" t="s">
        <v>593</v>
      </c>
      <c r="G2312" s="168" t="s">
        <v>613</v>
      </c>
      <c r="H2312" s="168" t="s">
        <v>609</v>
      </c>
      <c r="I2312">
        <v>66884.399999999994</v>
      </c>
    </row>
    <row r="2313" spans="1:9" hidden="1" x14ac:dyDescent="0.3">
      <c r="A2313">
        <v>97</v>
      </c>
      <c r="B2313" s="168" t="s">
        <v>156</v>
      </c>
      <c r="C2313" s="168" t="s">
        <v>157</v>
      </c>
      <c r="D2313">
        <v>140.9</v>
      </c>
      <c r="E2313">
        <v>2021</v>
      </c>
      <c r="F2313" s="168" t="s">
        <v>593</v>
      </c>
      <c r="G2313" s="168" t="s">
        <v>617</v>
      </c>
      <c r="H2313" s="168" t="s">
        <v>608</v>
      </c>
      <c r="I2313">
        <v>0</v>
      </c>
    </row>
    <row r="2314" spans="1:9" hidden="1" x14ac:dyDescent="0.3">
      <c r="A2314">
        <v>97</v>
      </c>
      <c r="B2314" s="168" t="s">
        <v>156</v>
      </c>
      <c r="C2314" s="168" t="s">
        <v>157</v>
      </c>
      <c r="D2314">
        <v>140.9</v>
      </c>
      <c r="E2314">
        <v>2021</v>
      </c>
      <c r="F2314" s="168" t="s">
        <v>593</v>
      </c>
      <c r="G2314" s="168" t="s">
        <v>630</v>
      </c>
      <c r="H2314" s="168" t="s">
        <v>608</v>
      </c>
      <c r="I2314">
        <v>19162</v>
      </c>
    </row>
    <row r="2315" spans="1:9" x14ac:dyDescent="0.3">
      <c r="A2315">
        <v>98</v>
      </c>
      <c r="B2315" s="168" t="s">
        <v>158</v>
      </c>
      <c r="C2315" s="168" t="s">
        <v>159</v>
      </c>
      <c r="D2315">
        <v>7998.2</v>
      </c>
      <c r="E2315">
        <v>2021</v>
      </c>
      <c r="F2315" s="168" t="s">
        <v>592</v>
      </c>
      <c r="G2315" s="168" t="s">
        <v>607</v>
      </c>
      <c r="H2315" s="168" t="s">
        <v>608</v>
      </c>
      <c r="I2315">
        <v>0</v>
      </c>
    </row>
    <row r="2316" spans="1:9" x14ac:dyDescent="0.3">
      <c r="A2316">
        <v>98</v>
      </c>
      <c r="B2316" s="168" t="s">
        <v>158</v>
      </c>
      <c r="C2316" s="168" t="s">
        <v>159</v>
      </c>
      <c r="D2316">
        <v>7998.2</v>
      </c>
      <c r="E2316">
        <v>2021</v>
      </c>
      <c r="F2316" s="168" t="s">
        <v>592</v>
      </c>
      <c r="G2316" s="168" t="s">
        <v>612</v>
      </c>
      <c r="H2316" s="168" t="s">
        <v>608</v>
      </c>
      <c r="I2316">
        <v>26387.665000000001</v>
      </c>
    </row>
    <row r="2317" spans="1:9" x14ac:dyDescent="0.3">
      <c r="A2317">
        <v>98</v>
      </c>
      <c r="B2317" s="168" t="s">
        <v>158</v>
      </c>
      <c r="C2317" s="168" t="s">
        <v>159</v>
      </c>
      <c r="D2317">
        <v>7998.2</v>
      </c>
      <c r="E2317">
        <v>2021</v>
      </c>
      <c r="F2317" s="168" t="s">
        <v>592</v>
      </c>
      <c r="G2317" s="168" t="s">
        <v>612</v>
      </c>
      <c r="H2317" s="168" t="s">
        <v>609</v>
      </c>
      <c r="I2317">
        <v>11309</v>
      </c>
    </row>
    <row r="2318" spans="1:9" x14ac:dyDescent="0.3">
      <c r="A2318">
        <v>98</v>
      </c>
      <c r="B2318" s="168" t="s">
        <v>158</v>
      </c>
      <c r="C2318" s="168" t="s">
        <v>159</v>
      </c>
      <c r="D2318">
        <v>7998.2</v>
      </c>
      <c r="E2318">
        <v>2021</v>
      </c>
      <c r="F2318" s="168" t="s">
        <v>592</v>
      </c>
      <c r="G2318" s="168" t="s">
        <v>629</v>
      </c>
      <c r="H2318" s="168" t="s">
        <v>609</v>
      </c>
      <c r="I2318">
        <v>2312512</v>
      </c>
    </row>
    <row r="2319" spans="1:9" x14ac:dyDescent="0.3">
      <c r="A2319">
        <v>98</v>
      </c>
      <c r="B2319" s="168" t="s">
        <v>158</v>
      </c>
      <c r="C2319" s="168" t="s">
        <v>159</v>
      </c>
      <c r="D2319">
        <v>7998.2</v>
      </c>
      <c r="E2319">
        <v>2021</v>
      </c>
      <c r="F2319" s="168" t="s">
        <v>592</v>
      </c>
      <c r="G2319" s="168" t="s">
        <v>617</v>
      </c>
      <c r="H2319" s="168" t="s">
        <v>608</v>
      </c>
      <c r="I2319">
        <v>15996.5</v>
      </c>
    </row>
    <row r="2320" spans="1:9" x14ac:dyDescent="0.3">
      <c r="A2320">
        <v>98</v>
      </c>
      <c r="B2320" s="168" t="s">
        <v>158</v>
      </c>
      <c r="C2320" s="168" t="s">
        <v>159</v>
      </c>
      <c r="D2320">
        <v>7998.2</v>
      </c>
      <c r="E2320">
        <v>2021</v>
      </c>
      <c r="F2320" s="168" t="s">
        <v>592</v>
      </c>
      <c r="G2320" s="168" t="s">
        <v>617</v>
      </c>
      <c r="H2320" s="168" t="s">
        <v>609</v>
      </c>
      <c r="I2320">
        <v>15996.5</v>
      </c>
    </row>
    <row r="2321" spans="1:9" x14ac:dyDescent="0.3">
      <c r="A2321">
        <v>98</v>
      </c>
      <c r="B2321" s="168" t="s">
        <v>158</v>
      </c>
      <c r="C2321" s="168" t="s">
        <v>159</v>
      </c>
      <c r="D2321">
        <v>7998.2</v>
      </c>
      <c r="E2321">
        <v>2021</v>
      </c>
      <c r="F2321" s="168" t="s">
        <v>592</v>
      </c>
      <c r="G2321" s="168" t="s">
        <v>633</v>
      </c>
      <c r="H2321" s="168" t="s">
        <v>608</v>
      </c>
      <c r="I2321">
        <v>0</v>
      </c>
    </row>
    <row r="2322" spans="1:9" x14ac:dyDescent="0.3">
      <c r="A2322">
        <v>98</v>
      </c>
      <c r="B2322" s="168" t="s">
        <v>158</v>
      </c>
      <c r="C2322" s="168" t="s">
        <v>159</v>
      </c>
      <c r="D2322">
        <v>7998.2</v>
      </c>
      <c r="E2322">
        <v>2021</v>
      </c>
      <c r="F2322" s="168" t="s">
        <v>592</v>
      </c>
      <c r="G2322" s="168" t="s">
        <v>633</v>
      </c>
      <c r="H2322" s="168" t="s">
        <v>609</v>
      </c>
      <c r="I2322">
        <v>127723.71096917335</v>
      </c>
    </row>
    <row r="2323" spans="1:9" x14ac:dyDescent="0.3">
      <c r="A2323">
        <v>98</v>
      </c>
      <c r="B2323" s="168" t="s">
        <v>158</v>
      </c>
      <c r="C2323" s="168" t="s">
        <v>159</v>
      </c>
      <c r="D2323">
        <v>7998.2</v>
      </c>
      <c r="E2323">
        <v>2021</v>
      </c>
      <c r="F2323" s="168" t="s">
        <v>592</v>
      </c>
      <c r="G2323" s="168" t="s">
        <v>630</v>
      </c>
      <c r="H2323" s="168" t="s">
        <v>608</v>
      </c>
      <c r="I2323">
        <v>1262066</v>
      </c>
    </row>
    <row r="2324" spans="1:9" x14ac:dyDescent="0.3">
      <c r="A2324">
        <v>98</v>
      </c>
      <c r="B2324" s="168" t="s">
        <v>158</v>
      </c>
      <c r="C2324" s="168" t="s">
        <v>159</v>
      </c>
      <c r="D2324">
        <v>7998.2</v>
      </c>
      <c r="E2324">
        <v>2021</v>
      </c>
      <c r="F2324" s="168" t="s">
        <v>592</v>
      </c>
      <c r="G2324" s="168" t="s">
        <v>630</v>
      </c>
      <c r="H2324" s="168" t="s">
        <v>609</v>
      </c>
      <c r="I2324">
        <v>442983.88912349701</v>
      </c>
    </row>
    <row r="2325" spans="1:9" x14ac:dyDescent="0.3">
      <c r="A2325">
        <v>98</v>
      </c>
      <c r="B2325" s="168" t="s">
        <v>158</v>
      </c>
      <c r="C2325" s="168" t="s">
        <v>159</v>
      </c>
      <c r="D2325">
        <v>7998.2</v>
      </c>
      <c r="E2325">
        <v>2021</v>
      </c>
      <c r="F2325" s="168" t="s">
        <v>592</v>
      </c>
      <c r="G2325" s="168" t="s">
        <v>621</v>
      </c>
      <c r="H2325" s="168" t="s">
        <v>609</v>
      </c>
      <c r="I2325">
        <v>145323</v>
      </c>
    </row>
    <row r="2326" spans="1:9" x14ac:dyDescent="0.3">
      <c r="A2326">
        <v>98</v>
      </c>
      <c r="B2326" s="168" t="s">
        <v>158</v>
      </c>
      <c r="C2326" s="168" t="s">
        <v>159</v>
      </c>
      <c r="D2326">
        <v>7998.2</v>
      </c>
      <c r="E2326">
        <v>2021</v>
      </c>
      <c r="F2326" s="168" t="s">
        <v>592</v>
      </c>
      <c r="G2326" s="168" t="s">
        <v>613</v>
      </c>
      <c r="H2326" s="168" t="s">
        <v>608</v>
      </c>
      <c r="I2326">
        <v>202542</v>
      </c>
    </row>
    <row r="2327" spans="1:9" x14ac:dyDescent="0.3">
      <c r="A2327">
        <v>98</v>
      </c>
      <c r="B2327" s="168" t="s">
        <v>158</v>
      </c>
      <c r="C2327" s="168" t="s">
        <v>159</v>
      </c>
      <c r="D2327">
        <v>7998.2</v>
      </c>
      <c r="E2327">
        <v>2021</v>
      </c>
      <c r="F2327" s="168" t="s">
        <v>592</v>
      </c>
      <c r="G2327" s="168" t="s">
        <v>613</v>
      </c>
      <c r="H2327" s="168" t="s">
        <v>609</v>
      </c>
      <c r="I2327">
        <v>266548.8</v>
      </c>
    </row>
    <row r="2328" spans="1:9" x14ac:dyDescent="0.3">
      <c r="A2328">
        <v>99</v>
      </c>
      <c r="B2328" s="168" t="s">
        <v>158</v>
      </c>
      <c r="C2328" s="168" t="s">
        <v>160</v>
      </c>
      <c r="D2328">
        <v>4101.8999999999996</v>
      </c>
      <c r="E2328">
        <v>2021</v>
      </c>
      <c r="F2328" s="168" t="s">
        <v>592</v>
      </c>
      <c r="G2328" s="168" t="s">
        <v>607</v>
      </c>
      <c r="H2328" s="168" t="s">
        <v>608</v>
      </c>
      <c r="I2328">
        <v>0</v>
      </c>
    </row>
    <row r="2329" spans="1:9" x14ac:dyDescent="0.3">
      <c r="A2329">
        <v>99</v>
      </c>
      <c r="B2329" s="168" t="s">
        <v>158</v>
      </c>
      <c r="C2329" s="168" t="s">
        <v>160</v>
      </c>
      <c r="D2329">
        <v>4101.8999999999996</v>
      </c>
      <c r="E2329">
        <v>2021</v>
      </c>
      <c r="F2329" s="168" t="s">
        <v>592</v>
      </c>
      <c r="G2329" s="168" t="s">
        <v>612</v>
      </c>
      <c r="H2329" s="168" t="s">
        <v>608</v>
      </c>
      <c r="I2329">
        <v>26387.67</v>
      </c>
    </row>
    <row r="2330" spans="1:9" x14ac:dyDescent="0.3">
      <c r="A2330">
        <v>99</v>
      </c>
      <c r="B2330" s="168" t="s">
        <v>158</v>
      </c>
      <c r="C2330" s="168" t="s">
        <v>160</v>
      </c>
      <c r="D2330">
        <v>4101.8999999999996</v>
      </c>
      <c r="E2330">
        <v>2021</v>
      </c>
      <c r="F2330" s="168" t="s">
        <v>592</v>
      </c>
      <c r="G2330" s="168" t="s">
        <v>612</v>
      </c>
      <c r="H2330" s="168" t="s">
        <v>609</v>
      </c>
      <c r="I2330">
        <v>11309</v>
      </c>
    </row>
    <row r="2331" spans="1:9" x14ac:dyDescent="0.3">
      <c r="A2331">
        <v>99</v>
      </c>
      <c r="B2331" s="168" t="s">
        <v>158</v>
      </c>
      <c r="C2331" s="168" t="s">
        <v>160</v>
      </c>
      <c r="D2331">
        <v>4101.8999999999996</v>
      </c>
      <c r="E2331">
        <v>2021</v>
      </c>
      <c r="F2331" s="168" t="s">
        <v>592</v>
      </c>
      <c r="G2331" s="168" t="s">
        <v>629</v>
      </c>
      <c r="H2331" s="168" t="s">
        <v>609</v>
      </c>
      <c r="I2331">
        <v>1256615</v>
      </c>
    </row>
    <row r="2332" spans="1:9" x14ac:dyDescent="0.3">
      <c r="A2332">
        <v>99</v>
      </c>
      <c r="B2332" s="168" t="s">
        <v>158</v>
      </c>
      <c r="C2332" s="168" t="s">
        <v>160</v>
      </c>
      <c r="D2332">
        <v>4101.8999999999996</v>
      </c>
      <c r="E2332">
        <v>2021</v>
      </c>
      <c r="F2332" s="168" t="s">
        <v>592</v>
      </c>
      <c r="G2332" s="168" t="s">
        <v>617</v>
      </c>
      <c r="H2332" s="168" t="s">
        <v>608</v>
      </c>
      <c r="I2332">
        <v>8204</v>
      </c>
    </row>
    <row r="2333" spans="1:9" x14ac:dyDescent="0.3">
      <c r="A2333">
        <v>99</v>
      </c>
      <c r="B2333" s="168" t="s">
        <v>158</v>
      </c>
      <c r="C2333" s="168" t="s">
        <v>160</v>
      </c>
      <c r="D2333">
        <v>4101.8999999999996</v>
      </c>
      <c r="E2333">
        <v>2021</v>
      </c>
      <c r="F2333" s="168" t="s">
        <v>592</v>
      </c>
      <c r="G2333" s="168" t="s">
        <v>617</v>
      </c>
      <c r="H2333" s="168" t="s">
        <v>609</v>
      </c>
      <c r="I2333">
        <v>8204</v>
      </c>
    </row>
    <row r="2334" spans="1:9" x14ac:dyDescent="0.3">
      <c r="A2334">
        <v>99</v>
      </c>
      <c r="B2334" s="168" t="s">
        <v>158</v>
      </c>
      <c r="C2334" s="168" t="s">
        <v>160</v>
      </c>
      <c r="D2334">
        <v>4101.8999999999996</v>
      </c>
      <c r="E2334">
        <v>2021</v>
      </c>
      <c r="F2334" s="168" t="s">
        <v>592</v>
      </c>
      <c r="G2334" s="168" t="s">
        <v>633</v>
      </c>
      <c r="H2334" s="168" t="s">
        <v>608</v>
      </c>
      <c r="I2334">
        <v>0</v>
      </c>
    </row>
    <row r="2335" spans="1:9" x14ac:dyDescent="0.3">
      <c r="A2335">
        <v>99</v>
      </c>
      <c r="B2335" s="168" t="s">
        <v>158</v>
      </c>
      <c r="C2335" s="168" t="s">
        <v>160</v>
      </c>
      <c r="D2335">
        <v>4101.8999999999996</v>
      </c>
      <c r="E2335">
        <v>2021</v>
      </c>
      <c r="F2335" s="168" t="s">
        <v>592</v>
      </c>
      <c r="G2335" s="168" t="s">
        <v>633</v>
      </c>
      <c r="H2335" s="168" t="s">
        <v>609</v>
      </c>
      <c r="I2335">
        <v>65503.474534826855</v>
      </c>
    </row>
    <row r="2336" spans="1:9" x14ac:dyDescent="0.3">
      <c r="A2336">
        <v>99</v>
      </c>
      <c r="B2336" s="168" t="s">
        <v>158</v>
      </c>
      <c r="C2336" s="168" t="s">
        <v>160</v>
      </c>
      <c r="D2336">
        <v>4101.8999999999996</v>
      </c>
      <c r="E2336">
        <v>2021</v>
      </c>
      <c r="F2336" s="168" t="s">
        <v>592</v>
      </c>
      <c r="G2336" s="168" t="s">
        <v>630</v>
      </c>
      <c r="H2336" s="168" t="s">
        <v>608</v>
      </c>
      <c r="I2336">
        <v>700042</v>
      </c>
    </row>
    <row r="2337" spans="1:9" x14ac:dyDescent="0.3">
      <c r="A2337">
        <v>99</v>
      </c>
      <c r="B2337" s="168" t="s">
        <v>158</v>
      </c>
      <c r="C2337" s="168" t="s">
        <v>160</v>
      </c>
      <c r="D2337">
        <v>4101.8999999999996</v>
      </c>
      <c r="E2337">
        <v>2021</v>
      </c>
      <c r="F2337" s="168" t="s">
        <v>592</v>
      </c>
      <c r="G2337" s="168" t="s">
        <v>630</v>
      </c>
      <c r="H2337" s="168" t="s">
        <v>609</v>
      </c>
      <c r="I2337">
        <v>279973.668162296</v>
      </c>
    </row>
    <row r="2338" spans="1:9" x14ac:dyDescent="0.3">
      <c r="A2338">
        <v>99</v>
      </c>
      <c r="B2338" s="168" t="s">
        <v>158</v>
      </c>
      <c r="C2338" s="168" t="s">
        <v>160</v>
      </c>
      <c r="D2338">
        <v>4101.8999999999996</v>
      </c>
      <c r="E2338">
        <v>2021</v>
      </c>
      <c r="F2338" s="168" t="s">
        <v>592</v>
      </c>
      <c r="G2338" s="168" t="s">
        <v>621</v>
      </c>
      <c r="H2338" s="168" t="s">
        <v>609</v>
      </c>
      <c r="I2338">
        <v>145323</v>
      </c>
    </row>
    <row r="2339" spans="1:9" x14ac:dyDescent="0.3">
      <c r="A2339">
        <v>99</v>
      </c>
      <c r="B2339" s="168" t="s">
        <v>158</v>
      </c>
      <c r="C2339" s="168" t="s">
        <v>160</v>
      </c>
      <c r="D2339">
        <v>4101.8999999999996</v>
      </c>
      <c r="E2339">
        <v>2021</v>
      </c>
      <c r="F2339" s="168" t="s">
        <v>592</v>
      </c>
      <c r="G2339" s="168" t="s">
        <v>613</v>
      </c>
      <c r="H2339" s="168" t="s">
        <v>608</v>
      </c>
      <c r="I2339">
        <v>0</v>
      </c>
    </row>
    <row r="2340" spans="1:9" hidden="1" x14ac:dyDescent="0.3">
      <c r="A2340">
        <v>100</v>
      </c>
      <c r="B2340" s="168" t="s">
        <v>161</v>
      </c>
      <c r="C2340" s="168" t="s">
        <v>162</v>
      </c>
      <c r="D2340">
        <v>489.2</v>
      </c>
      <c r="E2340">
        <v>2021</v>
      </c>
      <c r="F2340" s="168" t="s">
        <v>593</v>
      </c>
      <c r="G2340" s="168" t="s">
        <v>617</v>
      </c>
      <c r="H2340" s="168" t="s">
        <v>608</v>
      </c>
      <c r="I2340">
        <v>0</v>
      </c>
    </row>
    <row r="2341" spans="1:9" hidden="1" x14ac:dyDescent="0.3">
      <c r="A2341">
        <v>100</v>
      </c>
      <c r="B2341" s="168" t="s">
        <v>161</v>
      </c>
      <c r="C2341" s="168" t="s">
        <v>162</v>
      </c>
      <c r="D2341">
        <v>489.2</v>
      </c>
      <c r="E2341">
        <v>2021</v>
      </c>
      <c r="F2341" s="168" t="s">
        <v>593</v>
      </c>
      <c r="G2341" s="168" t="s">
        <v>630</v>
      </c>
      <c r="H2341" s="168" t="s">
        <v>608</v>
      </c>
      <c r="I2341">
        <v>66531</v>
      </c>
    </row>
    <row r="2342" spans="1:9" hidden="1" x14ac:dyDescent="0.3">
      <c r="A2342">
        <v>100</v>
      </c>
      <c r="B2342" s="168" t="s">
        <v>161</v>
      </c>
      <c r="C2342" s="168" t="s">
        <v>162</v>
      </c>
      <c r="D2342">
        <v>489.2</v>
      </c>
      <c r="E2342">
        <v>2021</v>
      </c>
      <c r="F2342" s="168" t="s">
        <v>593</v>
      </c>
      <c r="G2342" s="168" t="s">
        <v>613</v>
      </c>
      <c r="H2342" s="168" t="s">
        <v>609</v>
      </c>
      <c r="I2342">
        <v>33643.199999999997</v>
      </c>
    </row>
    <row r="2343" spans="1:9" hidden="1" x14ac:dyDescent="0.3">
      <c r="A2343">
        <v>101</v>
      </c>
      <c r="B2343" s="168" t="s">
        <v>163</v>
      </c>
      <c r="C2343" s="168" t="s">
        <v>164</v>
      </c>
      <c r="D2343">
        <v>482.4</v>
      </c>
      <c r="E2343">
        <v>2021</v>
      </c>
      <c r="F2343" s="168" t="s">
        <v>593</v>
      </c>
      <c r="G2343" s="168" t="s">
        <v>617</v>
      </c>
      <c r="H2343" s="168" t="s">
        <v>608</v>
      </c>
      <c r="I2343">
        <v>0</v>
      </c>
    </row>
    <row r="2344" spans="1:9" hidden="1" x14ac:dyDescent="0.3">
      <c r="A2344">
        <v>101</v>
      </c>
      <c r="B2344" s="168" t="s">
        <v>163</v>
      </c>
      <c r="C2344" s="168" t="s">
        <v>164</v>
      </c>
      <c r="D2344">
        <v>482.4</v>
      </c>
      <c r="E2344">
        <v>2021</v>
      </c>
      <c r="F2344" s="168" t="s">
        <v>593</v>
      </c>
      <c r="G2344" s="168" t="s">
        <v>630</v>
      </c>
      <c r="H2344" s="168" t="s">
        <v>608</v>
      </c>
      <c r="I2344">
        <v>65606</v>
      </c>
    </row>
    <row r="2345" spans="1:9" hidden="1" x14ac:dyDescent="0.3">
      <c r="A2345">
        <v>101</v>
      </c>
      <c r="B2345" s="168" t="s">
        <v>163</v>
      </c>
      <c r="C2345" s="168" t="s">
        <v>164</v>
      </c>
      <c r="D2345">
        <v>482.4</v>
      </c>
      <c r="E2345">
        <v>2021</v>
      </c>
      <c r="F2345" s="168" t="s">
        <v>593</v>
      </c>
      <c r="G2345" s="168" t="s">
        <v>613</v>
      </c>
      <c r="H2345" s="168" t="s">
        <v>609</v>
      </c>
      <c r="I2345">
        <v>33241.199999999997</v>
      </c>
    </row>
    <row r="2346" spans="1:9" x14ac:dyDescent="0.3">
      <c r="A2346">
        <v>102</v>
      </c>
      <c r="B2346" s="168" t="s">
        <v>165</v>
      </c>
      <c r="C2346" s="168" t="s">
        <v>166</v>
      </c>
      <c r="D2346">
        <v>10231.5</v>
      </c>
      <c r="E2346">
        <v>2021</v>
      </c>
      <c r="F2346" s="168" t="s">
        <v>592</v>
      </c>
      <c r="G2346" s="168" t="s">
        <v>607</v>
      </c>
      <c r="H2346" s="168" t="s">
        <v>608</v>
      </c>
      <c r="I2346">
        <v>0</v>
      </c>
    </row>
    <row r="2347" spans="1:9" x14ac:dyDescent="0.3">
      <c r="A2347">
        <v>102</v>
      </c>
      <c r="B2347" s="168" t="s">
        <v>165</v>
      </c>
      <c r="C2347" s="168" t="s">
        <v>166</v>
      </c>
      <c r="D2347">
        <v>10231.5</v>
      </c>
      <c r="E2347">
        <v>2021</v>
      </c>
      <c r="F2347" s="168" t="s">
        <v>592</v>
      </c>
      <c r="G2347" s="168" t="s">
        <v>612</v>
      </c>
      <c r="H2347" s="168" t="s">
        <v>608</v>
      </c>
      <c r="I2347">
        <v>82586.399999999994</v>
      </c>
    </row>
    <row r="2348" spans="1:9" x14ac:dyDescent="0.3">
      <c r="A2348">
        <v>102</v>
      </c>
      <c r="B2348" s="168" t="s">
        <v>165</v>
      </c>
      <c r="C2348" s="168" t="s">
        <v>166</v>
      </c>
      <c r="D2348">
        <v>10231.5</v>
      </c>
      <c r="E2348">
        <v>2021</v>
      </c>
      <c r="F2348" s="168" t="s">
        <v>592</v>
      </c>
      <c r="G2348" s="168" t="s">
        <v>612</v>
      </c>
      <c r="H2348" s="168" t="s">
        <v>609</v>
      </c>
      <c r="I2348">
        <v>35394.17</v>
      </c>
    </row>
    <row r="2349" spans="1:9" x14ac:dyDescent="0.3">
      <c r="A2349">
        <v>102</v>
      </c>
      <c r="B2349" s="168" t="s">
        <v>165</v>
      </c>
      <c r="C2349" s="168" t="s">
        <v>166</v>
      </c>
      <c r="D2349">
        <v>10231.5</v>
      </c>
      <c r="E2349">
        <v>2021</v>
      </c>
      <c r="F2349" s="168" t="s">
        <v>592</v>
      </c>
      <c r="G2349" s="168" t="s">
        <v>629</v>
      </c>
      <c r="H2349" s="168" t="s">
        <v>609</v>
      </c>
      <c r="I2349">
        <v>2772737</v>
      </c>
    </row>
    <row r="2350" spans="1:9" x14ac:dyDescent="0.3">
      <c r="A2350">
        <v>102</v>
      </c>
      <c r="B2350" s="168" t="s">
        <v>165</v>
      </c>
      <c r="C2350" s="168" t="s">
        <v>166</v>
      </c>
      <c r="D2350">
        <v>10231.5</v>
      </c>
      <c r="E2350">
        <v>2021</v>
      </c>
      <c r="F2350" s="168" t="s">
        <v>592</v>
      </c>
      <c r="G2350" s="168" t="s">
        <v>633</v>
      </c>
      <c r="H2350" s="168" t="s">
        <v>608</v>
      </c>
      <c r="I2350">
        <v>0</v>
      </c>
    </row>
    <row r="2351" spans="1:9" x14ac:dyDescent="0.3">
      <c r="A2351">
        <v>102</v>
      </c>
      <c r="B2351" s="168" t="s">
        <v>165</v>
      </c>
      <c r="C2351" s="168" t="s">
        <v>166</v>
      </c>
      <c r="D2351">
        <v>10231.5</v>
      </c>
      <c r="E2351">
        <v>2021</v>
      </c>
      <c r="F2351" s="168" t="s">
        <v>592</v>
      </c>
      <c r="G2351" s="168" t="s">
        <v>633</v>
      </c>
      <c r="H2351" s="168" t="s">
        <v>609</v>
      </c>
      <c r="I2351">
        <v>163387.40576393402</v>
      </c>
    </row>
    <row r="2352" spans="1:9" x14ac:dyDescent="0.3">
      <c r="A2352">
        <v>102</v>
      </c>
      <c r="B2352" s="168" t="s">
        <v>165</v>
      </c>
      <c r="C2352" s="168" t="s">
        <v>166</v>
      </c>
      <c r="D2352">
        <v>10231.5</v>
      </c>
      <c r="E2352">
        <v>2021</v>
      </c>
      <c r="F2352" s="168" t="s">
        <v>592</v>
      </c>
      <c r="G2352" s="168" t="s">
        <v>615</v>
      </c>
      <c r="H2352" s="168" t="s">
        <v>608</v>
      </c>
      <c r="I2352">
        <v>0</v>
      </c>
    </row>
    <row r="2353" spans="1:9" x14ac:dyDescent="0.3">
      <c r="A2353">
        <v>102</v>
      </c>
      <c r="B2353" s="168" t="s">
        <v>165</v>
      </c>
      <c r="C2353" s="168" t="s">
        <v>166</v>
      </c>
      <c r="D2353">
        <v>10231.5</v>
      </c>
      <c r="E2353">
        <v>2021</v>
      </c>
      <c r="F2353" s="168" t="s">
        <v>592</v>
      </c>
      <c r="G2353" s="168" t="s">
        <v>615</v>
      </c>
      <c r="H2353" s="168" t="s">
        <v>609</v>
      </c>
      <c r="I2353">
        <v>7536.5853658536589</v>
      </c>
    </row>
    <row r="2354" spans="1:9" x14ac:dyDescent="0.3">
      <c r="A2354">
        <v>102</v>
      </c>
      <c r="B2354" s="168" t="s">
        <v>165</v>
      </c>
      <c r="C2354" s="168" t="s">
        <v>166</v>
      </c>
      <c r="D2354">
        <v>10231.5</v>
      </c>
      <c r="E2354">
        <v>2021</v>
      </c>
      <c r="F2354" s="168" t="s">
        <v>592</v>
      </c>
      <c r="G2354" s="168" t="s">
        <v>630</v>
      </c>
      <c r="H2354" s="168" t="s">
        <v>608</v>
      </c>
      <c r="I2354">
        <v>1639861</v>
      </c>
    </row>
    <row r="2355" spans="1:9" x14ac:dyDescent="0.3">
      <c r="A2355">
        <v>102</v>
      </c>
      <c r="B2355" s="168" t="s">
        <v>165</v>
      </c>
      <c r="C2355" s="168" t="s">
        <v>166</v>
      </c>
      <c r="D2355">
        <v>10231.5</v>
      </c>
      <c r="E2355">
        <v>2021</v>
      </c>
      <c r="F2355" s="168" t="s">
        <v>592</v>
      </c>
      <c r="G2355" s="168" t="s">
        <v>630</v>
      </c>
      <c r="H2355" s="168" t="s">
        <v>609</v>
      </c>
      <c r="I2355">
        <v>592070.16409530398</v>
      </c>
    </row>
    <row r="2356" spans="1:9" x14ac:dyDescent="0.3">
      <c r="A2356">
        <v>102</v>
      </c>
      <c r="B2356" s="168" t="s">
        <v>165</v>
      </c>
      <c r="C2356" s="168" t="s">
        <v>166</v>
      </c>
      <c r="D2356">
        <v>10231.5</v>
      </c>
      <c r="E2356">
        <v>2021</v>
      </c>
      <c r="F2356" s="168" t="s">
        <v>592</v>
      </c>
      <c r="G2356" s="168" t="s">
        <v>621</v>
      </c>
      <c r="H2356" s="168" t="s">
        <v>608</v>
      </c>
      <c r="I2356">
        <v>17354248.030000001</v>
      </c>
    </row>
    <row r="2357" spans="1:9" x14ac:dyDescent="0.3">
      <c r="A2357">
        <v>102</v>
      </c>
      <c r="B2357" s="168" t="s">
        <v>165</v>
      </c>
      <c r="C2357" s="168" t="s">
        <v>166</v>
      </c>
      <c r="D2357">
        <v>10231.5</v>
      </c>
      <c r="E2357">
        <v>2021</v>
      </c>
      <c r="F2357" s="168" t="s">
        <v>592</v>
      </c>
      <c r="G2357" s="168" t="s">
        <v>621</v>
      </c>
      <c r="H2357" s="168" t="s">
        <v>609</v>
      </c>
      <c r="I2357">
        <v>145323</v>
      </c>
    </row>
    <row r="2358" spans="1:9" x14ac:dyDescent="0.3">
      <c r="A2358">
        <v>102</v>
      </c>
      <c r="B2358" s="168" t="s">
        <v>165</v>
      </c>
      <c r="C2358" s="168" t="s">
        <v>166</v>
      </c>
      <c r="D2358">
        <v>10231.5</v>
      </c>
      <c r="E2358">
        <v>2021</v>
      </c>
      <c r="F2358" s="168" t="s">
        <v>592</v>
      </c>
      <c r="G2358" s="168" t="s">
        <v>613</v>
      </c>
      <c r="H2358" s="168" t="s">
        <v>608</v>
      </c>
      <c r="I2358">
        <v>0</v>
      </c>
    </row>
    <row r="2359" spans="1:9" x14ac:dyDescent="0.3">
      <c r="A2359">
        <v>102</v>
      </c>
      <c r="B2359" s="168" t="s">
        <v>165</v>
      </c>
      <c r="C2359" s="168" t="s">
        <v>166</v>
      </c>
      <c r="D2359">
        <v>10231.5</v>
      </c>
      <c r="E2359">
        <v>2021</v>
      </c>
      <c r="F2359" s="168" t="s">
        <v>592</v>
      </c>
      <c r="G2359" s="168" t="s">
        <v>613</v>
      </c>
      <c r="H2359" s="168" t="s">
        <v>609</v>
      </c>
      <c r="I2359">
        <v>1266425.1698934832</v>
      </c>
    </row>
    <row r="2360" spans="1:9" x14ac:dyDescent="0.3">
      <c r="A2360">
        <v>103</v>
      </c>
      <c r="B2360" s="168" t="s">
        <v>167</v>
      </c>
      <c r="C2360" s="168" t="s">
        <v>168</v>
      </c>
      <c r="D2360">
        <v>2674.6</v>
      </c>
      <c r="E2360">
        <v>2021</v>
      </c>
      <c r="F2360" s="168" t="s">
        <v>592</v>
      </c>
      <c r="G2360" s="168" t="s">
        <v>607</v>
      </c>
      <c r="H2360" s="168" t="s">
        <v>608</v>
      </c>
      <c r="I2360">
        <v>0</v>
      </c>
    </row>
    <row r="2361" spans="1:9" x14ac:dyDescent="0.3">
      <c r="A2361">
        <v>103</v>
      </c>
      <c r="B2361" s="168" t="s">
        <v>167</v>
      </c>
      <c r="C2361" s="168" t="s">
        <v>168</v>
      </c>
      <c r="D2361">
        <v>2674.6</v>
      </c>
      <c r="E2361">
        <v>2021</v>
      </c>
      <c r="F2361" s="168" t="s">
        <v>592</v>
      </c>
      <c r="G2361" s="168" t="s">
        <v>612</v>
      </c>
      <c r="H2361" s="168" t="s">
        <v>608</v>
      </c>
      <c r="I2361">
        <v>82586.399999999994</v>
      </c>
    </row>
    <row r="2362" spans="1:9" x14ac:dyDescent="0.3">
      <c r="A2362">
        <v>103</v>
      </c>
      <c r="B2362" s="168" t="s">
        <v>167</v>
      </c>
      <c r="C2362" s="168" t="s">
        <v>168</v>
      </c>
      <c r="D2362">
        <v>2674.6</v>
      </c>
      <c r="E2362">
        <v>2021</v>
      </c>
      <c r="F2362" s="168" t="s">
        <v>592</v>
      </c>
      <c r="G2362" s="168" t="s">
        <v>612</v>
      </c>
      <c r="H2362" s="168" t="s">
        <v>609</v>
      </c>
      <c r="I2362">
        <v>35394.17</v>
      </c>
    </row>
    <row r="2363" spans="1:9" x14ac:dyDescent="0.3">
      <c r="A2363">
        <v>103</v>
      </c>
      <c r="B2363" s="168" t="s">
        <v>167</v>
      </c>
      <c r="C2363" s="168" t="s">
        <v>168</v>
      </c>
      <c r="D2363">
        <v>2674.6</v>
      </c>
      <c r="E2363">
        <v>2021</v>
      </c>
      <c r="F2363" s="168" t="s">
        <v>592</v>
      </c>
      <c r="G2363" s="168" t="s">
        <v>629</v>
      </c>
      <c r="H2363" s="168" t="s">
        <v>609</v>
      </c>
      <c r="I2363">
        <v>735206</v>
      </c>
    </row>
    <row r="2364" spans="1:9" x14ac:dyDescent="0.3">
      <c r="A2364">
        <v>103</v>
      </c>
      <c r="B2364" s="168" t="s">
        <v>167</v>
      </c>
      <c r="C2364" s="168" t="s">
        <v>168</v>
      </c>
      <c r="D2364">
        <v>2674.6</v>
      </c>
      <c r="E2364">
        <v>2021</v>
      </c>
      <c r="F2364" s="168" t="s">
        <v>592</v>
      </c>
      <c r="G2364" s="168" t="s">
        <v>633</v>
      </c>
      <c r="H2364" s="168" t="s">
        <v>608</v>
      </c>
      <c r="I2364">
        <v>0</v>
      </c>
    </row>
    <row r="2365" spans="1:9" x14ac:dyDescent="0.3">
      <c r="A2365">
        <v>103</v>
      </c>
      <c r="B2365" s="168" t="s">
        <v>167</v>
      </c>
      <c r="C2365" s="168" t="s">
        <v>168</v>
      </c>
      <c r="D2365">
        <v>2674.6</v>
      </c>
      <c r="E2365">
        <v>2021</v>
      </c>
      <c r="F2365" s="168" t="s">
        <v>592</v>
      </c>
      <c r="G2365" s="168" t="s">
        <v>633</v>
      </c>
      <c r="H2365" s="168" t="s">
        <v>609</v>
      </c>
      <c r="I2365">
        <v>42710.839608680835</v>
      </c>
    </row>
    <row r="2366" spans="1:9" x14ac:dyDescent="0.3">
      <c r="A2366">
        <v>103</v>
      </c>
      <c r="B2366" s="168" t="s">
        <v>167</v>
      </c>
      <c r="C2366" s="168" t="s">
        <v>168</v>
      </c>
      <c r="D2366">
        <v>2674.6</v>
      </c>
      <c r="E2366">
        <v>2021</v>
      </c>
      <c r="F2366" s="168" t="s">
        <v>592</v>
      </c>
      <c r="G2366" s="168" t="s">
        <v>630</v>
      </c>
      <c r="H2366" s="168" t="s">
        <v>608</v>
      </c>
      <c r="I2366">
        <v>421605</v>
      </c>
    </row>
    <row r="2367" spans="1:9" x14ac:dyDescent="0.3">
      <c r="A2367">
        <v>103</v>
      </c>
      <c r="B2367" s="168" t="s">
        <v>167</v>
      </c>
      <c r="C2367" s="168" t="s">
        <v>168</v>
      </c>
      <c r="D2367">
        <v>2674.6</v>
      </c>
      <c r="E2367">
        <v>2021</v>
      </c>
      <c r="F2367" s="168" t="s">
        <v>592</v>
      </c>
      <c r="G2367" s="168" t="s">
        <v>630</v>
      </c>
      <c r="H2367" s="168" t="s">
        <v>609</v>
      </c>
      <c r="I2367">
        <v>147703.27861890249</v>
      </c>
    </row>
    <row r="2368" spans="1:9" x14ac:dyDescent="0.3">
      <c r="A2368">
        <v>103</v>
      </c>
      <c r="B2368" s="168" t="s">
        <v>167</v>
      </c>
      <c r="C2368" s="168" t="s">
        <v>168</v>
      </c>
      <c r="D2368">
        <v>2674.6</v>
      </c>
      <c r="E2368">
        <v>2021</v>
      </c>
      <c r="F2368" s="168" t="s">
        <v>592</v>
      </c>
      <c r="G2368" s="168" t="s">
        <v>621</v>
      </c>
      <c r="H2368" s="168" t="s">
        <v>609</v>
      </c>
      <c r="I2368">
        <v>145323</v>
      </c>
    </row>
    <row r="2369" spans="1:9" x14ac:dyDescent="0.3">
      <c r="A2369">
        <v>103</v>
      </c>
      <c r="B2369" s="168" t="s">
        <v>167</v>
      </c>
      <c r="C2369" s="168" t="s">
        <v>168</v>
      </c>
      <c r="D2369">
        <v>2674.6</v>
      </c>
      <c r="E2369">
        <v>2021</v>
      </c>
      <c r="F2369" s="168" t="s">
        <v>592</v>
      </c>
      <c r="G2369" s="168" t="s">
        <v>613</v>
      </c>
      <c r="H2369" s="168" t="s">
        <v>608</v>
      </c>
      <c r="I2369">
        <v>0</v>
      </c>
    </row>
    <row r="2370" spans="1:9" x14ac:dyDescent="0.3">
      <c r="A2370">
        <v>103</v>
      </c>
      <c r="B2370" s="168" t="s">
        <v>167</v>
      </c>
      <c r="C2370" s="168" t="s">
        <v>168</v>
      </c>
      <c r="D2370">
        <v>2674.6</v>
      </c>
      <c r="E2370">
        <v>2021</v>
      </c>
      <c r="F2370" s="168" t="s">
        <v>592</v>
      </c>
      <c r="G2370" s="168" t="s">
        <v>613</v>
      </c>
      <c r="H2370" s="168" t="s">
        <v>609</v>
      </c>
      <c r="I2370">
        <v>331054.17186112673</v>
      </c>
    </row>
    <row r="2371" spans="1:9" hidden="1" x14ac:dyDescent="0.3">
      <c r="A2371">
        <v>104</v>
      </c>
      <c r="B2371" s="168" t="s">
        <v>169</v>
      </c>
      <c r="C2371" s="168" t="s">
        <v>170</v>
      </c>
      <c r="D2371">
        <v>3021.3</v>
      </c>
      <c r="E2371">
        <v>2021</v>
      </c>
      <c r="F2371" s="168" t="s">
        <v>591</v>
      </c>
      <c r="G2371" s="168" t="s">
        <v>612</v>
      </c>
      <c r="H2371" s="168" t="s">
        <v>609</v>
      </c>
      <c r="I2371">
        <v>44836.19</v>
      </c>
    </row>
    <row r="2372" spans="1:9" hidden="1" x14ac:dyDescent="0.3">
      <c r="A2372">
        <v>104</v>
      </c>
      <c r="B2372" s="168" t="s">
        <v>169</v>
      </c>
      <c r="C2372" s="168" t="s">
        <v>170</v>
      </c>
      <c r="D2372">
        <v>3021.3</v>
      </c>
      <c r="E2372">
        <v>2021</v>
      </c>
      <c r="F2372" s="168" t="s">
        <v>591</v>
      </c>
      <c r="G2372" s="168" t="s">
        <v>629</v>
      </c>
      <c r="H2372" s="168" t="s">
        <v>609</v>
      </c>
      <c r="I2372">
        <v>95882.04</v>
      </c>
    </row>
    <row r="2373" spans="1:9" hidden="1" x14ac:dyDescent="0.3">
      <c r="A2373">
        <v>104</v>
      </c>
      <c r="B2373" s="168" t="s">
        <v>169</v>
      </c>
      <c r="C2373" s="168" t="s">
        <v>170</v>
      </c>
      <c r="D2373">
        <v>3021.3</v>
      </c>
      <c r="E2373">
        <v>2021</v>
      </c>
      <c r="F2373" s="168" t="s">
        <v>591</v>
      </c>
      <c r="G2373" s="168" t="s">
        <v>630</v>
      </c>
      <c r="H2373" s="168" t="s">
        <v>608</v>
      </c>
      <c r="I2373">
        <v>1110897</v>
      </c>
    </row>
    <row r="2374" spans="1:9" hidden="1" x14ac:dyDescent="0.3">
      <c r="A2374">
        <v>104</v>
      </c>
      <c r="B2374" s="168" t="s">
        <v>169</v>
      </c>
      <c r="C2374" s="168" t="s">
        <v>170</v>
      </c>
      <c r="D2374">
        <v>3021.3</v>
      </c>
      <c r="E2374">
        <v>2021</v>
      </c>
      <c r="F2374" s="168" t="s">
        <v>591</v>
      </c>
      <c r="G2374" s="168" t="s">
        <v>630</v>
      </c>
      <c r="H2374" s="168" t="s">
        <v>609</v>
      </c>
      <c r="I2374">
        <v>700000</v>
      </c>
    </row>
    <row r="2375" spans="1:9" hidden="1" x14ac:dyDescent="0.3">
      <c r="A2375">
        <v>105</v>
      </c>
      <c r="B2375" s="168" t="s">
        <v>171</v>
      </c>
      <c r="C2375" s="168" t="s">
        <v>172</v>
      </c>
      <c r="D2375">
        <v>1759.2</v>
      </c>
      <c r="E2375">
        <v>2021</v>
      </c>
      <c r="F2375" s="168" t="s">
        <v>593</v>
      </c>
      <c r="G2375" s="168" t="s">
        <v>630</v>
      </c>
      <c r="H2375" s="168" t="s">
        <v>608</v>
      </c>
      <c r="I2375">
        <v>239251</v>
      </c>
    </row>
    <row r="2376" spans="1:9" hidden="1" x14ac:dyDescent="0.3">
      <c r="A2376">
        <v>106</v>
      </c>
      <c r="B2376" s="168" t="s">
        <v>173</v>
      </c>
      <c r="C2376" s="168" t="s">
        <v>174</v>
      </c>
      <c r="D2376">
        <v>110.3</v>
      </c>
      <c r="E2376">
        <v>2021</v>
      </c>
      <c r="F2376" s="168" t="s">
        <v>593</v>
      </c>
      <c r="G2376" s="168" t="s">
        <v>630</v>
      </c>
      <c r="H2376" s="168" t="s">
        <v>608</v>
      </c>
      <c r="I2376">
        <v>15001</v>
      </c>
    </row>
    <row r="2377" spans="1:9" hidden="1" x14ac:dyDescent="0.3">
      <c r="A2377">
        <v>107</v>
      </c>
      <c r="B2377" s="168" t="s">
        <v>175</v>
      </c>
      <c r="C2377" s="168" t="s">
        <v>176</v>
      </c>
      <c r="D2377">
        <v>3989.9</v>
      </c>
      <c r="E2377">
        <v>2021</v>
      </c>
      <c r="F2377" s="168" t="s">
        <v>591</v>
      </c>
      <c r="G2377" s="168" t="s">
        <v>612</v>
      </c>
      <c r="H2377" s="168" t="s">
        <v>608</v>
      </c>
      <c r="I2377">
        <v>17042.03</v>
      </c>
    </row>
    <row r="2378" spans="1:9" hidden="1" x14ac:dyDescent="0.3">
      <c r="A2378">
        <v>107</v>
      </c>
      <c r="B2378" s="168" t="s">
        <v>175</v>
      </c>
      <c r="C2378" s="168" t="s">
        <v>176</v>
      </c>
      <c r="D2378">
        <v>3989.9</v>
      </c>
      <c r="E2378">
        <v>2021</v>
      </c>
      <c r="F2378" s="168" t="s">
        <v>591</v>
      </c>
      <c r="G2378" s="168" t="s">
        <v>612</v>
      </c>
      <c r="H2378" s="168" t="s">
        <v>609</v>
      </c>
      <c r="I2378">
        <v>7303.73</v>
      </c>
    </row>
    <row r="2379" spans="1:9" hidden="1" x14ac:dyDescent="0.3">
      <c r="A2379">
        <v>108</v>
      </c>
      <c r="B2379" s="168" t="s">
        <v>177</v>
      </c>
      <c r="C2379" s="168" t="s">
        <v>178</v>
      </c>
      <c r="D2379">
        <v>1762.7</v>
      </c>
      <c r="E2379">
        <v>2021</v>
      </c>
      <c r="F2379" s="168" t="s">
        <v>593</v>
      </c>
      <c r="G2379" s="168" t="s">
        <v>621</v>
      </c>
      <c r="H2379" s="168" t="s">
        <v>609</v>
      </c>
      <c r="I2379">
        <v>7499994</v>
      </c>
    </row>
    <row r="2380" spans="1:9" x14ac:dyDescent="0.3">
      <c r="B2380" s="168"/>
      <c r="C2380" s="168"/>
      <c r="D2380">
        <f>SUM(D108:D2370)</f>
        <v>14956750.260000058</v>
      </c>
      <c r="F2380" s="168"/>
      <c r="G2380" s="168"/>
      <c r="H2380" s="16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W111"/>
  <sheetViews>
    <sheetView zoomScale="70" zoomScaleNormal="70" workbookViewId="0">
      <pane ySplit="1" topLeftCell="A2" activePane="bottomLeft" state="frozen"/>
      <selection pane="bottomLeft" activeCell="A111" sqref="A111"/>
    </sheetView>
  </sheetViews>
  <sheetFormatPr defaultColWidth="9.109375" defaultRowHeight="18" x14ac:dyDescent="0.3"/>
  <cols>
    <col min="1" max="1" width="10" style="9" customWidth="1"/>
    <col min="2" max="2" width="38.44140625" style="1" customWidth="1"/>
    <col min="3" max="3" width="49.5546875" style="1" customWidth="1"/>
    <col min="4" max="4" width="23.6640625" style="1" customWidth="1"/>
    <col min="5" max="6" width="20.109375" style="1" customWidth="1"/>
    <col min="7" max="7" width="58.6640625" style="1" customWidth="1"/>
    <col min="8" max="8" width="62.5546875" style="1" customWidth="1"/>
    <col min="9" max="9" width="31.109375" style="1" customWidth="1"/>
    <col min="10" max="10" width="35" style="1" customWidth="1"/>
    <col min="11" max="11" width="23.33203125" style="1" customWidth="1"/>
    <col min="12" max="12" width="27.21875" style="1" customWidth="1"/>
    <col min="13" max="13" width="47.21875" style="1" customWidth="1"/>
    <col min="14" max="14" width="51.109375" style="1" customWidth="1"/>
    <col min="15" max="15" width="61.6640625" style="1" customWidth="1"/>
    <col min="16" max="16" width="65.5546875" style="1" customWidth="1"/>
    <col min="17" max="17" width="36.44140625" style="1" customWidth="1"/>
    <col min="18" max="18" width="40.33203125" style="1" customWidth="1"/>
    <col min="19" max="19" width="14.44140625" style="1" customWidth="1"/>
    <col min="20" max="20" width="142.77734375" style="1" customWidth="1"/>
    <col min="21" max="21" width="54.77734375" style="1" customWidth="1"/>
    <col min="22" max="22" width="58.6640625" style="1" customWidth="1"/>
    <col min="23" max="23" width="133.88671875" style="1" customWidth="1"/>
    <col min="24" max="24" width="137.77734375" style="1" customWidth="1"/>
    <col min="25" max="25" width="28.109375" style="1" customWidth="1"/>
    <col min="26" max="26" width="32" style="1" customWidth="1"/>
    <col min="27" max="27" width="54.77734375" style="1" customWidth="1"/>
    <col min="28" max="28" width="58.6640625" style="1" customWidth="1"/>
    <col min="29" max="29" width="56.44140625" style="1" customWidth="1"/>
    <col min="30" max="30" width="60.33203125" style="1" customWidth="1"/>
    <col min="31" max="31" width="43.109375" style="1" customWidth="1"/>
    <col min="32" max="32" width="47" style="1" customWidth="1"/>
    <col min="33" max="33" width="39.88671875" style="1" customWidth="1"/>
    <col min="34" max="34" width="44" style="1" customWidth="1"/>
    <col min="35" max="35" width="85.33203125" style="1" customWidth="1"/>
    <col min="36" max="36" width="89.21875" style="1" customWidth="1"/>
    <col min="37" max="37" width="23.109375" style="1" customWidth="1"/>
    <col min="38" max="38" width="27" style="1" customWidth="1"/>
    <col min="39" max="39" width="70.88671875" style="1" customWidth="1"/>
    <col min="40" max="40" width="74.77734375" style="1" customWidth="1"/>
    <col min="41" max="41" width="69.44140625" style="1" customWidth="1"/>
    <col min="42" max="42" width="73.33203125" style="1" customWidth="1"/>
    <col min="43" max="43" width="95.88671875" style="1" customWidth="1"/>
    <col min="44" max="44" width="99.77734375" style="1" customWidth="1"/>
    <col min="45" max="45" width="36.6640625" style="1" customWidth="1"/>
    <col min="46" max="46" width="40.5546875" style="1" customWidth="1"/>
    <col min="47" max="47" width="44.77734375" style="1" customWidth="1"/>
    <col min="48" max="48" width="48.6640625" style="1" customWidth="1"/>
    <col min="49" max="49" width="11.21875" style="1" bestFit="1" customWidth="1"/>
    <col min="50" max="16384" width="9.109375" style="1"/>
  </cols>
  <sheetData>
    <row r="1" spans="1:49" ht="295.8" x14ac:dyDescent="0.3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589</v>
      </c>
      <c r="F1" s="166" t="s">
        <v>594</v>
      </c>
      <c r="G1" s="167" t="s">
        <v>548</v>
      </c>
      <c r="H1" s="167" t="s">
        <v>549</v>
      </c>
      <c r="I1" s="167" t="s">
        <v>550</v>
      </c>
      <c r="J1" s="167" t="s">
        <v>551</v>
      </c>
      <c r="K1" s="167" t="s">
        <v>552</v>
      </c>
      <c r="L1" s="167" t="s">
        <v>553</v>
      </c>
      <c r="M1" s="167" t="s">
        <v>554</v>
      </c>
      <c r="N1" s="167" t="s">
        <v>555</v>
      </c>
      <c r="O1" s="167" t="s">
        <v>556</v>
      </c>
      <c r="P1" s="167" t="s">
        <v>557</v>
      </c>
      <c r="Q1" s="167" t="s">
        <v>558</v>
      </c>
      <c r="R1" s="167" t="s">
        <v>559</v>
      </c>
      <c r="S1" s="167" t="s">
        <v>595</v>
      </c>
      <c r="T1" s="167" t="s">
        <v>560</v>
      </c>
      <c r="U1" s="167" t="s">
        <v>561</v>
      </c>
      <c r="V1" s="167" t="s">
        <v>562</v>
      </c>
      <c r="W1" s="167" t="s">
        <v>563</v>
      </c>
      <c r="X1" s="167" t="s">
        <v>564</v>
      </c>
      <c r="Y1" s="167" t="s">
        <v>565</v>
      </c>
      <c r="Z1" s="167" t="s">
        <v>566</v>
      </c>
      <c r="AA1" s="167" t="s">
        <v>567</v>
      </c>
      <c r="AB1" s="167" t="s">
        <v>568</v>
      </c>
      <c r="AC1" s="167" t="s">
        <v>569</v>
      </c>
      <c r="AD1" s="167" t="s">
        <v>570</v>
      </c>
      <c r="AE1" s="167" t="s">
        <v>571</v>
      </c>
      <c r="AF1" s="167" t="s">
        <v>572</v>
      </c>
      <c r="AG1" s="167" t="s">
        <v>573</v>
      </c>
      <c r="AH1" s="167" t="s">
        <v>574</v>
      </c>
      <c r="AI1" s="167" t="s">
        <v>575</v>
      </c>
      <c r="AJ1" s="167" t="s">
        <v>576</v>
      </c>
      <c r="AK1" s="167" t="s">
        <v>577</v>
      </c>
      <c r="AL1" s="167" t="s">
        <v>578</v>
      </c>
      <c r="AM1" s="167" t="s">
        <v>579</v>
      </c>
      <c r="AN1" s="167" t="s">
        <v>580</v>
      </c>
      <c r="AO1" s="167" t="s">
        <v>581</v>
      </c>
      <c r="AP1" s="167" t="s">
        <v>582</v>
      </c>
      <c r="AQ1" s="167" t="s">
        <v>583</v>
      </c>
      <c r="AR1" s="167" t="s">
        <v>584</v>
      </c>
      <c r="AS1" s="167" t="s">
        <v>585</v>
      </c>
      <c r="AT1" s="167" t="s">
        <v>586</v>
      </c>
      <c r="AU1" s="167" t="s">
        <v>587</v>
      </c>
      <c r="AV1" s="167" t="s">
        <v>588</v>
      </c>
      <c r="AW1" s="180" t="s">
        <v>606</v>
      </c>
    </row>
    <row r="2" spans="1:49" ht="36" hidden="1" x14ac:dyDescent="0.3">
      <c r="A2" s="163">
        <v>1</v>
      </c>
      <c r="B2" s="158" t="s">
        <v>4</v>
      </c>
      <c r="C2" s="158" t="s">
        <v>5</v>
      </c>
      <c r="D2" s="158">
        <v>896.1</v>
      </c>
      <c r="E2" s="159">
        <v>2020</v>
      </c>
      <c r="F2" s="159" t="s">
        <v>590</v>
      </c>
      <c r="G2" s="158">
        <v>0</v>
      </c>
      <c r="H2" s="158">
        <v>535097.6291738305</v>
      </c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79">
        <f>SUM(Таблица2[[#This Row],[Охрана и ТО, пожарная сигнализация - бюджет]:[Огнезащитная обработка - внебюджет]])</f>
        <v>535097.6291738305</v>
      </c>
    </row>
    <row r="3" spans="1:49" ht="36" hidden="1" x14ac:dyDescent="0.3">
      <c r="A3" s="164">
        <v>2</v>
      </c>
      <c r="B3" s="160" t="s">
        <v>6</v>
      </c>
      <c r="C3" s="160" t="s">
        <v>5</v>
      </c>
      <c r="D3" s="160">
        <v>189</v>
      </c>
      <c r="E3" s="161">
        <v>2020</v>
      </c>
      <c r="F3" s="161" t="s">
        <v>590</v>
      </c>
      <c r="G3" s="160">
        <v>0</v>
      </c>
      <c r="H3" s="160">
        <v>112859.5602207945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79">
        <f>SUM(Таблица2[[#This Row],[Охрана и ТО, пожарная сигнализация - бюджет]:[Огнезащитная обработка - внебюджет]])</f>
        <v>112859.5602207945</v>
      </c>
    </row>
    <row r="4" spans="1:49" ht="36" hidden="1" x14ac:dyDescent="0.3">
      <c r="A4" s="163">
        <v>3</v>
      </c>
      <c r="B4" s="158" t="s">
        <v>7</v>
      </c>
      <c r="C4" s="158" t="s">
        <v>5</v>
      </c>
      <c r="D4" s="158">
        <v>20</v>
      </c>
      <c r="E4" s="159">
        <v>2020</v>
      </c>
      <c r="F4" s="159" t="s">
        <v>590</v>
      </c>
      <c r="G4" s="158">
        <v>0</v>
      </c>
      <c r="H4" s="158">
        <v>11942.81060537508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79">
        <f>SUM(Таблица2[[#This Row],[Охрана и ТО, пожарная сигнализация - бюджет]:[Огнезащитная обработка - внебюджет]])</f>
        <v>11942.81060537508</v>
      </c>
    </row>
    <row r="5" spans="1:49" ht="36" hidden="1" x14ac:dyDescent="0.3">
      <c r="A5" s="164">
        <v>4</v>
      </c>
      <c r="B5" s="160" t="s">
        <v>8</v>
      </c>
      <c r="C5" s="160" t="s">
        <v>5</v>
      </c>
      <c r="D5" s="160">
        <v>243</v>
      </c>
      <c r="E5" s="161">
        <v>2020</v>
      </c>
      <c r="F5" s="161" t="s">
        <v>590</v>
      </c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>
        <v>0</v>
      </c>
      <c r="T5" s="160">
        <v>6545.454545454545</v>
      </c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>
        <v>0</v>
      </c>
      <c r="AJ5" s="160">
        <v>1015.6383004596636</v>
      </c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79">
        <f>SUM(Таблица2[[#This Row],[Охрана и ТО, пожарная сигнализация - бюджет]:[Огнезащитная обработка - внебюджет]])</f>
        <v>7561.0928459142087</v>
      </c>
    </row>
    <row r="6" spans="1:49" ht="54" hidden="1" x14ac:dyDescent="0.3">
      <c r="A6" s="163">
        <v>5</v>
      </c>
      <c r="B6" s="158" t="s">
        <v>9</v>
      </c>
      <c r="C6" s="158" t="s">
        <v>10</v>
      </c>
      <c r="D6" s="158">
        <v>7098.7</v>
      </c>
      <c r="E6" s="159">
        <v>2020</v>
      </c>
      <c r="F6" s="159" t="s">
        <v>590</v>
      </c>
      <c r="G6" s="158"/>
      <c r="H6" s="158"/>
      <c r="I6" s="158">
        <v>0</v>
      </c>
      <c r="J6" s="158">
        <v>13594.866730341048</v>
      </c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>
        <v>0</v>
      </c>
      <c r="AJ6" s="158">
        <v>2969.0865668145902</v>
      </c>
      <c r="AK6" s="158"/>
      <c r="AL6" s="158"/>
      <c r="AM6" s="158"/>
      <c r="AN6" s="158"/>
      <c r="AO6" s="158"/>
      <c r="AP6" s="158"/>
      <c r="AQ6" s="158"/>
      <c r="AR6" s="158"/>
      <c r="AS6" s="158">
        <v>235082.01970278387</v>
      </c>
      <c r="AT6" s="158">
        <v>150726.75510166027</v>
      </c>
      <c r="AU6" s="158"/>
      <c r="AV6" s="158"/>
      <c r="AW6" s="179">
        <f>SUM(Таблица2[[#This Row],[Охрана и ТО, пожарная сигнализация - бюджет]:[Огнезащитная обработка - внебюджет]])</f>
        <v>402372.72810159979</v>
      </c>
    </row>
    <row r="7" spans="1:49" ht="36" hidden="1" x14ac:dyDescent="0.3">
      <c r="A7" s="164">
        <v>6</v>
      </c>
      <c r="B7" s="160" t="s">
        <v>11</v>
      </c>
      <c r="C7" s="160" t="s">
        <v>12</v>
      </c>
      <c r="D7" s="160">
        <v>1070.3</v>
      </c>
      <c r="E7" s="161">
        <v>2020</v>
      </c>
      <c r="F7" s="161" t="s">
        <v>590</v>
      </c>
      <c r="G7" s="160"/>
      <c r="H7" s="160"/>
      <c r="I7" s="160">
        <v>0</v>
      </c>
      <c r="J7" s="160">
        <v>2049.7535973465597</v>
      </c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>
        <v>0</v>
      </c>
      <c r="AJ7" s="160">
        <v>447.66131157277471</v>
      </c>
      <c r="AK7" s="160"/>
      <c r="AL7" s="160"/>
      <c r="AM7" s="160"/>
      <c r="AN7" s="160"/>
      <c r="AO7" s="160"/>
      <c r="AP7" s="160"/>
      <c r="AQ7" s="160"/>
      <c r="AR7" s="160"/>
      <c r="AS7" s="160">
        <v>35444.276513712313</v>
      </c>
      <c r="AT7" s="160">
        <v>22725.688645147278</v>
      </c>
      <c r="AU7" s="160"/>
      <c r="AV7" s="160"/>
      <c r="AW7" s="179">
        <f>SUM(Таблица2[[#This Row],[Охрана и ТО, пожарная сигнализация - бюджет]:[Огнезащитная обработка - внебюджет]])</f>
        <v>60667.380067778926</v>
      </c>
    </row>
    <row r="8" spans="1:49" ht="36" hidden="1" x14ac:dyDescent="0.3">
      <c r="A8" s="163">
        <v>7</v>
      </c>
      <c r="B8" s="158" t="s">
        <v>13</v>
      </c>
      <c r="C8" s="158" t="s">
        <v>12</v>
      </c>
      <c r="D8" s="158">
        <v>1076.9000000000001</v>
      </c>
      <c r="E8" s="159">
        <v>2020</v>
      </c>
      <c r="F8" s="159" t="s">
        <v>590</v>
      </c>
      <c r="G8" s="158"/>
      <c r="H8" s="158"/>
      <c r="I8" s="158">
        <v>0</v>
      </c>
      <c r="J8" s="158">
        <v>2062.3933934247507</v>
      </c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>
        <v>0</v>
      </c>
      <c r="AJ8" s="158">
        <v>450.42181298021222</v>
      </c>
      <c r="AK8" s="158"/>
      <c r="AL8" s="158"/>
      <c r="AM8" s="158"/>
      <c r="AN8" s="158"/>
      <c r="AO8" s="158"/>
      <c r="AP8" s="158"/>
      <c r="AQ8" s="158"/>
      <c r="AR8" s="158"/>
      <c r="AS8" s="158">
        <v>35662.843480908901</v>
      </c>
      <c r="AT8" s="158">
        <v>22865.826499074192</v>
      </c>
      <c r="AU8" s="158"/>
      <c r="AV8" s="158"/>
      <c r="AW8" s="179">
        <f>SUM(Таблица2[[#This Row],[Охрана и ТО, пожарная сигнализация - бюджет]:[Огнезащитная обработка - внебюджет]])</f>
        <v>61041.485186388061</v>
      </c>
    </row>
    <row r="9" spans="1:49" ht="36" hidden="1" x14ac:dyDescent="0.3">
      <c r="A9" s="164">
        <v>8</v>
      </c>
      <c r="B9" s="160" t="s">
        <v>14</v>
      </c>
      <c r="C9" s="160" t="s">
        <v>12</v>
      </c>
      <c r="D9" s="160">
        <v>1909.4</v>
      </c>
      <c r="E9" s="161">
        <v>2020</v>
      </c>
      <c r="F9" s="161" t="s">
        <v>590</v>
      </c>
      <c r="G9" s="160"/>
      <c r="H9" s="160"/>
      <c r="I9" s="160">
        <v>0</v>
      </c>
      <c r="J9" s="160">
        <v>3656.7313078328712</v>
      </c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>
        <v>0</v>
      </c>
      <c r="AJ9" s="160">
        <v>798.62142232743736</v>
      </c>
      <c r="AK9" s="160"/>
      <c r="AL9" s="160"/>
      <c r="AM9" s="160"/>
      <c r="AN9" s="160"/>
      <c r="AO9" s="160"/>
      <c r="AP9" s="160"/>
      <c r="AQ9" s="160"/>
      <c r="AR9" s="160"/>
      <c r="AS9" s="160">
        <v>63232.085934114075</v>
      </c>
      <c r="AT9" s="160">
        <v>40542.30580121855</v>
      </c>
      <c r="AU9" s="160"/>
      <c r="AV9" s="160"/>
      <c r="AW9" s="179">
        <f>SUM(Таблица2[[#This Row],[Охрана и ТО, пожарная сигнализация - бюджет]:[Огнезащитная обработка - внебюджет]])</f>
        <v>108229.74446549293</v>
      </c>
    </row>
    <row r="10" spans="1:49" ht="54" hidden="1" x14ac:dyDescent="0.3">
      <c r="A10" s="163">
        <v>9</v>
      </c>
      <c r="B10" s="158" t="s">
        <v>15</v>
      </c>
      <c r="C10" s="158" t="s">
        <v>10</v>
      </c>
      <c r="D10" s="158">
        <v>161.19999999999999</v>
      </c>
      <c r="E10" s="159">
        <v>2020</v>
      </c>
      <c r="F10" s="159" t="s">
        <v>590</v>
      </c>
      <c r="G10" s="158"/>
      <c r="H10" s="158"/>
      <c r="I10" s="158">
        <v>0</v>
      </c>
      <c r="J10" s="158">
        <v>308.71744360671346</v>
      </c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>
        <v>0</v>
      </c>
      <c r="AJ10" s="158">
        <v>67.423155587714916</v>
      </c>
      <c r="AK10" s="158"/>
      <c r="AL10" s="158"/>
      <c r="AM10" s="158"/>
      <c r="AN10" s="158"/>
      <c r="AO10" s="158"/>
      <c r="AP10" s="158"/>
      <c r="AQ10" s="158"/>
      <c r="AR10" s="158"/>
      <c r="AS10" s="158">
        <v>5338.3325927407495</v>
      </c>
      <c r="AT10" s="158">
        <v>3422.7609171239287</v>
      </c>
      <c r="AU10" s="158"/>
      <c r="AV10" s="158"/>
      <c r="AW10" s="179">
        <f>SUM(Таблица2[[#This Row],[Охрана и ТО, пожарная сигнализация - бюджет]:[Огнезащитная обработка - внебюджет]])</f>
        <v>9137.2341090591071</v>
      </c>
    </row>
    <row r="11" spans="1:49" ht="54" hidden="1" x14ac:dyDescent="0.3">
      <c r="A11" s="164">
        <v>10</v>
      </c>
      <c r="B11" s="160" t="s">
        <v>16</v>
      </c>
      <c r="C11" s="160" t="s">
        <v>10</v>
      </c>
      <c r="D11" s="160">
        <v>32.200000000000003</v>
      </c>
      <c r="E11" s="161">
        <v>2020</v>
      </c>
      <c r="F11" s="161" t="s">
        <v>590</v>
      </c>
      <c r="G11" s="160"/>
      <c r="H11" s="160"/>
      <c r="I11" s="160">
        <v>0</v>
      </c>
      <c r="J11" s="160">
        <v>61.666883896626395</v>
      </c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>
        <v>0</v>
      </c>
      <c r="AJ11" s="160">
        <v>13.46790080598276</v>
      </c>
      <c r="AK11" s="160"/>
      <c r="AL11" s="160"/>
      <c r="AM11" s="160"/>
      <c r="AN11" s="160"/>
      <c r="AO11" s="160"/>
      <c r="AP11" s="160"/>
      <c r="AQ11" s="160"/>
      <c r="AR11" s="160"/>
      <c r="AS11" s="160">
        <v>1066.3418702621102</v>
      </c>
      <c r="AT11" s="160">
        <v>683.70286309795608</v>
      </c>
      <c r="AU11" s="160"/>
      <c r="AV11" s="160"/>
      <c r="AW11" s="179">
        <f>SUM(Таблица2[[#This Row],[Охрана и ТО, пожарная сигнализация - бюджет]:[Огнезащитная обработка - внебюджет]])</f>
        <v>1825.1795180626755</v>
      </c>
    </row>
    <row r="12" spans="1:49" ht="36" hidden="1" x14ac:dyDescent="0.3">
      <c r="A12" s="163">
        <v>11</v>
      </c>
      <c r="B12" s="158" t="s">
        <v>17</v>
      </c>
      <c r="C12" s="158" t="s">
        <v>12</v>
      </c>
      <c r="D12" s="158">
        <v>67.099999999999994</v>
      </c>
      <c r="E12" s="159">
        <v>2020</v>
      </c>
      <c r="F12" s="159" t="s">
        <v>590</v>
      </c>
      <c r="G12" s="158"/>
      <c r="H12" s="158"/>
      <c r="I12" s="158">
        <v>0</v>
      </c>
      <c r="J12" s="158">
        <v>128.50459346160343</v>
      </c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>
        <v>0</v>
      </c>
      <c r="AJ12" s="158">
        <v>28.06509764228084</v>
      </c>
      <c r="AK12" s="158"/>
      <c r="AL12" s="158"/>
      <c r="AM12" s="158"/>
      <c r="AN12" s="158"/>
      <c r="AO12" s="158"/>
      <c r="AP12" s="158"/>
      <c r="AQ12" s="158"/>
      <c r="AR12" s="158"/>
      <c r="AS12" s="158">
        <v>2222.0974998319125</v>
      </c>
      <c r="AT12" s="158">
        <v>1424.7348482569207</v>
      </c>
      <c r="AU12" s="158"/>
      <c r="AV12" s="158"/>
      <c r="AW12" s="179">
        <f>SUM(Таблица2[[#This Row],[Охрана и ТО, пожарная сигнализация - бюджет]:[Огнезащитная обработка - внебюджет]])</f>
        <v>3803.4020391927179</v>
      </c>
    </row>
    <row r="13" spans="1:49" ht="36" hidden="1" x14ac:dyDescent="0.3">
      <c r="A13" s="164">
        <v>12</v>
      </c>
      <c r="B13" s="160" t="s">
        <v>18</v>
      </c>
      <c r="C13" s="160" t="s">
        <v>12</v>
      </c>
      <c r="D13" s="160">
        <v>43.9</v>
      </c>
      <c r="E13" s="161">
        <v>2020</v>
      </c>
      <c r="F13" s="161" t="s">
        <v>590</v>
      </c>
      <c r="G13" s="160"/>
      <c r="H13" s="160"/>
      <c r="I13" s="160">
        <v>0</v>
      </c>
      <c r="J13" s="160">
        <v>84.07379512614591</v>
      </c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>
        <v>0</v>
      </c>
      <c r="AJ13" s="160">
        <v>18.361516937349165</v>
      </c>
      <c r="AK13" s="160"/>
      <c r="AL13" s="160"/>
      <c r="AM13" s="160"/>
      <c r="AN13" s="160"/>
      <c r="AO13" s="160"/>
      <c r="AP13" s="160"/>
      <c r="AQ13" s="160"/>
      <c r="AR13" s="160"/>
      <c r="AS13" s="160">
        <v>1453.8014939287775</v>
      </c>
      <c r="AT13" s="160">
        <v>932.12905869566066</v>
      </c>
      <c r="AU13" s="160"/>
      <c r="AV13" s="160"/>
      <c r="AW13" s="179">
        <f>SUM(Таблица2[[#This Row],[Охрана и ТО, пожарная сигнализация - бюджет]:[Огнезащитная обработка - внебюджет]])</f>
        <v>2488.365864687933</v>
      </c>
    </row>
    <row r="14" spans="1:49" ht="54" hidden="1" x14ac:dyDescent="0.3">
      <c r="A14" s="163">
        <v>13</v>
      </c>
      <c r="B14" s="158" t="s">
        <v>19</v>
      </c>
      <c r="C14" s="158" t="s">
        <v>10</v>
      </c>
      <c r="D14" s="158">
        <v>93.8</v>
      </c>
      <c r="E14" s="159">
        <v>2020</v>
      </c>
      <c r="F14" s="159" t="s">
        <v>590</v>
      </c>
      <c r="G14" s="158"/>
      <c r="H14" s="158"/>
      <c r="I14" s="158">
        <v>0</v>
      </c>
      <c r="J14" s="158">
        <v>179.63831395973773</v>
      </c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>
        <v>0</v>
      </c>
      <c r="AD14" s="158">
        <f>187200+90000</f>
        <v>277200</v>
      </c>
      <c r="AE14" s="158"/>
      <c r="AF14" s="158"/>
      <c r="AG14" s="158"/>
      <c r="AH14" s="158"/>
      <c r="AI14" s="158">
        <v>0</v>
      </c>
      <c r="AJ14" s="158">
        <v>39.232580608732384</v>
      </c>
      <c r="AK14" s="158"/>
      <c r="AL14" s="158"/>
      <c r="AM14" s="158"/>
      <c r="AN14" s="158"/>
      <c r="AO14" s="158"/>
      <c r="AP14" s="158"/>
      <c r="AQ14" s="158"/>
      <c r="AR14" s="158"/>
      <c r="AS14" s="158">
        <v>3106.3002307635384</v>
      </c>
      <c r="AT14" s="158">
        <v>1991.656166415785</v>
      </c>
      <c r="AU14" s="158"/>
      <c r="AV14" s="158"/>
      <c r="AW14" s="179">
        <f>SUM(Таблица2[[#This Row],[Охрана и ТО, пожарная сигнализация - бюджет]:[Огнезащитная обработка - внебюджет]])</f>
        <v>282516.82729174785</v>
      </c>
    </row>
    <row r="15" spans="1:49" ht="54" hidden="1" x14ac:dyDescent="0.3">
      <c r="A15" s="164">
        <v>14</v>
      </c>
      <c r="B15" s="160" t="s">
        <v>20</v>
      </c>
      <c r="C15" s="160" t="s">
        <v>10</v>
      </c>
      <c r="D15" s="160">
        <v>53.7</v>
      </c>
      <c r="E15" s="161">
        <v>2020</v>
      </c>
      <c r="F15" s="161" t="s">
        <v>590</v>
      </c>
      <c r="G15" s="160"/>
      <c r="H15" s="160"/>
      <c r="I15" s="160">
        <v>0</v>
      </c>
      <c r="J15" s="160">
        <v>102.84197718164091</v>
      </c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>
        <v>0</v>
      </c>
      <c r="AJ15" s="160">
        <v>22.460443269604788</v>
      </c>
      <c r="AK15" s="160"/>
      <c r="AL15" s="160"/>
      <c r="AM15" s="160"/>
      <c r="AN15" s="160"/>
      <c r="AO15" s="160"/>
      <c r="AP15" s="160"/>
      <c r="AQ15" s="160"/>
      <c r="AR15" s="160"/>
      <c r="AS15" s="160">
        <v>1778.3403240085502</v>
      </c>
      <c r="AT15" s="160">
        <v>1140.2125387689516</v>
      </c>
      <c r="AU15" s="160"/>
      <c r="AV15" s="160"/>
      <c r="AW15" s="179">
        <f>SUM(Таблица2[[#This Row],[Охрана и ТО, пожарная сигнализация - бюджет]:[Огнезащитная обработка - внебюджет]])</f>
        <v>3043.8552832287478</v>
      </c>
    </row>
    <row r="16" spans="1:49" ht="36" hidden="1" x14ac:dyDescent="0.3">
      <c r="A16" s="163">
        <v>15</v>
      </c>
      <c r="B16" s="158" t="s">
        <v>21</v>
      </c>
      <c r="C16" s="158" t="s">
        <v>12</v>
      </c>
      <c r="D16" s="158">
        <v>454.3</v>
      </c>
      <c r="E16" s="159">
        <v>2020</v>
      </c>
      <c r="F16" s="159" t="s">
        <v>590</v>
      </c>
      <c r="G16" s="158"/>
      <c r="H16" s="158"/>
      <c r="I16" s="158">
        <v>0</v>
      </c>
      <c r="J16" s="158">
        <v>870.03929671544631</v>
      </c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>
        <v>0</v>
      </c>
      <c r="AJ16" s="158">
        <v>190.01451354527848</v>
      </c>
      <c r="AK16" s="158"/>
      <c r="AL16" s="158"/>
      <c r="AM16" s="158"/>
      <c r="AN16" s="158"/>
      <c r="AO16" s="158"/>
      <c r="AP16" s="158"/>
      <c r="AQ16" s="158"/>
      <c r="AR16" s="158"/>
      <c r="AS16" s="158">
        <v>15044.692908698033</v>
      </c>
      <c r="AT16" s="158">
        <v>9646.1556119689885</v>
      </c>
      <c r="AU16" s="158"/>
      <c r="AV16" s="158"/>
      <c r="AW16" s="179">
        <f>SUM(Таблица2[[#This Row],[Охрана и ТО, пожарная сигнализация - бюджет]:[Огнезащитная обработка - внебюджет]])</f>
        <v>25750.902330927747</v>
      </c>
    </row>
    <row r="17" spans="1:49" ht="54" hidden="1" x14ac:dyDescent="0.3">
      <c r="A17" s="164">
        <v>16</v>
      </c>
      <c r="B17" s="160" t="s">
        <v>22</v>
      </c>
      <c r="C17" s="160" t="s">
        <v>10</v>
      </c>
      <c r="D17" s="160">
        <v>91</v>
      </c>
      <c r="E17" s="161">
        <v>2020</v>
      </c>
      <c r="F17" s="161" t="s">
        <v>590</v>
      </c>
      <c r="G17" s="160"/>
      <c r="H17" s="160"/>
      <c r="I17" s="160">
        <v>0</v>
      </c>
      <c r="J17" s="160">
        <v>174.27597622959632</v>
      </c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>
        <v>0</v>
      </c>
      <c r="AJ17" s="160">
        <v>38.061458799516487</v>
      </c>
      <c r="AK17" s="160"/>
      <c r="AL17" s="160"/>
      <c r="AM17" s="160"/>
      <c r="AN17" s="160"/>
      <c r="AO17" s="160"/>
      <c r="AP17" s="160"/>
      <c r="AQ17" s="160"/>
      <c r="AR17" s="160"/>
      <c r="AS17" s="160">
        <v>3013.5748507407461</v>
      </c>
      <c r="AT17" s="160">
        <v>1932.2037435377019</v>
      </c>
      <c r="AU17" s="160"/>
      <c r="AV17" s="160"/>
      <c r="AW17" s="179">
        <f>SUM(Таблица2[[#This Row],[Охрана и ТО, пожарная сигнализация - бюджет]:[Огнезащитная обработка - внебюджет]])</f>
        <v>5158.1160293075609</v>
      </c>
    </row>
    <row r="18" spans="1:49" ht="36" hidden="1" x14ac:dyDescent="0.3">
      <c r="A18" s="163">
        <v>17</v>
      </c>
      <c r="B18" s="158" t="s">
        <v>23</v>
      </c>
      <c r="C18" s="158" t="s">
        <v>12</v>
      </c>
      <c r="D18" s="158">
        <v>420.5</v>
      </c>
      <c r="E18" s="159">
        <v>2020</v>
      </c>
      <c r="F18" s="159" t="s">
        <v>590</v>
      </c>
      <c r="G18" s="158"/>
      <c r="H18" s="158"/>
      <c r="I18" s="158">
        <v>0</v>
      </c>
      <c r="J18" s="158">
        <v>805.30821983016756</v>
      </c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>
        <v>0</v>
      </c>
      <c r="AD18" s="158">
        <v>30000</v>
      </c>
      <c r="AE18" s="158"/>
      <c r="AF18" s="158"/>
      <c r="AG18" s="158"/>
      <c r="AH18" s="158"/>
      <c r="AI18" s="158">
        <v>0</v>
      </c>
      <c r="AJ18" s="158">
        <v>175.87740027688665</v>
      </c>
      <c r="AK18" s="158"/>
      <c r="AL18" s="158"/>
      <c r="AM18" s="158"/>
      <c r="AN18" s="158"/>
      <c r="AO18" s="158"/>
      <c r="AP18" s="158"/>
      <c r="AQ18" s="158"/>
      <c r="AR18" s="158"/>
      <c r="AS18" s="158">
        <v>13925.365106994328</v>
      </c>
      <c r="AT18" s="158">
        <v>8928.4799357978427</v>
      </c>
      <c r="AU18" s="158"/>
      <c r="AV18" s="158"/>
      <c r="AW18" s="179">
        <f>SUM(Таблица2[[#This Row],[Охрана и ТО, пожарная сигнализация - бюджет]:[Огнезащитная обработка - внебюджет]])</f>
        <v>53835.030662899226</v>
      </c>
    </row>
    <row r="19" spans="1:49" ht="54" hidden="1" x14ac:dyDescent="0.3">
      <c r="A19" s="164">
        <v>18</v>
      </c>
      <c r="B19" s="160" t="s">
        <v>24</v>
      </c>
      <c r="C19" s="160" t="s">
        <v>10</v>
      </c>
      <c r="D19" s="160">
        <v>9.8000000000000007</v>
      </c>
      <c r="E19" s="161">
        <v>2020</v>
      </c>
      <c r="F19" s="161" t="s">
        <v>590</v>
      </c>
      <c r="G19" s="160"/>
      <c r="H19" s="160"/>
      <c r="I19" s="160">
        <v>0</v>
      </c>
      <c r="J19" s="160">
        <v>18.768182055494989</v>
      </c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>
        <v>0</v>
      </c>
      <c r="AF19" s="160">
        <v>15073.170731707318</v>
      </c>
      <c r="AG19" s="160"/>
      <c r="AH19" s="160"/>
      <c r="AI19" s="160">
        <v>0</v>
      </c>
      <c r="AJ19" s="160">
        <v>4.0989263322556226</v>
      </c>
      <c r="AK19" s="160"/>
      <c r="AL19" s="160"/>
      <c r="AM19" s="160"/>
      <c r="AN19" s="160"/>
      <c r="AO19" s="160"/>
      <c r="AP19" s="160"/>
      <c r="AQ19" s="160"/>
      <c r="AR19" s="160"/>
      <c r="AS19" s="160">
        <v>324.53883007977265</v>
      </c>
      <c r="AT19" s="160">
        <v>208.08348007329099</v>
      </c>
      <c r="AU19" s="160"/>
      <c r="AV19" s="160"/>
      <c r="AW19" s="179">
        <f>SUM(Таблица2[[#This Row],[Охрана и ТО, пожарная сигнализация - бюджет]:[Огнезащитная обработка - внебюджет]])</f>
        <v>15628.660150248134</v>
      </c>
    </row>
    <row r="20" spans="1:49" ht="36" hidden="1" x14ac:dyDescent="0.3">
      <c r="A20" s="163">
        <v>19</v>
      </c>
      <c r="B20" s="158" t="s">
        <v>25</v>
      </c>
      <c r="C20" s="158" t="s">
        <v>26</v>
      </c>
      <c r="D20" s="158">
        <v>441.8</v>
      </c>
      <c r="E20" s="159">
        <v>2020</v>
      </c>
      <c r="F20" s="159" t="s">
        <v>590</v>
      </c>
      <c r="G20" s="158"/>
      <c r="H20" s="158"/>
      <c r="I20" s="158">
        <v>0</v>
      </c>
      <c r="J20" s="158">
        <v>846.10028899160056</v>
      </c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>
        <v>0</v>
      </c>
      <c r="AJ20" s="158">
        <v>184.78629118270754</v>
      </c>
      <c r="AK20" s="158"/>
      <c r="AL20" s="158"/>
      <c r="AM20" s="158"/>
      <c r="AN20" s="158"/>
      <c r="AO20" s="158"/>
      <c r="AP20" s="158"/>
      <c r="AQ20" s="158"/>
      <c r="AR20" s="158"/>
      <c r="AS20" s="158">
        <v>14630.740319310567</v>
      </c>
      <c r="AT20" s="158">
        <v>9380.7430098346886</v>
      </c>
      <c r="AU20" s="158"/>
      <c r="AV20" s="158"/>
      <c r="AW20" s="179">
        <f>SUM(Таблица2[[#This Row],[Охрана и ТО, пожарная сигнализация - бюджет]:[Огнезащитная обработка - внебюджет]])</f>
        <v>25042.369909319565</v>
      </c>
    </row>
    <row r="21" spans="1:49" ht="36" hidden="1" x14ac:dyDescent="0.3">
      <c r="A21" s="164">
        <v>20</v>
      </c>
      <c r="B21" s="160" t="s">
        <v>27</v>
      </c>
      <c r="C21" s="160" t="s">
        <v>28</v>
      </c>
      <c r="D21" s="160">
        <v>4528.3999999999996</v>
      </c>
      <c r="E21" s="161">
        <v>2020</v>
      </c>
      <c r="F21" s="161" t="s">
        <v>592</v>
      </c>
      <c r="G21" s="160">
        <v>73451.22121333034</v>
      </c>
      <c r="H21" s="160">
        <f>22533.046706214+207622.118140006+306421.563099132+7147.77283202323</f>
        <v>543724.50077737519</v>
      </c>
      <c r="I21" s="160">
        <v>25207.001450053856</v>
      </c>
      <c r="J21" s="160">
        <v>27072.319557357841</v>
      </c>
      <c r="K21" s="160">
        <v>0</v>
      </c>
      <c r="L21" s="160">
        <v>2980.1011310491226</v>
      </c>
      <c r="M21" s="160">
        <v>0</v>
      </c>
      <c r="N21" s="160">
        <f>6352.16436541357+5073.98</f>
        <v>11426.144365413569</v>
      </c>
      <c r="O21" s="160">
        <v>0</v>
      </c>
      <c r="P21" s="160">
        <v>41000</v>
      </c>
      <c r="Q21" s="160">
        <v>0</v>
      </c>
      <c r="R21" s="160">
        <v>16000</v>
      </c>
      <c r="S21" s="160">
        <v>0</v>
      </c>
      <c r="T21" s="160">
        <v>6545.454545454545</v>
      </c>
      <c r="U21" s="160">
        <v>20379.761552049386</v>
      </c>
      <c r="V21" s="160">
        <v>2207.8075014720166</v>
      </c>
      <c r="W21" s="160">
        <v>24515.383921320943</v>
      </c>
      <c r="X21" s="160">
        <v>11810.956371103519</v>
      </c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>
        <v>0</v>
      </c>
      <c r="AJ21" s="160">
        <f>885+6125</f>
        <v>7010</v>
      </c>
      <c r="AK21" s="160">
        <v>0</v>
      </c>
      <c r="AL21" s="160">
        <v>460983.03281321691</v>
      </c>
      <c r="AM21" s="160"/>
      <c r="AN21" s="160"/>
      <c r="AO21" s="160"/>
      <c r="AP21" s="160"/>
      <c r="AQ21" s="160"/>
      <c r="AR21" s="160"/>
      <c r="AS21" s="160">
        <v>12823.061348737769</v>
      </c>
      <c r="AT21" s="160">
        <v>281466.19660479401</v>
      </c>
      <c r="AU21" s="160">
        <v>50483.343475403446</v>
      </c>
      <c r="AV21" s="160">
        <v>0</v>
      </c>
      <c r="AW21" s="179">
        <f>SUM(Таблица2[[#This Row],[Охрана и ТО, пожарная сигнализация - бюджет]:[Огнезащитная обработка - внебюджет]])</f>
        <v>1619086.2866281325</v>
      </c>
    </row>
    <row r="22" spans="1:49" ht="36" hidden="1" x14ac:dyDescent="0.3">
      <c r="A22" s="163">
        <v>21</v>
      </c>
      <c r="B22" s="158" t="s">
        <v>27</v>
      </c>
      <c r="C22" s="158" t="s">
        <v>29</v>
      </c>
      <c r="D22" s="158">
        <v>4779.7</v>
      </c>
      <c r="E22" s="159">
        <v>2020</v>
      </c>
      <c r="F22" s="159" t="s">
        <v>592</v>
      </c>
      <c r="G22" s="158">
        <v>77527.339023353736</v>
      </c>
      <c r="H22" s="158">
        <f>23783.5004287809+219143.944455831+323426.186985452+7544.43286927424</f>
        <v>573898.06473933824</v>
      </c>
      <c r="I22" s="158">
        <v>26605.844190182495</v>
      </c>
      <c r="J22" s="158">
        <v>28574.676660256002</v>
      </c>
      <c r="K22" s="158"/>
      <c r="L22" s="158"/>
      <c r="M22" s="158">
        <v>0</v>
      </c>
      <c r="N22" s="158">
        <v>6704.6727359259885</v>
      </c>
      <c r="O22" s="158"/>
      <c r="P22" s="158"/>
      <c r="Q22" s="158"/>
      <c r="R22" s="158"/>
      <c r="S22" s="158">
        <v>0</v>
      </c>
      <c r="T22" s="158">
        <v>3272.7272727272725</v>
      </c>
      <c r="U22" s="158">
        <v>21510.720406839158</v>
      </c>
      <c r="V22" s="158">
        <v>2330.3280440742424</v>
      </c>
      <c r="W22" s="158">
        <v>0</v>
      </c>
      <c r="X22" s="158">
        <v>12466.396114955282</v>
      </c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>
        <v>0</v>
      </c>
      <c r="AJ22" s="158">
        <f>885+6125</f>
        <v>7010</v>
      </c>
      <c r="AK22" s="158"/>
      <c r="AL22" s="158"/>
      <c r="AM22" s="158"/>
      <c r="AN22" s="158"/>
      <c r="AO22" s="158"/>
      <c r="AP22" s="158"/>
      <c r="AQ22" s="158"/>
      <c r="AR22" s="158"/>
      <c r="AS22" s="158">
        <v>13534.667063104391</v>
      </c>
      <c r="AT22" s="158">
        <v>297085.9420351414</v>
      </c>
      <c r="AU22" s="158">
        <v>53284.876956405322</v>
      </c>
      <c r="AV22" s="158">
        <v>0</v>
      </c>
      <c r="AW22" s="179">
        <f>SUM(Таблица2[[#This Row],[Охрана и ТО, пожарная сигнализация - бюджет]:[Огнезащитная обработка - внебюджет]])</f>
        <v>1123806.2552423037</v>
      </c>
    </row>
    <row r="23" spans="1:49" ht="36" hidden="1" x14ac:dyDescent="0.3">
      <c r="A23" s="164">
        <v>22</v>
      </c>
      <c r="B23" s="160" t="s">
        <v>30</v>
      </c>
      <c r="C23" s="160" t="s">
        <v>31</v>
      </c>
      <c r="D23" s="160">
        <v>3918.8</v>
      </c>
      <c r="E23" s="161">
        <v>2020</v>
      </c>
      <c r="F23" s="161" t="s">
        <v>591</v>
      </c>
      <c r="G23" s="160">
        <v>63563.432049023708</v>
      </c>
      <c r="H23" s="160">
        <f>19499.7136808391+179672.634168151+265171.986015563+6185.5605013101</f>
        <v>470529.89436586323</v>
      </c>
      <c r="I23" s="160">
        <v>21813.708436196241</v>
      </c>
      <c r="J23" s="160">
        <v>23427.922860474762</v>
      </c>
      <c r="K23" s="160">
        <v>0</v>
      </c>
      <c r="L23" s="160">
        <v>29031.243490663041</v>
      </c>
      <c r="M23" s="160">
        <v>0</v>
      </c>
      <c r="N23" s="160">
        <v>5497.0545259214532</v>
      </c>
      <c r="O23" s="160"/>
      <c r="P23" s="160"/>
      <c r="Q23" s="160"/>
      <c r="R23" s="160"/>
      <c r="S23" s="160">
        <v>0</v>
      </c>
      <c r="T23" s="160">
        <v>6545.454545454545</v>
      </c>
      <c r="U23" s="160"/>
      <c r="V23" s="160"/>
      <c r="W23" s="160">
        <v>0</v>
      </c>
      <c r="X23" s="160">
        <v>10220.999873483011</v>
      </c>
      <c r="Y23" s="160">
        <v>81466.7</v>
      </c>
      <c r="Z23" s="160">
        <v>16293.34</v>
      </c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>
        <v>11096.858231038243</v>
      </c>
      <c r="AT23" s="160">
        <v>243576.03817128943</v>
      </c>
      <c r="AU23" s="160"/>
      <c r="AV23" s="160"/>
      <c r="AW23" s="179">
        <f>SUM(Таблица2[[#This Row],[Охрана и ТО, пожарная сигнализация - бюджет]:[Огнезащитная обработка - внебюджет]])</f>
        <v>983062.64654940763</v>
      </c>
    </row>
    <row r="24" spans="1:49" ht="36" hidden="1" x14ac:dyDescent="0.3">
      <c r="A24" s="163">
        <v>23</v>
      </c>
      <c r="B24" s="158" t="s">
        <v>32</v>
      </c>
      <c r="C24" s="158" t="s">
        <v>33</v>
      </c>
      <c r="D24" s="158">
        <v>4394.6000000000004</v>
      </c>
      <c r="E24" s="159">
        <v>2020</v>
      </c>
      <c r="F24" s="159" t="s">
        <v>592</v>
      </c>
      <c r="G24" s="158">
        <v>71280.968276676431</v>
      </c>
      <c r="H24" s="158">
        <f>21867.2659339123+201487.536520199+297367.768129018+6936.57859014427</f>
        <v>527659.14917327359</v>
      </c>
      <c r="I24" s="158">
        <v>24462.213711776054</v>
      </c>
      <c r="J24" s="158">
        <v>26272.417526447483</v>
      </c>
      <c r="K24" s="158">
        <v>0</v>
      </c>
      <c r="L24" s="158">
        <v>29471.110816279146</v>
      </c>
      <c r="M24" s="158">
        <v>0</v>
      </c>
      <c r="N24" s="158">
        <f>6164.47785536757+3911.47</f>
        <v>10075.947855367569</v>
      </c>
      <c r="O24" s="158"/>
      <c r="P24" s="158"/>
      <c r="Q24" s="158"/>
      <c r="R24" s="158"/>
      <c r="S24" s="158">
        <v>0</v>
      </c>
      <c r="T24" s="158">
        <v>3272.7272727272725</v>
      </c>
      <c r="U24" s="158"/>
      <c r="V24" s="158"/>
      <c r="W24" s="158">
        <v>0</v>
      </c>
      <c r="X24" s="158">
        <v>11461.97969888957</v>
      </c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>
        <v>12444.180152628524</v>
      </c>
      <c r="AT24" s="158">
        <v>273149.7543501961</v>
      </c>
      <c r="AU24" s="158"/>
      <c r="AV24" s="158"/>
      <c r="AW24" s="179">
        <f>SUM(Таблица2[[#This Row],[Охрана и ТО, пожарная сигнализация - бюджет]:[Огнезащитная обработка - внебюджет]])</f>
        <v>989550.44883426174</v>
      </c>
    </row>
    <row r="25" spans="1:49" ht="36" hidden="1" x14ac:dyDescent="0.3">
      <c r="A25" s="164">
        <v>24</v>
      </c>
      <c r="B25" s="160" t="s">
        <v>34</v>
      </c>
      <c r="C25" s="160" t="s">
        <v>35</v>
      </c>
      <c r="D25" s="160">
        <v>17.5</v>
      </c>
      <c r="E25" s="161">
        <v>2020</v>
      </c>
      <c r="F25" s="161" t="s">
        <v>593</v>
      </c>
      <c r="G25" s="160">
        <v>0</v>
      </c>
      <c r="H25" s="160">
        <f>87.0789500394722+1184.16600879666+27.6225652681756</f>
        <v>1298.8675241043077</v>
      </c>
      <c r="I25" s="160">
        <v>97.412447084167141</v>
      </c>
      <c r="J25" s="160">
        <v>104.62096816839551</v>
      </c>
      <c r="K25" s="160"/>
      <c r="L25" s="160"/>
      <c r="M25" s="160">
        <v>0</v>
      </c>
      <c r="N25" s="160">
        <v>24.547936665210123</v>
      </c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79">
        <f>SUM(Таблица2[[#This Row],[Охрана и ТО, пожарная сигнализация - бюджет]:[Огнезащитная обработка - внебюджет]])</f>
        <v>1525.4488760220804</v>
      </c>
    </row>
    <row r="26" spans="1:49" ht="36" hidden="1" x14ac:dyDescent="0.3">
      <c r="A26" s="163">
        <v>25</v>
      </c>
      <c r="B26" s="158" t="s">
        <v>21</v>
      </c>
      <c r="C26" s="158" t="s">
        <v>36</v>
      </c>
      <c r="D26" s="158">
        <v>95</v>
      </c>
      <c r="E26" s="159">
        <v>2020</v>
      </c>
      <c r="F26" s="159" t="s">
        <v>593</v>
      </c>
      <c r="G26" s="158">
        <v>0</v>
      </c>
      <c r="H26" s="158">
        <f>472.714300214278+6428.32976203902+149.951068598668</f>
        <v>7050.9951308519667</v>
      </c>
      <c r="I26" s="158">
        <v>528.81042702833588</v>
      </c>
      <c r="J26" s="158">
        <v>567.94239862843267</v>
      </c>
      <c r="K26" s="158"/>
      <c r="L26" s="158"/>
      <c r="M26" s="158">
        <v>0</v>
      </c>
      <c r="N26" s="158">
        <v>133.26022761114066</v>
      </c>
      <c r="O26" s="158"/>
      <c r="P26" s="158"/>
      <c r="Q26" s="158"/>
      <c r="R26" s="158"/>
      <c r="S26" s="158">
        <v>0</v>
      </c>
      <c r="T26" s="158">
        <v>3272.7272727272725</v>
      </c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79">
        <f>SUM(Таблица2[[#This Row],[Охрана и ТО, пожарная сигнализация - бюджет]:[Огнезащитная обработка - внебюджет]])</f>
        <v>11553.735456847147</v>
      </c>
    </row>
    <row r="27" spans="1:49" ht="36" hidden="1" x14ac:dyDescent="0.3">
      <c r="A27" s="164">
        <v>26</v>
      </c>
      <c r="B27" s="160" t="s">
        <v>37</v>
      </c>
      <c r="C27" s="160" t="s">
        <v>38</v>
      </c>
      <c r="D27" s="160">
        <v>4151.6000000000004</v>
      </c>
      <c r="E27" s="161">
        <v>2020</v>
      </c>
      <c r="F27" s="161" t="s">
        <v>592</v>
      </c>
      <c r="G27" s="160"/>
      <c r="H27" s="160"/>
      <c r="I27" s="160">
        <v>23109.572303693047</v>
      </c>
      <c r="J27" s="160">
        <v>24819.680654166332</v>
      </c>
      <c r="K27" s="160">
        <v>0</v>
      </c>
      <c r="L27" s="160">
        <v>249914.07811507981</v>
      </c>
      <c r="M27" s="160">
        <v>0</v>
      </c>
      <c r="N27" s="160">
        <v>5823.6122205306483</v>
      </c>
      <c r="O27" s="160"/>
      <c r="P27" s="160"/>
      <c r="Q27" s="160"/>
      <c r="R27" s="160"/>
      <c r="S27" s="160">
        <v>0</v>
      </c>
      <c r="T27" s="160">
        <v>3272.7272727272725</v>
      </c>
      <c r="U27" s="160">
        <v>18683.998334839733</v>
      </c>
      <c r="V27" s="160">
        <v>2024.0998196076375</v>
      </c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>
        <v>11756.077531891999</v>
      </c>
      <c r="AT27" s="160">
        <v>258045.90182502937</v>
      </c>
      <c r="AU27" s="160"/>
      <c r="AV27" s="160"/>
      <c r="AW27" s="179">
        <f>SUM(Таблица2[[#This Row],[Охрана и ТО, пожарная сигнализация - бюджет]:[Огнезащитная обработка - внебюджет]])</f>
        <v>597449.7480775658</v>
      </c>
    </row>
    <row r="28" spans="1:49" ht="36" hidden="1" x14ac:dyDescent="0.3">
      <c r="A28" s="163">
        <v>27</v>
      </c>
      <c r="B28" s="158" t="s">
        <v>39</v>
      </c>
      <c r="C28" s="158" t="s">
        <v>40</v>
      </c>
      <c r="D28" s="158">
        <v>101.1</v>
      </c>
      <c r="E28" s="159">
        <v>2020</v>
      </c>
      <c r="F28" s="159" t="s">
        <v>593</v>
      </c>
      <c r="G28" s="158"/>
      <c r="H28" s="158"/>
      <c r="I28" s="158">
        <v>562.76562286910269</v>
      </c>
      <c r="J28" s="158">
        <v>604.41027896141622</v>
      </c>
      <c r="K28" s="158">
        <v>0</v>
      </c>
      <c r="L28" s="158">
        <v>6085.921884920167</v>
      </c>
      <c r="M28" s="158">
        <v>0</v>
      </c>
      <c r="N28" s="158">
        <v>141.81693696301389</v>
      </c>
      <c r="O28" s="158"/>
      <c r="P28" s="158"/>
      <c r="Q28" s="158"/>
      <c r="R28" s="158"/>
      <c r="S28" s="158">
        <v>0</v>
      </c>
      <c r="T28" s="158">
        <v>3272.7272727272725</v>
      </c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>
        <v>286.28467060272692</v>
      </c>
      <c r="AT28" s="158">
        <v>6283.9485197298563</v>
      </c>
      <c r="AU28" s="158"/>
      <c r="AV28" s="158"/>
      <c r="AW28" s="179">
        <f>SUM(Таблица2[[#This Row],[Охрана и ТО, пожарная сигнализация - бюджет]:[Огнезащитная обработка - внебюджет]])</f>
        <v>17237.875186773555</v>
      </c>
    </row>
    <row r="29" spans="1:49" ht="36" hidden="1" x14ac:dyDescent="0.3">
      <c r="A29" s="164">
        <v>28</v>
      </c>
      <c r="B29" s="160" t="s">
        <v>30</v>
      </c>
      <c r="C29" s="160" t="s">
        <v>41</v>
      </c>
      <c r="D29" s="160">
        <v>1239.3</v>
      </c>
      <c r="E29" s="161">
        <v>2020</v>
      </c>
      <c r="F29" s="161" t="s">
        <v>591</v>
      </c>
      <c r="G29" s="160">
        <f>235276.283618582+51432.9896907217</f>
        <v>286709.27330930368</v>
      </c>
      <c r="H29" s="160">
        <f>100196.122947957+51432.9896907217</f>
        <v>151629.11263867869</v>
      </c>
      <c r="I29" s="160">
        <v>94323.37</v>
      </c>
      <c r="J29" s="160">
        <v>0</v>
      </c>
      <c r="K29" s="160"/>
      <c r="L29" s="160"/>
      <c r="M29" s="160">
        <v>7450</v>
      </c>
      <c r="N29" s="160">
        <v>2660</v>
      </c>
      <c r="O29" s="160">
        <v>0</v>
      </c>
      <c r="P29" s="160">
        <v>60000</v>
      </c>
      <c r="Q29" s="160"/>
      <c r="R29" s="160"/>
      <c r="S29" s="160">
        <v>0</v>
      </c>
      <c r="T29" s="160">
        <v>3272.7272727272725</v>
      </c>
      <c r="U29" s="160"/>
      <c r="V29" s="160"/>
      <c r="W29" s="160">
        <v>7081.0134501094772</v>
      </c>
      <c r="X29" s="160">
        <v>3034.7200500469189</v>
      </c>
      <c r="Y29" s="160"/>
      <c r="Z29" s="160"/>
      <c r="AA29" s="160"/>
      <c r="AB29" s="160"/>
      <c r="AC29" s="160"/>
      <c r="AD29" s="160"/>
      <c r="AE29" s="160"/>
      <c r="AF29" s="160"/>
      <c r="AG29" s="160">
        <f>18528.9680320555+4655.29933311886</f>
        <v>23184.267365174361</v>
      </c>
      <c r="AH29" s="160">
        <f>19734.1671255245+4655.29933311886</f>
        <v>24389.466458643357</v>
      </c>
      <c r="AI29" s="160">
        <v>0</v>
      </c>
      <c r="AJ29" s="160">
        <v>5179.7553323442844</v>
      </c>
      <c r="AK29" s="160"/>
      <c r="AL29" s="160"/>
      <c r="AM29" s="160"/>
      <c r="AN29" s="160"/>
      <c r="AO29" s="160"/>
      <c r="AP29" s="160"/>
      <c r="AQ29" s="160"/>
      <c r="AR29" s="160"/>
      <c r="AS29" s="160">
        <f>46781.2146603117+41040.9155222308</f>
        <v>87822.130182542503</v>
      </c>
      <c r="AT29" s="160">
        <f>9495.18307462956+26314.067026003</f>
        <v>35809.250100632562</v>
      </c>
      <c r="AU29" s="160"/>
      <c r="AV29" s="160"/>
      <c r="AW29" s="179">
        <f>SUM(Таблица2[[#This Row],[Охрана и ТО, пожарная сигнализация - бюджет]:[Огнезащитная обработка - внебюджет]])</f>
        <v>792545.08616020321</v>
      </c>
    </row>
    <row r="30" spans="1:49" ht="36" hidden="1" x14ac:dyDescent="0.3">
      <c r="A30" s="163">
        <v>29</v>
      </c>
      <c r="B30" s="158" t="s">
        <v>27</v>
      </c>
      <c r="C30" s="158" t="s">
        <v>42</v>
      </c>
      <c r="D30" s="158">
        <v>11233.4</v>
      </c>
      <c r="E30" s="159">
        <v>2020</v>
      </c>
      <c r="F30" s="159" t="s">
        <v>592</v>
      </c>
      <c r="G30" s="158">
        <v>182207.16994475399</v>
      </c>
      <c r="H30" s="158">
        <f>515038.932495791+960353.783260417+88243.32+17731.1614104871</f>
        <v>1581367.1971666953</v>
      </c>
      <c r="I30" s="158">
        <v>62529.884747159034</v>
      </c>
      <c r="J30" s="158">
        <v>67157.096218448802</v>
      </c>
      <c r="K30" s="158">
        <v>0</v>
      </c>
      <c r="L30" s="158">
        <f>45000+40643.7408869283</f>
        <v>85643.74088692831</v>
      </c>
      <c r="M30" s="158">
        <v>0</v>
      </c>
      <c r="N30" s="158">
        <f>15757.5309562841+11621.81</f>
        <v>27379.340956284097</v>
      </c>
      <c r="O30" s="158">
        <v>0</v>
      </c>
      <c r="P30" s="158">
        <v>41000</v>
      </c>
      <c r="Q30" s="158"/>
      <c r="R30" s="158"/>
      <c r="S30" s="158">
        <v>0</v>
      </c>
      <c r="T30" s="158">
        <v>6545.454545454545</v>
      </c>
      <c r="U30" s="158">
        <v>50555.165934721219</v>
      </c>
      <c r="V30" s="158">
        <v>5476.8096429281322</v>
      </c>
      <c r="W30" s="158">
        <v>60814.219976540648</v>
      </c>
      <c r="X30" s="158">
        <v>29298.912927116478</v>
      </c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>
        <v>0</v>
      </c>
      <c r="AJ30" s="158">
        <f>885+6125</f>
        <v>7010</v>
      </c>
      <c r="AK30" s="158">
        <v>0</v>
      </c>
      <c r="AL30" s="158">
        <v>1143540.0584762811</v>
      </c>
      <c r="AM30" s="158"/>
      <c r="AN30" s="158"/>
      <c r="AO30" s="158"/>
      <c r="AP30" s="158"/>
      <c r="AQ30" s="158"/>
      <c r="AR30" s="158"/>
      <c r="AS30" s="158">
        <v>31809.596624615948</v>
      </c>
      <c r="AT30" s="158">
        <v>698220.64591032011</v>
      </c>
      <c r="AU30" s="158">
        <v>125231.77956819121</v>
      </c>
      <c r="AV30" s="158">
        <v>0</v>
      </c>
      <c r="AW30" s="179">
        <f>SUM(Таблица2[[#This Row],[Охрана и ТО, пожарная сигнализация - бюджет]:[Огнезащитная обработка - внебюджет]])</f>
        <v>4205787.0735264393</v>
      </c>
    </row>
    <row r="31" spans="1:49" ht="36" hidden="1" x14ac:dyDescent="0.3">
      <c r="A31" s="164">
        <v>30</v>
      </c>
      <c r="B31" s="160" t="s">
        <v>43</v>
      </c>
      <c r="C31" s="160" t="s">
        <v>44</v>
      </c>
      <c r="D31" s="160">
        <v>235.9</v>
      </c>
      <c r="E31" s="161">
        <v>2020</v>
      </c>
      <c r="F31" s="161" t="s">
        <v>592</v>
      </c>
      <c r="G31" s="160">
        <v>0</v>
      </c>
      <c r="H31" s="160">
        <f>20167.3097611705+372.352179815008</f>
        <v>20539.661940985508</v>
      </c>
      <c r="I31" s="160">
        <v>1313.1197866945731</v>
      </c>
      <c r="J31" s="160">
        <v>1410.2906509099714</v>
      </c>
      <c r="K31" s="160"/>
      <c r="L31" s="160"/>
      <c r="M31" s="160">
        <v>0</v>
      </c>
      <c r="N31" s="160">
        <v>330.90618624703245</v>
      </c>
      <c r="O31" s="160"/>
      <c r="P31" s="160"/>
      <c r="Q31" s="160"/>
      <c r="R31" s="160"/>
      <c r="S31" s="160">
        <v>0</v>
      </c>
      <c r="T31" s="160">
        <v>3272.7272727272725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>
        <v>0</v>
      </c>
      <c r="AJ31" s="160">
        <f>885+6125</f>
        <v>7010</v>
      </c>
      <c r="AK31" s="160">
        <v>0</v>
      </c>
      <c r="AL31" s="160">
        <v>24014.198710502136</v>
      </c>
      <c r="AM31" s="160"/>
      <c r="AN31" s="160"/>
      <c r="AO31" s="160"/>
      <c r="AP31" s="160"/>
      <c r="AQ31" s="160"/>
      <c r="AR31" s="160"/>
      <c r="AS31" s="160">
        <v>667.99756473969614</v>
      </c>
      <c r="AT31" s="160">
        <v>14662.546546036332</v>
      </c>
      <c r="AU31" s="160"/>
      <c r="AV31" s="160"/>
      <c r="AW31" s="179">
        <f>SUM(Таблица2[[#This Row],[Охрана и ТО, пожарная сигнализация - бюджет]:[Огнезащитная обработка - внебюджет]])</f>
        <v>73221.448658842521</v>
      </c>
    </row>
    <row r="32" spans="1:49" ht="36" hidden="1" x14ac:dyDescent="0.3">
      <c r="A32" s="163">
        <v>31</v>
      </c>
      <c r="B32" s="158" t="s">
        <v>45</v>
      </c>
      <c r="C32" s="158" t="s">
        <v>46</v>
      </c>
      <c r="D32" s="158">
        <v>173.4</v>
      </c>
      <c r="E32" s="159">
        <v>2020</v>
      </c>
      <c r="F32" s="159" t="s">
        <v>593</v>
      </c>
      <c r="G32" s="158">
        <v>0</v>
      </c>
      <c r="H32" s="158">
        <f>14824.1268019795+273.700161000095</f>
        <v>15097.826962979596</v>
      </c>
      <c r="I32" s="158">
        <v>965.2181899654048</v>
      </c>
      <c r="J32" s="158">
        <v>1036.6443360228448</v>
      </c>
      <c r="K32" s="158"/>
      <c r="L32" s="158"/>
      <c r="M32" s="158">
        <v>0</v>
      </c>
      <c r="N32" s="158">
        <v>243.23498387128203</v>
      </c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79">
        <f>SUM(Таблица2[[#This Row],[Охрана и ТО, пожарная сигнализация - бюджет]:[Огнезащитная обработка - внебюджет]])</f>
        <v>17342.924472839128</v>
      </c>
    </row>
    <row r="33" spans="1:49" ht="36" hidden="1" x14ac:dyDescent="0.3">
      <c r="A33" s="164">
        <v>32</v>
      </c>
      <c r="B33" s="160" t="s">
        <v>30</v>
      </c>
      <c r="C33" s="160" t="s">
        <v>47</v>
      </c>
      <c r="D33" s="160">
        <v>1971</v>
      </c>
      <c r="E33" s="161">
        <v>2020</v>
      </c>
      <c r="F33" s="161" t="s">
        <v>591</v>
      </c>
      <c r="G33" s="160">
        <v>31969.869492861519</v>
      </c>
      <c r="H33" s="160">
        <f>90368.1642200228+168502.617801047+88243.32+3111.0900653471</f>
        <v>350225.19208641688</v>
      </c>
      <c r="I33" s="160">
        <v>10971.424754451054</v>
      </c>
      <c r="J33" s="160">
        <v>11783.310186280432</v>
      </c>
      <c r="K33" s="160">
        <v>0</v>
      </c>
      <c r="L33" s="160">
        <v>8386.8036750804349</v>
      </c>
      <c r="M33" s="160">
        <v>0</v>
      </c>
      <c r="N33" s="160">
        <v>2764.7990381216655</v>
      </c>
      <c r="O33" s="160"/>
      <c r="P33" s="160"/>
      <c r="Q33" s="160"/>
      <c r="R33" s="160"/>
      <c r="S33" s="160">
        <v>0</v>
      </c>
      <c r="T33" s="160">
        <v>6545.454545454545</v>
      </c>
      <c r="U33" s="160">
        <v>8870.3537715505117</v>
      </c>
      <c r="V33" s="160">
        <v>960.95499191797205</v>
      </c>
      <c r="W33" s="160">
        <v>10670.396102138411</v>
      </c>
      <c r="X33" s="160">
        <v>5140.7550144521329</v>
      </c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>
        <v>5581.2768126407</v>
      </c>
      <c r="AT33" s="160">
        <v>122509.02603746337</v>
      </c>
      <c r="AU33" s="160"/>
      <c r="AV33" s="160"/>
      <c r="AW33" s="179">
        <f>SUM(Таблица2[[#This Row],[Охрана и ТО, пожарная сигнализация - бюджет]:[Огнезащитная обработка - внебюджет]])</f>
        <v>576379.61650882964</v>
      </c>
    </row>
    <row r="34" spans="1:49" hidden="1" x14ac:dyDescent="0.3">
      <c r="A34" s="163">
        <v>33</v>
      </c>
      <c r="B34" s="158" t="s">
        <v>48</v>
      </c>
      <c r="C34" s="158" t="s">
        <v>49</v>
      </c>
      <c r="D34" s="158">
        <v>126.6</v>
      </c>
      <c r="E34" s="159">
        <v>2020</v>
      </c>
      <c r="F34" s="159" t="s">
        <v>593</v>
      </c>
      <c r="G34" s="158">
        <v>0</v>
      </c>
      <c r="H34" s="158">
        <f>10823.1514021373+199.829529311488</f>
        <v>11022.980931448788</v>
      </c>
      <c r="I34" s="158">
        <v>704.70947433460333</v>
      </c>
      <c r="J34" s="158">
        <v>756.85797543536398</v>
      </c>
      <c r="K34" s="158"/>
      <c r="L34" s="158"/>
      <c r="M34" s="158">
        <v>0</v>
      </c>
      <c r="N34" s="158">
        <v>177.58678753232007</v>
      </c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79">
        <f>SUM(Таблица2[[#This Row],[Охрана и ТО, пожарная сигнализация - бюджет]:[Огнезащитная обработка - внебюджет]])</f>
        <v>12662.135168751076</v>
      </c>
    </row>
    <row r="35" spans="1:49" hidden="1" x14ac:dyDescent="0.3">
      <c r="A35" s="164">
        <v>34</v>
      </c>
      <c r="B35" s="160" t="s">
        <v>48</v>
      </c>
      <c r="C35" s="160" t="s">
        <v>50</v>
      </c>
      <c r="D35" s="160">
        <v>71</v>
      </c>
      <c r="E35" s="161">
        <v>2020</v>
      </c>
      <c r="F35" s="161" t="s">
        <v>593</v>
      </c>
      <c r="G35" s="160">
        <v>0</v>
      </c>
      <c r="H35" s="160">
        <f>6069.85584164097+112.068693373741</f>
        <v>6181.9245350147103</v>
      </c>
      <c r="I35" s="160">
        <v>395.21621388433527</v>
      </c>
      <c r="J35" s="160">
        <v>424.46221371177609</v>
      </c>
      <c r="K35" s="160"/>
      <c r="L35" s="160"/>
      <c r="M35" s="160">
        <v>0</v>
      </c>
      <c r="N35" s="160">
        <v>99.594485898852497</v>
      </c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79">
        <f>SUM(Таблица2[[#This Row],[Охрана и ТО, пожарная сигнализация - бюджет]:[Огнезащитная обработка - внебюджет]])</f>
        <v>7101.1974485096734</v>
      </c>
    </row>
    <row r="36" spans="1:49" hidden="1" x14ac:dyDescent="0.3">
      <c r="A36" s="163">
        <v>35</v>
      </c>
      <c r="B36" s="158" t="s">
        <v>48</v>
      </c>
      <c r="C36" s="158" t="s">
        <v>51</v>
      </c>
      <c r="D36" s="158">
        <v>34.700000000000003</v>
      </c>
      <c r="E36" s="159">
        <v>2020</v>
      </c>
      <c r="F36" s="159" t="s">
        <v>593</v>
      </c>
      <c r="G36" s="158">
        <v>0</v>
      </c>
      <c r="H36" s="158">
        <f>2966.53517894283+54.7716008460397</f>
        <v>3021.3067797888698</v>
      </c>
      <c r="I36" s="158">
        <v>193.15496650403429</v>
      </c>
      <c r="J36" s="158">
        <v>207.44843402533283</v>
      </c>
      <c r="K36" s="158"/>
      <c r="L36" s="158"/>
      <c r="M36" s="158">
        <v>0</v>
      </c>
      <c r="N36" s="158">
        <v>48.675051559016644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79">
        <f>SUM(Таблица2[[#This Row],[Охрана и ТО, пожарная сигнализация - бюджет]:[Огнезащитная обработка - внебюджет]])</f>
        <v>3470.5852318772536</v>
      </c>
    </row>
    <row r="37" spans="1:49" ht="36" hidden="1" x14ac:dyDescent="0.3">
      <c r="A37" s="164">
        <v>36</v>
      </c>
      <c r="B37" s="160" t="s">
        <v>48</v>
      </c>
      <c r="C37" s="160" t="s">
        <v>52</v>
      </c>
      <c r="D37" s="160">
        <v>97</v>
      </c>
      <c r="E37" s="161">
        <v>2020</v>
      </c>
      <c r="F37" s="161" t="s">
        <v>593</v>
      </c>
      <c r="G37" s="160">
        <v>0</v>
      </c>
      <c r="H37" s="160">
        <f>8292.61995266442+153.107933200745</f>
        <v>8445.7278858651644</v>
      </c>
      <c r="I37" s="160">
        <v>539.9432781236693</v>
      </c>
      <c r="J37" s="160">
        <v>579.89908070482079</v>
      </c>
      <c r="K37" s="160"/>
      <c r="L37" s="160"/>
      <c r="M37" s="160">
        <v>0</v>
      </c>
      <c r="N37" s="160">
        <v>136.06570608716467</v>
      </c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79">
        <f>SUM(Таблица2[[#This Row],[Охрана и ТО, пожарная сигнализация - бюджет]:[Огнезащитная обработка - внебюджет]])</f>
        <v>9701.6359507808211</v>
      </c>
    </row>
    <row r="38" spans="1:49" ht="36" hidden="1" x14ac:dyDescent="0.3">
      <c r="A38" s="163">
        <v>37</v>
      </c>
      <c r="B38" s="158" t="s">
        <v>53</v>
      </c>
      <c r="C38" s="158" t="s">
        <v>54</v>
      </c>
      <c r="D38" s="158">
        <v>971.9</v>
      </c>
      <c r="E38" s="159">
        <v>2020</v>
      </c>
      <c r="F38" s="159" t="s">
        <v>591</v>
      </c>
      <c r="G38" s="158">
        <f>16458.5567010309+440000</f>
        <v>456458.55670103087</v>
      </c>
      <c r="H38" s="158">
        <f>16458.5567010309+220000+220000+220000+120645+440000</f>
        <v>1237103.556701031</v>
      </c>
      <c r="I38" s="158"/>
      <c r="J38" s="158"/>
      <c r="K38" s="158">
        <v>86756.364167525506</v>
      </c>
      <c r="L38" s="158">
        <f>298500+86756.3641675255</f>
        <v>385256.36416752549</v>
      </c>
      <c r="M38" s="158">
        <v>5970</v>
      </c>
      <c r="N38" s="158">
        <v>2130</v>
      </c>
      <c r="O38" s="158"/>
      <c r="P38" s="158"/>
      <c r="Q38" s="158"/>
      <c r="R38" s="158"/>
      <c r="S38" s="158">
        <v>0</v>
      </c>
      <c r="T38" s="158">
        <v>3272.7272727272725</v>
      </c>
      <c r="U38" s="158"/>
      <c r="V38" s="158"/>
      <c r="W38" s="158">
        <v>5110.4160150140751</v>
      </c>
      <c r="X38" s="158">
        <v>2190.1782921488893</v>
      </c>
      <c r="Y38" s="158"/>
      <c r="Z38" s="158"/>
      <c r="AA38" s="158"/>
      <c r="AB38" s="158"/>
      <c r="AC38" s="158"/>
      <c r="AD38" s="158"/>
      <c r="AE38" s="158"/>
      <c r="AF38" s="158"/>
      <c r="AG38" s="158">
        <f>14531.0288310778+3650.83952381039</f>
        <v>18181.868354888189</v>
      </c>
      <c r="AH38" s="158">
        <f>15476.1857736603+170178+3650.83952381039</f>
        <v>189305.02529747071</v>
      </c>
      <c r="AI38" s="158">
        <v>0</v>
      </c>
      <c r="AJ38" s="158">
        <v>4062.1352436903176</v>
      </c>
      <c r="AK38" s="158"/>
      <c r="AL38" s="158"/>
      <c r="AM38" s="158"/>
      <c r="AN38" s="158"/>
      <c r="AO38" s="158"/>
      <c r="AP38" s="158"/>
      <c r="AQ38" s="158"/>
      <c r="AR38" s="158"/>
      <c r="AS38" s="158">
        <f>36687.3739436431+32185.6417300542</f>
        <v>68873.0156736973</v>
      </c>
      <c r="AT38" s="158">
        <f>7446.43623838656+20636.3606411461</f>
        <v>28082.79687953266</v>
      </c>
      <c r="AU38" s="158"/>
      <c r="AV38" s="158"/>
      <c r="AW38" s="179">
        <f>SUM(Таблица2[[#This Row],[Охрана и ТО, пожарная сигнализация - бюджет]:[Огнезащитная обработка - внебюджет]])</f>
        <v>2492753.0047662822</v>
      </c>
    </row>
    <row r="39" spans="1:49" ht="36" hidden="1" x14ac:dyDescent="0.3">
      <c r="A39" s="164">
        <v>38</v>
      </c>
      <c r="B39" s="160" t="s">
        <v>55</v>
      </c>
      <c r="C39" s="160" t="s">
        <v>56</v>
      </c>
      <c r="D39" s="160">
        <v>637.79999999999995</v>
      </c>
      <c r="E39" s="161">
        <v>2020</v>
      </c>
      <c r="F39" s="161" t="s">
        <v>590</v>
      </c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79">
        <f>SUM(Таблица2[[#This Row],[Охрана и ТО, пожарная сигнализация - бюджет]:[Огнезащитная обработка - внебюджет]])</f>
        <v>0</v>
      </c>
    </row>
    <row r="40" spans="1:49" ht="36" hidden="1" x14ac:dyDescent="0.3">
      <c r="A40" s="163">
        <v>39</v>
      </c>
      <c r="B40" s="158" t="s">
        <v>57</v>
      </c>
      <c r="C40" s="158" t="s">
        <v>58</v>
      </c>
      <c r="D40" s="158">
        <f>676.6</f>
        <v>676.6</v>
      </c>
      <c r="E40" s="159">
        <v>2020</v>
      </c>
      <c r="F40" s="159" t="s">
        <v>590</v>
      </c>
      <c r="G40" s="158">
        <v>2057.319587628866</v>
      </c>
      <c r="H40" s="158">
        <v>2057.319587628866</v>
      </c>
      <c r="I40" s="158">
        <v>0</v>
      </c>
      <c r="J40" s="158">
        <f>33378.82</f>
        <v>33378.82</v>
      </c>
      <c r="K40" s="158"/>
      <c r="L40" s="158"/>
      <c r="M40" s="158">
        <v>3478</v>
      </c>
      <c r="N40" s="158">
        <v>1240</v>
      </c>
      <c r="O40" s="158"/>
      <c r="P40" s="158"/>
      <c r="Q40" s="158"/>
      <c r="R40" s="158"/>
      <c r="S40" s="158">
        <v>0</v>
      </c>
      <c r="T40" s="158">
        <v>3272.7272727272725</v>
      </c>
      <c r="U40" s="158"/>
      <c r="V40" s="158"/>
      <c r="W40" s="158">
        <v>1655.3018454801379</v>
      </c>
      <c r="X40" s="158">
        <v>709.41507663434481</v>
      </c>
      <c r="Y40" s="158"/>
      <c r="Z40" s="158"/>
      <c r="AA40" s="158"/>
      <c r="AB40" s="158"/>
      <c r="AC40" s="158"/>
      <c r="AD40" s="158"/>
      <c r="AE40" s="158"/>
      <c r="AF40" s="158"/>
      <c r="AG40" s="158">
        <f>2541.57631629809</f>
        <v>2541.5763162980902</v>
      </c>
      <c r="AH40" s="158">
        <f>2541.57631629809</f>
        <v>2541.5763162980902</v>
      </c>
      <c r="AI40" s="158">
        <v>0</v>
      </c>
      <c r="AJ40" s="158">
        <v>2827.9048316502403</v>
      </c>
      <c r="AK40" s="158"/>
      <c r="AL40" s="158"/>
      <c r="AM40" s="158"/>
      <c r="AN40" s="158"/>
      <c r="AO40" s="158"/>
      <c r="AP40" s="158"/>
      <c r="AQ40" s="158"/>
      <c r="AR40" s="158"/>
      <c r="AS40" s="158">
        <v>22406.425758364716</v>
      </c>
      <c r="AT40" s="158">
        <v>14366.253328325376</v>
      </c>
      <c r="AU40" s="158"/>
      <c r="AV40" s="158"/>
      <c r="AW40" s="179">
        <f>SUM(Таблица2[[#This Row],[Охрана и ТО, пожарная сигнализация - бюджет]:[Огнезащитная обработка - внебюджет]])</f>
        <v>92532.639921035981</v>
      </c>
    </row>
    <row r="41" spans="1:49" ht="36" hidden="1" x14ac:dyDescent="0.3">
      <c r="A41" s="164">
        <v>40</v>
      </c>
      <c r="B41" s="160" t="s">
        <v>27</v>
      </c>
      <c r="C41" s="160" t="s">
        <v>59</v>
      </c>
      <c r="D41" s="160">
        <v>16237.4</v>
      </c>
      <c r="E41" s="161">
        <v>2020</v>
      </c>
      <c r="F41" s="161" t="s">
        <v>592</v>
      </c>
      <c r="G41" s="160">
        <v>0</v>
      </c>
      <c r="H41" s="160">
        <f>120247+90298.2+2550000+67116.24</f>
        <v>2827661.4400000004</v>
      </c>
      <c r="I41" s="160"/>
      <c r="J41" s="160"/>
      <c r="K41" s="160">
        <v>0</v>
      </c>
      <c r="L41" s="160">
        <f>898500+5432962.95801644</f>
        <v>6331462.9580164403</v>
      </c>
      <c r="M41" s="160">
        <v>0</v>
      </c>
      <c r="N41" s="160">
        <v>25701.473755173123</v>
      </c>
      <c r="O41" s="160"/>
      <c r="P41" s="160"/>
      <c r="Q41" s="160">
        <v>0</v>
      </c>
      <c r="R41" s="160">
        <v>286599.05660377361</v>
      </c>
      <c r="S41" s="160">
        <v>0</v>
      </c>
      <c r="T41" s="160">
        <f>6545.45454545455+40000</f>
        <v>46545.454545454551</v>
      </c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>
        <v>0</v>
      </c>
      <c r="AT41" s="160">
        <v>2749915.0385841941</v>
      </c>
      <c r="AU41" s="160"/>
      <c r="AV41" s="160"/>
      <c r="AW41" s="179">
        <f>SUM(Таблица2[[#This Row],[Охрана и ТО, пожарная сигнализация - бюджет]:[Огнезащитная обработка - внебюджет]])</f>
        <v>12267885.421505038</v>
      </c>
    </row>
    <row r="42" spans="1:49" ht="36" hidden="1" x14ac:dyDescent="0.3">
      <c r="A42" s="163">
        <v>41</v>
      </c>
      <c r="B42" s="158" t="s">
        <v>60</v>
      </c>
      <c r="C42" s="158" t="s">
        <v>61</v>
      </c>
      <c r="D42" s="158">
        <v>3051</v>
      </c>
      <c r="E42" s="159">
        <v>2020</v>
      </c>
      <c r="F42" s="159" t="s">
        <v>592</v>
      </c>
      <c r="G42" s="158">
        <v>0</v>
      </c>
      <c r="H42" s="158">
        <f>22595+2550000</f>
        <v>2572595</v>
      </c>
      <c r="I42" s="158">
        <v>0</v>
      </c>
      <c r="J42" s="158">
        <v>184260</v>
      </c>
      <c r="K42" s="158">
        <v>0</v>
      </c>
      <c r="L42" s="158">
        <f>586396.181384248+247550.397169464</f>
        <v>833946.578553712</v>
      </c>
      <c r="M42" s="158">
        <v>0</v>
      </c>
      <c r="N42" s="158">
        <v>4799.23596936387</v>
      </c>
      <c r="O42" s="158"/>
      <c r="P42" s="158"/>
      <c r="Q42" s="158">
        <v>0</v>
      </c>
      <c r="R42" s="158">
        <v>36509.433962264156</v>
      </c>
      <c r="S42" s="158"/>
      <c r="T42" s="158"/>
      <c r="U42" s="158"/>
      <c r="V42" s="158"/>
      <c r="W42" s="158">
        <v>0</v>
      </c>
      <c r="X42" s="158">
        <v>36000</v>
      </c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>
        <v>0</v>
      </c>
      <c r="AT42" s="158">
        <f>253659.41+516707.772347813</f>
        <v>770367.18234781304</v>
      </c>
      <c r="AU42" s="158"/>
      <c r="AV42" s="158"/>
      <c r="AW42" s="179">
        <f>SUM(Таблица2[[#This Row],[Охрана и ТО, пожарная сигнализация - бюджет]:[Огнезащитная обработка - внебюджет]])</f>
        <v>4438477.4308331525</v>
      </c>
    </row>
    <row r="43" spans="1:49" ht="36" hidden="1" x14ac:dyDescent="0.3">
      <c r="A43" s="164">
        <v>42</v>
      </c>
      <c r="B43" s="160" t="s">
        <v>62</v>
      </c>
      <c r="C43" s="160" t="s">
        <v>63</v>
      </c>
      <c r="D43" s="160">
        <v>1467.1</v>
      </c>
      <c r="E43" s="161">
        <v>2020</v>
      </c>
      <c r="F43" s="161" t="s">
        <v>593</v>
      </c>
      <c r="G43" s="160">
        <v>0</v>
      </c>
      <c r="H43" s="160">
        <f>10865+2550000</f>
        <v>2560865</v>
      </c>
      <c r="I43" s="160"/>
      <c r="J43" s="160"/>
      <c r="K43" s="160"/>
      <c r="L43" s="160"/>
      <c r="M43" s="160"/>
      <c r="N43" s="160"/>
      <c r="O43" s="160"/>
      <c r="P43" s="160"/>
      <c r="Q43" s="160">
        <v>0</v>
      </c>
      <c r="R43" s="160">
        <v>25556.603773584906</v>
      </c>
      <c r="S43" s="160">
        <v>0</v>
      </c>
      <c r="T43" s="160">
        <v>6545.454545454545</v>
      </c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>
        <v>0</v>
      </c>
      <c r="AT43" s="160">
        <f>248721.13+248463.445693699</f>
        <v>497184.57569369901</v>
      </c>
      <c r="AU43" s="160"/>
      <c r="AV43" s="160"/>
      <c r="AW43" s="179">
        <f>SUM(Таблица2[[#This Row],[Охрана и ТО, пожарная сигнализация - бюджет]:[Огнезащитная обработка - внебюджет]])</f>
        <v>3090151.6340127387</v>
      </c>
    </row>
    <row r="44" spans="1:49" ht="36" hidden="1" x14ac:dyDescent="0.3">
      <c r="A44" s="163">
        <v>43</v>
      </c>
      <c r="B44" s="158" t="s">
        <v>64</v>
      </c>
      <c r="C44" s="158" t="s">
        <v>65</v>
      </c>
      <c r="D44" s="158">
        <v>1779.1</v>
      </c>
      <c r="E44" s="159">
        <v>2020</v>
      </c>
      <c r="F44" s="159" t="s">
        <v>592</v>
      </c>
      <c r="G44" s="158">
        <v>0</v>
      </c>
      <c r="H44" s="158">
        <f>13175+637500</f>
        <v>650675</v>
      </c>
      <c r="I44" s="158">
        <v>0</v>
      </c>
      <c r="J44" s="158">
        <v>24900</v>
      </c>
      <c r="K44" s="158">
        <v>0</v>
      </c>
      <c r="L44" s="158">
        <f>193603.818615752+435791.13366536</f>
        <v>629394.95228111197</v>
      </c>
      <c r="M44" s="158">
        <v>0</v>
      </c>
      <c r="N44" s="158">
        <v>2810.6439954307971</v>
      </c>
      <c r="O44" s="158"/>
      <c r="P44" s="158"/>
      <c r="Q44" s="158">
        <v>0</v>
      </c>
      <c r="R44" s="158">
        <v>31033.018867924526</v>
      </c>
      <c r="S44" s="158">
        <v>0</v>
      </c>
      <c r="T44" s="158">
        <f>3272.72727272727+40000+3498</f>
        <v>46770.727272727272</v>
      </c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>
        <v>0</v>
      </c>
      <c r="AT44" s="158">
        <f>224106.810262292+301302.785245491</f>
        <v>525409.595507783</v>
      </c>
      <c r="AU44" s="158"/>
      <c r="AV44" s="158"/>
      <c r="AW44" s="179">
        <f>SUM(Таблица2[[#This Row],[Охрана и ТО, пожарная сигнализация - бюджет]:[Огнезащитная обработка - внебюджет]])</f>
        <v>1910993.9379249774</v>
      </c>
    </row>
    <row r="45" spans="1:49" hidden="1" x14ac:dyDescent="0.3">
      <c r="A45" s="164">
        <v>44</v>
      </c>
      <c r="B45" s="160" t="s">
        <v>66</v>
      </c>
      <c r="C45" s="160" t="s">
        <v>67</v>
      </c>
      <c r="D45" s="160">
        <v>561.79999999999995</v>
      </c>
      <c r="E45" s="161">
        <v>2020</v>
      </c>
      <c r="F45" s="161" t="s">
        <v>593</v>
      </c>
      <c r="G45" s="160">
        <v>0</v>
      </c>
      <c r="H45" s="160">
        <f>4160+637500</f>
        <v>641660</v>
      </c>
      <c r="I45" s="160"/>
      <c r="J45" s="160"/>
      <c r="K45" s="160"/>
      <c r="L45" s="160"/>
      <c r="M45" s="160">
        <v>0</v>
      </c>
      <c r="N45" s="160">
        <v>1179.281286867287</v>
      </c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>
        <v>0</v>
      </c>
      <c r="AT45" s="160">
        <f>70767.9197377077+95144.6825647333</f>
        <v>165912.60230244102</v>
      </c>
      <c r="AU45" s="160"/>
      <c r="AV45" s="160"/>
      <c r="AW45" s="179">
        <f>SUM(Таблица2[[#This Row],[Охрана и ТО, пожарная сигнализация - бюджет]:[Огнезащитная обработка - внебюджет]])</f>
        <v>808751.88358930836</v>
      </c>
    </row>
    <row r="46" spans="1:49" ht="36" hidden="1" x14ac:dyDescent="0.3">
      <c r="A46" s="163">
        <v>45</v>
      </c>
      <c r="B46" s="158" t="s">
        <v>30</v>
      </c>
      <c r="C46" s="158" t="s">
        <v>68</v>
      </c>
      <c r="D46" s="158">
        <v>4466.7</v>
      </c>
      <c r="E46" s="159">
        <v>2020</v>
      </c>
      <c r="F46" s="159" t="s">
        <v>591</v>
      </c>
      <c r="G46" s="158">
        <v>0</v>
      </c>
      <c r="H46" s="158">
        <f>33078+1275000</f>
        <v>1308078</v>
      </c>
      <c r="I46" s="158"/>
      <c r="J46" s="158"/>
      <c r="K46" s="158">
        <v>0</v>
      </c>
      <c r="L46" s="158">
        <f>359000+860250+1385701.76114874</f>
        <v>2604951.7611487401</v>
      </c>
      <c r="M46" s="158">
        <v>0</v>
      </c>
      <c r="N46" s="158">
        <v>7509.3649931649215</v>
      </c>
      <c r="O46" s="158"/>
      <c r="P46" s="158"/>
      <c r="Q46" s="158">
        <v>0</v>
      </c>
      <c r="R46" s="158">
        <v>7301.8867924528295</v>
      </c>
      <c r="S46" s="158">
        <v>0</v>
      </c>
      <c r="T46" s="158">
        <f>6545.45454545455+30000+28604.4</f>
        <v>65149.854545454553</v>
      </c>
      <c r="U46" s="158"/>
      <c r="V46" s="158"/>
      <c r="W46" s="158">
        <v>0</v>
      </c>
      <c r="X46" s="158">
        <v>36000</v>
      </c>
      <c r="Y46" s="158">
        <v>0</v>
      </c>
      <c r="Z46" s="158">
        <f>79585.5+284582.98</f>
        <v>364168.48</v>
      </c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>
        <v>0</v>
      </c>
      <c r="AT46" s="158">
        <f>287818.14+756466.275564069</f>
        <v>1044284.4155640691</v>
      </c>
      <c r="AU46" s="158"/>
      <c r="AV46" s="158"/>
      <c r="AW46" s="179">
        <f>SUM(Таблица2[[#This Row],[Охрана и ТО, пожарная сигнализация - бюджет]:[Огнезащитная обработка - внебюджет]])</f>
        <v>5437443.7630438823</v>
      </c>
    </row>
    <row r="47" spans="1:49" ht="36" hidden="1" x14ac:dyDescent="0.3">
      <c r="A47" s="164">
        <v>46</v>
      </c>
      <c r="B47" s="160" t="s">
        <v>37</v>
      </c>
      <c r="C47" s="160" t="s">
        <v>69</v>
      </c>
      <c r="D47" s="160">
        <v>912.3</v>
      </c>
      <c r="E47" s="161">
        <v>2020</v>
      </c>
      <c r="F47" s="161" t="s">
        <v>592</v>
      </c>
      <c r="G47" s="160">
        <v>173196.60578167695</v>
      </c>
      <c r="H47" s="160">
        <v>73758.511228452247</v>
      </c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>
        <v>0</v>
      </c>
      <c r="V47" s="160">
        <v>448541.66666666669</v>
      </c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>
        <v>0</v>
      </c>
      <c r="AL47" s="160">
        <v>63764.36056361474</v>
      </c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79">
        <f>SUM(Таблица2[[#This Row],[Охрана и ТО, пожарная сигнализация - бюджет]:[Огнезащитная обработка - внебюджет]])</f>
        <v>759261.14424041065</v>
      </c>
    </row>
    <row r="48" spans="1:49" ht="36" hidden="1" x14ac:dyDescent="0.3">
      <c r="A48" s="163">
        <v>47</v>
      </c>
      <c r="B48" s="158" t="s">
        <v>37</v>
      </c>
      <c r="C48" s="158" t="s">
        <v>70</v>
      </c>
      <c r="D48" s="158">
        <v>1610.7</v>
      </c>
      <c r="E48" s="159">
        <v>2020</v>
      </c>
      <c r="F48" s="159" t="s">
        <v>592</v>
      </c>
      <c r="G48" s="158">
        <v>305785.12872141518</v>
      </c>
      <c r="H48" s="158">
        <v>130223.42873579748</v>
      </c>
      <c r="I48" s="158">
        <v>0</v>
      </c>
      <c r="J48" s="158">
        <v>90400</v>
      </c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>
        <v>0</v>
      </c>
      <c r="V48" s="158">
        <v>358833.33333333331</v>
      </c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>
        <v>0</v>
      </c>
      <c r="AL48" s="158">
        <v>112578.37943638526</v>
      </c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79">
        <f>SUM(Таблица2[[#This Row],[Охрана и ТО, пожарная сигнализация - бюджет]:[Огнезащитная обработка - внебюджет]])</f>
        <v>997820.27022693108</v>
      </c>
    </row>
    <row r="49" spans="1:49" ht="36" hidden="1" x14ac:dyDescent="0.3">
      <c r="A49" s="164">
        <v>48</v>
      </c>
      <c r="B49" s="160" t="s">
        <v>71</v>
      </c>
      <c r="C49" s="160" t="s">
        <v>72</v>
      </c>
      <c r="D49" s="160">
        <v>18956.5</v>
      </c>
      <c r="E49" s="161">
        <v>2020</v>
      </c>
      <c r="F49" s="161" t="s">
        <v>592</v>
      </c>
      <c r="G49" s="160">
        <v>172563.66824289903</v>
      </c>
      <c r="H49" s="160">
        <v>0</v>
      </c>
      <c r="I49" s="160"/>
      <c r="J49" s="160"/>
      <c r="K49" s="160">
        <v>0</v>
      </c>
      <c r="L49" s="160">
        <f>1190250+290000</f>
        <v>1480250</v>
      </c>
      <c r="M49" s="160">
        <v>12803.821878744808</v>
      </c>
      <c r="N49" s="160">
        <f>9602.86640905861+4838.83</f>
        <v>14441.69640905861</v>
      </c>
      <c r="O49" s="160">
        <v>0</v>
      </c>
      <c r="P49" s="160">
        <v>42606.741573033709</v>
      </c>
      <c r="Q49" s="160">
        <v>0</v>
      </c>
      <c r="R49" s="160">
        <v>299000</v>
      </c>
      <c r="S49" s="160">
        <v>0</v>
      </c>
      <c r="T49" s="160">
        <f>298248+13090.9090909091</f>
        <v>311338.90909090912</v>
      </c>
      <c r="U49" s="160">
        <v>452096.1080645161</v>
      </c>
      <c r="V49" s="160">
        <v>0</v>
      </c>
      <c r="W49" s="160">
        <v>0</v>
      </c>
      <c r="X49" s="160">
        <f>214920+127805.309734513</f>
        <v>342725.30973451299</v>
      </c>
      <c r="Y49" s="160">
        <f>22634.6153846154+75000</f>
        <v>97634.615384615405</v>
      </c>
      <c r="Z49" s="160">
        <v>71020.782500000001</v>
      </c>
      <c r="AA49" s="160">
        <v>0</v>
      </c>
      <c r="AB49" s="160">
        <v>101498</v>
      </c>
      <c r="AC49" s="160"/>
      <c r="AD49" s="160"/>
      <c r="AE49" s="160">
        <v>0</v>
      </c>
      <c r="AF49" s="160">
        <v>22609.756097560974</v>
      </c>
      <c r="AG49" s="160">
        <f>283421.594851658+71208.0866684964</f>
        <v>354629.68152015435</v>
      </c>
      <c r="AH49" s="160">
        <f>301856.48278464+71208.0866684964</f>
        <v>373064.56945313641</v>
      </c>
      <c r="AI49" s="160">
        <v>0</v>
      </c>
      <c r="AJ49" s="160">
        <f>79230.2363895622+7928.70377728609</f>
        <v>87158.94016684829</v>
      </c>
      <c r="AK49" s="160">
        <v>0</v>
      </c>
      <c r="AL49" s="160">
        <f>892546.67+295000</f>
        <v>1187546.67</v>
      </c>
      <c r="AM49" s="160"/>
      <c r="AN49" s="160"/>
      <c r="AO49" s="160"/>
      <c r="AP49" s="160"/>
      <c r="AQ49" s="160">
        <v>0</v>
      </c>
      <c r="AR49" s="160">
        <v>59500</v>
      </c>
      <c r="AS49" s="160">
        <f>715571.770925683+627767.380857879</f>
        <v>1343339.1517835618</v>
      </c>
      <c r="AT49" s="160">
        <f>145239.601350936+402503.519388708</f>
        <v>547743.12073964393</v>
      </c>
      <c r="AU49" s="160">
        <v>3052.8092904743239</v>
      </c>
      <c r="AV49" s="160">
        <v>0</v>
      </c>
      <c r="AW49" s="179">
        <f>SUM(Таблица2[[#This Row],[Охрана и ТО, пожарная сигнализация - бюджет]:[Огнезащитная обработка - внебюджет]])</f>
        <v>7376624.3519296702</v>
      </c>
    </row>
    <row r="50" spans="1:49" ht="36" hidden="1" x14ac:dyDescent="0.3">
      <c r="A50" s="163">
        <v>49</v>
      </c>
      <c r="B50" s="158" t="s">
        <v>73</v>
      </c>
      <c r="C50" s="158" t="s">
        <v>74</v>
      </c>
      <c r="D50" s="158">
        <v>2378.5</v>
      </c>
      <c r="E50" s="159">
        <v>2020</v>
      </c>
      <c r="F50" s="159" t="s">
        <v>592</v>
      </c>
      <c r="G50" s="158">
        <v>21651.817841676224</v>
      </c>
      <c r="H50" s="158">
        <v>61304.34782608696</v>
      </c>
      <c r="I50" s="158">
        <v>0</v>
      </c>
      <c r="J50" s="158">
        <v>45200</v>
      </c>
      <c r="K50" s="158"/>
      <c r="L50" s="158"/>
      <c r="M50" s="158">
        <v>1606.5144060662321</v>
      </c>
      <c r="N50" s="158">
        <f>1204.88580454967+3312</f>
        <v>4516.88580454967</v>
      </c>
      <c r="O50" s="158"/>
      <c r="P50" s="158"/>
      <c r="Q50" s="158">
        <v>0</v>
      </c>
      <c r="R50" s="158">
        <v>318000</v>
      </c>
      <c r="S50" s="158">
        <v>0</v>
      </c>
      <c r="T50" s="158">
        <v>6545.454545454545</v>
      </c>
      <c r="U50" s="158">
        <v>388226.92720235052</v>
      </c>
      <c r="V50" s="158">
        <v>712071.02179032797</v>
      </c>
      <c r="W50" s="158"/>
      <c r="X50" s="158"/>
      <c r="Y50" s="158"/>
      <c r="Z50" s="158"/>
      <c r="AA50" s="158">
        <v>0</v>
      </c>
      <c r="AB50" s="158">
        <v>101498</v>
      </c>
      <c r="AC50" s="158"/>
      <c r="AD50" s="158"/>
      <c r="AE50" s="158">
        <v>0</v>
      </c>
      <c r="AF50" s="158">
        <v>7536.5853658536589</v>
      </c>
      <c r="AG50" s="158">
        <v>35561.325316100985</v>
      </c>
      <c r="AH50" s="158">
        <v>37874.377881110282</v>
      </c>
      <c r="AI50" s="158">
        <v>0</v>
      </c>
      <c r="AJ50" s="158">
        <v>994.82615114999976</v>
      </c>
      <c r="AK50" s="158"/>
      <c r="AL50" s="158"/>
      <c r="AM50" s="158"/>
      <c r="AN50" s="158"/>
      <c r="AO50" s="158"/>
      <c r="AP50" s="158"/>
      <c r="AQ50" s="158">
        <v>0</v>
      </c>
      <c r="AR50" s="158">
        <v>10500</v>
      </c>
      <c r="AS50" s="158">
        <f>89783.8449685721+78766.8987086469</f>
        <v>168550.743677219</v>
      </c>
      <c r="AT50" s="158">
        <f>18223.4268885713+50502.7099341146</f>
        <v>68726.136822685905</v>
      </c>
      <c r="AU50" s="158">
        <v>32436.098711289691</v>
      </c>
      <c r="AV50" s="158">
        <v>0</v>
      </c>
      <c r="AW50" s="179">
        <f>SUM(Таблица2[[#This Row],[Охрана и ТО, пожарная сигнализация - бюджет]:[Огнезащитная обработка - внебюджет]])</f>
        <v>2022801.0633419217</v>
      </c>
    </row>
    <row r="51" spans="1:49" ht="36" hidden="1" x14ac:dyDescent="0.3">
      <c r="A51" s="164">
        <v>50</v>
      </c>
      <c r="B51" s="160" t="s">
        <v>75</v>
      </c>
      <c r="C51" s="160" t="s">
        <v>76</v>
      </c>
      <c r="D51" s="160">
        <v>6733.6</v>
      </c>
      <c r="E51" s="161">
        <v>2020</v>
      </c>
      <c r="F51" s="161" t="s">
        <v>592</v>
      </c>
      <c r="G51" s="160">
        <v>61296.901668577266</v>
      </c>
      <c r="H51" s="160">
        <v>0</v>
      </c>
      <c r="I51" s="160"/>
      <c r="J51" s="160"/>
      <c r="K51" s="160">
        <v>0</v>
      </c>
      <c r="L51" s="160">
        <v>148998.18322167807</v>
      </c>
      <c r="M51" s="160">
        <v>4548.0871997845616</v>
      </c>
      <c r="N51" s="160">
        <v>3411.0653998384214</v>
      </c>
      <c r="O51" s="160">
        <v>0</v>
      </c>
      <c r="P51" s="160">
        <v>15977.528089887641</v>
      </c>
      <c r="Q51" s="160"/>
      <c r="R51" s="160"/>
      <c r="S51" s="160">
        <v>0</v>
      </c>
      <c r="T51" s="160">
        <v>6545.454545454545</v>
      </c>
      <c r="U51" s="160"/>
      <c r="V51" s="160"/>
      <c r="W51" s="160"/>
      <c r="X51" s="160"/>
      <c r="Y51" s="160">
        <f>20576.9230769231+75000</f>
        <v>95576.923076923093</v>
      </c>
      <c r="Z51" s="160">
        <v>71020.782500000001</v>
      </c>
      <c r="AA51" s="160"/>
      <c r="AB51" s="160"/>
      <c r="AC51" s="160"/>
      <c r="AD51" s="160"/>
      <c r="AE51" s="160">
        <v>0</v>
      </c>
      <c r="AF51" s="160">
        <v>22609.756097560974</v>
      </c>
      <c r="AG51" s="160">
        <v>100675.10622177742</v>
      </c>
      <c r="AH51" s="160">
        <v>107223.42270348717</v>
      </c>
      <c r="AI51" s="160">
        <v>0</v>
      </c>
      <c r="AJ51" s="160">
        <v>2816.3806480486182</v>
      </c>
      <c r="AK51" s="160"/>
      <c r="AL51" s="160"/>
      <c r="AM51" s="160"/>
      <c r="AN51" s="160"/>
      <c r="AO51" s="160"/>
      <c r="AP51" s="160"/>
      <c r="AQ51" s="160"/>
      <c r="AR51" s="160"/>
      <c r="AS51" s="160">
        <v>254180.5753543734</v>
      </c>
      <c r="AT51" s="160">
        <v>51591.031026648598</v>
      </c>
      <c r="AU51" s="160"/>
      <c r="AV51" s="160"/>
      <c r="AW51" s="179">
        <f>SUM(Таблица2[[#This Row],[Охрана и ТО, пожарная сигнализация - бюджет]:[Огнезащитная обработка - внебюджет]])</f>
        <v>946471.19775403978</v>
      </c>
    </row>
    <row r="52" spans="1:49" ht="36" hidden="1" x14ac:dyDescent="0.3">
      <c r="A52" s="163">
        <v>51</v>
      </c>
      <c r="B52" s="158" t="s">
        <v>77</v>
      </c>
      <c r="C52" s="158" t="s">
        <v>78</v>
      </c>
      <c r="D52" s="158">
        <v>1557</v>
      </c>
      <c r="E52" s="159">
        <v>2020</v>
      </c>
      <c r="F52" s="159" t="s">
        <v>592</v>
      </c>
      <c r="G52" s="158">
        <v>14173.588555598013</v>
      </c>
      <c r="H52" s="158">
        <v>0</v>
      </c>
      <c r="I52" s="158"/>
      <c r="J52" s="158"/>
      <c r="K52" s="158"/>
      <c r="L52" s="158"/>
      <c r="M52" s="158">
        <v>1051.6472273471193</v>
      </c>
      <c r="N52" s="158">
        <v>788.73542051033951</v>
      </c>
      <c r="O52" s="158">
        <v>0</v>
      </c>
      <c r="P52" s="158">
        <v>111842.69662921347</v>
      </c>
      <c r="Q52" s="158"/>
      <c r="R52" s="158"/>
      <c r="S52" s="158">
        <v>0</v>
      </c>
      <c r="T52" s="158">
        <v>6545.454545454545</v>
      </c>
      <c r="U52" s="158">
        <v>96190.661290322576</v>
      </c>
      <c r="V52" s="158">
        <v>0</v>
      </c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>
        <f>23278.9503961191+5848.7057707303</f>
        <v>29127.6561668494</v>
      </c>
      <c r="AH52" s="158">
        <f>24793.1075723728+5848.7057707303</f>
        <v>30641.813343103098</v>
      </c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>
        <v>58773.784576862206</v>
      </c>
      <c r="AT52" s="158">
        <v>11929.314973935467</v>
      </c>
      <c r="AU52" s="158"/>
      <c r="AV52" s="158"/>
      <c r="AW52" s="179">
        <f>SUM(Таблица2[[#This Row],[Охрана и ТО, пожарная сигнализация - бюджет]:[Огнезащитная обработка - внебюджет]])</f>
        <v>361065.35272919619</v>
      </c>
    </row>
    <row r="53" spans="1:49" ht="36" hidden="1" x14ac:dyDescent="0.3">
      <c r="A53" s="164">
        <v>52</v>
      </c>
      <c r="B53" s="160" t="s">
        <v>79</v>
      </c>
      <c r="C53" s="160" t="s">
        <v>80</v>
      </c>
      <c r="D53" s="160">
        <v>5057.3</v>
      </c>
      <c r="E53" s="161">
        <v>2020</v>
      </c>
      <c r="F53" s="161" t="s">
        <v>592</v>
      </c>
      <c r="G53" s="160">
        <v>46037.308543497646</v>
      </c>
      <c r="H53" s="160">
        <v>0</v>
      </c>
      <c r="I53" s="160"/>
      <c r="J53" s="160"/>
      <c r="K53" s="160"/>
      <c r="L53" s="160"/>
      <c r="M53" s="160">
        <v>3415.8609652296641</v>
      </c>
      <c r="N53" s="160">
        <v>2561.8957239222477</v>
      </c>
      <c r="O53" s="160"/>
      <c r="P53" s="160"/>
      <c r="Q53" s="160"/>
      <c r="R53" s="160"/>
      <c r="S53" s="160">
        <v>0</v>
      </c>
      <c r="T53" s="160">
        <v>6545.454545454545</v>
      </c>
      <c r="U53" s="160">
        <v>38476.264516129027</v>
      </c>
      <c r="V53" s="160">
        <v>0</v>
      </c>
      <c r="W53" s="160"/>
      <c r="X53" s="160"/>
      <c r="Y53" s="160"/>
      <c r="Z53" s="160"/>
      <c r="AA53" s="160">
        <v>0</v>
      </c>
      <c r="AB53" s="160">
        <v>101498</v>
      </c>
      <c r="AC53" s="160"/>
      <c r="AD53" s="160"/>
      <c r="AE53" s="160"/>
      <c r="AF53" s="160"/>
      <c r="AG53" s="160">
        <f>75612.4828762319+18997.212391981</f>
        <v>94609.69526821289</v>
      </c>
      <c r="AH53" s="160">
        <f>80530.6248720366+18997.212391981</f>
        <v>99527.837264017595</v>
      </c>
      <c r="AI53" s="160"/>
      <c r="AJ53" s="160"/>
      <c r="AK53" s="160">
        <v>0</v>
      </c>
      <c r="AL53" s="160">
        <v>2724045.06</v>
      </c>
      <c r="AM53" s="160"/>
      <c r="AN53" s="160"/>
      <c r="AO53" s="160"/>
      <c r="AP53" s="160"/>
      <c r="AQ53" s="160"/>
      <c r="AR53" s="160"/>
      <c r="AS53" s="160">
        <f>190903.442993298+167478.594424738</f>
        <v>358382.03741803602</v>
      </c>
      <c r="AT53" s="160">
        <f>38747.6715592061+107381.692221904</f>
        <v>146129.36378111009</v>
      </c>
      <c r="AU53" s="160"/>
      <c r="AV53" s="160"/>
      <c r="AW53" s="179">
        <f>SUM(Таблица2[[#This Row],[Охрана и ТО, пожарная сигнализация - бюджет]:[Огнезащитная обработка - внебюджет]])</f>
        <v>3621228.7780256099</v>
      </c>
    </row>
    <row r="54" spans="1:49" ht="36" hidden="1" x14ac:dyDescent="0.3">
      <c r="A54" s="163">
        <v>53</v>
      </c>
      <c r="B54" s="158" t="s">
        <v>81</v>
      </c>
      <c r="C54" s="158" t="s">
        <v>82</v>
      </c>
      <c r="D54" s="158">
        <v>286.89999999999998</v>
      </c>
      <c r="E54" s="159">
        <v>2020</v>
      </c>
      <c r="F54" s="159" t="s">
        <v>592</v>
      </c>
      <c r="G54" s="158">
        <v>2611.6907877977328</v>
      </c>
      <c r="H54" s="158">
        <v>0</v>
      </c>
      <c r="I54" s="158"/>
      <c r="J54" s="158"/>
      <c r="K54" s="158"/>
      <c r="L54" s="158"/>
      <c r="M54" s="158">
        <v>193.78136771091104</v>
      </c>
      <c r="N54" s="158">
        <v>145.33602578318326</v>
      </c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79">
        <f>SUM(Таблица2[[#This Row],[Охрана и ТО, пожарная сигнализация - бюджет]:[Огнезащитная обработка - внебюджет]])</f>
        <v>2950.8081812918272</v>
      </c>
    </row>
    <row r="55" spans="1:49" ht="36" hidden="1" x14ac:dyDescent="0.3">
      <c r="A55" s="164">
        <v>54</v>
      </c>
      <c r="B55" s="160" t="s">
        <v>81</v>
      </c>
      <c r="C55" s="160" t="s">
        <v>83</v>
      </c>
      <c r="D55" s="160">
        <v>155.69999999999999</v>
      </c>
      <c r="E55" s="161">
        <v>2020</v>
      </c>
      <c r="F55" s="161" t="s">
        <v>592</v>
      </c>
      <c r="G55" s="160">
        <v>1417.3588555598014</v>
      </c>
      <c r="H55" s="160">
        <v>0</v>
      </c>
      <c r="I55" s="160"/>
      <c r="J55" s="160"/>
      <c r="K55" s="160"/>
      <c r="L55" s="160"/>
      <c r="M55" s="160">
        <v>105.16472273471193</v>
      </c>
      <c r="N55" s="160">
        <v>78.873542051033951</v>
      </c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>
        <v>0</v>
      </c>
      <c r="AL55" s="160">
        <v>4532960</v>
      </c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79">
        <f>SUM(Таблица2[[#This Row],[Охрана и ТО, пожарная сигнализация - бюджет]:[Огнезащитная обработка - внебюджет]])</f>
        <v>4534561.3971203454</v>
      </c>
    </row>
    <row r="56" spans="1:49" ht="36" hidden="1" x14ac:dyDescent="0.3">
      <c r="A56" s="163">
        <v>55</v>
      </c>
      <c r="B56" s="158" t="s">
        <v>81</v>
      </c>
      <c r="C56" s="158" t="s">
        <v>84</v>
      </c>
      <c r="D56" s="158">
        <v>1142.7</v>
      </c>
      <c r="E56" s="159">
        <v>2020</v>
      </c>
      <c r="F56" s="159" t="s">
        <v>592</v>
      </c>
      <c r="G56" s="158">
        <v>10402.157766526558</v>
      </c>
      <c r="H56" s="158">
        <v>7826.086956521739</v>
      </c>
      <c r="I56" s="158"/>
      <c r="J56" s="158"/>
      <c r="K56" s="158"/>
      <c r="L56" s="158"/>
      <c r="M56" s="158">
        <v>771.8158552919416</v>
      </c>
      <c r="N56" s="158">
        <v>578.86189146895629</v>
      </c>
      <c r="O56" s="158">
        <v>0</v>
      </c>
      <c r="P56" s="158">
        <v>37280.898876404492</v>
      </c>
      <c r="Q56" s="158"/>
      <c r="R56" s="158"/>
      <c r="S56" s="158">
        <v>0</v>
      </c>
      <c r="T56" s="158">
        <v>6545.454545454545</v>
      </c>
      <c r="U56" s="158">
        <v>186515.41295527678</v>
      </c>
      <c r="V56" s="158">
        <v>342099.45621181739</v>
      </c>
      <c r="W56" s="158"/>
      <c r="X56" s="158"/>
      <c r="Y56" s="158"/>
      <c r="Z56" s="158"/>
      <c r="AA56" s="158">
        <v>0</v>
      </c>
      <c r="AB56" s="158">
        <v>101498</v>
      </c>
      <c r="AC56" s="158"/>
      <c r="AD56" s="158"/>
      <c r="AE56" s="158"/>
      <c r="AF56" s="158"/>
      <c r="AG56" s="158">
        <v>17084.686331178724</v>
      </c>
      <c r="AH56" s="158">
        <v>18195.94349579345</v>
      </c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>
        <v>43134.748642248196</v>
      </c>
      <c r="AT56" s="158">
        <v>8755.0598720077433</v>
      </c>
      <c r="AU56" s="158">
        <v>0</v>
      </c>
      <c r="AV56" s="158">
        <v>990000</v>
      </c>
      <c r="AW56" s="179">
        <f>SUM(Таблица2[[#This Row],[Охрана и ТО, пожарная сигнализация - бюджет]:[Огнезащитная обработка - внебюджет]])</f>
        <v>1770688.5833999906</v>
      </c>
    </row>
    <row r="57" spans="1:49" ht="36" hidden="1" x14ac:dyDescent="0.3">
      <c r="A57" s="164">
        <v>56</v>
      </c>
      <c r="B57" s="160" t="s">
        <v>81</v>
      </c>
      <c r="C57" s="160" t="s">
        <v>85</v>
      </c>
      <c r="D57" s="160">
        <v>1186.4000000000001</v>
      </c>
      <c r="E57" s="161">
        <v>2020</v>
      </c>
      <c r="F57" s="161" t="s">
        <v>592</v>
      </c>
      <c r="G57" s="160">
        <v>10799.964972614955</v>
      </c>
      <c r="H57" s="160">
        <v>0</v>
      </c>
      <c r="I57" s="160"/>
      <c r="J57" s="160"/>
      <c r="K57" s="160"/>
      <c r="L57" s="160"/>
      <c r="M57" s="160">
        <v>801.33222255916667</v>
      </c>
      <c r="N57" s="160">
        <v>600.99916691937494</v>
      </c>
      <c r="O57" s="160">
        <v>0</v>
      </c>
      <c r="P57" s="160">
        <v>53258.426966292136</v>
      </c>
      <c r="Q57" s="160"/>
      <c r="R57" s="160"/>
      <c r="S57" s="160">
        <v>0</v>
      </c>
      <c r="T57" s="160">
        <v>6545.454545454545</v>
      </c>
      <c r="U57" s="160"/>
      <c r="V57" s="160"/>
      <c r="W57" s="160"/>
      <c r="X57" s="160"/>
      <c r="Y57" s="160">
        <v>37500</v>
      </c>
      <c r="Z57" s="160">
        <v>35510.391250000001</v>
      </c>
      <c r="AA57" s="160"/>
      <c r="AB57" s="160"/>
      <c r="AC57" s="160"/>
      <c r="AD57" s="160"/>
      <c r="AE57" s="160"/>
      <c r="AF57" s="160"/>
      <c r="AG57" s="160">
        <v>17738.051862527729</v>
      </c>
      <c r="AH57" s="160">
        <v>18891.806566386058</v>
      </c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>
        <v>44784.340412324549</v>
      </c>
      <c r="AT57" s="160">
        <v>9089.8775112890416</v>
      </c>
      <c r="AU57" s="160"/>
      <c r="AV57" s="160"/>
      <c r="AW57" s="179">
        <f>SUM(Таблица2[[#This Row],[Охрана и ТО, пожарная сигнализация - бюджет]:[Огнезащитная обработка - внебюджет]])</f>
        <v>235520.64547636756</v>
      </c>
    </row>
    <row r="58" spans="1:49" ht="36" hidden="1" x14ac:dyDescent="0.3">
      <c r="A58" s="163">
        <v>57</v>
      </c>
      <c r="B58" s="158" t="s">
        <v>81</v>
      </c>
      <c r="C58" s="158" t="s">
        <v>86</v>
      </c>
      <c r="D58" s="158">
        <v>122.7</v>
      </c>
      <c r="E58" s="159">
        <v>2020</v>
      </c>
      <c r="F58" s="159" t="s">
        <v>592</v>
      </c>
      <c r="G58" s="158">
        <v>1116.9552445548338</v>
      </c>
      <c r="H58" s="158">
        <v>0</v>
      </c>
      <c r="I58" s="158"/>
      <c r="J58" s="158"/>
      <c r="K58" s="158"/>
      <c r="L58" s="158"/>
      <c r="M58" s="158">
        <v>82.875475141613066</v>
      </c>
      <c r="N58" s="158">
        <v>62.156606356209799</v>
      </c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79">
        <f>SUM(Таблица2[[#This Row],[Охрана и ТО, пожарная сигнализация - бюджет]:[Огнезащитная обработка - внебюджет]])</f>
        <v>1261.9873260526567</v>
      </c>
    </row>
    <row r="59" spans="1:49" ht="36" hidden="1" x14ac:dyDescent="0.3">
      <c r="A59" s="164">
        <v>58</v>
      </c>
      <c r="B59" s="160" t="s">
        <v>34</v>
      </c>
      <c r="C59" s="160" t="s">
        <v>87</v>
      </c>
      <c r="D59" s="160">
        <v>52.6</v>
      </c>
      <c r="E59" s="161">
        <v>2020</v>
      </c>
      <c r="F59" s="161" t="s">
        <v>593</v>
      </c>
      <c r="G59" s="160">
        <v>478.82514966246345</v>
      </c>
      <c r="H59" s="160">
        <v>0</v>
      </c>
      <c r="I59" s="160"/>
      <c r="J59" s="160"/>
      <c r="K59" s="160"/>
      <c r="L59" s="160"/>
      <c r="M59" s="160">
        <v>35.527709799909104</v>
      </c>
      <c r="N59" s="160">
        <v>26.645782349931828</v>
      </c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>
        <v>197.58633496494139</v>
      </c>
      <c r="AH59" s="160">
        <v>197.58633496494139</v>
      </c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79">
        <f>SUM(Таблица2[[#This Row],[Охрана и ТО, пожарная сигнализация - бюджет]:[Огнезащитная обработка - внебюджет]])</f>
        <v>936.17131174218707</v>
      </c>
    </row>
    <row r="60" spans="1:49" ht="36" hidden="1" x14ac:dyDescent="0.3">
      <c r="A60" s="163">
        <v>59</v>
      </c>
      <c r="B60" s="158" t="s">
        <v>34</v>
      </c>
      <c r="C60" s="158" t="s">
        <v>88</v>
      </c>
      <c r="D60" s="158">
        <v>54.9</v>
      </c>
      <c r="E60" s="159">
        <v>2020</v>
      </c>
      <c r="F60" s="159" t="s">
        <v>593</v>
      </c>
      <c r="G60" s="158">
        <v>499.76237103553694</v>
      </c>
      <c r="H60" s="158">
        <v>0</v>
      </c>
      <c r="I60" s="158">
        <v>0</v>
      </c>
      <c r="J60" s="158">
        <v>68.793268981875869</v>
      </c>
      <c r="K60" s="158"/>
      <c r="L60" s="158"/>
      <c r="M60" s="158">
        <v>37.081202813973569</v>
      </c>
      <c r="N60" s="158">
        <v>27.810902110480175</v>
      </c>
      <c r="O60" s="158"/>
      <c r="P60" s="158"/>
      <c r="Q60" s="158"/>
      <c r="R60" s="158"/>
      <c r="S60" s="158"/>
      <c r="T60" s="158"/>
      <c r="U60" s="158"/>
      <c r="V60" s="158"/>
      <c r="W60" s="158">
        <v>0</v>
      </c>
      <c r="X60" s="158">
        <v>145433.62831858409</v>
      </c>
      <c r="Y60" s="158"/>
      <c r="Z60" s="158"/>
      <c r="AA60" s="158"/>
      <c r="AB60" s="162"/>
      <c r="AC60" s="158"/>
      <c r="AD60" s="158"/>
      <c r="AE60" s="158"/>
      <c r="AF60" s="158"/>
      <c r="AG60" s="158">
        <v>206.22604162690649</v>
      </c>
      <c r="AH60" s="158">
        <v>206.22604162690649</v>
      </c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79">
        <f>SUM(Таблица2[[#This Row],[Охрана и ТО, пожарная сигнализация - бюджет]:[Огнезащитная обработка - внебюджет]])</f>
        <v>146479.52814677978</v>
      </c>
    </row>
    <row r="61" spans="1:49" ht="36" hidden="1" x14ac:dyDescent="0.3">
      <c r="A61" s="164">
        <v>60</v>
      </c>
      <c r="B61" s="160" t="s">
        <v>60</v>
      </c>
      <c r="C61" s="160" t="s">
        <v>89</v>
      </c>
      <c r="D61" s="160">
        <v>11053.9</v>
      </c>
      <c r="E61" s="161">
        <v>2020</v>
      </c>
      <c r="F61" s="161" t="s">
        <v>592</v>
      </c>
      <c r="G61" s="160"/>
      <c r="H61" s="160"/>
      <c r="I61" s="160">
        <v>0</v>
      </c>
      <c r="J61" s="160">
        <v>13851.255300523817</v>
      </c>
      <c r="K61" s="160">
        <v>3609883.8517911453</v>
      </c>
      <c r="L61" s="160">
        <v>642398.67138219427</v>
      </c>
      <c r="M61" s="160">
        <v>7466.15496876835</v>
      </c>
      <c r="N61" s="160">
        <f>5599.61622657626+3192.8</f>
        <v>8792.4162265762607</v>
      </c>
      <c r="O61" s="160">
        <v>0</v>
      </c>
      <c r="P61" s="160">
        <v>15977.528089887641</v>
      </c>
      <c r="Q61" s="160"/>
      <c r="R61" s="160"/>
      <c r="S61" s="160">
        <v>0</v>
      </c>
      <c r="T61" s="160">
        <v>6545.454545454545</v>
      </c>
      <c r="U61" s="160">
        <v>96190.661290322576</v>
      </c>
      <c r="V61" s="160">
        <v>0</v>
      </c>
      <c r="W61" s="160"/>
      <c r="X61" s="160"/>
      <c r="Y61" s="160">
        <f>11317.3076923077+37500</f>
        <v>48817.307692307702</v>
      </c>
      <c r="Z61" s="160">
        <v>35510.391250000001</v>
      </c>
      <c r="AA61" s="160">
        <v>0</v>
      </c>
      <c r="AB61" s="160">
        <f>101498+94350.85</f>
        <v>195848.85</v>
      </c>
      <c r="AC61" s="160"/>
      <c r="AD61" s="160"/>
      <c r="AE61" s="160"/>
      <c r="AF61" s="160"/>
      <c r="AG61" s="160">
        <f>165268.586887386+41522.8058568244</f>
        <v>206791.39274421037</v>
      </c>
      <c r="AH61" s="160">
        <f>176018.324851799+41522.8058568244</f>
        <v>217541.13070862339</v>
      </c>
      <c r="AI61" s="160"/>
      <c r="AJ61" s="160"/>
      <c r="AK61" s="160">
        <v>0</v>
      </c>
      <c r="AL61" s="160">
        <v>98047.2</v>
      </c>
      <c r="AM61" s="160"/>
      <c r="AN61" s="160"/>
      <c r="AO61" s="160">
        <v>0</v>
      </c>
      <c r="AP61" s="160">
        <v>1351680.56</v>
      </c>
      <c r="AQ61" s="160"/>
      <c r="AR61" s="160"/>
      <c r="AS61" s="160">
        <v>417263.6720193816</v>
      </c>
      <c r="AT61" s="160">
        <v>84692.006930241012</v>
      </c>
      <c r="AU61" s="160">
        <v>136318.1108506468</v>
      </c>
      <c r="AV61" s="160">
        <v>0</v>
      </c>
      <c r="AW61" s="179">
        <f>SUM(Таблица2[[#This Row],[Охрана и ТО, пожарная сигнализация - бюджет]:[Огнезащитная обработка - внебюджет]])</f>
        <v>7193616.6157902842</v>
      </c>
    </row>
    <row r="62" spans="1:49" ht="36" hidden="1" x14ac:dyDescent="0.3">
      <c r="A62" s="163">
        <v>61</v>
      </c>
      <c r="B62" s="158" t="s">
        <v>90</v>
      </c>
      <c r="C62" s="158" t="s">
        <v>91</v>
      </c>
      <c r="D62" s="158">
        <v>17563.900000000001</v>
      </c>
      <c r="E62" s="159">
        <v>2020</v>
      </c>
      <c r="F62" s="159" t="s">
        <v>592</v>
      </c>
      <c r="G62" s="158"/>
      <c r="H62" s="158"/>
      <c r="I62" s="158">
        <v>0</v>
      </c>
      <c r="J62" s="158">
        <f>67800+22008.7085076643</f>
        <v>89808.708507664298</v>
      </c>
      <c r="K62" s="158">
        <v>0</v>
      </c>
      <c r="L62" s="158">
        <f>99973+199000</f>
        <v>298973</v>
      </c>
      <c r="M62" s="158">
        <v>11863.215630316037</v>
      </c>
      <c r="N62" s="158">
        <f>8897.41172273703+60192.3</f>
        <v>69089.711722737033</v>
      </c>
      <c r="O62" s="158"/>
      <c r="P62" s="158"/>
      <c r="Q62" s="158"/>
      <c r="R62" s="158"/>
      <c r="S62" s="158">
        <v>0</v>
      </c>
      <c r="T62" s="158">
        <v>6545.454545454545</v>
      </c>
      <c r="U62" s="158">
        <v>163524.12419354837</v>
      </c>
      <c r="V62" s="158">
        <v>0</v>
      </c>
      <c r="W62" s="158"/>
      <c r="X62" s="158"/>
      <c r="Y62" s="158">
        <f>22634.6153846154+75000</f>
        <v>97634.615384615405</v>
      </c>
      <c r="Z62" s="158">
        <v>71020.782500000001</v>
      </c>
      <c r="AA62" s="158"/>
      <c r="AB62" s="158"/>
      <c r="AC62" s="158"/>
      <c r="AD62" s="158"/>
      <c r="AE62" s="158">
        <v>0</v>
      </c>
      <c r="AF62" s="158">
        <v>15073.170731707318</v>
      </c>
      <c r="AG62" s="158">
        <f>262600.614555168+65976.9321043866</f>
        <v>328577.54665955459</v>
      </c>
      <c r="AH62" s="158">
        <f>279681.221638021+65976.9321043866</f>
        <v>345658.15374240757</v>
      </c>
      <c r="AI62" s="158">
        <v>0</v>
      </c>
      <c r="AJ62" s="158">
        <v>7346.2379803167878</v>
      </c>
      <c r="AK62" s="158">
        <v>0</v>
      </c>
      <c r="AL62" s="158">
        <f>133618.24+247260+260064</f>
        <v>640942.24</v>
      </c>
      <c r="AM62" s="158"/>
      <c r="AN62" s="158"/>
      <c r="AO62" s="158"/>
      <c r="AP62" s="158"/>
      <c r="AQ62" s="158"/>
      <c r="AR62" s="158"/>
      <c r="AS62" s="158">
        <v>663003.77323670534</v>
      </c>
      <c r="AT62" s="158">
        <v>134569.8749330155</v>
      </c>
      <c r="AU62" s="158">
        <v>114480.34839278714</v>
      </c>
      <c r="AV62" s="158">
        <v>0</v>
      </c>
      <c r="AW62" s="179">
        <f>SUM(Таблица2[[#This Row],[Охрана и ТО, пожарная сигнализация - бюджет]:[Огнезащитная обработка - внебюджет]])</f>
        <v>3058110.9581608297</v>
      </c>
    </row>
    <row r="63" spans="1:49" ht="36" hidden="1" x14ac:dyDescent="0.3">
      <c r="A63" s="164">
        <v>62</v>
      </c>
      <c r="B63" s="160" t="s">
        <v>92</v>
      </c>
      <c r="C63" s="160" t="s">
        <v>93</v>
      </c>
      <c r="D63" s="160">
        <v>21448.3</v>
      </c>
      <c r="E63" s="161">
        <v>2020</v>
      </c>
      <c r="F63" s="161" t="s">
        <v>592</v>
      </c>
      <c r="G63" s="160"/>
      <c r="H63" s="160"/>
      <c r="I63" s="160">
        <v>0</v>
      </c>
      <c r="J63" s="160">
        <v>26876.114227758979</v>
      </c>
      <c r="K63" s="160">
        <v>2959761.6282088547</v>
      </c>
      <c r="L63" s="160">
        <v>526705.84861780563</v>
      </c>
      <c r="M63" s="160">
        <v>14486.862701547345</v>
      </c>
      <c r="N63" s="160">
        <v>10865.14702616051</v>
      </c>
      <c r="O63" s="160">
        <v>0</v>
      </c>
      <c r="P63" s="160">
        <v>10651.685393258427</v>
      </c>
      <c r="Q63" s="160"/>
      <c r="R63" s="160"/>
      <c r="S63" s="160">
        <v>0</v>
      </c>
      <c r="T63" s="160">
        <v>26181.81818181818</v>
      </c>
      <c r="U63" s="160">
        <v>76952.529032258055</v>
      </c>
      <c r="V63" s="160">
        <v>0</v>
      </c>
      <c r="W63" s="160"/>
      <c r="X63" s="160"/>
      <c r="Y63" s="160">
        <f>11317.3076923077+37500</f>
        <v>48817.307692307702</v>
      </c>
      <c r="Z63" s="160">
        <v>35510.391250000001</v>
      </c>
      <c r="AA63" s="160">
        <v>0</v>
      </c>
      <c r="AB63" s="160">
        <v>101498</v>
      </c>
      <c r="AC63" s="160"/>
      <c r="AD63" s="160"/>
      <c r="AE63" s="160">
        <v>0</v>
      </c>
      <c r="AF63" s="160">
        <v>7536.5853658536589</v>
      </c>
      <c r="AG63" s="160">
        <f>320676.886179243+80568.2697381854</f>
        <v>401245.15591742838</v>
      </c>
      <c r="AH63" s="160">
        <f>341535.009084472+80568.2697381854</f>
        <v>422103.27882265742</v>
      </c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>
        <f>809632.475105918+710286.345836733</f>
        <v>1519918.820942651</v>
      </c>
      <c r="AT63" s="160">
        <f>164331.102347759+455411.929148568</f>
        <v>619743.03149632702</v>
      </c>
      <c r="AU63" s="160">
        <v>21624.065807526462</v>
      </c>
      <c r="AV63" s="160">
        <v>0</v>
      </c>
      <c r="AW63" s="179">
        <f>SUM(Таблица2[[#This Row],[Охрана и ТО, пожарная сигнализация - бюджет]:[Огнезащитная обработка - внебюджет]])</f>
        <v>6830478.2706842134</v>
      </c>
    </row>
    <row r="64" spans="1:49" ht="36" hidden="1" x14ac:dyDescent="0.3">
      <c r="A64" s="163">
        <v>63</v>
      </c>
      <c r="B64" s="158" t="s">
        <v>94</v>
      </c>
      <c r="C64" s="158" t="s">
        <v>95</v>
      </c>
      <c r="D64" s="158">
        <v>348.4</v>
      </c>
      <c r="E64" s="159">
        <v>2020</v>
      </c>
      <c r="F64" s="159" t="s">
        <v>593</v>
      </c>
      <c r="G64" s="158"/>
      <c r="H64" s="158"/>
      <c r="I64" s="158">
        <v>0</v>
      </c>
      <c r="J64" s="158">
        <v>436.56784905802459</v>
      </c>
      <c r="K64" s="158"/>
      <c r="L64" s="158"/>
      <c r="M64" s="158">
        <v>235.32042004350438</v>
      </c>
      <c r="N64" s="158">
        <v>176.49031503262827</v>
      </c>
      <c r="O64" s="158"/>
      <c r="P64" s="158"/>
      <c r="Q64" s="158"/>
      <c r="R64" s="158"/>
      <c r="S64" s="158"/>
      <c r="T64" s="158"/>
      <c r="U64" s="158">
        <v>56867.04285780908</v>
      </c>
      <c r="V64" s="158">
        <v>104303.36093830156</v>
      </c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>
        <v>5208.9828632035233</v>
      </c>
      <c r="AH64" s="158">
        <v>5547.7961966696748</v>
      </c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>
        <f>13151.4364461007+11537.6865714074</f>
        <v>24689.1230175081</v>
      </c>
      <c r="AT64" s="158">
        <f>2669.34703719918+7397.5800466872</f>
        <v>10066.927083886379</v>
      </c>
      <c r="AU64" s="158"/>
      <c r="AV64" s="158"/>
      <c r="AW64" s="179">
        <f>SUM(Таблица2[[#This Row],[Охрана и ТО, пожарная сигнализация - бюджет]:[Огнезащитная обработка - внебюджет]])</f>
        <v>207531.61154151248</v>
      </c>
    </row>
    <row r="65" spans="1:49" ht="36" hidden="1" x14ac:dyDescent="0.3">
      <c r="A65" s="164">
        <v>64</v>
      </c>
      <c r="B65" s="160" t="s">
        <v>81</v>
      </c>
      <c r="C65" s="160" t="s">
        <v>96</v>
      </c>
      <c r="D65" s="160">
        <v>60.7</v>
      </c>
      <c r="E65" s="161">
        <v>2020</v>
      </c>
      <c r="F65" s="161" t="s">
        <v>592</v>
      </c>
      <c r="G65" s="160"/>
      <c r="H65" s="160"/>
      <c r="I65" s="160">
        <v>0</v>
      </c>
      <c r="J65" s="160">
        <v>76.061046032784432</v>
      </c>
      <c r="K65" s="160"/>
      <c r="L65" s="160"/>
      <c r="M65" s="160">
        <v>40.998706936397006</v>
      </c>
      <c r="N65" s="160">
        <v>30.749030202297757</v>
      </c>
      <c r="O65" s="160"/>
      <c r="P65" s="160"/>
      <c r="Q65" s="160"/>
      <c r="R65" s="160"/>
      <c r="S65" s="160"/>
      <c r="T65" s="160"/>
      <c r="U65" s="160">
        <v>9907.6621741360832</v>
      </c>
      <c r="V65" s="160">
        <v>18172.256053257479</v>
      </c>
      <c r="W65" s="160"/>
      <c r="X65" s="160"/>
      <c r="Y65" s="160"/>
      <c r="Z65" s="160"/>
      <c r="AA65" s="160"/>
      <c r="AB65" s="160"/>
      <c r="AC65" s="160"/>
      <c r="AD65" s="160"/>
      <c r="AE65" s="160">
        <v>0</v>
      </c>
      <c r="AF65" s="160">
        <v>150731.70731707316</v>
      </c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>
        <v>2010.1537740655308</v>
      </c>
      <c r="AT65" s="160">
        <v>1288.8435959641595</v>
      </c>
      <c r="AU65" s="160"/>
      <c r="AV65" s="160"/>
      <c r="AW65" s="179">
        <f>SUM(Таблица2[[#This Row],[Охрана и ТО, пожарная сигнализация - бюджет]:[Огнезащитная обработка - внебюджет]])</f>
        <v>182258.43169766787</v>
      </c>
    </row>
    <row r="66" spans="1:49" ht="36" hidden="1" x14ac:dyDescent="0.3">
      <c r="A66" s="163">
        <v>65</v>
      </c>
      <c r="B66" s="158" t="s">
        <v>73</v>
      </c>
      <c r="C66" s="158" t="s">
        <v>97</v>
      </c>
      <c r="D66" s="158">
        <v>358.3</v>
      </c>
      <c r="E66" s="159">
        <v>2020</v>
      </c>
      <c r="F66" s="159" t="s">
        <v>592</v>
      </c>
      <c r="G66" s="158"/>
      <c r="H66" s="158"/>
      <c r="I66" s="158">
        <v>0</v>
      </c>
      <c r="J66" s="158">
        <v>448.97319264492029</v>
      </c>
      <c r="K66" s="158"/>
      <c r="L66" s="158"/>
      <c r="M66" s="158">
        <v>242.00719432143407</v>
      </c>
      <c r="N66" s="158">
        <v>181.50539574107555</v>
      </c>
      <c r="O66" s="158"/>
      <c r="P66" s="158"/>
      <c r="Q66" s="158"/>
      <c r="R66" s="158"/>
      <c r="S66" s="158">
        <v>0</v>
      </c>
      <c r="T66" s="158">
        <v>6545.454545454545</v>
      </c>
      <c r="U66" s="158">
        <v>58482.954810427655</v>
      </c>
      <c r="V66" s="158">
        <v>107267.20500629579</v>
      </c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>
        <v>5356.9993108089056</v>
      </c>
      <c r="AH66" s="158">
        <v>5705.4402332570171</v>
      </c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>
        <v>13525.142590809075</v>
      </c>
      <c r="AT66" s="158">
        <v>2745.1981728715978</v>
      </c>
      <c r="AU66" s="158"/>
      <c r="AV66" s="158"/>
      <c r="AW66" s="179">
        <f>SUM(Таблица2[[#This Row],[Охрана и ТО, пожарная сигнализация - бюджет]:[Огнезащитная обработка - внебюджет]])</f>
        <v>200500.88045263203</v>
      </c>
    </row>
    <row r="67" spans="1:49" ht="36" hidden="1" x14ac:dyDescent="0.3">
      <c r="A67" s="164">
        <v>66</v>
      </c>
      <c r="B67" s="160" t="s">
        <v>98</v>
      </c>
      <c r="C67" s="160" t="s">
        <v>99</v>
      </c>
      <c r="D67" s="160">
        <v>196.6</v>
      </c>
      <c r="E67" s="161">
        <v>2020</v>
      </c>
      <c r="F67" s="161" t="s">
        <v>592</v>
      </c>
      <c r="G67" s="160"/>
      <c r="H67" s="160"/>
      <c r="I67" s="160">
        <v>0</v>
      </c>
      <c r="J67" s="160">
        <v>246.35258072562468</v>
      </c>
      <c r="K67" s="160"/>
      <c r="L67" s="160"/>
      <c r="M67" s="160">
        <v>132.78988111524961</v>
      </c>
      <c r="N67" s="160">
        <v>99.59241083643721</v>
      </c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79">
        <f>SUM(Таблица2[[#This Row],[Охрана и ТО, пожарная сигнализация - бюджет]:[Огнезащитная обработка - внебюджет]])</f>
        <v>478.7348726773115</v>
      </c>
    </row>
    <row r="68" spans="1:49" ht="36" hidden="1" x14ac:dyDescent="0.3">
      <c r="A68" s="163">
        <v>67</v>
      </c>
      <c r="B68" s="158" t="s">
        <v>81</v>
      </c>
      <c r="C68" s="158" t="s">
        <v>100</v>
      </c>
      <c r="D68" s="158">
        <v>54.4</v>
      </c>
      <c r="E68" s="159">
        <v>2020</v>
      </c>
      <c r="F68" s="159" t="s">
        <v>592</v>
      </c>
      <c r="G68" s="158"/>
      <c r="H68" s="158"/>
      <c r="I68" s="158">
        <v>0</v>
      </c>
      <c r="J68" s="158">
        <v>68.166736477487191</v>
      </c>
      <c r="K68" s="158"/>
      <c r="L68" s="158"/>
      <c r="M68" s="158">
        <v>36.743486941350859</v>
      </c>
      <c r="N68" s="158">
        <v>27.557615206013146</v>
      </c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79">
        <f>SUM(Таблица2[[#This Row],[Охрана и ТО, пожарная сигнализация - бюджет]:[Огнезащитная обработка - внебюджет]])</f>
        <v>132.4678386248512</v>
      </c>
    </row>
    <row r="69" spans="1:49" ht="36" hidden="1" x14ac:dyDescent="0.3">
      <c r="A69" s="164">
        <v>68</v>
      </c>
      <c r="B69" s="160" t="s">
        <v>101</v>
      </c>
      <c r="C69" s="160" t="s">
        <v>102</v>
      </c>
      <c r="D69" s="160">
        <v>217</v>
      </c>
      <c r="E69" s="161">
        <v>2020</v>
      </c>
      <c r="F69" s="161" t="s">
        <v>593</v>
      </c>
      <c r="G69" s="160"/>
      <c r="H69" s="160"/>
      <c r="I69" s="160">
        <v>0</v>
      </c>
      <c r="J69" s="160">
        <v>271.91510690468237</v>
      </c>
      <c r="K69" s="160"/>
      <c r="L69" s="160"/>
      <c r="M69" s="160">
        <v>146.56868871825617</v>
      </c>
      <c r="N69" s="160">
        <v>109.92651653869213</v>
      </c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>
        <v>815.13754158540451</v>
      </c>
      <c r="AH69" s="160">
        <v>815.13754158540451</v>
      </c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79">
        <f>SUM(Таблица2[[#This Row],[Охрана и ТО, пожарная сигнализация - бюджет]:[Огнезащитная обработка - внебюджет]])</f>
        <v>2158.6853953324398</v>
      </c>
    </row>
    <row r="70" spans="1:49" ht="36" hidden="1" x14ac:dyDescent="0.3">
      <c r="A70" s="163">
        <v>69</v>
      </c>
      <c r="B70" s="158" t="s">
        <v>291</v>
      </c>
      <c r="C70" s="158" t="s">
        <v>103</v>
      </c>
      <c r="D70" s="158">
        <v>482.8</v>
      </c>
      <c r="E70" s="159">
        <v>2020</v>
      </c>
      <c r="F70" s="159" t="s">
        <v>593</v>
      </c>
      <c r="G70" s="158"/>
      <c r="H70" s="158"/>
      <c r="I70" s="158"/>
      <c r="J70" s="158"/>
      <c r="K70" s="158">
        <f>450000</f>
        <v>450000</v>
      </c>
      <c r="L70" s="158">
        <f>6358</f>
        <v>6358</v>
      </c>
      <c r="M70" s="158">
        <v>326.09844660448891</v>
      </c>
      <c r="N70" s="158">
        <v>244.57383495336668</v>
      </c>
      <c r="O70" s="158"/>
      <c r="P70" s="158"/>
      <c r="Q70" s="158"/>
      <c r="R70" s="158"/>
      <c r="S70" s="158">
        <v>0</v>
      </c>
      <c r="T70" s="158">
        <v>3272.7272727272725</v>
      </c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>
        <v>7218.4182731190049</v>
      </c>
      <c r="AH70" s="158">
        <v>7687.9334206432814</v>
      </c>
      <c r="AI70" s="158"/>
      <c r="AJ70" s="158"/>
      <c r="AK70" s="158">
        <v>6230898.6399999997</v>
      </c>
      <c r="AL70" s="158">
        <v>0</v>
      </c>
      <c r="AM70" s="158"/>
      <c r="AN70" s="158"/>
      <c r="AO70" s="158"/>
      <c r="AP70" s="158"/>
      <c r="AQ70" s="158"/>
      <c r="AR70" s="158"/>
      <c r="AS70" s="158">
        <v>18224.780471232545</v>
      </c>
      <c r="AT70" s="158">
        <v>3699.0836669338746</v>
      </c>
      <c r="AU70" s="158"/>
      <c r="AV70" s="158"/>
      <c r="AW70" s="179">
        <f>SUM(Таблица2[[#This Row],[Охрана и ТО, пожарная сигнализация - бюджет]:[Огнезащитная обработка - внебюджет]])</f>
        <v>6727930.2553862138</v>
      </c>
    </row>
    <row r="71" spans="1:49" ht="36" hidden="1" x14ac:dyDescent="0.3">
      <c r="A71" s="164">
        <v>70</v>
      </c>
      <c r="B71" s="160" t="s">
        <v>104</v>
      </c>
      <c r="C71" s="160" t="s">
        <v>105</v>
      </c>
      <c r="D71" s="160">
        <v>11351</v>
      </c>
      <c r="E71" s="161">
        <v>2020</v>
      </c>
      <c r="F71" s="161" t="s">
        <v>591</v>
      </c>
      <c r="G71" s="160">
        <v>197502.68041237112</v>
      </c>
      <c r="H71" s="160">
        <f>197502.680412371+60201+260000+1509900</f>
        <v>2027603.6804123709</v>
      </c>
      <c r="I71" s="160">
        <v>814567.61</v>
      </c>
      <c r="J71" s="160">
        <v>185432.39</v>
      </c>
      <c r="K71" s="160">
        <v>1013243.63583247</v>
      </c>
      <c r="L71" s="160">
        <f>297000+295000+1013243.63583247</f>
        <v>1605243.6358324699</v>
      </c>
      <c r="M71" s="160">
        <v>52210</v>
      </c>
      <c r="N71" s="160">
        <v>18630</v>
      </c>
      <c r="O71" s="160">
        <v>0</v>
      </c>
      <c r="P71" s="160">
        <f>26629.2134831461+199500</f>
        <v>226129.2134831461</v>
      </c>
      <c r="Q71" s="160"/>
      <c r="R71" s="160"/>
      <c r="S71" s="160">
        <v>0</v>
      </c>
      <c r="T71" s="160">
        <v>6545.454545454545</v>
      </c>
      <c r="U71" s="160"/>
      <c r="V71" s="160"/>
      <c r="W71" s="160">
        <v>43931.185486393493</v>
      </c>
      <c r="X71" s="160">
        <v>18827.650922740071</v>
      </c>
      <c r="Y71" s="160">
        <f>51442.3076923077+225000</f>
        <v>276442.30769230769</v>
      </c>
      <c r="Z71" s="160">
        <v>213062.3475</v>
      </c>
      <c r="AA71" s="160"/>
      <c r="AB71" s="160"/>
      <c r="AC71" s="160"/>
      <c r="AD71" s="160"/>
      <c r="AE71" s="160">
        <v>0</v>
      </c>
      <c r="AF71" s="160">
        <v>7536.5853658536589</v>
      </c>
      <c r="AG71" s="160">
        <f>169710.57543118+42638.8305738983</f>
        <v>212349.40600507832</v>
      </c>
      <c r="AH71" s="160">
        <f>180749.238313426+42638.8305738983</f>
        <v>223388.06888732431</v>
      </c>
      <c r="AI71" s="160">
        <v>0</v>
      </c>
      <c r="AJ71" s="160">
        <v>47442.429417768071</v>
      </c>
      <c r="AK71" s="160"/>
      <c r="AL71" s="160"/>
      <c r="AM71" s="160"/>
      <c r="AN71" s="160"/>
      <c r="AO71" s="160"/>
      <c r="AP71" s="160"/>
      <c r="AQ71" s="160"/>
      <c r="AR71" s="160"/>
      <c r="AS71" s="160">
        <v>428478.63117017527</v>
      </c>
      <c r="AT71" s="160">
        <v>86968.307173501264</v>
      </c>
      <c r="AU71" s="160"/>
      <c r="AV71" s="160"/>
      <c r="AW71" s="179">
        <f>SUM(Таблица2[[#This Row],[Охрана и ТО, пожарная сигнализация - бюджет]:[Огнезащитная обработка - внебюджет]])</f>
        <v>7705535.2201394243</v>
      </c>
    </row>
    <row r="72" spans="1:49" ht="36" hidden="1" x14ac:dyDescent="0.3">
      <c r="A72" s="163">
        <v>71</v>
      </c>
      <c r="B72" s="158" t="s">
        <v>106</v>
      </c>
      <c r="C72" s="158" t="s">
        <v>107</v>
      </c>
      <c r="D72" s="158">
        <v>8800.7000000000007</v>
      </c>
      <c r="E72" s="159">
        <v>2020</v>
      </c>
      <c r="F72" s="159" t="s">
        <v>591</v>
      </c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>
        <v>0</v>
      </c>
      <c r="T72" s="158">
        <v>6545.454545454545</v>
      </c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79">
        <f>SUM(Таблица2[[#This Row],[Охрана и ТО, пожарная сигнализация - бюджет]:[Огнезащитная обработка - внебюджет]])</f>
        <v>6545.454545454545</v>
      </c>
    </row>
    <row r="73" spans="1:49" ht="36" hidden="1" x14ac:dyDescent="0.3">
      <c r="A73" s="164">
        <v>72</v>
      </c>
      <c r="B73" s="160" t="s">
        <v>108</v>
      </c>
      <c r="C73" s="160" t="s">
        <v>107</v>
      </c>
      <c r="D73" s="160">
        <v>6435.4</v>
      </c>
      <c r="E73" s="161">
        <v>2020</v>
      </c>
      <c r="F73" s="161" t="s">
        <v>591</v>
      </c>
      <c r="G73" s="160">
        <v>164585.56701030899</v>
      </c>
      <c r="H73" s="160">
        <f>696000+164585.567010309</f>
        <v>860585.56701030897</v>
      </c>
      <c r="I73" s="160">
        <v>447525</v>
      </c>
      <c r="J73" s="160">
        <v>0</v>
      </c>
      <c r="K73" s="160">
        <v>0</v>
      </c>
      <c r="L73" s="160">
        <v>705500</v>
      </c>
      <c r="M73" s="160">
        <v>20400</v>
      </c>
      <c r="N73" s="160">
        <v>7300</v>
      </c>
      <c r="O73" s="160">
        <v>0</v>
      </c>
      <c r="P73" s="160">
        <v>10651.685393258427</v>
      </c>
      <c r="Q73" s="160">
        <v>0</v>
      </c>
      <c r="R73" s="160">
        <v>79990</v>
      </c>
      <c r="S73" s="160">
        <v>0</v>
      </c>
      <c r="T73" s="160">
        <v>6545.454545454545</v>
      </c>
      <c r="U73" s="160"/>
      <c r="V73" s="160"/>
      <c r="W73" s="160">
        <v>19272.44291523303</v>
      </c>
      <c r="X73" s="160">
        <f>21600+8259.6</f>
        <v>29859.599999999999</v>
      </c>
      <c r="Y73" s="160">
        <f>11317.3076923077+37500</f>
        <v>48817.307692307702</v>
      </c>
      <c r="Z73" s="160">
        <v>35510.391250000001</v>
      </c>
      <c r="AA73" s="160">
        <v>0</v>
      </c>
      <c r="AB73" s="160">
        <v>51464.1</v>
      </c>
      <c r="AC73" s="160"/>
      <c r="AD73" s="160"/>
      <c r="AE73" s="160"/>
      <c r="AF73" s="160"/>
      <c r="AG73" s="160">
        <f>96216.6714060274+24173.8992401784</f>
        <v>120390.5706462058</v>
      </c>
      <c r="AH73" s="160">
        <f>102474.993237796+24173.8992401784</f>
        <v>126648.89247797441</v>
      </c>
      <c r="AI73" s="160">
        <v>0</v>
      </c>
      <c r="AJ73" s="160">
        <v>26897.278678099257</v>
      </c>
      <c r="AK73" s="160"/>
      <c r="AL73" s="160"/>
      <c r="AM73" s="160"/>
      <c r="AN73" s="160"/>
      <c r="AO73" s="160"/>
      <c r="AP73" s="160"/>
      <c r="AQ73" s="160"/>
      <c r="AR73" s="160"/>
      <c r="AS73" s="160">
        <f>242924.093298612+213116.039499527</f>
        <v>456040.13279813901</v>
      </c>
      <c r="AT73" s="160">
        <f>49306.3028794247+136642.900782006</f>
        <v>185949.20366143071</v>
      </c>
      <c r="AU73" s="160"/>
      <c r="AV73" s="160"/>
      <c r="AW73" s="179">
        <f>SUM(Таблица2[[#This Row],[Охрана и ТО, пожарная сигнализация - бюджет]:[Огнезащитная обработка - внебюджет]])</f>
        <v>3403933.1940787206</v>
      </c>
    </row>
    <row r="74" spans="1:49" ht="36" hidden="1" x14ac:dyDescent="0.3">
      <c r="A74" s="163">
        <v>73</v>
      </c>
      <c r="B74" s="158" t="s">
        <v>109</v>
      </c>
      <c r="C74" s="158" t="s">
        <v>110</v>
      </c>
      <c r="D74" s="158">
        <v>6896.7</v>
      </c>
      <c r="E74" s="159">
        <v>2020</v>
      </c>
      <c r="F74" s="159" t="s">
        <v>593</v>
      </c>
      <c r="G74" s="158">
        <v>498000</v>
      </c>
      <c r="H74" s="158">
        <v>7826.086956521739</v>
      </c>
      <c r="I74" s="158"/>
      <c r="J74" s="158"/>
      <c r="K74" s="158"/>
      <c r="L74" s="158"/>
      <c r="M74" s="158">
        <v>4658.2501174340896</v>
      </c>
      <c r="N74" s="158">
        <v>3493.6875880755674</v>
      </c>
      <c r="O74" s="158">
        <v>0</v>
      </c>
      <c r="P74" s="158">
        <v>5325.8426966292136</v>
      </c>
      <c r="Q74" s="158"/>
      <c r="R74" s="158"/>
      <c r="S74" s="158">
        <v>0</v>
      </c>
      <c r="T74" s="158">
        <v>6545.454545454545</v>
      </c>
      <c r="U74" s="158">
        <v>76952.529032258055</v>
      </c>
      <c r="V74" s="158">
        <v>0</v>
      </c>
      <c r="W74" s="158">
        <v>0</v>
      </c>
      <c r="X74" s="158">
        <v>8814.1592920353978</v>
      </c>
      <c r="Y74" s="158"/>
      <c r="Z74" s="158"/>
      <c r="AA74" s="158"/>
      <c r="AB74" s="158"/>
      <c r="AC74" s="158"/>
      <c r="AD74" s="158"/>
      <c r="AE74" s="158">
        <v>0</v>
      </c>
      <c r="AF74" s="158">
        <v>7536.5853658536589</v>
      </c>
      <c r="AG74" s="158">
        <v>103113.63981818526</v>
      </c>
      <c r="AH74" s="158">
        <v>109820.56839716346</v>
      </c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>
        <f>260337.289718205+228392.545858282</f>
        <v>488729.83557648701</v>
      </c>
      <c r="AT74" s="158">
        <f>52840.6593325246+146437.68745117</f>
        <v>199278.34678369461</v>
      </c>
      <c r="AU74" s="158"/>
      <c r="AV74" s="158"/>
      <c r="AW74" s="179">
        <f>SUM(Таблица2[[#This Row],[Охрана и ТО, пожарная сигнализация - бюджет]:[Огнезащитная обработка - внебюджет]])</f>
        <v>1520094.9861697925</v>
      </c>
    </row>
    <row r="75" spans="1:49" ht="36" hidden="1" x14ac:dyDescent="0.3">
      <c r="A75" s="164">
        <v>74</v>
      </c>
      <c r="B75" s="160" t="s">
        <v>111</v>
      </c>
      <c r="C75" s="160" t="s">
        <v>112</v>
      </c>
      <c r="D75" s="160">
        <v>38.4</v>
      </c>
      <c r="E75" s="161">
        <v>2020</v>
      </c>
      <c r="F75" s="161" t="s">
        <v>593</v>
      </c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79">
        <f>SUM(Таблица2[[#This Row],[Охрана и ТО, пожарная сигнализация - бюджет]:[Огнезащитная обработка - внебюджет]])</f>
        <v>0</v>
      </c>
    </row>
    <row r="76" spans="1:49" ht="36" hidden="1" x14ac:dyDescent="0.3">
      <c r="A76" s="163">
        <v>75</v>
      </c>
      <c r="B76" s="158" t="s">
        <v>113</v>
      </c>
      <c r="C76" s="158" t="s">
        <v>114</v>
      </c>
      <c r="D76" s="158">
        <v>3455.5</v>
      </c>
      <c r="E76" s="159">
        <v>2020</v>
      </c>
      <c r="F76" s="159" t="s">
        <v>593</v>
      </c>
      <c r="G76" s="158">
        <v>27098.639999999999</v>
      </c>
      <c r="H76" s="158">
        <v>551706.75020210177</v>
      </c>
      <c r="I76" s="158">
        <v>0</v>
      </c>
      <c r="J76" s="158">
        <v>4329.9661378300925</v>
      </c>
      <c r="K76" s="158">
        <v>0</v>
      </c>
      <c r="L76" s="158">
        <f>165317.15347201+76461.8067783219+139500+280000</f>
        <v>661278.9602503319</v>
      </c>
      <c r="M76" s="158">
        <v>2333.9543956955495</v>
      </c>
      <c r="N76" s="158">
        <v>1750.4657967716621</v>
      </c>
      <c r="O76" s="158">
        <v>0</v>
      </c>
      <c r="P76" s="158">
        <f>318720+5325.84</f>
        <v>324045.84000000003</v>
      </c>
      <c r="Q76" s="158"/>
      <c r="R76" s="158"/>
      <c r="S76" s="158">
        <v>0</v>
      </c>
      <c r="T76" s="158">
        <v>3272.7272727272725</v>
      </c>
      <c r="U76" s="158">
        <v>76952.529032258055</v>
      </c>
      <c r="V76" s="158">
        <v>0</v>
      </c>
      <c r="W76" s="158"/>
      <c r="X76" s="158"/>
      <c r="Y76" s="158"/>
      <c r="Z76" s="158"/>
      <c r="AA76" s="158">
        <v>0</v>
      </c>
      <c r="AB76" s="158">
        <v>247500</v>
      </c>
      <c r="AC76" s="158"/>
      <c r="AD76" s="158"/>
      <c r="AE76" s="158"/>
      <c r="AF76" s="158"/>
      <c r="AG76" s="158">
        <v>51663.720676807621</v>
      </c>
      <c r="AH76" s="158">
        <v>55024.138225005918</v>
      </c>
      <c r="AI76" s="158"/>
      <c r="AJ76" s="158"/>
      <c r="AK76" s="158">
        <v>0</v>
      </c>
      <c r="AL76" s="158">
        <f>144910.317299919+146693.237974939</f>
        <v>291603.55527485802</v>
      </c>
      <c r="AM76" s="158"/>
      <c r="AN76" s="158"/>
      <c r="AO76" s="158"/>
      <c r="AP76" s="158"/>
      <c r="AQ76" s="158">
        <v>0</v>
      </c>
      <c r="AR76" s="158">
        <f>490000*4+200000</f>
        <v>2160000</v>
      </c>
      <c r="AS76" s="158">
        <v>130438.543741392</v>
      </c>
      <c r="AT76" s="158">
        <v>26475.111042025688</v>
      </c>
      <c r="AU76" s="158"/>
      <c r="AV76" s="158"/>
      <c r="AW76" s="179">
        <f>SUM(Таблица2[[#This Row],[Охрана и ТО, пожарная сигнализация - бюджет]:[Огнезащитная обработка - внебюджет]])</f>
        <v>4615474.9020478055</v>
      </c>
    </row>
    <row r="77" spans="1:49" ht="36" hidden="1" x14ac:dyDescent="0.3">
      <c r="A77" s="164">
        <v>76</v>
      </c>
      <c r="B77" s="160" t="s">
        <v>115</v>
      </c>
      <c r="C77" s="160" t="s">
        <v>116</v>
      </c>
      <c r="D77" s="160">
        <v>2482.1</v>
      </c>
      <c r="E77" s="161">
        <v>2020</v>
      </c>
      <c r="F77" s="161" t="s">
        <v>593</v>
      </c>
      <c r="G77" s="160">
        <v>27098.639999999999</v>
      </c>
      <c r="H77" s="160">
        <f>7826.08695652174+396293.249797898</f>
        <v>404119.33675441972</v>
      </c>
      <c r="I77" s="160">
        <v>0</v>
      </c>
      <c r="J77" s="160">
        <v>3110.2326582862306</v>
      </c>
      <c r="K77" s="160">
        <v>0</v>
      </c>
      <c r="L77" s="160">
        <f>831282.84652799+139500</f>
        <v>970782.84652798995</v>
      </c>
      <c r="M77" s="160">
        <v>1676.4891348736573</v>
      </c>
      <c r="N77" s="160">
        <v>1257.366851155243</v>
      </c>
      <c r="O77" s="160">
        <v>0</v>
      </c>
      <c r="P77" s="160">
        <v>149400</v>
      </c>
      <c r="Q77" s="160"/>
      <c r="R77" s="160"/>
      <c r="S77" s="160">
        <v>0</v>
      </c>
      <c r="T77" s="160">
        <v>3272.7272727272725</v>
      </c>
      <c r="U77" s="160">
        <v>76952.529032258055</v>
      </c>
      <c r="V77" s="160">
        <v>0</v>
      </c>
      <c r="W77" s="160">
        <v>0</v>
      </c>
      <c r="X77" s="160">
        <v>66106.194690265489</v>
      </c>
      <c r="Y77" s="160"/>
      <c r="Z77" s="160"/>
      <c r="AA77" s="160">
        <v>0</v>
      </c>
      <c r="AB77" s="160">
        <v>247500</v>
      </c>
      <c r="AC77" s="160"/>
      <c r="AD77" s="160"/>
      <c r="AE77" s="160"/>
      <c r="AF77" s="160"/>
      <c r="AG77" s="160">
        <v>37110.26511124416</v>
      </c>
      <c r="AH77" s="160">
        <v>39524.066991256601</v>
      </c>
      <c r="AI77" s="160"/>
      <c r="AJ77" s="160"/>
      <c r="AK77" s="160">
        <v>0</v>
      </c>
      <c r="AL77" s="160">
        <f>97750.67+104089.682700081+105370.362025061</f>
        <v>307210.714725142</v>
      </c>
      <c r="AM77" s="160"/>
      <c r="AN77" s="160"/>
      <c r="AO77" s="160"/>
      <c r="AP77" s="160"/>
      <c r="AQ77" s="160"/>
      <c r="AR77" s="160"/>
      <c r="AS77" s="160">
        <v>93694.547654611219</v>
      </c>
      <c r="AT77" s="160">
        <v>19017.182207325124</v>
      </c>
      <c r="AU77" s="160"/>
      <c r="AV77" s="160"/>
      <c r="AW77" s="179">
        <f>SUM(Таблица2[[#This Row],[Охрана и ТО, пожарная сигнализация - бюджет]:[Огнезащитная обработка - внебюджет]])</f>
        <v>2447833.1396115543</v>
      </c>
    </row>
    <row r="78" spans="1:49" ht="36" hidden="1" x14ac:dyDescent="0.3">
      <c r="A78" s="163">
        <v>77</v>
      </c>
      <c r="B78" s="158" t="s">
        <v>117</v>
      </c>
      <c r="C78" s="158" t="s">
        <v>118</v>
      </c>
      <c r="D78" s="158">
        <v>404.9</v>
      </c>
      <c r="E78" s="159">
        <v>2020</v>
      </c>
      <c r="F78" s="159" t="s">
        <v>593</v>
      </c>
      <c r="G78" s="158">
        <v>54197.279999999999</v>
      </c>
      <c r="H78" s="158">
        <v>0</v>
      </c>
      <c r="I78" s="158">
        <v>0</v>
      </c>
      <c r="J78" s="158">
        <v>507.36602205394416</v>
      </c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>
        <v>0</v>
      </c>
      <c r="AJ78" s="158">
        <v>2884.5984934354437</v>
      </c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79">
        <f>SUM(Таблица2[[#This Row],[Охрана и ТО, пожарная сигнализация - бюджет]:[Огнезащитная обработка - внебюджет]])</f>
        <v>57589.244515489387</v>
      </c>
    </row>
    <row r="79" spans="1:49" ht="54" hidden="1" x14ac:dyDescent="0.3">
      <c r="A79" s="164">
        <v>78</v>
      </c>
      <c r="B79" s="160" t="s">
        <v>119</v>
      </c>
      <c r="C79" s="160" t="s">
        <v>120</v>
      </c>
      <c r="D79" s="160">
        <v>5741.2</v>
      </c>
      <c r="E79" s="161">
        <v>2020</v>
      </c>
      <c r="F79" s="161" t="s">
        <v>592</v>
      </c>
      <c r="G79" s="160"/>
      <c r="H79" s="160"/>
      <c r="I79" s="160">
        <v>0</v>
      </c>
      <c r="J79" s="160">
        <v>7194.096828392454</v>
      </c>
      <c r="K79" s="160"/>
      <c r="L79" s="160"/>
      <c r="M79" s="160">
        <v>3877.7887358030061</v>
      </c>
      <c r="N79" s="160">
        <v>2908.3415518522547</v>
      </c>
      <c r="O79" s="160"/>
      <c r="P79" s="160"/>
      <c r="Q79" s="160"/>
      <c r="R79" s="160"/>
      <c r="S79" s="160">
        <v>0</v>
      </c>
      <c r="T79" s="160">
        <v>6545.454545454545</v>
      </c>
      <c r="U79" s="160">
        <v>19238.132258064514</v>
      </c>
      <c r="V79" s="160">
        <v>0</v>
      </c>
      <c r="W79" s="160"/>
      <c r="X79" s="160"/>
      <c r="Y79" s="160"/>
      <c r="Z79" s="160"/>
      <c r="AA79" s="160"/>
      <c r="AB79" s="160"/>
      <c r="AC79" s="160"/>
      <c r="AD79" s="160"/>
      <c r="AE79" s="160">
        <v>0</v>
      </c>
      <c r="AF79" s="160">
        <v>15073.170731707318</v>
      </c>
      <c r="AG79" s="160">
        <f>85837.5786860622+21566.2103859453</f>
        <v>107403.78907200749</v>
      </c>
      <c r="AH79" s="160">
        <f>91420.8023086106+21566.2103859453</f>
        <v>112987.01269455589</v>
      </c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>
        <v>216719.36545451594</v>
      </c>
      <c r="AT79" s="160">
        <v>43987.529305303979</v>
      </c>
      <c r="AU79" s="160">
        <v>78457.198765190129</v>
      </c>
      <c r="AV79" s="160">
        <v>0</v>
      </c>
      <c r="AW79" s="179">
        <f>SUM(Таблица2[[#This Row],[Охрана и ТО, пожарная сигнализация - бюджет]:[Огнезащитная обработка - внебюджет]])</f>
        <v>614391.87994284742</v>
      </c>
    </row>
    <row r="80" spans="1:49" ht="36" hidden="1" x14ac:dyDescent="0.3">
      <c r="A80" s="163">
        <v>79</v>
      </c>
      <c r="B80" s="158" t="s">
        <v>121</v>
      </c>
      <c r="C80" s="158" t="s">
        <v>122</v>
      </c>
      <c r="D80" s="158">
        <v>9.1999999999999993</v>
      </c>
      <c r="E80" s="159">
        <v>2020</v>
      </c>
      <c r="F80" s="159" t="s">
        <v>593</v>
      </c>
      <c r="G80" s="158"/>
      <c r="H80" s="158"/>
      <c r="I80" s="158">
        <v>0</v>
      </c>
      <c r="J80" s="158">
        <v>11.52819808075151</v>
      </c>
      <c r="K80" s="158"/>
      <c r="L80" s="158"/>
      <c r="M80" s="158">
        <v>6.213972056257866</v>
      </c>
      <c r="N80" s="158">
        <v>4.6604790421933995</v>
      </c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>
        <v>34.558826647860464</v>
      </c>
      <c r="AH80" s="158">
        <v>34.558826647860464</v>
      </c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79">
        <f>SUM(Таблица2[[#This Row],[Охрана и ТО, пожарная сигнализация - бюджет]:[Огнезащитная обработка - внебюджет]])</f>
        <v>91.52030247492371</v>
      </c>
    </row>
    <row r="81" spans="1:49" hidden="1" x14ac:dyDescent="0.3">
      <c r="A81" s="164">
        <v>80</v>
      </c>
      <c r="B81" s="160" t="s">
        <v>123</v>
      </c>
      <c r="C81" s="160" t="s">
        <v>124</v>
      </c>
      <c r="D81" s="160">
        <v>43</v>
      </c>
      <c r="E81" s="161">
        <v>2020</v>
      </c>
      <c r="F81" s="161" t="s">
        <v>593</v>
      </c>
      <c r="G81" s="160"/>
      <c r="H81" s="160"/>
      <c r="I81" s="160">
        <v>0</v>
      </c>
      <c r="J81" s="160">
        <v>53.88179537742554</v>
      </c>
      <c r="K81" s="160"/>
      <c r="L81" s="160"/>
      <c r="M81" s="160">
        <v>29.04356504555307</v>
      </c>
      <c r="N81" s="160">
        <v>21.782673784164803</v>
      </c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>
        <v>161.52495063673913</v>
      </c>
      <c r="AH81" s="160">
        <v>161.52495063673913</v>
      </c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79">
        <f>SUM(Таблица2[[#This Row],[Охрана и ТО, пожарная сигнализация - бюджет]:[Огнезащитная обработка - внебюджет]])</f>
        <v>427.75793548062165</v>
      </c>
    </row>
    <row r="82" spans="1:49" hidden="1" x14ac:dyDescent="0.3">
      <c r="A82" s="163">
        <v>81</v>
      </c>
      <c r="B82" s="158" t="s">
        <v>123</v>
      </c>
      <c r="C82" s="158" t="s">
        <v>125</v>
      </c>
      <c r="D82" s="158">
        <v>31.6</v>
      </c>
      <c r="E82" s="159">
        <v>2020</v>
      </c>
      <c r="F82" s="159" t="s">
        <v>593</v>
      </c>
      <c r="G82" s="158"/>
      <c r="H82" s="158"/>
      <c r="I82" s="158">
        <v>0</v>
      </c>
      <c r="J82" s="158">
        <v>39.596854277363889</v>
      </c>
      <c r="K82" s="158"/>
      <c r="L82" s="158"/>
      <c r="M82" s="158">
        <v>21.34364314975528</v>
      </c>
      <c r="N82" s="158">
        <v>16.00773236231646</v>
      </c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>
        <v>118.70205674699901</v>
      </c>
      <c r="AH82" s="158">
        <v>118.70205674699901</v>
      </c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79">
        <f>SUM(Таблица2[[#This Row],[Охрана и ТО, пожарная сигнализация - бюджет]:[Огнезащитная обработка - внебюджет]])</f>
        <v>314.35234328343364</v>
      </c>
    </row>
    <row r="83" spans="1:49" hidden="1" x14ac:dyDescent="0.3">
      <c r="A83" s="164">
        <v>82</v>
      </c>
      <c r="B83" s="160" t="s">
        <v>126</v>
      </c>
      <c r="C83" s="160" t="s">
        <v>127</v>
      </c>
      <c r="D83" s="160">
        <v>147.5</v>
      </c>
      <c r="E83" s="161">
        <v>2020</v>
      </c>
      <c r="F83" s="161" t="s">
        <v>593</v>
      </c>
      <c r="G83" s="160"/>
      <c r="H83" s="160"/>
      <c r="I83" s="160">
        <v>0</v>
      </c>
      <c r="J83" s="160">
        <v>184.82708879465739</v>
      </c>
      <c r="K83" s="160"/>
      <c r="L83" s="160"/>
      <c r="M83" s="160">
        <v>99.626182423699476</v>
      </c>
      <c r="N83" s="160">
        <v>74.7196368177746</v>
      </c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>
        <v>554.06814462602381</v>
      </c>
      <c r="AH83" s="160">
        <v>554.06814462602381</v>
      </c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79">
        <f>SUM(Таблица2[[#This Row],[Охрана и ТО, пожарная сигнализация - бюджет]:[Огнезащитная обработка - внебюджет]])</f>
        <v>1467.3091972881789</v>
      </c>
    </row>
    <row r="84" spans="1:49" ht="36" hidden="1" x14ac:dyDescent="0.3">
      <c r="A84" s="163">
        <v>83</v>
      </c>
      <c r="B84" s="158" t="s">
        <v>128</v>
      </c>
      <c r="C84" s="158" t="s">
        <v>129</v>
      </c>
      <c r="D84" s="158">
        <v>3106.9</v>
      </c>
      <c r="E84" s="159">
        <v>2020</v>
      </c>
      <c r="F84" s="159" t="s">
        <v>592</v>
      </c>
      <c r="G84" s="158"/>
      <c r="H84" s="158"/>
      <c r="I84" s="158">
        <v>33656</v>
      </c>
      <c r="J84" s="158">
        <f>50000+3893.14767577031</f>
        <v>53893.147675770313</v>
      </c>
      <c r="K84" s="158">
        <v>0</v>
      </c>
      <c r="L84" s="158">
        <f>161290.32+98000</f>
        <v>259290.32</v>
      </c>
      <c r="M84" s="158">
        <v>2098.4988893029963</v>
      </c>
      <c r="N84" s="158">
        <f>1573.87416697725</f>
        <v>1573.8741669772501</v>
      </c>
      <c r="O84" s="158">
        <v>0</v>
      </c>
      <c r="P84" s="158">
        <v>15977.528089887641</v>
      </c>
      <c r="Q84" s="158"/>
      <c r="R84" s="158"/>
      <c r="S84" s="158">
        <v>0</v>
      </c>
      <c r="T84" s="158">
        <v>6545.454545454545</v>
      </c>
      <c r="U84" s="158">
        <v>19238.132258064514</v>
      </c>
      <c r="V84" s="158">
        <v>0</v>
      </c>
      <c r="W84" s="158">
        <v>0</v>
      </c>
      <c r="X84" s="158">
        <v>70513.274336283182</v>
      </c>
      <c r="Y84" s="158">
        <f>22634.6153846154+75000</f>
        <v>97634.615384615405</v>
      </c>
      <c r="Z84" s="158">
        <v>71020.782500000001</v>
      </c>
      <c r="AA84" s="158"/>
      <c r="AB84" s="158"/>
      <c r="AC84" s="158"/>
      <c r="AD84" s="158"/>
      <c r="AE84" s="158">
        <v>0</v>
      </c>
      <c r="AF84" s="158">
        <v>7536.5853658536589</v>
      </c>
      <c r="AG84" s="158">
        <f>46451.7475823394+11670.7411426345</f>
        <v>58122.488724973897</v>
      </c>
      <c r="AH84" s="158">
        <f>49473.1573003244+11670.7411426345</f>
        <v>61143.898442958896</v>
      </c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>
        <f>117279.557676206+102888.743997433</f>
        <v>220168.30167363898</v>
      </c>
      <c r="AT84" s="158">
        <f>23804.2316586513+65968.8330856845</f>
        <v>89773.064744335803</v>
      </c>
      <c r="AU84" s="158">
        <v>28213.045859466878</v>
      </c>
      <c r="AV84" s="158">
        <v>0</v>
      </c>
      <c r="AW84" s="179">
        <f>SUM(Таблица2[[#This Row],[Охрана и ТО, пожарная сигнализация - бюджет]:[Огнезащитная обработка - внебюджет]])</f>
        <v>1096399.0126575837</v>
      </c>
    </row>
    <row r="85" spans="1:49" ht="36" hidden="1" x14ac:dyDescent="0.3">
      <c r="A85" s="164">
        <v>84</v>
      </c>
      <c r="B85" s="160" t="s">
        <v>130</v>
      </c>
      <c r="C85" s="160" t="s">
        <v>131</v>
      </c>
      <c r="D85" s="160">
        <v>18213.3</v>
      </c>
      <c r="E85" s="161">
        <v>2020</v>
      </c>
      <c r="F85" s="161" t="s">
        <v>592</v>
      </c>
      <c r="G85" s="160"/>
      <c r="H85" s="160"/>
      <c r="I85" s="160">
        <v>0</v>
      </c>
      <c r="J85" s="160">
        <v>22822.448924364293</v>
      </c>
      <c r="K85" s="160"/>
      <c r="L85" s="160"/>
      <c r="M85" s="160">
        <v>12301.841005678411</v>
      </c>
      <c r="N85" s="160">
        <v>9226.3807542588074</v>
      </c>
      <c r="O85" s="160">
        <v>0</v>
      </c>
      <c r="P85" s="160">
        <v>21303.370786516854</v>
      </c>
      <c r="Q85" s="160"/>
      <c r="R85" s="160"/>
      <c r="S85" s="160">
        <v>0</v>
      </c>
      <c r="T85" s="160">
        <v>13090.90909090909</v>
      </c>
      <c r="U85" s="160"/>
      <c r="V85" s="160"/>
      <c r="W85" s="160">
        <v>0</v>
      </c>
      <c r="X85" s="160">
        <v>79327.433628318584</v>
      </c>
      <c r="Y85" s="160">
        <f>40125+187500</f>
        <v>227625</v>
      </c>
      <c r="Z85" s="160">
        <v>177551.95625000002</v>
      </c>
      <c r="AA85" s="160"/>
      <c r="AB85" s="160"/>
      <c r="AC85" s="160"/>
      <c r="AD85" s="160"/>
      <c r="AE85" s="160">
        <v>0</v>
      </c>
      <c r="AF85" s="160">
        <v>7536.5853658536589</v>
      </c>
      <c r="AG85" s="160">
        <f>272309.895471828+68416.3344984214</f>
        <v>340726.22997024941</v>
      </c>
      <c r="AH85" s="160">
        <f>290022.033492548+68416.3344984214</f>
        <v>358438.36799096939</v>
      </c>
      <c r="AI85" s="160"/>
      <c r="AJ85" s="160"/>
      <c r="AK85" s="160">
        <v>0</v>
      </c>
      <c r="AL85" s="160">
        <v>622300</v>
      </c>
      <c r="AM85" s="160"/>
      <c r="AN85" s="160"/>
      <c r="AO85" s="160"/>
      <c r="AP85" s="160"/>
      <c r="AQ85" s="160"/>
      <c r="AR85" s="160"/>
      <c r="AS85" s="160">
        <f>687517.386405758</f>
        <v>687517.38640575798</v>
      </c>
      <c r="AT85" s="160">
        <f>139545.402963891</f>
        <v>139545.40296389101</v>
      </c>
      <c r="AU85" s="160"/>
      <c r="AV85" s="160"/>
      <c r="AW85" s="179">
        <f>SUM(Таблица2[[#This Row],[Охрана и ТО, пожарная сигнализация - бюджет]:[Огнезащитная обработка - внебюджет]])</f>
        <v>2719313.3131367676</v>
      </c>
    </row>
    <row r="86" spans="1:49" ht="36" hidden="1" x14ac:dyDescent="0.3">
      <c r="A86" s="163">
        <v>85</v>
      </c>
      <c r="B86" s="158" t="s">
        <v>132</v>
      </c>
      <c r="C86" s="158" t="s">
        <v>133</v>
      </c>
      <c r="D86" s="158">
        <v>14009.5</v>
      </c>
      <c r="E86" s="159">
        <v>2020</v>
      </c>
      <c r="F86" s="159" t="s">
        <v>591</v>
      </c>
      <c r="G86" s="158">
        <v>347687.01030927838</v>
      </c>
      <c r="H86" s="158">
        <v>347687.01030927838</v>
      </c>
      <c r="I86" s="158">
        <v>560000</v>
      </c>
      <c r="J86" s="158">
        <v>0</v>
      </c>
      <c r="K86" s="158"/>
      <c r="L86" s="158"/>
      <c r="M86" s="158">
        <v>55640</v>
      </c>
      <c r="N86" s="158">
        <v>19860</v>
      </c>
      <c r="O86" s="158"/>
      <c r="P86" s="158"/>
      <c r="Q86" s="158"/>
      <c r="R86" s="158"/>
      <c r="S86" s="158">
        <v>0</v>
      </c>
      <c r="T86" s="158">
        <v>13090.90909090909</v>
      </c>
      <c r="U86" s="158"/>
      <c r="V86" s="158"/>
      <c r="W86" s="158"/>
      <c r="X86" s="158"/>
      <c r="Y86" s="158">
        <f>20155+299055.2</f>
        <v>319210.2</v>
      </c>
      <c r="Z86" s="158">
        <f>7455+104080.68</f>
        <v>111535.67999999999</v>
      </c>
      <c r="AA86" s="158"/>
      <c r="AB86" s="158"/>
      <c r="AC86" s="158"/>
      <c r="AD86" s="158"/>
      <c r="AE86" s="158"/>
      <c r="AF86" s="158"/>
      <c r="AG86" s="158">
        <f>209458.224517938+52625.2045568697</f>
        <v>262083.4290748077</v>
      </c>
      <c r="AH86" s="158">
        <f>223082.235411148+52625.2045568697</f>
        <v>275707.43996801769</v>
      </c>
      <c r="AI86" s="158">
        <v>0</v>
      </c>
      <c r="AJ86" s="158">
        <v>58553.846791315467</v>
      </c>
      <c r="AK86" s="158"/>
      <c r="AL86" s="158"/>
      <c r="AM86" s="158">
        <v>0</v>
      </c>
      <c r="AN86" s="158">
        <v>492000</v>
      </c>
      <c r="AO86" s="158"/>
      <c r="AP86" s="158"/>
      <c r="AQ86" s="158"/>
      <c r="AR86" s="158"/>
      <c r="AS86" s="158">
        <f>528831.942857772+463941.504081895</f>
        <v>992773.44693966699</v>
      </c>
      <c r="AT86" s="158">
        <f>107337.018707353+297463.827968038</f>
        <v>404800.84667539096</v>
      </c>
      <c r="AU86" s="158"/>
      <c r="AV86" s="158"/>
      <c r="AW86" s="179">
        <f>SUM(Таблица2[[#This Row],[Охрана и ТО, пожарная сигнализация - бюджет]:[Огнезащитная обработка - внебюджет]])</f>
        <v>4260629.8191586649</v>
      </c>
    </row>
    <row r="87" spans="1:49" ht="36" hidden="1" x14ac:dyDescent="0.3">
      <c r="A87" s="164">
        <v>86</v>
      </c>
      <c r="B87" s="160" t="s">
        <v>134</v>
      </c>
      <c r="C87" s="160" t="s">
        <v>135</v>
      </c>
      <c r="D87" s="160">
        <v>11408</v>
      </c>
      <c r="E87" s="161">
        <v>2020</v>
      </c>
      <c r="F87" s="161" t="s">
        <v>591</v>
      </c>
      <c r="G87" s="160">
        <v>197502.68041237112</v>
      </c>
      <c r="H87" s="160">
        <v>197502.68041237112</v>
      </c>
      <c r="I87" s="160">
        <v>447525</v>
      </c>
      <c r="J87" s="160">
        <v>0</v>
      </c>
      <c r="K87" s="160"/>
      <c r="L87" s="160"/>
      <c r="M87" s="160">
        <v>49670</v>
      </c>
      <c r="N87" s="160">
        <v>17730</v>
      </c>
      <c r="O87" s="160">
        <v>0</v>
      </c>
      <c r="P87" s="160">
        <f>29880+5325.84</f>
        <v>35205.839999999997</v>
      </c>
      <c r="Q87" s="160"/>
      <c r="R87" s="160"/>
      <c r="S87" s="160">
        <v>0</v>
      </c>
      <c r="T87" s="160">
        <v>9818.181818181818</v>
      </c>
      <c r="U87" s="160"/>
      <c r="V87" s="160"/>
      <c r="W87" s="160"/>
      <c r="X87" s="160"/>
      <c r="Y87" s="160">
        <f>34266+299055.2</f>
        <v>333321.2</v>
      </c>
      <c r="Z87" s="160">
        <f>12673.76+104080.68</f>
        <v>116754.43999999999</v>
      </c>
      <c r="AA87" s="160"/>
      <c r="AB87" s="160"/>
      <c r="AC87" s="160"/>
      <c r="AD87" s="160"/>
      <c r="AE87" s="160">
        <v>0</v>
      </c>
      <c r="AF87" s="160">
        <v>7536.5853658536589</v>
      </c>
      <c r="AG87" s="160">
        <f>170562.791341635+42852.945043347</f>
        <v>213415.73638498198</v>
      </c>
      <c r="AH87" s="160">
        <f>181656.885796807+42852.945043347</f>
        <v>224509.830840154</v>
      </c>
      <c r="AI87" s="160">
        <v>0</v>
      </c>
      <c r="AJ87" s="160">
        <v>47680.665562320341</v>
      </c>
      <c r="AK87" s="160">
        <v>0</v>
      </c>
      <c r="AL87" s="160">
        <v>1099980</v>
      </c>
      <c r="AM87" s="160"/>
      <c r="AN87" s="160"/>
      <c r="AO87" s="160"/>
      <c r="AP87" s="160"/>
      <c r="AQ87" s="160"/>
      <c r="AR87" s="160"/>
      <c r="AS87" s="160">
        <f>430630.272609405+377789.691178576</f>
        <v>808419.96378798096</v>
      </c>
      <c r="AT87" s="160">
        <f>87405.0258334334+242226.157211847</f>
        <v>329631.1830452804</v>
      </c>
      <c r="AU87" s="160"/>
      <c r="AV87" s="160"/>
      <c r="AW87" s="179">
        <f>SUM(Таблица2[[#This Row],[Охрана и ТО, пожарная сигнализация - бюджет]:[Огнезащитная обработка - внебюджет]])</f>
        <v>4136203.9876294956</v>
      </c>
    </row>
    <row r="88" spans="1:49" ht="36" hidden="1" x14ac:dyDescent="0.3">
      <c r="A88" s="163">
        <v>87</v>
      </c>
      <c r="B88" s="158" t="s">
        <v>136</v>
      </c>
      <c r="C88" s="158" t="s">
        <v>137</v>
      </c>
      <c r="D88" s="158">
        <v>1318.7</v>
      </c>
      <c r="E88" s="159">
        <v>2020</v>
      </c>
      <c r="F88" s="159" t="s">
        <v>592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79">
        <f>SUM(Таблица2[[#This Row],[Охрана и ТО, пожарная сигнализация - бюджет]:[Огнезащитная обработка - внебюджет]])</f>
        <v>0</v>
      </c>
    </row>
    <row r="89" spans="1:49" ht="36" hidden="1" x14ac:dyDescent="0.3">
      <c r="A89" s="164">
        <v>88</v>
      </c>
      <c r="B89" s="160" t="s">
        <v>138</v>
      </c>
      <c r="C89" s="160" t="s">
        <v>139</v>
      </c>
      <c r="D89" s="160">
        <v>7858.3</v>
      </c>
      <c r="E89" s="161">
        <v>2020</v>
      </c>
      <c r="F89" s="161" t="s">
        <v>591</v>
      </c>
      <c r="G89" s="160">
        <f>1491867.68301453+209846.597938144</f>
        <v>1701714.2809526739</v>
      </c>
      <c r="H89" s="160">
        <f>635335.425612788+209846.597938144</f>
        <v>845182.02355093195</v>
      </c>
      <c r="I89" s="160">
        <v>447525</v>
      </c>
      <c r="J89" s="160">
        <v>0</v>
      </c>
      <c r="K89" s="160">
        <f>117714.6+1932991.1493528</f>
        <v>2050705.7493528002</v>
      </c>
      <c r="L89" s="160">
        <f>117714.6+818797.274890011</f>
        <v>936511.87489001092</v>
      </c>
      <c r="M89" s="160">
        <v>42215</v>
      </c>
      <c r="N89" s="160">
        <v>15075</v>
      </c>
      <c r="O89" s="160">
        <v>0</v>
      </c>
      <c r="P89" s="160">
        <v>37280.898876404492</v>
      </c>
      <c r="Q89" s="160"/>
      <c r="R89" s="160"/>
      <c r="S89" s="160">
        <v>0</v>
      </c>
      <c r="T89" s="160">
        <v>9818.181818181818</v>
      </c>
      <c r="U89" s="160"/>
      <c r="V89" s="160"/>
      <c r="W89" s="160"/>
      <c r="X89" s="160"/>
      <c r="Y89" s="160">
        <f>12461.8+299055.2</f>
        <v>311517</v>
      </c>
      <c r="Z89" s="160">
        <f>4104.2+104080.68</f>
        <v>108184.87999999999</v>
      </c>
      <c r="AA89" s="160"/>
      <c r="AB89" s="160"/>
      <c r="AC89" s="160"/>
      <c r="AD89" s="160"/>
      <c r="AE89" s="160"/>
      <c r="AF89" s="160"/>
      <c r="AG89" s="160">
        <f>117490.671739128+29518.8725485741</f>
        <v>147009.5442877021</v>
      </c>
      <c r="AH89" s="160">
        <f>125132.740678213+29518.8725485741</f>
        <v>154651.6132267871</v>
      </c>
      <c r="AI89" s="160">
        <v>0</v>
      </c>
      <c r="AJ89" s="160">
        <v>32844.405170790844</v>
      </c>
      <c r="AK89" s="160"/>
      <c r="AL89" s="160"/>
      <c r="AM89" s="160"/>
      <c r="AN89" s="160"/>
      <c r="AO89" s="160"/>
      <c r="AP89" s="160"/>
      <c r="AQ89" s="160"/>
      <c r="AR89" s="160"/>
      <c r="AS89" s="160">
        <v>296635.85827897</v>
      </c>
      <c r="AT89" s="160">
        <v>60208.179742888293</v>
      </c>
      <c r="AU89" s="160"/>
      <c r="AV89" s="160"/>
      <c r="AW89" s="179">
        <f>SUM(Таблица2[[#This Row],[Охрана и ТО, пожарная сигнализация - бюджет]:[Огнезащитная обработка - внебюджет]])</f>
        <v>7197079.490148142</v>
      </c>
    </row>
    <row r="90" spans="1:49" ht="36" hidden="1" x14ac:dyDescent="0.3">
      <c r="A90" s="163">
        <v>89</v>
      </c>
      <c r="B90" s="158" t="s">
        <v>140</v>
      </c>
      <c r="C90" s="158" t="s">
        <v>141</v>
      </c>
      <c r="D90" s="158">
        <v>7847.8</v>
      </c>
      <c r="E90" s="159">
        <v>2020</v>
      </c>
      <c r="F90" s="159" t="s">
        <v>591</v>
      </c>
      <c r="G90" s="158">
        <f>1489874.2988638+209846.597938144</f>
        <v>1699720.8968019439</v>
      </c>
      <c r="H90" s="158">
        <f>634486.511475006+209846.597938144</f>
        <v>844333.10941315</v>
      </c>
      <c r="I90" s="158">
        <v>447525</v>
      </c>
      <c r="J90" s="158">
        <v>0</v>
      </c>
      <c r="K90" s="158">
        <f>117714.6+1930408.3506472</f>
        <v>2048122.9506472</v>
      </c>
      <c r="L90" s="158">
        <f>117714.6+817703.225109989</f>
        <v>935417.82510998903</v>
      </c>
      <c r="M90" s="158">
        <v>42215</v>
      </c>
      <c r="N90" s="158">
        <v>15075</v>
      </c>
      <c r="O90" s="158">
        <v>0</v>
      </c>
      <c r="P90" s="158">
        <v>37280.898876404492</v>
      </c>
      <c r="Q90" s="158"/>
      <c r="R90" s="158"/>
      <c r="S90" s="158">
        <v>0</v>
      </c>
      <c r="T90" s="158">
        <v>9818.181818181818</v>
      </c>
      <c r="U90" s="158"/>
      <c r="V90" s="158"/>
      <c r="W90" s="158"/>
      <c r="X90" s="158"/>
      <c r="Y90" s="158">
        <f>12461.8+299055.2</f>
        <v>311517</v>
      </c>
      <c r="Z90" s="158">
        <f>4104.2+104080.68+45000+45000</f>
        <v>198184.88</v>
      </c>
      <c r="AA90" s="158"/>
      <c r="AB90" s="158"/>
      <c r="AC90" s="158"/>
      <c r="AD90" s="158"/>
      <c r="AE90" s="158"/>
      <c r="AF90" s="158"/>
      <c r="AG90" s="158">
        <f>117333.684597729+29479.4304094651</f>
        <v>146813.11500719411</v>
      </c>
      <c r="AH90" s="158">
        <f>124965.54245759+29479.4304094651</f>
        <v>154444.9728670551</v>
      </c>
      <c r="AI90" s="158">
        <v>0</v>
      </c>
      <c r="AJ90" s="158">
        <v>32800.519565215422</v>
      </c>
      <c r="AK90" s="158"/>
      <c r="AL90" s="158"/>
      <c r="AM90" s="158"/>
      <c r="AN90" s="158"/>
      <c r="AO90" s="158"/>
      <c r="AP90" s="158"/>
      <c r="AQ90" s="158"/>
      <c r="AR90" s="158"/>
      <c r="AS90" s="158">
        <v>296239.50327700662</v>
      </c>
      <c r="AT90" s="158">
        <v>60127.731568690273</v>
      </c>
      <c r="AU90" s="158"/>
      <c r="AV90" s="158"/>
      <c r="AW90" s="179">
        <f>SUM(Таблица2[[#This Row],[Охрана и ТО, пожарная сигнализация - бюджет]:[Огнезащитная обработка - внебюджет]])</f>
        <v>7279636.5849520294</v>
      </c>
    </row>
    <row r="91" spans="1:49" ht="34.799999999999997" hidden="1" x14ac:dyDescent="0.3">
      <c r="A91" s="164">
        <v>90</v>
      </c>
      <c r="B91" s="160" t="s">
        <v>142</v>
      </c>
      <c r="C91" s="160" t="s">
        <v>143</v>
      </c>
      <c r="D91" s="160">
        <v>1453.6</v>
      </c>
      <c r="E91" s="161">
        <v>2020</v>
      </c>
      <c r="F91" s="161" t="s">
        <v>592</v>
      </c>
      <c r="G91" s="160"/>
      <c r="H91" s="160"/>
      <c r="I91" s="160"/>
      <c r="J91" s="160"/>
      <c r="K91" s="160"/>
      <c r="L91" s="160"/>
      <c r="M91" s="160"/>
      <c r="N91" s="160"/>
      <c r="O91" s="160">
        <v>0</v>
      </c>
      <c r="P91" s="160">
        <v>10651.685393258427</v>
      </c>
      <c r="Q91" s="160"/>
      <c r="R91" s="160"/>
      <c r="S91" s="160">
        <v>0</v>
      </c>
      <c r="T91" s="160">
        <v>13090.90909090909</v>
      </c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>
        <v>21733.00083224065</v>
      </c>
      <c r="AH91" s="160">
        <v>23146.603190238344</v>
      </c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>
        <v>54870.631509908097</v>
      </c>
      <c r="AT91" s="160">
        <v>11137.092001356836</v>
      </c>
      <c r="AU91" s="160"/>
      <c r="AV91" s="160"/>
      <c r="AW91" s="179">
        <f>SUM(Таблица2[[#This Row],[Охрана и ТО, пожарная сигнализация - бюджет]:[Огнезащитная обработка - внебюджет]])</f>
        <v>134629.92201791145</v>
      </c>
    </row>
    <row r="92" spans="1:49" ht="36" hidden="1" x14ac:dyDescent="0.3">
      <c r="A92" s="163">
        <v>91</v>
      </c>
      <c r="B92" s="158" t="s">
        <v>144</v>
      </c>
      <c r="C92" s="158" t="s">
        <v>145</v>
      </c>
      <c r="D92" s="158">
        <v>6172.3</v>
      </c>
      <c r="E92" s="159">
        <v>2020</v>
      </c>
      <c r="F92" s="159" t="s">
        <v>592</v>
      </c>
      <c r="G92" s="158">
        <v>0</v>
      </c>
      <c r="H92" s="158">
        <f>137850+768000</f>
        <v>905850</v>
      </c>
      <c r="I92" s="158">
        <v>0</v>
      </c>
      <c r="J92" s="158">
        <v>86786</v>
      </c>
      <c r="K92" s="158">
        <v>0</v>
      </c>
      <c r="L92" s="158">
        <v>1033793.85</v>
      </c>
      <c r="M92" s="158">
        <v>0</v>
      </c>
      <c r="N92" s="158">
        <v>26200</v>
      </c>
      <c r="O92" s="158">
        <v>0</v>
      </c>
      <c r="P92" s="158">
        <v>260000</v>
      </c>
      <c r="Q92" s="158">
        <v>0</v>
      </c>
      <c r="R92" s="158">
        <f>287040+499000</f>
        <v>786040</v>
      </c>
      <c r="S92" s="158">
        <v>0</v>
      </c>
      <c r="T92" s="158">
        <v>6545.454545454545</v>
      </c>
      <c r="U92" s="158">
        <v>0</v>
      </c>
      <c r="V92" s="158">
        <v>32400</v>
      </c>
      <c r="W92" s="158">
        <v>0</v>
      </c>
      <c r="X92" s="158">
        <v>199200</v>
      </c>
      <c r="Y92" s="158">
        <v>37500</v>
      </c>
      <c r="Z92" s="158">
        <v>35510.391250000001</v>
      </c>
      <c r="AA92" s="158"/>
      <c r="AB92" s="158"/>
      <c r="AC92" s="158"/>
      <c r="AD92" s="158"/>
      <c r="AE92" s="158"/>
      <c r="AF92" s="158"/>
      <c r="AG92" s="158"/>
      <c r="AH92" s="158"/>
      <c r="AI92" s="158">
        <v>0</v>
      </c>
      <c r="AJ92" s="158">
        <v>2581.6125510797324</v>
      </c>
      <c r="AK92" s="158"/>
      <c r="AL92" s="158"/>
      <c r="AM92" s="158"/>
      <c r="AN92" s="158"/>
      <c r="AO92" s="158"/>
      <c r="AP92" s="158"/>
      <c r="AQ92" s="158">
        <v>0</v>
      </c>
      <c r="AR92" s="158">
        <v>64636.35</v>
      </c>
      <c r="AS92" s="158">
        <v>0</v>
      </c>
      <c r="AT92" s="158">
        <v>169200</v>
      </c>
      <c r="AU92" s="158"/>
      <c r="AV92" s="158"/>
      <c r="AW92" s="179">
        <f>SUM(Таблица2[[#This Row],[Охрана и ТО, пожарная сигнализация - бюджет]:[Огнезащитная обработка - внебюджет]])</f>
        <v>3646243.6583465342</v>
      </c>
    </row>
    <row r="93" spans="1:49" ht="36" hidden="1" x14ac:dyDescent="0.3">
      <c r="A93" s="164">
        <v>92</v>
      </c>
      <c r="B93" s="160" t="s">
        <v>146</v>
      </c>
      <c r="C93" s="160" t="s">
        <v>147</v>
      </c>
      <c r="D93" s="160">
        <f>3618.1+54197.28</f>
        <v>57815.38</v>
      </c>
      <c r="E93" s="161">
        <v>2020</v>
      </c>
      <c r="F93" s="161" t="s">
        <v>592</v>
      </c>
      <c r="G93" s="160">
        <f>157500+681776.409879788</f>
        <v>839276.40987978806</v>
      </c>
      <c r="H93" s="160">
        <f>5217.39130434783+1022839.42928375</f>
        <v>1028056.8205880978</v>
      </c>
      <c r="I93" s="160">
        <v>167500</v>
      </c>
      <c r="J93" s="160">
        <v>0</v>
      </c>
      <c r="K93" s="160">
        <v>71573.597794766101</v>
      </c>
      <c r="L93" s="160">
        <v>0</v>
      </c>
      <c r="M93" s="160">
        <v>28800</v>
      </c>
      <c r="N93" s="160">
        <v>49867.199999999997</v>
      </c>
      <c r="O93" s="160">
        <v>0</v>
      </c>
      <c r="P93" s="160">
        <v>5325.8426966292136</v>
      </c>
      <c r="Q93" s="160"/>
      <c r="R93" s="160"/>
      <c r="S93" s="160">
        <v>0</v>
      </c>
      <c r="T93" s="160">
        <v>6545.454545454545</v>
      </c>
      <c r="U93" s="160">
        <v>89820</v>
      </c>
      <c r="V93" s="160">
        <v>159680</v>
      </c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>
        <v>0</v>
      </c>
      <c r="AJ93" s="160">
        <f>1770+15122.1437649922</f>
        <v>16892.143764992201</v>
      </c>
      <c r="AK93" s="160"/>
      <c r="AL93" s="160"/>
      <c r="AM93" s="160"/>
      <c r="AN93" s="160"/>
      <c r="AO93" s="160"/>
      <c r="AP93" s="160"/>
      <c r="AQ93" s="160">
        <v>0</v>
      </c>
      <c r="AR93" s="160">
        <v>177172.69675494215</v>
      </c>
      <c r="AS93" s="160">
        <v>1914626.1005936211</v>
      </c>
      <c r="AT93" s="160">
        <v>1227594.4359346679</v>
      </c>
      <c r="AU93" s="160"/>
      <c r="AV93" s="160"/>
      <c r="AW93" s="179">
        <f>SUM(Таблица2[[#This Row],[Охрана и ТО, пожарная сигнализация - бюджет]:[Огнезащитная обработка - внебюджет]])</f>
        <v>5782730.7025529593</v>
      </c>
    </row>
    <row r="94" spans="1:49" ht="36" hidden="1" x14ac:dyDescent="0.3">
      <c r="A94" s="163">
        <v>93</v>
      </c>
      <c r="B94" s="158" t="s">
        <v>148</v>
      </c>
      <c r="C94" s="158" t="s">
        <v>149</v>
      </c>
      <c r="D94" s="158">
        <v>1556.1</v>
      </c>
      <c r="E94" s="159">
        <v>2020</v>
      </c>
      <c r="F94" s="159" t="s">
        <v>592</v>
      </c>
      <c r="G94" s="158">
        <f>89551.92+67500+293223.590120212</f>
        <v>450275.51012021198</v>
      </c>
      <c r="H94" s="158">
        <f>439910.570716246</f>
        <v>439910.57071624597</v>
      </c>
      <c r="I94" s="158">
        <v>128000</v>
      </c>
      <c r="J94" s="158">
        <v>0</v>
      </c>
      <c r="K94" s="158">
        <v>1926.4022052338935</v>
      </c>
      <c r="L94" s="158">
        <v>0</v>
      </c>
      <c r="M94" s="158">
        <v>12211.2</v>
      </c>
      <c r="N94" s="158">
        <v>49867.199999999997</v>
      </c>
      <c r="O94" s="158">
        <v>0</v>
      </c>
      <c r="P94" s="158">
        <v>5325.8426966292136</v>
      </c>
      <c r="Q94" s="158"/>
      <c r="R94" s="158"/>
      <c r="S94" s="158">
        <v>0</v>
      </c>
      <c r="T94" s="158">
        <v>6545.454545454545</v>
      </c>
      <c r="U94" s="158">
        <v>38484</v>
      </c>
      <c r="V94" s="158">
        <v>68416</v>
      </c>
      <c r="W94" s="158"/>
      <c r="X94" s="158"/>
      <c r="Y94" s="158"/>
      <c r="Z94" s="158"/>
      <c r="AA94" s="158"/>
      <c r="AB94" s="158"/>
      <c r="AC94" s="158">
        <f>119500+259200</f>
        <v>378700</v>
      </c>
      <c r="AD94" s="158">
        <v>0</v>
      </c>
      <c r="AE94" s="158"/>
      <c r="AF94" s="158"/>
      <c r="AG94" s="158"/>
      <c r="AH94" s="158"/>
      <c r="AI94" s="158">
        <v>0</v>
      </c>
      <c r="AJ94" s="158">
        <f>1770+6503.84674627688</f>
        <v>8273.8467462768804</v>
      </c>
      <c r="AK94" s="158"/>
      <c r="AL94" s="158"/>
      <c r="AM94" s="158"/>
      <c r="AN94" s="158"/>
      <c r="AO94" s="158"/>
      <c r="AP94" s="158"/>
      <c r="AQ94" s="158">
        <v>0</v>
      </c>
      <c r="AR94" s="158">
        <v>22827.303245057814</v>
      </c>
      <c r="AS94" s="158">
        <v>51532.129947666755</v>
      </c>
      <c r="AT94" s="158">
        <v>33040.684014494698</v>
      </c>
      <c r="AU94" s="158"/>
      <c r="AV94" s="158"/>
      <c r="AW94" s="179">
        <f>SUM(Таблица2[[#This Row],[Охрана и ТО, пожарная сигнализация - бюджет]:[Огнезащитная обработка - внебюджет]])</f>
        <v>1695336.1442372717</v>
      </c>
    </row>
    <row r="95" spans="1:49" ht="36" hidden="1" x14ac:dyDescent="0.3">
      <c r="A95" s="164">
        <v>94</v>
      </c>
      <c r="B95" s="160" t="s">
        <v>150</v>
      </c>
      <c r="C95" s="160" t="s">
        <v>151</v>
      </c>
      <c r="D95" s="160">
        <v>2615.5</v>
      </c>
      <c r="E95" s="161">
        <v>2020</v>
      </c>
      <c r="F95" s="161" t="s">
        <v>592</v>
      </c>
      <c r="G95" s="160">
        <v>1000000</v>
      </c>
      <c r="H95" s="160">
        <f>130000+26400+215500+85204.8</f>
        <v>457104.8</v>
      </c>
      <c r="I95" s="160">
        <v>105704</v>
      </c>
      <c r="J95" s="160">
        <v>50000</v>
      </c>
      <c r="K95" s="160"/>
      <c r="L95" s="160"/>
      <c r="M95" s="160"/>
      <c r="N95" s="160"/>
      <c r="O95" s="160"/>
      <c r="P95" s="160"/>
      <c r="Q95" s="160"/>
      <c r="R95" s="160"/>
      <c r="S95" s="160">
        <v>0</v>
      </c>
      <c r="T95" s="160">
        <v>6545.454545454545</v>
      </c>
      <c r="U95" s="160"/>
      <c r="V95" s="160"/>
      <c r="W95" s="160"/>
      <c r="X95" s="160"/>
      <c r="Y95" s="160"/>
      <c r="Z95" s="160"/>
      <c r="AA95" s="160">
        <v>0</v>
      </c>
      <c r="AB95" s="160">
        <v>25732.05</v>
      </c>
      <c r="AC95" s="160"/>
      <c r="AD95" s="160"/>
      <c r="AE95" s="160"/>
      <c r="AF95" s="160"/>
      <c r="AG95" s="160"/>
      <c r="AH95" s="160"/>
      <c r="AI95" s="160">
        <v>0</v>
      </c>
      <c r="AJ95" s="160">
        <v>10931.695369762347</v>
      </c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>
        <v>763.20232261858098</v>
      </c>
      <c r="AV95" s="160">
        <v>0</v>
      </c>
      <c r="AW95" s="179">
        <f>SUM(Таблица2[[#This Row],[Охрана и ТО, пожарная сигнализация - бюджет]:[Огнезащитная обработка - внебюджет]])</f>
        <v>1656781.2022378356</v>
      </c>
    </row>
    <row r="96" spans="1:49" ht="36" hidden="1" x14ac:dyDescent="0.3">
      <c r="A96" s="163">
        <v>95</v>
      </c>
      <c r="B96" s="158" t="s">
        <v>152</v>
      </c>
      <c r="C96" s="158" t="s">
        <v>153</v>
      </c>
      <c r="D96" s="158">
        <v>22228.9</v>
      </c>
      <c r="E96" s="159">
        <v>2020</v>
      </c>
      <c r="F96" s="159" t="s">
        <v>592</v>
      </c>
      <c r="G96" s="158">
        <v>0</v>
      </c>
      <c r="H96" s="158">
        <f>687077.914516959+300000+300000+300000+3400000</f>
        <v>4987077.9145169593</v>
      </c>
      <c r="I96" s="158"/>
      <c r="J96" s="158"/>
      <c r="K96" s="158">
        <v>0</v>
      </c>
      <c r="L96" s="158">
        <f>180560+160628.119620553+1055691.13292275</f>
        <v>1396879.252543303</v>
      </c>
      <c r="M96" s="158">
        <v>0</v>
      </c>
      <c r="N96" s="158">
        <f>70440+5732.66518775968</f>
        <v>76172.665187759674</v>
      </c>
      <c r="O96" s="158"/>
      <c r="P96" s="158"/>
      <c r="Q96" s="158"/>
      <c r="R96" s="158"/>
      <c r="S96" s="158">
        <v>0</v>
      </c>
      <c r="T96" s="158">
        <v>32727.272727272728</v>
      </c>
      <c r="U96" s="158"/>
      <c r="V96" s="158"/>
      <c r="W96" s="158">
        <v>0</v>
      </c>
      <c r="X96" s="158">
        <v>354974.56912338495</v>
      </c>
      <c r="Y96" s="158">
        <v>0</v>
      </c>
      <c r="Z96" s="158">
        <v>600000</v>
      </c>
      <c r="AA96" s="158"/>
      <c r="AB96" s="158"/>
      <c r="AC96" s="158"/>
      <c r="AD96" s="158"/>
      <c r="AE96" s="158">
        <v>0</v>
      </c>
      <c r="AF96" s="158">
        <v>7536.5853658536589</v>
      </c>
      <c r="AG96" s="158">
        <v>0</v>
      </c>
      <c r="AH96" s="158">
        <f>3180000+720000</f>
        <v>3900000</v>
      </c>
      <c r="AI96" s="158">
        <v>0</v>
      </c>
      <c r="AJ96" s="158">
        <v>92907.49883575234</v>
      </c>
      <c r="AK96" s="158">
        <v>0</v>
      </c>
      <c r="AL96" s="158">
        <v>1403749.2</v>
      </c>
      <c r="AM96" s="158"/>
      <c r="AN96" s="158"/>
      <c r="AO96" s="158"/>
      <c r="AP96" s="158"/>
      <c r="AQ96" s="158"/>
      <c r="AR96" s="158"/>
      <c r="AS96" s="158">
        <v>0</v>
      </c>
      <c r="AT96" s="158">
        <f>11472.6670121583+257315.35+2511863.55405802</f>
        <v>2780651.5710701784</v>
      </c>
      <c r="AU96" s="158"/>
      <c r="AV96" s="158"/>
      <c r="AW96" s="179">
        <f>SUM(Таблица2[[#This Row],[Охрана и ТО, пожарная сигнализация - бюджет]:[Огнезащитная обработка - внебюджет]])</f>
        <v>15632676.529370461</v>
      </c>
    </row>
    <row r="97" spans="1:49" ht="36" hidden="1" x14ac:dyDescent="0.3">
      <c r="A97" s="164">
        <v>96</v>
      </c>
      <c r="B97" s="160" t="s">
        <v>154</v>
      </c>
      <c r="C97" s="160" t="s">
        <v>155</v>
      </c>
      <c r="D97" s="160">
        <v>481.3</v>
      </c>
      <c r="E97" s="161">
        <v>2020</v>
      </c>
      <c r="F97" s="161" t="s">
        <v>593</v>
      </c>
      <c r="G97" s="160"/>
      <c r="H97" s="160"/>
      <c r="I97" s="160"/>
      <c r="J97" s="160"/>
      <c r="K97" s="160"/>
      <c r="L97" s="160">
        <v>3477.9190141379913</v>
      </c>
      <c r="M97" s="160">
        <v>0</v>
      </c>
      <c r="N97" s="160">
        <v>13343.166586499658</v>
      </c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79">
        <f>SUM(Таблица2[[#This Row],[Охрана и ТО, пожарная сигнализация - бюджет]:[Огнезащитная обработка - внебюджет]])</f>
        <v>16821.085600637649</v>
      </c>
    </row>
    <row r="98" spans="1:49" ht="36" hidden="1" x14ac:dyDescent="0.3">
      <c r="A98" s="163">
        <v>97</v>
      </c>
      <c r="B98" s="158" t="s">
        <v>156</v>
      </c>
      <c r="C98" s="158" t="s">
        <v>157</v>
      </c>
      <c r="D98" s="158">
        <v>140.9</v>
      </c>
      <c r="E98" s="159">
        <v>2020</v>
      </c>
      <c r="F98" s="159" t="s">
        <v>593</v>
      </c>
      <c r="G98" s="158"/>
      <c r="H98" s="158"/>
      <c r="I98" s="158"/>
      <c r="J98" s="158"/>
      <c r="K98" s="158"/>
      <c r="L98" s="158">
        <v>1018.1566363848805</v>
      </c>
      <c r="M98" s="158">
        <v>0</v>
      </c>
      <c r="N98" s="158">
        <v>6843.0815709988428</v>
      </c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79">
        <f>SUM(Таблица2[[#This Row],[Охрана и ТО, пожарная сигнализация - бюджет]:[Огнезащитная обработка - внебюджет]])</f>
        <v>7861.2382073837234</v>
      </c>
    </row>
    <row r="99" spans="1:49" ht="36" hidden="1" x14ac:dyDescent="0.3">
      <c r="A99" s="164">
        <v>98</v>
      </c>
      <c r="B99" s="160" t="s">
        <v>158</v>
      </c>
      <c r="C99" s="160" t="s">
        <v>159</v>
      </c>
      <c r="D99" s="160">
        <v>7998.2</v>
      </c>
      <c r="E99" s="161">
        <v>2020</v>
      </c>
      <c r="F99" s="161" t="s">
        <v>592</v>
      </c>
      <c r="G99" s="160">
        <v>0</v>
      </c>
      <c r="H99" s="160">
        <f>247218.106873914+196317.832084032+175912.034425005+10710+633333.333333333</f>
        <v>1263491.306716284</v>
      </c>
      <c r="I99" s="160"/>
      <c r="J99" s="160"/>
      <c r="K99" s="160"/>
      <c r="L99" s="160">
        <f>57795.7445644681+341639.081352787</f>
        <v>399434.82591725508</v>
      </c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>
        <v>0</v>
      </c>
      <c r="X99" s="160">
        <v>127723.71096917335</v>
      </c>
      <c r="Y99" s="160"/>
      <c r="Z99" s="160"/>
      <c r="AA99" s="160"/>
      <c r="AB99" s="160"/>
      <c r="AC99" s="160"/>
      <c r="AD99" s="160"/>
      <c r="AE99" s="160"/>
      <c r="AF99" s="160"/>
      <c r="AG99" s="160">
        <v>0</v>
      </c>
      <c r="AH99" s="160">
        <v>268672.88912349741</v>
      </c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>
        <v>0</v>
      </c>
      <c r="AT99" s="160">
        <f>4127.99037724065+82070.0041517704+903795.827866735</f>
        <v>989993.82239574613</v>
      </c>
      <c r="AU99" s="160"/>
      <c r="AV99" s="160"/>
      <c r="AW99" s="179">
        <f>SUM(Таблица2[[#This Row],[Охрана и ТО, пожарная сигнализация - бюджет]:[Огнезащитная обработка - внебюджет]])</f>
        <v>3049316.5551219559</v>
      </c>
    </row>
    <row r="100" spans="1:49" ht="36" hidden="1" x14ac:dyDescent="0.3">
      <c r="A100" s="163">
        <v>99</v>
      </c>
      <c r="B100" s="158" t="s">
        <v>158</v>
      </c>
      <c r="C100" s="158" t="s">
        <v>160</v>
      </c>
      <c r="D100" s="158">
        <v>4101.8999999999996</v>
      </c>
      <c r="E100" s="159">
        <v>2020</v>
      </c>
      <c r="F100" s="159" t="s">
        <v>592</v>
      </c>
      <c r="G100" s="158">
        <v>0</v>
      </c>
      <c r="H100" s="158">
        <f>126786.521040497+100682.167915968+90216.9955749953+4590+316666.666666667</f>
        <v>638942.35119812726</v>
      </c>
      <c r="I100" s="158"/>
      <c r="J100" s="158"/>
      <c r="K100" s="158"/>
      <c r="L100" s="158">
        <v>129865.66922521795</v>
      </c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>
        <v>0</v>
      </c>
      <c r="X100" s="158">
        <v>65503.474534826855</v>
      </c>
      <c r="Y100" s="158"/>
      <c r="Z100" s="158"/>
      <c r="AA100" s="158"/>
      <c r="AB100" s="158"/>
      <c r="AC100" s="158"/>
      <c r="AD100" s="158"/>
      <c r="AE100" s="158"/>
      <c r="AF100" s="158"/>
      <c r="AG100" s="158">
        <v>0</v>
      </c>
      <c r="AH100" s="158">
        <v>137789.66816229577</v>
      </c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>
        <v>0</v>
      </c>
      <c r="AT100" s="158">
        <f>2117.05180270604+42089.8389675361+463514.304009222</f>
        <v>507721.19477946416</v>
      </c>
      <c r="AU100" s="158"/>
      <c r="AV100" s="158"/>
      <c r="AW100" s="179">
        <f>SUM(Таблица2[[#This Row],[Охрана и ТО, пожарная сигнализация - бюджет]:[Огнезащитная обработка - внебюджет]])</f>
        <v>1479822.3578999322</v>
      </c>
    </row>
    <row r="101" spans="1:49" ht="36" x14ac:dyDescent="0.3">
      <c r="A101" s="164">
        <v>100</v>
      </c>
      <c r="B101" s="160" t="s">
        <v>161</v>
      </c>
      <c r="C101" s="160" t="s">
        <v>162</v>
      </c>
      <c r="D101" s="160">
        <v>489.2</v>
      </c>
      <c r="E101" s="161">
        <v>2020</v>
      </c>
      <c r="F101" s="161" t="s">
        <v>593</v>
      </c>
      <c r="G101" s="160"/>
      <c r="H101" s="160"/>
      <c r="I101" s="160"/>
      <c r="J101" s="160"/>
      <c r="K101" s="160"/>
      <c r="L101" s="160"/>
      <c r="M101" s="160">
        <v>0</v>
      </c>
      <c r="N101" s="160">
        <v>10329.554408999693</v>
      </c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79">
        <f>SUM(Таблица2[[#This Row],[Охрана и ТО, пожарная сигнализация - бюджет]:[Огнезащитная обработка - внебюджет]])</f>
        <v>10329.554408999693</v>
      </c>
    </row>
    <row r="102" spans="1:49" ht="36" hidden="1" x14ac:dyDescent="0.3">
      <c r="A102" s="163">
        <v>101</v>
      </c>
      <c r="B102" s="158" t="s">
        <v>163</v>
      </c>
      <c r="C102" s="158" t="s">
        <v>164</v>
      </c>
      <c r="D102" s="158">
        <v>482.4</v>
      </c>
      <c r="E102" s="159">
        <v>2020</v>
      </c>
      <c r="F102" s="159" t="s">
        <v>593</v>
      </c>
      <c r="G102" s="158"/>
      <c r="H102" s="158"/>
      <c r="I102" s="158"/>
      <c r="J102" s="158"/>
      <c r="K102" s="158"/>
      <c r="L102" s="158"/>
      <c r="M102" s="158">
        <v>0</v>
      </c>
      <c r="N102" s="158">
        <v>2700.2322457421274</v>
      </c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79">
        <f>SUM(Таблица2[[#This Row],[Охрана и ТО, пожарная сигнализация - бюджет]:[Огнезащитная обработка - внебюджет]])</f>
        <v>2700.2322457421274</v>
      </c>
    </row>
    <row r="103" spans="1:49" ht="36" hidden="1" x14ac:dyDescent="0.3">
      <c r="A103" s="164">
        <v>102</v>
      </c>
      <c r="B103" s="160" t="s">
        <v>165</v>
      </c>
      <c r="C103" s="160" t="s">
        <v>166</v>
      </c>
      <c r="D103" s="160">
        <v>10231.5</v>
      </c>
      <c r="E103" s="161">
        <v>2020</v>
      </c>
      <c r="F103" s="161" t="s">
        <v>592</v>
      </c>
      <c r="G103" s="160">
        <v>0</v>
      </c>
      <c r="H103" s="160">
        <f>316247.663284295+235451.104516469+210977.690428944+633333.333333333</f>
        <v>1396009.791563041</v>
      </c>
      <c r="I103" s="160"/>
      <c r="J103" s="160"/>
      <c r="K103" s="160"/>
      <c r="L103" s="160">
        <f>73933.7801644564+572482.238019678</f>
        <v>646416.0181841345</v>
      </c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>
        <v>0</v>
      </c>
      <c r="X103" s="160">
        <v>163387.40576393402</v>
      </c>
      <c r="Y103" s="160"/>
      <c r="Z103" s="160"/>
      <c r="AA103" s="160"/>
      <c r="AB103" s="160"/>
      <c r="AC103" s="160"/>
      <c r="AD103" s="160"/>
      <c r="AE103" s="160">
        <v>0</v>
      </c>
      <c r="AF103" s="160">
        <v>7536.5853658536589</v>
      </c>
      <c r="AG103" s="160">
        <v>0</v>
      </c>
      <c r="AH103" s="160">
        <v>343693.16409530438</v>
      </c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>
        <v>0</v>
      </c>
      <c r="AT103" s="160">
        <f>5280.62983480505+104986.027791108+1156158.51226757</f>
        <v>1266425.1698934832</v>
      </c>
      <c r="AU103" s="160"/>
      <c r="AV103" s="160"/>
      <c r="AW103" s="179">
        <f>SUM(Таблица2[[#This Row],[Охрана и ТО, пожарная сигнализация - бюджет]:[Огнезащитная обработка - внебюджет]])</f>
        <v>3823468.134865751</v>
      </c>
    </row>
    <row r="104" spans="1:49" ht="36" hidden="1" x14ac:dyDescent="0.3">
      <c r="A104" s="163">
        <v>103</v>
      </c>
      <c r="B104" s="158" t="s">
        <v>167</v>
      </c>
      <c r="C104" s="158" t="s">
        <v>168</v>
      </c>
      <c r="D104" s="158">
        <v>2674.6</v>
      </c>
      <c r="E104" s="159">
        <v>2020</v>
      </c>
      <c r="F104" s="159" t="s">
        <v>592</v>
      </c>
      <c r="G104" s="158">
        <v>0</v>
      </c>
      <c r="H104" s="158">
        <f>82669.7942843352+61548.895483531+55151.3395710555+316666.666666667</f>
        <v>516036.69600558869</v>
      </c>
      <c r="I104" s="158"/>
      <c r="J104" s="158"/>
      <c r="K104" s="158"/>
      <c r="L104" s="158">
        <v>114489.35847957147</v>
      </c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>
        <v>0</v>
      </c>
      <c r="X104" s="158">
        <v>42710.839608680835</v>
      </c>
      <c r="Y104" s="158"/>
      <c r="Z104" s="158"/>
      <c r="AA104" s="158"/>
      <c r="AB104" s="158"/>
      <c r="AC104" s="158"/>
      <c r="AD104" s="158"/>
      <c r="AE104" s="158"/>
      <c r="AF104" s="158"/>
      <c r="AG104" s="158">
        <v>0</v>
      </c>
      <c r="AH104" s="158">
        <v>89844.278618902521</v>
      </c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>
        <v>0</v>
      </c>
      <c r="AT104" s="158">
        <f>1380.40097308993+27444.2290895858+302229.541798451</f>
        <v>331054.17186112673</v>
      </c>
      <c r="AU104" s="158"/>
      <c r="AV104" s="158"/>
      <c r="AW104" s="179">
        <f>SUM(Таблица2[[#This Row],[Охрана и ТО, пожарная сигнализация - бюджет]:[Огнезащитная обработка - внебюджет]])</f>
        <v>1094135.3445738703</v>
      </c>
    </row>
    <row r="105" spans="1:49" ht="36" hidden="1" x14ac:dyDescent="0.3">
      <c r="A105" s="164">
        <v>104</v>
      </c>
      <c r="B105" s="160" t="s">
        <v>169</v>
      </c>
      <c r="C105" s="160" t="s">
        <v>170</v>
      </c>
      <c r="D105" s="160">
        <v>3021.3</v>
      </c>
      <c r="E105" s="161">
        <v>2020</v>
      </c>
      <c r="F105" s="161" t="s">
        <v>591</v>
      </c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79">
        <f>SUM(Таблица2[[#This Row],[Охрана и ТО, пожарная сигнализация - бюджет]:[Огнезащитная обработка - внебюджет]])</f>
        <v>0</v>
      </c>
    </row>
    <row r="106" spans="1:49" ht="36" hidden="1" x14ac:dyDescent="0.3">
      <c r="A106" s="163">
        <v>105</v>
      </c>
      <c r="B106" s="158" t="s">
        <v>171</v>
      </c>
      <c r="C106" s="158" t="s">
        <v>172</v>
      </c>
      <c r="D106" s="158">
        <v>1759.2</v>
      </c>
      <c r="E106" s="159">
        <v>2020</v>
      </c>
      <c r="F106" s="159" t="s">
        <v>593</v>
      </c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79">
        <f>SUM(Таблица2[[#This Row],[Охрана и ТО, пожарная сигнализация - бюджет]:[Огнезащитная обработка - внебюджет]])</f>
        <v>0</v>
      </c>
    </row>
    <row r="107" spans="1:49" ht="36" hidden="1" x14ac:dyDescent="0.3">
      <c r="A107" s="164">
        <v>106</v>
      </c>
      <c r="B107" s="160" t="s">
        <v>173</v>
      </c>
      <c r="C107" s="160" t="s">
        <v>174</v>
      </c>
      <c r="D107" s="160">
        <v>110.3</v>
      </c>
      <c r="E107" s="161">
        <v>2020</v>
      </c>
      <c r="F107" s="161" t="s">
        <v>593</v>
      </c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79">
        <f>SUM(Таблица2[[#This Row],[Охрана и ТО, пожарная сигнализация - бюджет]:[Огнезащитная обработка - внебюджет]])</f>
        <v>0</v>
      </c>
    </row>
    <row r="108" spans="1:49" ht="36" hidden="1" x14ac:dyDescent="0.3">
      <c r="A108" s="163">
        <v>107</v>
      </c>
      <c r="B108" s="158" t="s">
        <v>175</v>
      </c>
      <c r="C108" s="158" t="s">
        <v>176</v>
      </c>
      <c r="D108" s="158">
        <v>3989.9</v>
      </c>
      <c r="E108" s="159">
        <v>2020</v>
      </c>
      <c r="F108" s="159" t="s">
        <v>591</v>
      </c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79">
        <f>SUM(Таблица2[[#This Row],[Охрана и ТО, пожарная сигнализация - бюджет]:[Огнезащитная обработка - внебюджет]])</f>
        <v>0</v>
      </c>
    </row>
    <row r="109" spans="1:49" hidden="1" x14ac:dyDescent="0.3">
      <c r="A109" s="164">
        <v>108</v>
      </c>
      <c r="B109" s="160" t="s">
        <v>177</v>
      </c>
      <c r="C109" s="160" t="s">
        <v>178</v>
      </c>
      <c r="D109" s="160">
        <v>1762.7</v>
      </c>
      <c r="E109" s="161">
        <v>2020</v>
      </c>
      <c r="F109" s="161" t="s">
        <v>593</v>
      </c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79">
        <f>SUM(Таблица2[[#This Row],[Охрана и ТО, пожарная сигнализация - бюджет]:[Огнезащитная обработка - внебюджет]])</f>
        <v>0</v>
      </c>
    </row>
    <row r="111" spans="1:49" ht="25.2" x14ac:dyDescent="0.3">
      <c r="B111" s="10"/>
      <c r="C111" s="10"/>
      <c r="D111" s="10"/>
      <c r="E111" s="10"/>
      <c r="F111" s="10"/>
    </row>
  </sheetData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G49"/>
  <sheetViews>
    <sheetView workbookViewId="0">
      <selection activeCell="B17" sqref="B17"/>
    </sheetView>
  </sheetViews>
  <sheetFormatPr defaultColWidth="9.109375" defaultRowHeight="14.4" x14ac:dyDescent="0.3"/>
  <cols>
    <col min="1" max="1" width="45.5546875" style="12" customWidth="1"/>
    <col min="2" max="2" width="34.6640625" style="12" customWidth="1"/>
    <col min="3" max="16384" width="9.109375" style="12"/>
  </cols>
  <sheetData>
    <row r="1" spans="1:2" x14ac:dyDescent="0.3">
      <c r="A1" s="11" t="s">
        <v>2</v>
      </c>
      <c r="B1" s="11" t="s">
        <v>209</v>
      </c>
    </row>
    <row r="2" spans="1:2" x14ac:dyDescent="0.3">
      <c r="A2" s="11" t="s">
        <v>210</v>
      </c>
      <c r="B2" s="11" t="s">
        <v>211</v>
      </c>
    </row>
    <row r="3" spans="1:2" x14ac:dyDescent="0.3">
      <c r="A3" s="11" t="s">
        <v>212</v>
      </c>
      <c r="B3" s="11" t="s">
        <v>213</v>
      </c>
    </row>
    <row r="4" spans="1:2" x14ac:dyDescent="0.3">
      <c r="A4" s="11" t="s">
        <v>214</v>
      </c>
      <c r="B4" s="11" t="s">
        <v>215</v>
      </c>
    </row>
    <row r="5" spans="1:2" x14ac:dyDescent="0.3">
      <c r="A5" s="11" t="s">
        <v>216</v>
      </c>
      <c r="B5" s="11" t="s">
        <v>217</v>
      </c>
    </row>
    <row r="6" spans="1:2" x14ac:dyDescent="0.3">
      <c r="A6" s="11" t="s">
        <v>218</v>
      </c>
      <c r="B6" s="11" t="s">
        <v>219</v>
      </c>
    </row>
    <row r="7" spans="1:2" x14ac:dyDescent="0.3">
      <c r="A7" s="11" t="s">
        <v>220</v>
      </c>
      <c r="B7" s="11" t="s">
        <v>221</v>
      </c>
    </row>
    <row r="8" spans="1:2" x14ac:dyDescent="0.3">
      <c r="A8" s="11" t="s">
        <v>222</v>
      </c>
      <c r="B8" s="11" t="s">
        <v>223</v>
      </c>
    </row>
    <row r="9" spans="1:2" x14ac:dyDescent="0.3">
      <c r="A9" s="11" t="s">
        <v>224</v>
      </c>
      <c r="B9" s="11" t="s">
        <v>123</v>
      </c>
    </row>
    <row r="10" spans="1:2" x14ac:dyDescent="0.3">
      <c r="A10" s="11" t="s">
        <v>225</v>
      </c>
      <c r="B10" s="11" t="s">
        <v>226</v>
      </c>
    </row>
    <row r="11" spans="1:2" x14ac:dyDescent="0.3">
      <c r="A11" s="11" t="s">
        <v>227</v>
      </c>
      <c r="B11" s="11" t="s">
        <v>228</v>
      </c>
    </row>
    <row r="12" spans="1:2" x14ac:dyDescent="0.3">
      <c r="A12" s="11" t="s">
        <v>229</v>
      </c>
      <c r="B12" s="11" t="s">
        <v>230</v>
      </c>
    </row>
    <row r="13" spans="1:2" x14ac:dyDescent="0.3">
      <c r="A13" s="11" t="s">
        <v>231</v>
      </c>
      <c r="B13" s="11" t="s">
        <v>228</v>
      </c>
    </row>
    <row r="14" spans="1:2" x14ac:dyDescent="0.3">
      <c r="A14" s="11" t="s">
        <v>232</v>
      </c>
      <c r="B14" s="11" t="s">
        <v>126</v>
      </c>
    </row>
    <row r="15" spans="1:2" x14ac:dyDescent="0.3">
      <c r="A15" s="11" t="s">
        <v>233</v>
      </c>
      <c r="B15" s="11" t="s">
        <v>126</v>
      </c>
    </row>
    <row r="16" spans="1:2" x14ac:dyDescent="0.3">
      <c r="A16" s="11" t="s">
        <v>234</v>
      </c>
      <c r="B16" s="11" t="s">
        <v>235</v>
      </c>
    </row>
    <row r="17" spans="1:2" x14ac:dyDescent="0.3">
      <c r="A17" s="11" t="s">
        <v>236</v>
      </c>
      <c r="B17" s="11" t="s">
        <v>237</v>
      </c>
    </row>
    <row r="18" spans="1:2" x14ac:dyDescent="0.3">
      <c r="A18" s="11" t="s">
        <v>238</v>
      </c>
      <c r="B18" s="11" t="s">
        <v>239</v>
      </c>
    </row>
    <row r="19" spans="1:2" x14ac:dyDescent="0.3">
      <c r="A19" s="11" t="s">
        <v>240</v>
      </c>
      <c r="B19" s="11" t="s">
        <v>241</v>
      </c>
    </row>
    <row r="20" spans="1:2" x14ac:dyDescent="0.3">
      <c r="A20" s="11" t="s">
        <v>242</v>
      </c>
      <c r="B20" s="11" t="s">
        <v>243</v>
      </c>
    </row>
    <row r="21" spans="1:2" x14ac:dyDescent="0.3">
      <c r="A21" s="11" t="s">
        <v>244</v>
      </c>
      <c r="B21" s="11" t="s">
        <v>243</v>
      </c>
    </row>
    <row r="22" spans="1:2" x14ac:dyDescent="0.3">
      <c r="A22" s="11" t="s">
        <v>245</v>
      </c>
      <c r="B22" s="11" t="s">
        <v>246</v>
      </c>
    </row>
    <row r="23" spans="1:2" x14ac:dyDescent="0.3">
      <c r="A23" s="11" t="s">
        <v>247</v>
      </c>
      <c r="B23" s="11" t="s">
        <v>246</v>
      </c>
    </row>
    <row r="24" spans="1:2" x14ac:dyDescent="0.3">
      <c r="A24" s="11" t="s">
        <v>248</v>
      </c>
      <c r="B24" s="11" t="s">
        <v>249</v>
      </c>
    </row>
    <row r="25" spans="1:2" x14ac:dyDescent="0.3">
      <c r="A25" s="11" t="s">
        <v>250</v>
      </c>
      <c r="B25" s="11" t="s">
        <v>249</v>
      </c>
    </row>
    <row r="26" spans="1:2" x14ac:dyDescent="0.3">
      <c r="A26" s="11" t="s">
        <v>251</v>
      </c>
      <c r="B26" s="11" t="s">
        <v>249</v>
      </c>
    </row>
    <row r="27" spans="1:2" x14ac:dyDescent="0.3">
      <c r="A27" s="11" t="s">
        <v>252</v>
      </c>
      <c r="B27" s="11" t="s">
        <v>253</v>
      </c>
    </row>
    <row r="28" spans="1:2" x14ac:dyDescent="0.3">
      <c r="A28" s="11" t="s">
        <v>254</v>
      </c>
      <c r="B28" s="11" t="s">
        <v>255</v>
      </c>
    </row>
    <row r="29" spans="1:2" x14ac:dyDescent="0.3">
      <c r="A29" s="11" t="s">
        <v>256</v>
      </c>
      <c r="B29" s="11" t="s">
        <v>257</v>
      </c>
    </row>
    <row r="30" spans="1:2" x14ac:dyDescent="0.3">
      <c r="A30" s="11" t="s">
        <v>258</v>
      </c>
      <c r="B30" s="11" t="s">
        <v>259</v>
      </c>
    </row>
    <row r="31" spans="1:2" x14ac:dyDescent="0.3">
      <c r="A31" s="11" t="s">
        <v>260</v>
      </c>
      <c r="B31" s="11" t="s">
        <v>261</v>
      </c>
    </row>
    <row r="32" spans="1:2" x14ac:dyDescent="0.3">
      <c r="A32" s="11" t="s">
        <v>262</v>
      </c>
      <c r="B32" s="11" t="s">
        <v>263</v>
      </c>
    </row>
    <row r="33" spans="1:2" x14ac:dyDescent="0.3">
      <c r="A33" s="11" t="s">
        <v>264</v>
      </c>
      <c r="B33" s="11" t="s">
        <v>265</v>
      </c>
    </row>
    <row r="34" spans="1:2" x14ac:dyDescent="0.3">
      <c r="A34" s="11" t="s">
        <v>266</v>
      </c>
      <c r="B34" s="11" t="s">
        <v>267</v>
      </c>
    </row>
    <row r="35" spans="1:2" x14ac:dyDescent="0.3">
      <c r="A35" s="11" t="s">
        <v>268</v>
      </c>
      <c r="B35" s="11" t="s">
        <v>267</v>
      </c>
    </row>
    <row r="36" spans="1:2" x14ac:dyDescent="0.3">
      <c r="A36" s="11" t="s">
        <v>269</v>
      </c>
      <c r="B36" s="11" t="s">
        <v>267</v>
      </c>
    </row>
    <row r="37" spans="1:2" x14ac:dyDescent="0.3">
      <c r="A37" s="11" t="s">
        <v>270</v>
      </c>
      <c r="B37" s="11" t="s">
        <v>271</v>
      </c>
    </row>
    <row r="38" spans="1:2" x14ac:dyDescent="0.3">
      <c r="A38" s="11" t="s">
        <v>272</v>
      </c>
      <c r="B38" s="11" t="s">
        <v>273</v>
      </c>
    </row>
    <row r="39" spans="1:2" x14ac:dyDescent="0.3">
      <c r="A39" s="11" t="s">
        <v>274</v>
      </c>
      <c r="B39" s="11" t="s">
        <v>275</v>
      </c>
    </row>
    <row r="40" spans="1:2" x14ac:dyDescent="0.3">
      <c r="A40" s="11" t="s">
        <v>276</v>
      </c>
      <c r="B40" s="11" t="s">
        <v>277</v>
      </c>
    </row>
    <row r="41" spans="1:2" x14ac:dyDescent="0.3">
      <c r="A41" s="11" t="s">
        <v>278</v>
      </c>
      <c r="B41" s="11" t="s">
        <v>279</v>
      </c>
    </row>
    <row r="42" spans="1:2" x14ac:dyDescent="0.3">
      <c r="A42" s="11" t="s">
        <v>280</v>
      </c>
      <c r="B42" s="11" t="s">
        <v>281</v>
      </c>
    </row>
    <row r="43" spans="1:2" x14ac:dyDescent="0.3">
      <c r="A43" s="11" t="s">
        <v>282</v>
      </c>
      <c r="B43" s="11" t="s">
        <v>283</v>
      </c>
    </row>
    <row r="44" spans="1:2" x14ac:dyDescent="0.3">
      <c r="A44" s="13" t="s">
        <v>284</v>
      </c>
      <c r="B44" s="11" t="s">
        <v>283</v>
      </c>
    </row>
    <row r="45" spans="1:2" x14ac:dyDescent="0.3">
      <c r="A45" s="14" t="s">
        <v>285</v>
      </c>
      <c r="B45" s="11" t="s">
        <v>286</v>
      </c>
    </row>
    <row r="46" spans="1:2" x14ac:dyDescent="0.3">
      <c r="A46" s="15" t="s">
        <v>287</v>
      </c>
      <c r="B46" s="11" t="s">
        <v>288</v>
      </c>
    </row>
    <row r="49" spans="3:7" x14ac:dyDescent="0.3">
      <c r="C49" s="134" t="s">
        <v>293</v>
      </c>
      <c r="D49" s="134"/>
      <c r="E49" s="134"/>
      <c r="F49" s="134"/>
      <c r="G49" s="134"/>
    </row>
  </sheetData>
  <autoFilter ref="A1:B46" xr:uid="{00000000-0009-0000-0000-000001000000}"/>
  <mergeCells count="1">
    <mergeCell ref="C49:G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1FBC-73AE-46C3-9516-11C0855A95E8}">
  <dimension ref="A1:H1195"/>
  <sheetViews>
    <sheetView topLeftCell="A1098" zoomScale="25" zoomScaleNormal="25" workbookViewId="0">
      <selection activeCell="A2" sqref="A2:H1195"/>
    </sheetView>
  </sheetViews>
  <sheetFormatPr defaultRowHeight="14.4" x14ac:dyDescent="0.3"/>
  <cols>
    <col min="2" max="2" width="58.44140625" bestFit="1" customWidth="1"/>
    <col min="3" max="3" width="79.33203125" bestFit="1" customWidth="1"/>
    <col min="4" max="4" width="16.88671875" bestFit="1" customWidth="1"/>
    <col min="5" max="5" width="6.33203125" bestFit="1" customWidth="1"/>
    <col min="6" max="6" width="15.88671875" bestFit="1" customWidth="1"/>
    <col min="7" max="7" width="80.8867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589</v>
      </c>
      <c r="F1" t="s">
        <v>594</v>
      </c>
      <c r="G1" t="s">
        <v>596</v>
      </c>
      <c r="H1" t="s">
        <v>597</v>
      </c>
    </row>
    <row r="2" spans="1:8" x14ac:dyDescent="0.3">
      <c r="A2">
        <v>1</v>
      </c>
      <c r="B2" s="168" t="s">
        <v>4</v>
      </c>
      <c r="C2" s="168" t="s">
        <v>5</v>
      </c>
      <c r="D2">
        <v>896.1</v>
      </c>
      <c r="E2">
        <v>2021</v>
      </c>
      <c r="F2" s="168" t="s">
        <v>590</v>
      </c>
      <c r="G2" s="168" t="s">
        <v>548</v>
      </c>
      <c r="H2">
        <v>0</v>
      </c>
    </row>
    <row r="3" spans="1:8" x14ac:dyDescent="0.3">
      <c r="A3">
        <v>1</v>
      </c>
      <c r="B3" s="168" t="s">
        <v>4</v>
      </c>
      <c r="C3" s="168" t="s">
        <v>5</v>
      </c>
      <c r="D3">
        <v>896.1</v>
      </c>
      <c r="E3">
        <v>2021</v>
      </c>
      <c r="F3" s="168" t="s">
        <v>590</v>
      </c>
      <c r="G3" s="168" t="s">
        <v>549</v>
      </c>
      <c r="H3">
        <v>535097.6291738305</v>
      </c>
    </row>
    <row r="4" spans="1:8" x14ac:dyDescent="0.3">
      <c r="A4">
        <v>2</v>
      </c>
      <c r="B4" s="168" t="s">
        <v>6</v>
      </c>
      <c r="C4" s="168" t="s">
        <v>5</v>
      </c>
      <c r="D4">
        <v>189</v>
      </c>
      <c r="E4">
        <v>2021</v>
      </c>
      <c r="F4" s="168" t="s">
        <v>590</v>
      </c>
      <c r="G4" s="168" t="s">
        <v>548</v>
      </c>
      <c r="H4">
        <v>0</v>
      </c>
    </row>
    <row r="5" spans="1:8" x14ac:dyDescent="0.3">
      <c r="A5">
        <v>2</v>
      </c>
      <c r="B5" s="168" t="s">
        <v>6</v>
      </c>
      <c r="C5" s="168" t="s">
        <v>5</v>
      </c>
      <c r="D5">
        <v>189</v>
      </c>
      <c r="E5">
        <v>2021</v>
      </c>
      <c r="F5" s="168" t="s">
        <v>590</v>
      </c>
      <c r="G5" s="168" t="s">
        <v>549</v>
      </c>
      <c r="H5">
        <v>112859.5602207945</v>
      </c>
    </row>
    <row r="6" spans="1:8" x14ac:dyDescent="0.3">
      <c r="A6">
        <v>3</v>
      </c>
      <c r="B6" s="168" t="s">
        <v>7</v>
      </c>
      <c r="C6" s="168" t="s">
        <v>5</v>
      </c>
      <c r="D6">
        <v>20</v>
      </c>
      <c r="E6">
        <v>2021</v>
      </c>
      <c r="F6" s="168" t="s">
        <v>590</v>
      </c>
      <c r="G6" s="168" t="s">
        <v>548</v>
      </c>
      <c r="H6">
        <v>0</v>
      </c>
    </row>
    <row r="7" spans="1:8" x14ac:dyDescent="0.3">
      <c r="A7">
        <v>3</v>
      </c>
      <c r="B7" s="168" t="s">
        <v>7</v>
      </c>
      <c r="C7" s="168" t="s">
        <v>5</v>
      </c>
      <c r="D7">
        <v>20</v>
      </c>
      <c r="E7">
        <v>2021</v>
      </c>
      <c r="F7" s="168" t="s">
        <v>590</v>
      </c>
      <c r="G7" s="168" t="s">
        <v>549</v>
      </c>
      <c r="H7">
        <v>11942.81060537508</v>
      </c>
    </row>
    <row r="8" spans="1:8" x14ac:dyDescent="0.3">
      <c r="A8">
        <v>4</v>
      </c>
      <c r="B8" s="168" t="s">
        <v>8</v>
      </c>
      <c r="C8" s="168" t="s">
        <v>5</v>
      </c>
      <c r="D8">
        <v>243</v>
      </c>
      <c r="E8">
        <v>2021</v>
      </c>
      <c r="F8" s="168" t="s">
        <v>590</v>
      </c>
      <c r="G8" s="168" t="s">
        <v>595</v>
      </c>
      <c r="H8">
        <v>0</v>
      </c>
    </row>
    <row r="9" spans="1:8" x14ac:dyDescent="0.3">
      <c r="A9">
        <v>4</v>
      </c>
      <c r="B9" s="168" t="s">
        <v>8</v>
      </c>
      <c r="C9" s="168" t="s">
        <v>5</v>
      </c>
      <c r="D9">
        <v>243</v>
      </c>
      <c r="E9">
        <v>2021</v>
      </c>
      <c r="F9" s="168" t="s">
        <v>590</v>
      </c>
      <c r="G9" s="168" t="s">
        <v>560</v>
      </c>
      <c r="H9">
        <v>6545.454545454545</v>
      </c>
    </row>
    <row r="10" spans="1:8" x14ac:dyDescent="0.3">
      <c r="A10">
        <v>4</v>
      </c>
      <c r="B10" s="168" t="s">
        <v>8</v>
      </c>
      <c r="C10" s="168" t="s">
        <v>5</v>
      </c>
      <c r="D10">
        <v>243</v>
      </c>
      <c r="E10">
        <v>2021</v>
      </c>
      <c r="F10" s="168" t="s">
        <v>590</v>
      </c>
      <c r="G10" s="168" t="s">
        <v>575</v>
      </c>
      <c r="H10">
        <v>0</v>
      </c>
    </row>
    <row r="11" spans="1:8" x14ac:dyDescent="0.3">
      <c r="A11">
        <v>4</v>
      </c>
      <c r="B11" s="168" t="s">
        <v>8</v>
      </c>
      <c r="C11" s="168" t="s">
        <v>5</v>
      </c>
      <c r="D11">
        <v>243</v>
      </c>
      <c r="E11">
        <v>2021</v>
      </c>
      <c r="F11" s="168" t="s">
        <v>590</v>
      </c>
      <c r="G11" s="168" t="s">
        <v>576</v>
      </c>
      <c r="H11">
        <v>1015.6383004596636</v>
      </c>
    </row>
    <row r="12" spans="1:8" x14ac:dyDescent="0.3">
      <c r="A12">
        <v>5</v>
      </c>
      <c r="B12" s="168" t="s">
        <v>9</v>
      </c>
      <c r="C12" s="168" t="s">
        <v>10</v>
      </c>
      <c r="D12">
        <v>7098.7</v>
      </c>
      <c r="E12">
        <v>2021</v>
      </c>
      <c r="F12" s="168" t="s">
        <v>590</v>
      </c>
      <c r="G12" s="168" t="s">
        <v>550</v>
      </c>
      <c r="H12">
        <v>0</v>
      </c>
    </row>
    <row r="13" spans="1:8" x14ac:dyDescent="0.3">
      <c r="A13">
        <v>5</v>
      </c>
      <c r="B13" s="168" t="s">
        <v>9</v>
      </c>
      <c r="C13" s="168" t="s">
        <v>10</v>
      </c>
      <c r="D13">
        <v>7098.7</v>
      </c>
      <c r="E13">
        <v>2021</v>
      </c>
      <c r="F13" s="168" t="s">
        <v>590</v>
      </c>
      <c r="G13" s="168" t="s">
        <v>551</v>
      </c>
      <c r="H13">
        <v>13594.866730341048</v>
      </c>
    </row>
    <row r="14" spans="1:8" x14ac:dyDescent="0.3">
      <c r="A14">
        <v>5</v>
      </c>
      <c r="B14" s="168" t="s">
        <v>9</v>
      </c>
      <c r="C14" s="168" t="s">
        <v>10</v>
      </c>
      <c r="D14">
        <v>7098.7</v>
      </c>
      <c r="E14">
        <v>2021</v>
      </c>
      <c r="F14" s="168" t="s">
        <v>590</v>
      </c>
      <c r="G14" s="168" t="s">
        <v>575</v>
      </c>
      <c r="H14">
        <v>0</v>
      </c>
    </row>
    <row r="15" spans="1:8" x14ac:dyDescent="0.3">
      <c r="A15">
        <v>5</v>
      </c>
      <c r="B15" s="168" t="s">
        <v>9</v>
      </c>
      <c r="C15" s="168" t="s">
        <v>10</v>
      </c>
      <c r="D15">
        <v>7098.7</v>
      </c>
      <c r="E15">
        <v>2021</v>
      </c>
      <c r="F15" s="168" t="s">
        <v>590</v>
      </c>
      <c r="G15" s="168" t="s">
        <v>576</v>
      </c>
      <c r="H15">
        <v>2969.0865668145902</v>
      </c>
    </row>
    <row r="16" spans="1:8" x14ac:dyDescent="0.3">
      <c r="A16">
        <v>5</v>
      </c>
      <c r="B16" s="168" t="s">
        <v>9</v>
      </c>
      <c r="C16" s="168" t="s">
        <v>10</v>
      </c>
      <c r="D16">
        <v>7098.7</v>
      </c>
      <c r="E16">
        <v>2021</v>
      </c>
      <c r="F16" s="168" t="s">
        <v>590</v>
      </c>
      <c r="G16" s="168" t="s">
        <v>585</v>
      </c>
      <c r="H16">
        <v>235082.01970278387</v>
      </c>
    </row>
    <row r="17" spans="1:8" x14ac:dyDescent="0.3">
      <c r="A17">
        <v>5</v>
      </c>
      <c r="B17" s="168" t="s">
        <v>9</v>
      </c>
      <c r="C17" s="168" t="s">
        <v>10</v>
      </c>
      <c r="D17">
        <v>7098.7</v>
      </c>
      <c r="E17">
        <v>2021</v>
      </c>
      <c r="F17" s="168" t="s">
        <v>590</v>
      </c>
      <c r="G17" s="168" t="s">
        <v>586</v>
      </c>
      <c r="H17">
        <v>150726.75510166027</v>
      </c>
    </row>
    <row r="18" spans="1:8" x14ac:dyDescent="0.3">
      <c r="A18">
        <v>6</v>
      </c>
      <c r="B18" s="168" t="s">
        <v>11</v>
      </c>
      <c r="C18" s="168" t="s">
        <v>12</v>
      </c>
      <c r="D18">
        <v>1070.3</v>
      </c>
      <c r="E18">
        <v>2021</v>
      </c>
      <c r="F18" s="168" t="s">
        <v>590</v>
      </c>
      <c r="G18" s="168" t="s">
        <v>550</v>
      </c>
      <c r="H18">
        <v>0</v>
      </c>
    </row>
    <row r="19" spans="1:8" x14ac:dyDescent="0.3">
      <c r="A19">
        <v>6</v>
      </c>
      <c r="B19" s="168" t="s">
        <v>11</v>
      </c>
      <c r="C19" s="168" t="s">
        <v>12</v>
      </c>
      <c r="D19">
        <v>1070.3</v>
      </c>
      <c r="E19">
        <v>2021</v>
      </c>
      <c r="F19" s="168" t="s">
        <v>590</v>
      </c>
      <c r="G19" s="168" t="s">
        <v>551</v>
      </c>
      <c r="H19">
        <v>2049.7535973465597</v>
      </c>
    </row>
    <row r="20" spans="1:8" x14ac:dyDescent="0.3">
      <c r="A20">
        <v>6</v>
      </c>
      <c r="B20" s="168" t="s">
        <v>11</v>
      </c>
      <c r="C20" s="168" t="s">
        <v>12</v>
      </c>
      <c r="D20">
        <v>1070.3</v>
      </c>
      <c r="E20">
        <v>2021</v>
      </c>
      <c r="F20" s="168" t="s">
        <v>590</v>
      </c>
      <c r="G20" s="168" t="s">
        <v>575</v>
      </c>
      <c r="H20">
        <v>0</v>
      </c>
    </row>
    <row r="21" spans="1:8" x14ac:dyDescent="0.3">
      <c r="A21">
        <v>6</v>
      </c>
      <c r="B21" s="168" t="s">
        <v>11</v>
      </c>
      <c r="C21" s="168" t="s">
        <v>12</v>
      </c>
      <c r="D21">
        <v>1070.3</v>
      </c>
      <c r="E21">
        <v>2021</v>
      </c>
      <c r="F21" s="168" t="s">
        <v>590</v>
      </c>
      <c r="G21" s="168" t="s">
        <v>576</v>
      </c>
      <c r="H21">
        <v>447.66131157277471</v>
      </c>
    </row>
    <row r="22" spans="1:8" x14ac:dyDescent="0.3">
      <c r="A22">
        <v>6</v>
      </c>
      <c r="B22" s="168" t="s">
        <v>11</v>
      </c>
      <c r="C22" s="168" t="s">
        <v>12</v>
      </c>
      <c r="D22">
        <v>1070.3</v>
      </c>
      <c r="E22">
        <v>2021</v>
      </c>
      <c r="F22" s="168" t="s">
        <v>590</v>
      </c>
      <c r="G22" s="168" t="s">
        <v>585</v>
      </c>
      <c r="H22">
        <v>35444.276513712313</v>
      </c>
    </row>
    <row r="23" spans="1:8" x14ac:dyDescent="0.3">
      <c r="A23">
        <v>6</v>
      </c>
      <c r="B23" s="168" t="s">
        <v>11</v>
      </c>
      <c r="C23" s="168" t="s">
        <v>12</v>
      </c>
      <c r="D23">
        <v>1070.3</v>
      </c>
      <c r="E23">
        <v>2021</v>
      </c>
      <c r="F23" s="168" t="s">
        <v>590</v>
      </c>
      <c r="G23" s="168" t="s">
        <v>586</v>
      </c>
      <c r="H23">
        <v>22725.688645147278</v>
      </c>
    </row>
    <row r="24" spans="1:8" x14ac:dyDescent="0.3">
      <c r="A24">
        <v>7</v>
      </c>
      <c r="B24" s="168" t="s">
        <v>13</v>
      </c>
      <c r="C24" s="168" t="s">
        <v>12</v>
      </c>
      <c r="D24">
        <v>1076.9000000000001</v>
      </c>
      <c r="E24">
        <v>2021</v>
      </c>
      <c r="F24" s="168" t="s">
        <v>590</v>
      </c>
      <c r="G24" s="168" t="s">
        <v>550</v>
      </c>
      <c r="H24">
        <v>0</v>
      </c>
    </row>
    <row r="25" spans="1:8" x14ac:dyDescent="0.3">
      <c r="A25">
        <v>7</v>
      </c>
      <c r="B25" s="168" t="s">
        <v>13</v>
      </c>
      <c r="C25" s="168" t="s">
        <v>12</v>
      </c>
      <c r="D25">
        <v>1076.9000000000001</v>
      </c>
      <c r="E25">
        <v>2021</v>
      </c>
      <c r="F25" s="168" t="s">
        <v>590</v>
      </c>
      <c r="G25" s="168" t="s">
        <v>551</v>
      </c>
      <c r="H25">
        <v>2062.3933934247507</v>
      </c>
    </row>
    <row r="26" spans="1:8" x14ac:dyDescent="0.3">
      <c r="A26">
        <v>7</v>
      </c>
      <c r="B26" s="168" t="s">
        <v>13</v>
      </c>
      <c r="C26" s="168" t="s">
        <v>12</v>
      </c>
      <c r="D26">
        <v>1076.9000000000001</v>
      </c>
      <c r="E26">
        <v>2021</v>
      </c>
      <c r="F26" s="168" t="s">
        <v>590</v>
      </c>
      <c r="G26" s="168" t="s">
        <v>575</v>
      </c>
      <c r="H26">
        <v>0</v>
      </c>
    </row>
    <row r="27" spans="1:8" x14ac:dyDescent="0.3">
      <c r="A27">
        <v>7</v>
      </c>
      <c r="B27" s="168" t="s">
        <v>13</v>
      </c>
      <c r="C27" s="168" t="s">
        <v>12</v>
      </c>
      <c r="D27">
        <v>1076.9000000000001</v>
      </c>
      <c r="E27">
        <v>2021</v>
      </c>
      <c r="F27" s="168" t="s">
        <v>590</v>
      </c>
      <c r="G27" s="168" t="s">
        <v>576</v>
      </c>
      <c r="H27">
        <v>450.42181298021222</v>
      </c>
    </row>
    <row r="28" spans="1:8" x14ac:dyDescent="0.3">
      <c r="A28">
        <v>7</v>
      </c>
      <c r="B28" s="168" t="s">
        <v>13</v>
      </c>
      <c r="C28" s="168" t="s">
        <v>12</v>
      </c>
      <c r="D28">
        <v>1076.9000000000001</v>
      </c>
      <c r="E28">
        <v>2021</v>
      </c>
      <c r="F28" s="168" t="s">
        <v>590</v>
      </c>
      <c r="G28" s="168" t="s">
        <v>585</v>
      </c>
      <c r="H28">
        <v>35662.843480908901</v>
      </c>
    </row>
    <row r="29" spans="1:8" x14ac:dyDescent="0.3">
      <c r="A29">
        <v>7</v>
      </c>
      <c r="B29" s="168" t="s">
        <v>13</v>
      </c>
      <c r="C29" s="168" t="s">
        <v>12</v>
      </c>
      <c r="D29">
        <v>1076.9000000000001</v>
      </c>
      <c r="E29">
        <v>2021</v>
      </c>
      <c r="F29" s="168" t="s">
        <v>590</v>
      </c>
      <c r="G29" s="168" t="s">
        <v>586</v>
      </c>
      <c r="H29">
        <v>22865.826499074192</v>
      </c>
    </row>
    <row r="30" spans="1:8" x14ac:dyDescent="0.3">
      <c r="A30">
        <v>8</v>
      </c>
      <c r="B30" s="168" t="s">
        <v>14</v>
      </c>
      <c r="C30" s="168" t="s">
        <v>12</v>
      </c>
      <c r="D30">
        <v>1909.4</v>
      </c>
      <c r="E30">
        <v>2021</v>
      </c>
      <c r="F30" s="168" t="s">
        <v>590</v>
      </c>
      <c r="G30" s="168" t="s">
        <v>550</v>
      </c>
      <c r="H30">
        <v>0</v>
      </c>
    </row>
    <row r="31" spans="1:8" x14ac:dyDescent="0.3">
      <c r="A31">
        <v>8</v>
      </c>
      <c r="B31" s="168" t="s">
        <v>14</v>
      </c>
      <c r="C31" s="168" t="s">
        <v>12</v>
      </c>
      <c r="D31">
        <v>1909.4</v>
      </c>
      <c r="E31">
        <v>2021</v>
      </c>
      <c r="F31" s="168" t="s">
        <v>590</v>
      </c>
      <c r="G31" s="168" t="s">
        <v>551</v>
      </c>
      <c r="H31">
        <v>3656.7313078328712</v>
      </c>
    </row>
    <row r="32" spans="1:8" x14ac:dyDescent="0.3">
      <c r="A32">
        <v>8</v>
      </c>
      <c r="B32" s="168" t="s">
        <v>14</v>
      </c>
      <c r="C32" s="168" t="s">
        <v>12</v>
      </c>
      <c r="D32">
        <v>1909.4</v>
      </c>
      <c r="E32">
        <v>2021</v>
      </c>
      <c r="F32" s="168" t="s">
        <v>590</v>
      </c>
      <c r="G32" s="168" t="s">
        <v>598</v>
      </c>
      <c r="H32">
        <v>173755.4</v>
      </c>
    </row>
    <row r="33" spans="1:8" x14ac:dyDescent="0.3">
      <c r="A33">
        <v>8</v>
      </c>
      <c r="B33" s="168" t="s">
        <v>14</v>
      </c>
      <c r="C33" s="168" t="s">
        <v>12</v>
      </c>
      <c r="D33">
        <v>1909.4</v>
      </c>
      <c r="E33">
        <v>2021</v>
      </c>
      <c r="F33" s="168" t="s">
        <v>590</v>
      </c>
      <c r="G33" s="168" t="s">
        <v>599</v>
      </c>
      <c r="H33">
        <v>74466.599999999991</v>
      </c>
    </row>
    <row r="34" spans="1:8" x14ac:dyDescent="0.3">
      <c r="A34">
        <v>8</v>
      </c>
      <c r="B34" s="168" t="s">
        <v>14</v>
      </c>
      <c r="C34" s="168" t="s">
        <v>12</v>
      </c>
      <c r="D34">
        <v>1909.4</v>
      </c>
      <c r="E34">
        <v>2021</v>
      </c>
      <c r="F34" s="168" t="s">
        <v>590</v>
      </c>
      <c r="G34" s="168" t="s">
        <v>575</v>
      </c>
      <c r="H34">
        <v>0</v>
      </c>
    </row>
    <row r="35" spans="1:8" x14ac:dyDescent="0.3">
      <c r="A35">
        <v>8</v>
      </c>
      <c r="B35" s="168" t="s">
        <v>14</v>
      </c>
      <c r="C35" s="168" t="s">
        <v>12</v>
      </c>
      <c r="D35">
        <v>1909.4</v>
      </c>
      <c r="E35">
        <v>2021</v>
      </c>
      <c r="F35" s="168" t="s">
        <v>590</v>
      </c>
      <c r="G35" s="168" t="s">
        <v>576</v>
      </c>
      <c r="H35">
        <v>798.62142232743736</v>
      </c>
    </row>
    <row r="36" spans="1:8" x14ac:dyDescent="0.3">
      <c r="A36">
        <v>8</v>
      </c>
      <c r="B36" s="168" t="s">
        <v>14</v>
      </c>
      <c r="C36" s="168" t="s">
        <v>12</v>
      </c>
      <c r="D36">
        <v>1909.4</v>
      </c>
      <c r="E36">
        <v>2021</v>
      </c>
      <c r="F36" s="168" t="s">
        <v>590</v>
      </c>
      <c r="G36" s="168" t="s">
        <v>585</v>
      </c>
      <c r="H36">
        <v>63232.085934114075</v>
      </c>
    </row>
    <row r="37" spans="1:8" x14ac:dyDescent="0.3">
      <c r="A37">
        <v>8</v>
      </c>
      <c r="B37" s="168" t="s">
        <v>14</v>
      </c>
      <c r="C37" s="168" t="s">
        <v>12</v>
      </c>
      <c r="D37">
        <v>1909.4</v>
      </c>
      <c r="E37">
        <v>2021</v>
      </c>
      <c r="F37" s="168" t="s">
        <v>590</v>
      </c>
      <c r="G37" s="168" t="s">
        <v>586</v>
      </c>
      <c r="H37">
        <v>40542.30580121855</v>
      </c>
    </row>
    <row r="38" spans="1:8" x14ac:dyDescent="0.3">
      <c r="A38">
        <v>9</v>
      </c>
      <c r="B38" s="168" t="s">
        <v>15</v>
      </c>
      <c r="C38" s="168" t="s">
        <v>10</v>
      </c>
      <c r="D38">
        <v>161.19999999999999</v>
      </c>
      <c r="E38">
        <v>2021</v>
      </c>
      <c r="F38" s="168" t="s">
        <v>590</v>
      </c>
      <c r="G38" s="168" t="s">
        <v>550</v>
      </c>
      <c r="H38">
        <v>0</v>
      </c>
    </row>
    <row r="39" spans="1:8" x14ac:dyDescent="0.3">
      <c r="A39">
        <v>9</v>
      </c>
      <c r="B39" s="168" t="s">
        <v>15</v>
      </c>
      <c r="C39" s="168" t="s">
        <v>10</v>
      </c>
      <c r="D39">
        <v>161.19999999999999</v>
      </c>
      <c r="E39">
        <v>2021</v>
      </c>
      <c r="F39" s="168" t="s">
        <v>590</v>
      </c>
      <c r="G39" s="168" t="s">
        <v>551</v>
      </c>
      <c r="H39">
        <v>308.71744360671346</v>
      </c>
    </row>
    <row r="40" spans="1:8" x14ac:dyDescent="0.3">
      <c r="A40">
        <v>9</v>
      </c>
      <c r="B40" s="168" t="s">
        <v>15</v>
      </c>
      <c r="C40" s="168" t="s">
        <v>10</v>
      </c>
      <c r="D40">
        <v>161.19999999999999</v>
      </c>
      <c r="E40">
        <v>2021</v>
      </c>
      <c r="F40" s="168" t="s">
        <v>590</v>
      </c>
      <c r="G40" s="168" t="s">
        <v>575</v>
      </c>
      <c r="H40">
        <v>0</v>
      </c>
    </row>
    <row r="41" spans="1:8" x14ac:dyDescent="0.3">
      <c r="A41">
        <v>9</v>
      </c>
      <c r="B41" s="168" t="s">
        <v>15</v>
      </c>
      <c r="C41" s="168" t="s">
        <v>10</v>
      </c>
      <c r="D41">
        <v>161.19999999999999</v>
      </c>
      <c r="E41">
        <v>2021</v>
      </c>
      <c r="F41" s="168" t="s">
        <v>590</v>
      </c>
      <c r="G41" s="168" t="s">
        <v>576</v>
      </c>
      <c r="H41">
        <v>67.423155587714916</v>
      </c>
    </row>
    <row r="42" spans="1:8" x14ac:dyDescent="0.3">
      <c r="A42">
        <v>9</v>
      </c>
      <c r="B42" s="168" t="s">
        <v>15</v>
      </c>
      <c r="C42" s="168" t="s">
        <v>10</v>
      </c>
      <c r="D42">
        <v>161.19999999999999</v>
      </c>
      <c r="E42">
        <v>2021</v>
      </c>
      <c r="F42" s="168" t="s">
        <v>590</v>
      </c>
      <c r="G42" s="168" t="s">
        <v>585</v>
      </c>
      <c r="H42">
        <v>5338.3325927407495</v>
      </c>
    </row>
    <row r="43" spans="1:8" x14ac:dyDescent="0.3">
      <c r="A43">
        <v>9</v>
      </c>
      <c r="B43" s="168" t="s">
        <v>15</v>
      </c>
      <c r="C43" s="168" t="s">
        <v>10</v>
      </c>
      <c r="D43">
        <v>161.19999999999999</v>
      </c>
      <c r="E43">
        <v>2021</v>
      </c>
      <c r="F43" s="168" t="s">
        <v>590</v>
      </c>
      <c r="G43" s="168" t="s">
        <v>586</v>
      </c>
      <c r="H43">
        <v>3422.7609171239287</v>
      </c>
    </row>
    <row r="44" spans="1:8" x14ac:dyDescent="0.3">
      <c r="A44">
        <v>10</v>
      </c>
      <c r="B44" s="168" t="s">
        <v>16</v>
      </c>
      <c r="C44" s="168" t="s">
        <v>10</v>
      </c>
      <c r="D44">
        <v>32.200000000000003</v>
      </c>
      <c r="E44">
        <v>2021</v>
      </c>
      <c r="F44" s="168" t="s">
        <v>590</v>
      </c>
      <c r="G44" s="168" t="s">
        <v>550</v>
      </c>
      <c r="H44">
        <v>0</v>
      </c>
    </row>
    <row r="45" spans="1:8" x14ac:dyDescent="0.3">
      <c r="A45">
        <v>10</v>
      </c>
      <c r="B45" s="168" t="s">
        <v>16</v>
      </c>
      <c r="C45" s="168" t="s">
        <v>10</v>
      </c>
      <c r="D45">
        <v>32.200000000000003</v>
      </c>
      <c r="E45">
        <v>2021</v>
      </c>
      <c r="F45" s="168" t="s">
        <v>590</v>
      </c>
      <c r="G45" s="168" t="s">
        <v>551</v>
      </c>
      <c r="H45">
        <v>61.666883896626395</v>
      </c>
    </row>
    <row r="46" spans="1:8" x14ac:dyDescent="0.3">
      <c r="A46">
        <v>10</v>
      </c>
      <c r="B46" s="168" t="s">
        <v>16</v>
      </c>
      <c r="C46" s="168" t="s">
        <v>10</v>
      </c>
      <c r="D46">
        <v>32.200000000000003</v>
      </c>
      <c r="E46">
        <v>2021</v>
      </c>
      <c r="F46" s="168" t="s">
        <v>590</v>
      </c>
      <c r="G46" s="168" t="s">
        <v>575</v>
      </c>
      <c r="H46">
        <v>0</v>
      </c>
    </row>
    <row r="47" spans="1:8" x14ac:dyDescent="0.3">
      <c r="A47">
        <v>10</v>
      </c>
      <c r="B47" s="168" t="s">
        <v>16</v>
      </c>
      <c r="C47" s="168" t="s">
        <v>10</v>
      </c>
      <c r="D47">
        <v>32.200000000000003</v>
      </c>
      <c r="E47">
        <v>2021</v>
      </c>
      <c r="F47" s="168" t="s">
        <v>590</v>
      </c>
      <c r="G47" s="168" t="s">
        <v>576</v>
      </c>
      <c r="H47">
        <v>13.46790080598276</v>
      </c>
    </row>
    <row r="48" spans="1:8" x14ac:dyDescent="0.3">
      <c r="A48">
        <v>10</v>
      </c>
      <c r="B48" s="168" t="s">
        <v>16</v>
      </c>
      <c r="C48" s="168" t="s">
        <v>10</v>
      </c>
      <c r="D48">
        <v>32.200000000000003</v>
      </c>
      <c r="E48">
        <v>2021</v>
      </c>
      <c r="F48" s="168" t="s">
        <v>590</v>
      </c>
      <c r="G48" s="168" t="s">
        <v>585</v>
      </c>
      <c r="H48">
        <v>1066.3418702621102</v>
      </c>
    </row>
    <row r="49" spans="1:8" x14ac:dyDescent="0.3">
      <c r="A49">
        <v>10</v>
      </c>
      <c r="B49" s="168" t="s">
        <v>16</v>
      </c>
      <c r="C49" s="168" t="s">
        <v>10</v>
      </c>
      <c r="D49">
        <v>32.200000000000003</v>
      </c>
      <c r="E49">
        <v>2021</v>
      </c>
      <c r="F49" s="168" t="s">
        <v>590</v>
      </c>
      <c r="G49" s="168" t="s">
        <v>586</v>
      </c>
      <c r="H49">
        <v>683.70286309795608</v>
      </c>
    </row>
    <row r="50" spans="1:8" x14ac:dyDescent="0.3">
      <c r="A50">
        <v>11</v>
      </c>
      <c r="B50" s="168" t="s">
        <v>17</v>
      </c>
      <c r="C50" s="168" t="s">
        <v>12</v>
      </c>
      <c r="D50">
        <v>67.099999999999994</v>
      </c>
      <c r="E50">
        <v>2021</v>
      </c>
      <c r="F50" s="168" t="s">
        <v>590</v>
      </c>
      <c r="G50" s="168" t="s">
        <v>550</v>
      </c>
      <c r="H50">
        <v>0</v>
      </c>
    </row>
    <row r="51" spans="1:8" x14ac:dyDescent="0.3">
      <c r="A51">
        <v>11</v>
      </c>
      <c r="B51" s="168" t="s">
        <v>17</v>
      </c>
      <c r="C51" s="168" t="s">
        <v>12</v>
      </c>
      <c r="D51">
        <v>67.099999999999994</v>
      </c>
      <c r="E51">
        <v>2021</v>
      </c>
      <c r="F51" s="168" t="s">
        <v>590</v>
      </c>
      <c r="G51" s="168" t="s">
        <v>551</v>
      </c>
      <c r="H51">
        <v>128.50459346160343</v>
      </c>
    </row>
    <row r="52" spans="1:8" x14ac:dyDescent="0.3">
      <c r="A52">
        <v>11</v>
      </c>
      <c r="B52" s="168" t="s">
        <v>17</v>
      </c>
      <c r="C52" s="168" t="s">
        <v>12</v>
      </c>
      <c r="D52">
        <v>67.099999999999994</v>
      </c>
      <c r="E52">
        <v>2021</v>
      </c>
      <c r="F52" s="168" t="s">
        <v>590</v>
      </c>
      <c r="G52" s="168" t="s">
        <v>575</v>
      </c>
      <c r="H52">
        <v>0</v>
      </c>
    </row>
    <row r="53" spans="1:8" x14ac:dyDescent="0.3">
      <c r="A53">
        <v>11</v>
      </c>
      <c r="B53" s="168" t="s">
        <v>17</v>
      </c>
      <c r="C53" s="168" t="s">
        <v>12</v>
      </c>
      <c r="D53">
        <v>67.099999999999994</v>
      </c>
      <c r="E53">
        <v>2021</v>
      </c>
      <c r="F53" s="168" t="s">
        <v>590</v>
      </c>
      <c r="G53" s="168" t="s">
        <v>576</v>
      </c>
      <c r="H53">
        <v>28.06509764228084</v>
      </c>
    </row>
    <row r="54" spans="1:8" x14ac:dyDescent="0.3">
      <c r="A54">
        <v>11</v>
      </c>
      <c r="B54" s="168" t="s">
        <v>17</v>
      </c>
      <c r="C54" s="168" t="s">
        <v>12</v>
      </c>
      <c r="D54">
        <v>67.099999999999994</v>
      </c>
      <c r="E54">
        <v>2021</v>
      </c>
      <c r="F54" s="168" t="s">
        <v>590</v>
      </c>
      <c r="G54" s="168" t="s">
        <v>585</v>
      </c>
      <c r="H54">
        <v>2222.0974998319125</v>
      </c>
    </row>
    <row r="55" spans="1:8" x14ac:dyDescent="0.3">
      <c r="A55">
        <v>11</v>
      </c>
      <c r="B55" s="168" t="s">
        <v>17</v>
      </c>
      <c r="C55" s="168" t="s">
        <v>12</v>
      </c>
      <c r="D55">
        <v>67.099999999999994</v>
      </c>
      <c r="E55">
        <v>2021</v>
      </c>
      <c r="F55" s="168" t="s">
        <v>590</v>
      </c>
      <c r="G55" s="168" t="s">
        <v>586</v>
      </c>
      <c r="H55">
        <v>1424.7348482569207</v>
      </c>
    </row>
    <row r="56" spans="1:8" x14ac:dyDescent="0.3">
      <c r="A56">
        <v>12</v>
      </c>
      <c r="B56" s="168" t="s">
        <v>18</v>
      </c>
      <c r="C56" s="168" t="s">
        <v>12</v>
      </c>
      <c r="D56">
        <v>43.9</v>
      </c>
      <c r="E56">
        <v>2021</v>
      </c>
      <c r="F56" s="168" t="s">
        <v>590</v>
      </c>
      <c r="G56" s="168" t="s">
        <v>550</v>
      </c>
      <c r="H56">
        <v>0</v>
      </c>
    </row>
    <row r="57" spans="1:8" x14ac:dyDescent="0.3">
      <c r="A57">
        <v>12</v>
      </c>
      <c r="B57" s="168" t="s">
        <v>18</v>
      </c>
      <c r="C57" s="168" t="s">
        <v>12</v>
      </c>
      <c r="D57">
        <v>43.9</v>
      </c>
      <c r="E57">
        <v>2021</v>
      </c>
      <c r="F57" s="168" t="s">
        <v>590</v>
      </c>
      <c r="G57" s="168" t="s">
        <v>551</v>
      </c>
      <c r="H57">
        <v>84.07379512614591</v>
      </c>
    </row>
    <row r="58" spans="1:8" x14ac:dyDescent="0.3">
      <c r="A58">
        <v>12</v>
      </c>
      <c r="B58" s="168" t="s">
        <v>18</v>
      </c>
      <c r="C58" s="168" t="s">
        <v>12</v>
      </c>
      <c r="D58">
        <v>43.9</v>
      </c>
      <c r="E58">
        <v>2021</v>
      </c>
      <c r="F58" s="168" t="s">
        <v>590</v>
      </c>
      <c r="G58" s="168" t="s">
        <v>575</v>
      </c>
      <c r="H58">
        <v>0</v>
      </c>
    </row>
    <row r="59" spans="1:8" x14ac:dyDescent="0.3">
      <c r="A59">
        <v>12</v>
      </c>
      <c r="B59" s="168" t="s">
        <v>18</v>
      </c>
      <c r="C59" s="168" t="s">
        <v>12</v>
      </c>
      <c r="D59">
        <v>43.9</v>
      </c>
      <c r="E59">
        <v>2021</v>
      </c>
      <c r="F59" s="168" t="s">
        <v>590</v>
      </c>
      <c r="G59" s="168" t="s">
        <v>576</v>
      </c>
      <c r="H59">
        <v>18.361516937349165</v>
      </c>
    </row>
    <row r="60" spans="1:8" x14ac:dyDescent="0.3">
      <c r="A60">
        <v>12</v>
      </c>
      <c r="B60" s="168" t="s">
        <v>18</v>
      </c>
      <c r="C60" s="168" t="s">
        <v>12</v>
      </c>
      <c r="D60">
        <v>43.9</v>
      </c>
      <c r="E60">
        <v>2021</v>
      </c>
      <c r="F60" s="168" t="s">
        <v>590</v>
      </c>
      <c r="G60" s="168" t="s">
        <v>585</v>
      </c>
      <c r="H60">
        <v>1453.8014939287775</v>
      </c>
    </row>
    <row r="61" spans="1:8" x14ac:dyDescent="0.3">
      <c r="A61">
        <v>12</v>
      </c>
      <c r="B61" s="168" t="s">
        <v>18</v>
      </c>
      <c r="C61" s="168" t="s">
        <v>12</v>
      </c>
      <c r="D61">
        <v>43.9</v>
      </c>
      <c r="E61">
        <v>2021</v>
      </c>
      <c r="F61" s="168" t="s">
        <v>590</v>
      </c>
      <c r="G61" s="168" t="s">
        <v>586</v>
      </c>
      <c r="H61">
        <v>932.12905869566066</v>
      </c>
    </row>
    <row r="62" spans="1:8" x14ac:dyDescent="0.3">
      <c r="A62">
        <v>13</v>
      </c>
      <c r="B62" s="168" t="s">
        <v>19</v>
      </c>
      <c r="C62" s="168" t="s">
        <v>10</v>
      </c>
      <c r="D62">
        <v>93.8</v>
      </c>
      <c r="E62">
        <v>2021</v>
      </c>
      <c r="F62" s="168" t="s">
        <v>590</v>
      </c>
      <c r="G62" s="168" t="s">
        <v>550</v>
      </c>
      <c r="H62">
        <v>0</v>
      </c>
    </row>
    <row r="63" spans="1:8" x14ac:dyDescent="0.3">
      <c r="A63">
        <v>13</v>
      </c>
      <c r="B63" s="168" t="s">
        <v>19</v>
      </c>
      <c r="C63" s="168" t="s">
        <v>10</v>
      </c>
      <c r="D63">
        <v>93.8</v>
      </c>
      <c r="E63">
        <v>2021</v>
      </c>
      <c r="F63" s="168" t="s">
        <v>590</v>
      </c>
      <c r="G63" s="168" t="s">
        <v>551</v>
      </c>
      <c r="H63">
        <v>179.63831395973773</v>
      </c>
    </row>
    <row r="64" spans="1:8" x14ac:dyDescent="0.3">
      <c r="A64">
        <v>13</v>
      </c>
      <c r="B64" s="168" t="s">
        <v>19</v>
      </c>
      <c r="C64" s="168" t="s">
        <v>10</v>
      </c>
      <c r="D64">
        <v>93.8</v>
      </c>
      <c r="E64">
        <v>2021</v>
      </c>
      <c r="F64" s="168" t="s">
        <v>590</v>
      </c>
      <c r="G64" s="168" t="s">
        <v>569</v>
      </c>
      <c r="H64">
        <v>0</v>
      </c>
    </row>
    <row r="65" spans="1:8" x14ac:dyDescent="0.3">
      <c r="A65">
        <v>13</v>
      </c>
      <c r="B65" s="168" t="s">
        <v>19</v>
      </c>
      <c r="C65" s="168" t="s">
        <v>10</v>
      </c>
      <c r="D65">
        <v>93.8</v>
      </c>
      <c r="E65">
        <v>2021</v>
      </c>
      <c r="F65" s="168" t="s">
        <v>590</v>
      </c>
      <c r="G65" s="168" t="s">
        <v>570</v>
      </c>
      <c r="H65">
        <v>277200</v>
      </c>
    </row>
    <row r="66" spans="1:8" x14ac:dyDescent="0.3">
      <c r="A66">
        <v>13</v>
      </c>
      <c r="B66" s="168" t="s">
        <v>19</v>
      </c>
      <c r="C66" s="168" t="s">
        <v>10</v>
      </c>
      <c r="D66">
        <v>93.8</v>
      </c>
      <c r="E66">
        <v>2021</v>
      </c>
      <c r="F66" s="168" t="s">
        <v>590</v>
      </c>
      <c r="G66" s="168" t="s">
        <v>575</v>
      </c>
      <c r="H66">
        <v>0</v>
      </c>
    </row>
    <row r="67" spans="1:8" x14ac:dyDescent="0.3">
      <c r="A67">
        <v>13</v>
      </c>
      <c r="B67" s="168" t="s">
        <v>19</v>
      </c>
      <c r="C67" s="168" t="s">
        <v>10</v>
      </c>
      <c r="D67">
        <v>93.8</v>
      </c>
      <c r="E67">
        <v>2021</v>
      </c>
      <c r="F67" s="168" t="s">
        <v>590</v>
      </c>
      <c r="G67" s="168" t="s">
        <v>576</v>
      </c>
      <c r="H67">
        <v>39.232580608732384</v>
      </c>
    </row>
    <row r="68" spans="1:8" x14ac:dyDescent="0.3">
      <c r="A68">
        <v>13</v>
      </c>
      <c r="B68" s="168" t="s">
        <v>19</v>
      </c>
      <c r="C68" s="168" t="s">
        <v>10</v>
      </c>
      <c r="D68">
        <v>93.8</v>
      </c>
      <c r="E68">
        <v>2021</v>
      </c>
      <c r="F68" s="168" t="s">
        <v>590</v>
      </c>
      <c r="G68" s="168" t="s">
        <v>585</v>
      </c>
      <c r="H68">
        <v>3106.3002307635384</v>
      </c>
    </row>
    <row r="69" spans="1:8" x14ac:dyDescent="0.3">
      <c r="A69">
        <v>13</v>
      </c>
      <c r="B69" s="168" t="s">
        <v>19</v>
      </c>
      <c r="C69" s="168" t="s">
        <v>10</v>
      </c>
      <c r="D69">
        <v>93.8</v>
      </c>
      <c r="E69">
        <v>2021</v>
      </c>
      <c r="F69" s="168" t="s">
        <v>590</v>
      </c>
      <c r="G69" s="168" t="s">
        <v>586</v>
      </c>
      <c r="H69">
        <v>1991.656166415785</v>
      </c>
    </row>
    <row r="70" spans="1:8" x14ac:dyDescent="0.3">
      <c r="A70">
        <v>14</v>
      </c>
      <c r="B70" s="168" t="s">
        <v>20</v>
      </c>
      <c r="C70" s="168" t="s">
        <v>10</v>
      </c>
      <c r="D70">
        <v>53.7</v>
      </c>
      <c r="E70">
        <v>2021</v>
      </c>
      <c r="F70" s="168" t="s">
        <v>590</v>
      </c>
      <c r="G70" s="168" t="s">
        <v>550</v>
      </c>
      <c r="H70">
        <v>0</v>
      </c>
    </row>
    <row r="71" spans="1:8" x14ac:dyDescent="0.3">
      <c r="A71">
        <v>14</v>
      </c>
      <c r="B71" s="168" t="s">
        <v>20</v>
      </c>
      <c r="C71" s="168" t="s">
        <v>10</v>
      </c>
      <c r="D71">
        <v>53.7</v>
      </c>
      <c r="E71">
        <v>2021</v>
      </c>
      <c r="F71" s="168" t="s">
        <v>590</v>
      </c>
      <c r="G71" s="168" t="s">
        <v>551</v>
      </c>
      <c r="H71">
        <v>102.84197718164091</v>
      </c>
    </row>
    <row r="72" spans="1:8" x14ac:dyDescent="0.3">
      <c r="A72">
        <v>14</v>
      </c>
      <c r="B72" s="168" t="s">
        <v>20</v>
      </c>
      <c r="C72" s="168" t="s">
        <v>10</v>
      </c>
      <c r="D72">
        <v>53.7</v>
      </c>
      <c r="E72">
        <v>2021</v>
      </c>
      <c r="F72" s="168" t="s">
        <v>590</v>
      </c>
      <c r="G72" s="168" t="s">
        <v>575</v>
      </c>
      <c r="H72">
        <v>0</v>
      </c>
    </row>
    <row r="73" spans="1:8" x14ac:dyDescent="0.3">
      <c r="A73">
        <v>14</v>
      </c>
      <c r="B73" s="168" t="s">
        <v>20</v>
      </c>
      <c r="C73" s="168" t="s">
        <v>10</v>
      </c>
      <c r="D73">
        <v>53.7</v>
      </c>
      <c r="E73">
        <v>2021</v>
      </c>
      <c r="F73" s="168" t="s">
        <v>590</v>
      </c>
      <c r="G73" s="168" t="s">
        <v>576</v>
      </c>
      <c r="H73">
        <v>22.460443269604788</v>
      </c>
    </row>
    <row r="74" spans="1:8" x14ac:dyDescent="0.3">
      <c r="A74">
        <v>14</v>
      </c>
      <c r="B74" s="168" t="s">
        <v>20</v>
      </c>
      <c r="C74" s="168" t="s">
        <v>10</v>
      </c>
      <c r="D74">
        <v>53.7</v>
      </c>
      <c r="E74">
        <v>2021</v>
      </c>
      <c r="F74" s="168" t="s">
        <v>590</v>
      </c>
      <c r="G74" s="168" t="s">
        <v>585</v>
      </c>
      <c r="H74">
        <v>1778.3403240085502</v>
      </c>
    </row>
    <row r="75" spans="1:8" x14ac:dyDescent="0.3">
      <c r="A75">
        <v>14</v>
      </c>
      <c r="B75" s="168" t="s">
        <v>20</v>
      </c>
      <c r="C75" s="168" t="s">
        <v>10</v>
      </c>
      <c r="D75">
        <v>53.7</v>
      </c>
      <c r="E75">
        <v>2021</v>
      </c>
      <c r="F75" s="168" t="s">
        <v>590</v>
      </c>
      <c r="G75" s="168" t="s">
        <v>586</v>
      </c>
      <c r="H75">
        <v>1140.2125387689516</v>
      </c>
    </row>
    <row r="76" spans="1:8" x14ac:dyDescent="0.3">
      <c r="A76">
        <v>15</v>
      </c>
      <c r="B76" s="168" t="s">
        <v>21</v>
      </c>
      <c r="C76" s="168" t="s">
        <v>12</v>
      </c>
      <c r="D76">
        <v>454.3</v>
      </c>
      <c r="E76">
        <v>2021</v>
      </c>
      <c r="F76" s="168" t="s">
        <v>590</v>
      </c>
      <c r="G76" s="168" t="s">
        <v>550</v>
      </c>
      <c r="H76">
        <v>0</v>
      </c>
    </row>
    <row r="77" spans="1:8" x14ac:dyDescent="0.3">
      <c r="A77">
        <v>15</v>
      </c>
      <c r="B77" s="168" t="s">
        <v>21</v>
      </c>
      <c r="C77" s="168" t="s">
        <v>12</v>
      </c>
      <c r="D77">
        <v>454.3</v>
      </c>
      <c r="E77">
        <v>2021</v>
      </c>
      <c r="F77" s="168" t="s">
        <v>590</v>
      </c>
      <c r="G77" s="168" t="s">
        <v>551</v>
      </c>
      <c r="H77">
        <v>870.03929671544631</v>
      </c>
    </row>
    <row r="78" spans="1:8" x14ac:dyDescent="0.3">
      <c r="A78">
        <v>15</v>
      </c>
      <c r="B78" s="168" t="s">
        <v>21</v>
      </c>
      <c r="C78" s="168" t="s">
        <v>12</v>
      </c>
      <c r="D78">
        <v>454.3</v>
      </c>
      <c r="E78">
        <v>2021</v>
      </c>
      <c r="F78" s="168" t="s">
        <v>590</v>
      </c>
      <c r="G78" s="168" t="s">
        <v>575</v>
      </c>
      <c r="H78">
        <v>0</v>
      </c>
    </row>
    <row r="79" spans="1:8" x14ac:dyDescent="0.3">
      <c r="A79">
        <v>15</v>
      </c>
      <c r="B79" s="168" t="s">
        <v>21</v>
      </c>
      <c r="C79" s="168" t="s">
        <v>12</v>
      </c>
      <c r="D79">
        <v>454.3</v>
      </c>
      <c r="E79">
        <v>2021</v>
      </c>
      <c r="F79" s="168" t="s">
        <v>590</v>
      </c>
      <c r="G79" s="168" t="s">
        <v>576</v>
      </c>
      <c r="H79">
        <v>190.01451354527848</v>
      </c>
    </row>
    <row r="80" spans="1:8" x14ac:dyDescent="0.3">
      <c r="A80">
        <v>15</v>
      </c>
      <c r="B80" s="168" t="s">
        <v>21</v>
      </c>
      <c r="C80" s="168" t="s">
        <v>12</v>
      </c>
      <c r="D80">
        <v>454.3</v>
      </c>
      <c r="E80">
        <v>2021</v>
      </c>
      <c r="F80" s="168" t="s">
        <v>590</v>
      </c>
      <c r="G80" s="168" t="s">
        <v>585</v>
      </c>
      <c r="H80">
        <v>15044.692908698033</v>
      </c>
    </row>
    <row r="81" spans="1:8" x14ac:dyDescent="0.3">
      <c r="A81">
        <v>15</v>
      </c>
      <c r="B81" s="168" t="s">
        <v>21</v>
      </c>
      <c r="C81" s="168" t="s">
        <v>12</v>
      </c>
      <c r="D81">
        <v>454.3</v>
      </c>
      <c r="E81">
        <v>2021</v>
      </c>
      <c r="F81" s="168" t="s">
        <v>590</v>
      </c>
      <c r="G81" s="168" t="s">
        <v>586</v>
      </c>
      <c r="H81">
        <v>9646.1556119689885</v>
      </c>
    </row>
    <row r="82" spans="1:8" x14ac:dyDescent="0.3">
      <c r="A82">
        <v>16</v>
      </c>
      <c r="B82" s="168" t="s">
        <v>22</v>
      </c>
      <c r="C82" s="168" t="s">
        <v>10</v>
      </c>
      <c r="D82">
        <v>91</v>
      </c>
      <c r="E82">
        <v>2021</v>
      </c>
      <c r="F82" s="168" t="s">
        <v>590</v>
      </c>
      <c r="G82" s="168" t="s">
        <v>550</v>
      </c>
      <c r="H82">
        <v>0</v>
      </c>
    </row>
    <row r="83" spans="1:8" x14ac:dyDescent="0.3">
      <c r="A83">
        <v>16</v>
      </c>
      <c r="B83" s="168" t="s">
        <v>22</v>
      </c>
      <c r="C83" s="168" t="s">
        <v>10</v>
      </c>
      <c r="D83">
        <v>91</v>
      </c>
      <c r="E83">
        <v>2021</v>
      </c>
      <c r="F83" s="168" t="s">
        <v>590</v>
      </c>
      <c r="G83" s="168" t="s">
        <v>551</v>
      </c>
      <c r="H83">
        <v>174.27597622959632</v>
      </c>
    </row>
    <row r="84" spans="1:8" x14ac:dyDescent="0.3">
      <c r="A84">
        <v>16</v>
      </c>
      <c r="B84" s="168" t="s">
        <v>22</v>
      </c>
      <c r="C84" s="168" t="s">
        <v>10</v>
      </c>
      <c r="D84">
        <v>91</v>
      </c>
      <c r="E84">
        <v>2021</v>
      </c>
      <c r="F84" s="168" t="s">
        <v>590</v>
      </c>
      <c r="G84" s="168" t="s">
        <v>575</v>
      </c>
      <c r="H84">
        <v>0</v>
      </c>
    </row>
    <row r="85" spans="1:8" x14ac:dyDescent="0.3">
      <c r="A85">
        <v>16</v>
      </c>
      <c r="B85" s="168" t="s">
        <v>22</v>
      </c>
      <c r="C85" s="168" t="s">
        <v>10</v>
      </c>
      <c r="D85">
        <v>91</v>
      </c>
      <c r="E85">
        <v>2021</v>
      </c>
      <c r="F85" s="168" t="s">
        <v>590</v>
      </c>
      <c r="G85" s="168" t="s">
        <v>576</v>
      </c>
      <c r="H85">
        <v>38.061458799516487</v>
      </c>
    </row>
    <row r="86" spans="1:8" x14ac:dyDescent="0.3">
      <c r="A86">
        <v>16</v>
      </c>
      <c r="B86" s="168" t="s">
        <v>22</v>
      </c>
      <c r="C86" s="168" t="s">
        <v>10</v>
      </c>
      <c r="D86">
        <v>91</v>
      </c>
      <c r="E86">
        <v>2021</v>
      </c>
      <c r="F86" s="168" t="s">
        <v>590</v>
      </c>
      <c r="G86" s="168" t="s">
        <v>585</v>
      </c>
      <c r="H86">
        <v>3013.5748507407461</v>
      </c>
    </row>
    <row r="87" spans="1:8" x14ac:dyDescent="0.3">
      <c r="A87">
        <v>16</v>
      </c>
      <c r="B87" s="168" t="s">
        <v>22</v>
      </c>
      <c r="C87" s="168" t="s">
        <v>10</v>
      </c>
      <c r="D87">
        <v>91</v>
      </c>
      <c r="E87">
        <v>2021</v>
      </c>
      <c r="F87" s="168" t="s">
        <v>590</v>
      </c>
      <c r="G87" s="168" t="s">
        <v>586</v>
      </c>
      <c r="H87">
        <v>1932.2037435377019</v>
      </c>
    </row>
    <row r="88" spans="1:8" x14ac:dyDescent="0.3">
      <c r="A88">
        <v>17</v>
      </c>
      <c r="B88" s="168" t="s">
        <v>23</v>
      </c>
      <c r="C88" s="168" t="s">
        <v>12</v>
      </c>
      <c r="D88">
        <v>420.5</v>
      </c>
      <c r="E88">
        <v>2021</v>
      </c>
      <c r="F88" s="168" t="s">
        <v>590</v>
      </c>
      <c r="G88" s="168" t="s">
        <v>550</v>
      </c>
      <c r="H88">
        <v>0</v>
      </c>
    </row>
    <row r="89" spans="1:8" x14ac:dyDescent="0.3">
      <c r="A89">
        <v>17</v>
      </c>
      <c r="B89" s="168" t="s">
        <v>23</v>
      </c>
      <c r="C89" s="168" t="s">
        <v>12</v>
      </c>
      <c r="D89">
        <v>420.5</v>
      </c>
      <c r="E89">
        <v>2021</v>
      </c>
      <c r="F89" s="168" t="s">
        <v>590</v>
      </c>
      <c r="G89" s="168" t="s">
        <v>551</v>
      </c>
      <c r="H89">
        <v>805.30821983016756</v>
      </c>
    </row>
    <row r="90" spans="1:8" x14ac:dyDescent="0.3">
      <c r="A90">
        <v>17</v>
      </c>
      <c r="B90" s="168" t="s">
        <v>23</v>
      </c>
      <c r="C90" s="168" t="s">
        <v>12</v>
      </c>
      <c r="D90">
        <v>420.5</v>
      </c>
      <c r="E90">
        <v>2021</v>
      </c>
      <c r="F90" s="168" t="s">
        <v>590</v>
      </c>
      <c r="G90" s="168" t="s">
        <v>569</v>
      </c>
      <c r="H90">
        <v>0</v>
      </c>
    </row>
    <row r="91" spans="1:8" x14ac:dyDescent="0.3">
      <c r="A91">
        <v>17</v>
      </c>
      <c r="B91" s="168" t="s">
        <v>23</v>
      </c>
      <c r="C91" s="168" t="s">
        <v>12</v>
      </c>
      <c r="D91">
        <v>420.5</v>
      </c>
      <c r="E91">
        <v>2021</v>
      </c>
      <c r="F91" s="168" t="s">
        <v>590</v>
      </c>
      <c r="G91" s="168" t="s">
        <v>570</v>
      </c>
      <c r="H91">
        <v>30000</v>
      </c>
    </row>
    <row r="92" spans="1:8" x14ac:dyDescent="0.3">
      <c r="A92">
        <v>17</v>
      </c>
      <c r="B92" s="168" t="s">
        <v>23</v>
      </c>
      <c r="C92" s="168" t="s">
        <v>12</v>
      </c>
      <c r="D92">
        <v>420.5</v>
      </c>
      <c r="E92">
        <v>2021</v>
      </c>
      <c r="F92" s="168" t="s">
        <v>590</v>
      </c>
      <c r="G92" s="168" t="s">
        <v>575</v>
      </c>
      <c r="H92">
        <v>0</v>
      </c>
    </row>
    <row r="93" spans="1:8" x14ac:dyDescent="0.3">
      <c r="A93">
        <v>17</v>
      </c>
      <c r="B93" s="168" t="s">
        <v>23</v>
      </c>
      <c r="C93" s="168" t="s">
        <v>12</v>
      </c>
      <c r="D93">
        <v>420.5</v>
      </c>
      <c r="E93">
        <v>2021</v>
      </c>
      <c r="F93" s="168" t="s">
        <v>590</v>
      </c>
      <c r="G93" s="168" t="s">
        <v>576</v>
      </c>
      <c r="H93">
        <v>175.87740027688665</v>
      </c>
    </row>
    <row r="94" spans="1:8" x14ac:dyDescent="0.3">
      <c r="A94">
        <v>17</v>
      </c>
      <c r="B94" s="168" t="s">
        <v>23</v>
      </c>
      <c r="C94" s="168" t="s">
        <v>12</v>
      </c>
      <c r="D94">
        <v>420.5</v>
      </c>
      <c r="E94">
        <v>2021</v>
      </c>
      <c r="F94" s="168" t="s">
        <v>590</v>
      </c>
      <c r="G94" s="168" t="s">
        <v>585</v>
      </c>
      <c r="H94">
        <v>13925.365106994328</v>
      </c>
    </row>
    <row r="95" spans="1:8" x14ac:dyDescent="0.3">
      <c r="A95">
        <v>17</v>
      </c>
      <c r="B95" s="168" t="s">
        <v>23</v>
      </c>
      <c r="C95" s="168" t="s">
        <v>12</v>
      </c>
      <c r="D95">
        <v>420.5</v>
      </c>
      <c r="E95">
        <v>2021</v>
      </c>
      <c r="F95" s="168" t="s">
        <v>590</v>
      </c>
      <c r="G95" s="168" t="s">
        <v>586</v>
      </c>
      <c r="H95">
        <v>8928.4799357978427</v>
      </c>
    </row>
    <row r="96" spans="1:8" x14ac:dyDescent="0.3">
      <c r="A96">
        <v>18</v>
      </c>
      <c r="B96" s="168" t="s">
        <v>24</v>
      </c>
      <c r="C96" s="168" t="s">
        <v>10</v>
      </c>
      <c r="D96">
        <v>9.8000000000000007</v>
      </c>
      <c r="E96">
        <v>2021</v>
      </c>
      <c r="F96" s="168" t="s">
        <v>590</v>
      </c>
      <c r="G96" s="168" t="s">
        <v>550</v>
      </c>
      <c r="H96">
        <v>0</v>
      </c>
    </row>
    <row r="97" spans="1:8" x14ac:dyDescent="0.3">
      <c r="A97">
        <v>18</v>
      </c>
      <c r="B97" s="168" t="s">
        <v>24</v>
      </c>
      <c r="C97" s="168" t="s">
        <v>10</v>
      </c>
      <c r="D97">
        <v>9.8000000000000007</v>
      </c>
      <c r="E97">
        <v>2021</v>
      </c>
      <c r="F97" s="168" t="s">
        <v>590</v>
      </c>
      <c r="G97" s="168" t="s">
        <v>551</v>
      </c>
      <c r="H97">
        <v>18.768182055494989</v>
      </c>
    </row>
    <row r="98" spans="1:8" x14ac:dyDescent="0.3">
      <c r="A98">
        <v>18</v>
      </c>
      <c r="B98" s="168" t="s">
        <v>24</v>
      </c>
      <c r="C98" s="168" t="s">
        <v>10</v>
      </c>
      <c r="D98">
        <v>9.8000000000000007</v>
      </c>
      <c r="E98">
        <v>2021</v>
      </c>
      <c r="F98" s="168" t="s">
        <v>590</v>
      </c>
      <c r="G98" s="168" t="s">
        <v>571</v>
      </c>
      <c r="H98">
        <v>0</v>
      </c>
    </row>
    <row r="99" spans="1:8" x14ac:dyDescent="0.3">
      <c r="A99">
        <v>18</v>
      </c>
      <c r="B99" s="168" t="s">
        <v>24</v>
      </c>
      <c r="C99" s="168" t="s">
        <v>10</v>
      </c>
      <c r="D99">
        <v>9.8000000000000007</v>
      </c>
      <c r="E99">
        <v>2021</v>
      </c>
      <c r="F99" s="168" t="s">
        <v>590</v>
      </c>
      <c r="G99" s="168" t="s">
        <v>572</v>
      </c>
      <c r="H99">
        <v>15073.170731707318</v>
      </c>
    </row>
    <row r="100" spans="1:8" x14ac:dyDescent="0.3">
      <c r="A100">
        <v>18</v>
      </c>
      <c r="B100" s="168" t="s">
        <v>24</v>
      </c>
      <c r="C100" s="168" t="s">
        <v>10</v>
      </c>
      <c r="D100">
        <v>9.8000000000000007</v>
      </c>
      <c r="E100">
        <v>2021</v>
      </c>
      <c r="F100" s="168" t="s">
        <v>590</v>
      </c>
      <c r="G100" s="168" t="s">
        <v>575</v>
      </c>
      <c r="H100">
        <v>0</v>
      </c>
    </row>
    <row r="101" spans="1:8" x14ac:dyDescent="0.3">
      <c r="A101">
        <v>18</v>
      </c>
      <c r="B101" s="168" t="s">
        <v>24</v>
      </c>
      <c r="C101" s="168" t="s">
        <v>10</v>
      </c>
      <c r="D101">
        <v>9.8000000000000007</v>
      </c>
      <c r="E101">
        <v>2021</v>
      </c>
      <c r="F101" s="168" t="s">
        <v>590</v>
      </c>
      <c r="G101" s="168" t="s">
        <v>576</v>
      </c>
      <c r="H101">
        <v>4.0989263322556226</v>
      </c>
    </row>
    <row r="102" spans="1:8" x14ac:dyDescent="0.3">
      <c r="A102">
        <v>18</v>
      </c>
      <c r="B102" s="168" t="s">
        <v>24</v>
      </c>
      <c r="C102" s="168" t="s">
        <v>10</v>
      </c>
      <c r="D102">
        <v>9.8000000000000007</v>
      </c>
      <c r="E102">
        <v>2021</v>
      </c>
      <c r="F102" s="168" t="s">
        <v>590</v>
      </c>
      <c r="G102" s="168" t="s">
        <v>585</v>
      </c>
      <c r="H102">
        <v>324.53883007977265</v>
      </c>
    </row>
    <row r="103" spans="1:8" x14ac:dyDescent="0.3">
      <c r="A103">
        <v>18</v>
      </c>
      <c r="B103" s="168" t="s">
        <v>24</v>
      </c>
      <c r="C103" s="168" t="s">
        <v>10</v>
      </c>
      <c r="D103">
        <v>9.8000000000000007</v>
      </c>
      <c r="E103">
        <v>2021</v>
      </c>
      <c r="F103" s="168" t="s">
        <v>590</v>
      </c>
      <c r="G103" s="168" t="s">
        <v>586</v>
      </c>
      <c r="H103">
        <v>208.08348007329099</v>
      </c>
    </row>
    <row r="104" spans="1:8" x14ac:dyDescent="0.3">
      <c r="A104">
        <v>19</v>
      </c>
      <c r="B104" s="168" t="s">
        <v>25</v>
      </c>
      <c r="C104" s="168" t="s">
        <v>26</v>
      </c>
      <c r="D104">
        <v>441.8</v>
      </c>
      <c r="E104">
        <v>2021</v>
      </c>
      <c r="F104" s="168" t="s">
        <v>590</v>
      </c>
      <c r="G104" s="168" t="s">
        <v>550</v>
      </c>
      <c r="H104">
        <v>0</v>
      </c>
    </row>
    <row r="105" spans="1:8" x14ac:dyDescent="0.3">
      <c r="A105">
        <v>19</v>
      </c>
      <c r="B105" s="168" t="s">
        <v>25</v>
      </c>
      <c r="C105" s="168" t="s">
        <v>26</v>
      </c>
      <c r="D105">
        <v>441.8</v>
      </c>
      <c r="E105">
        <v>2021</v>
      </c>
      <c r="F105" s="168" t="s">
        <v>590</v>
      </c>
      <c r="G105" s="168" t="s">
        <v>551</v>
      </c>
      <c r="H105">
        <v>846.10028899160056</v>
      </c>
    </row>
    <row r="106" spans="1:8" x14ac:dyDescent="0.3">
      <c r="A106">
        <v>19</v>
      </c>
      <c r="B106" s="168" t="s">
        <v>25</v>
      </c>
      <c r="C106" s="168" t="s">
        <v>26</v>
      </c>
      <c r="D106">
        <v>441.8</v>
      </c>
      <c r="E106">
        <v>2021</v>
      </c>
      <c r="F106" s="168" t="s">
        <v>590</v>
      </c>
      <c r="G106" s="168" t="s">
        <v>575</v>
      </c>
      <c r="H106">
        <v>0</v>
      </c>
    </row>
    <row r="107" spans="1:8" x14ac:dyDescent="0.3">
      <c r="A107">
        <v>19</v>
      </c>
      <c r="B107" s="168" t="s">
        <v>25</v>
      </c>
      <c r="C107" s="168" t="s">
        <v>26</v>
      </c>
      <c r="D107">
        <v>441.8</v>
      </c>
      <c r="E107">
        <v>2021</v>
      </c>
      <c r="F107" s="168" t="s">
        <v>590</v>
      </c>
      <c r="G107" s="168" t="s">
        <v>576</v>
      </c>
      <c r="H107">
        <v>184.78629118270754</v>
      </c>
    </row>
    <row r="108" spans="1:8" x14ac:dyDescent="0.3">
      <c r="A108">
        <v>19</v>
      </c>
      <c r="B108" s="168" t="s">
        <v>25</v>
      </c>
      <c r="C108" s="168" t="s">
        <v>26</v>
      </c>
      <c r="D108">
        <v>441.8</v>
      </c>
      <c r="E108">
        <v>2021</v>
      </c>
      <c r="F108" s="168" t="s">
        <v>590</v>
      </c>
      <c r="G108" s="168" t="s">
        <v>585</v>
      </c>
      <c r="H108">
        <v>14630.740319310567</v>
      </c>
    </row>
    <row r="109" spans="1:8" x14ac:dyDescent="0.3">
      <c r="A109">
        <v>19</v>
      </c>
      <c r="B109" s="168" t="s">
        <v>25</v>
      </c>
      <c r="C109" s="168" t="s">
        <v>26</v>
      </c>
      <c r="D109">
        <v>441.8</v>
      </c>
      <c r="E109">
        <v>2021</v>
      </c>
      <c r="F109" s="168" t="s">
        <v>590</v>
      </c>
      <c r="G109" s="168" t="s">
        <v>586</v>
      </c>
      <c r="H109">
        <v>9380.7430098346886</v>
      </c>
    </row>
    <row r="110" spans="1:8" x14ac:dyDescent="0.3">
      <c r="A110">
        <v>20</v>
      </c>
      <c r="B110" s="168" t="s">
        <v>27</v>
      </c>
      <c r="C110" s="168" t="s">
        <v>28</v>
      </c>
      <c r="D110">
        <v>4528.3999999999996</v>
      </c>
      <c r="E110">
        <v>2021</v>
      </c>
      <c r="F110" s="168" t="s">
        <v>592</v>
      </c>
      <c r="G110" s="168" t="s">
        <v>548</v>
      </c>
      <c r="H110">
        <v>73451.22121333034</v>
      </c>
    </row>
    <row r="111" spans="1:8" x14ac:dyDescent="0.3">
      <c r="A111">
        <v>20</v>
      </c>
      <c r="B111" s="168" t="s">
        <v>27</v>
      </c>
      <c r="C111" s="168" t="s">
        <v>28</v>
      </c>
      <c r="D111">
        <v>4528.3999999999996</v>
      </c>
      <c r="E111">
        <v>2021</v>
      </c>
      <c r="F111" s="168" t="s">
        <v>592</v>
      </c>
      <c r="G111" s="168" t="s">
        <v>549</v>
      </c>
      <c r="H111">
        <v>543724.50077737519</v>
      </c>
    </row>
    <row r="112" spans="1:8" x14ac:dyDescent="0.3">
      <c r="A112">
        <v>20</v>
      </c>
      <c r="B112" s="168" t="s">
        <v>27</v>
      </c>
      <c r="C112" s="168" t="s">
        <v>28</v>
      </c>
      <c r="D112">
        <v>4528.3999999999996</v>
      </c>
      <c r="E112">
        <v>2021</v>
      </c>
      <c r="F112" s="168" t="s">
        <v>592</v>
      </c>
      <c r="G112" s="168" t="s">
        <v>550</v>
      </c>
      <c r="H112">
        <v>25207.001450053856</v>
      </c>
    </row>
    <row r="113" spans="1:8" x14ac:dyDescent="0.3">
      <c r="A113">
        <v>20</v>
      </c>
      <c r="B113" s="168" t="s">
        <v>27</v>
      </c>
      <c r="C113" s="168" t="s">
        <v>28</v>
      </c>
      <c r="D113">
        <v>4528.3999999999996</v>
      </c>
      <c r="E113">
        <v>2021</v>
      </c>
      <c r="F113" s="168" t="s">
        <v>592</v>
      </c>
      <c r="G113" s="168" t="s">
        <v>551</v>
      </c>
      <c r="H113">
        <v>27072.319557357841</v>
      </c>
    </row>
    <row r="114" spans="1:8" x14ac:dyDescent="0.3">
      <c r="A114">
        <v>20</v>
      </c>
      <c r="B114" s="168" t="s">
        <v>27</v>
      </c>
      <c r="C114" s="168" t="s">
        <v>28</v>
      </c>
      <c r="D114">
        <v>4528.3999999999996</v>
      </c>
      <c r="E114">
        <v>2021</v>
      </c>
      <c r="F114" s="168" t="s">
        <v>592</v>
      </c>
      <c r="G114" s="168" t="s">
        <v>598</v>
      </c>
      <c r="H114">
        <v>0</v>
      </c>
    </row>
    <row r="115" spans="1:8" x14ac:dyDescent="0.3">
      <c r="A115">
        <v>20</v>
      </c>
      <c r="B115" s="168" t="s">
        <v>27</v>
      </c>
      <c r="C115" s="168" t="s">
        <v>28</v>
      </c>
      <c r="D115">
        <v>4528.3999999999996</v>
      </c>
      <c r="E115">
        <v>2021</v>
      </c>
      <c r="F115" s="168" t="s">
        <v>592</v>
      </c>
      <c r="G115" s="168" t="s">
        <v>599</v>
      </c>
      <c r="H115">
        <v>2980.1011310491226</v>
      </c>
    </row>
    <row r="116" spans="1:8" x14ac:dyDescent="0.3">
      <c r="A116">
        <v>20</v>
      </c>
      <c r="B116" s="168" t="s">
        <v>27</v>
      </c>
      <c r="C116" s="168" t="s">
        <v>28</v>
      </c>
      <c r="D116">
        <v>4528.3999999999996</v>
      </c>
      <c r="E116">
        <v>2021</v>
      </c>
      <c r="F116" s="168" t="s">
        <v>592</v>
      </c>
      <c r="G116" s="168" t="s">
        <v>554</v>
      </c>
      <c r="H116">
        <v>0</v>
      </c>
    </row>
    <row r="117" spans="1:8" x14ac:dyDescent="0.3">
      <c r="A117">
        <v>20</v>
      </c>
      <c r="B117" s="168" t="s">
        <v>27</v>
      </c>
      <c r="C117" s="168" t="s">
        <v>28</v>
      </c>
      <c r="D117">
        <v>4528.3999999999996</v>
      </c>
      <c r="E117">
        <v>2021</v>
      </c>
      <c r="F117" s="168" t="s">
        <v>592</v>
      </c>
      <c r="G117" s="168" t="s">
        <v>555</v>
      </c>
      <c r="H117">
        <v>11426.144365413569</v>
      </c>
    </row>
    <row r="118" spans="1:8" x14ac:dyDescent="0.3">
      <c r="A118">
        <v>20</v>
      </c>
      <c r="B118" s="168" t="s">
        <v>27</v>
      </c>
      <c r="C118" s="168" t="s">
        <v>28</v>
      </c>
      <c r="D118">
        <v>4528.3999999999996</v>
      </c>
      <c r="E118">
        <v>2021</v>
      </c>
      <c r="F118" s="168" t="s">
        <v>592</v>
      </c>
      <c r="G118" s="168" t="s">
        <v>556</v>
      </c>
      <c r="H118">
        <v>0</v>
      </c>
    </row>
    <row r="119" spans="1:8" x14ac:dyDescent="0.3">
      <c r="A119">
        <v>20</v>
      </c>
      <c r="B119" s="168" t="s">
        <v>27</v>
      </c>
      <c r="C119" s="168" t="s">
        <v>28</v>
      </c>
      <c r="D119">
        <v>4528.3999999999996</v>
      </c>
      <c r="E119">
        <v>2021</v>
      </c>
      <c r="F119" s="168" t="s">
        <v>592</v>
      </c>
      <c r="G119" s="168" t="s">
        <v>557</v>
      </c>
      <c r="H119">
        <v>41000</v>
      </c>
    </row>
    <row r="120" spans="1:8" x14ac:dyDescent="0.3">
      <c r="A120">
        <v>20</v>
      </c>
      <c r="B120" s="168" t="s">
        <v>27</v>
      </c>
      <c r="C120" s="168" t="s">
        <v>28</v>
      </c>
      <c r="D120">
        <v>4528.3999999999996</v>
      </c>
      <c r="E120">
        <v>2021</v>
      </c>
      <c r="F120" s="168" t="s">
        <v>592</v>
      </c>
      <c r="G120" s="168" t="s">
        <v>558</v>
      </c>
      <c r="H120">
        <v>0</v>
      </c>
    </row>
    <row r="121" spans="1:8" x14ac:dyDescent="0.3">
      <c r="A121">
        <v>20</v>
      </c>
      <c r="B121" s="168" t="s">
        <v>27</v>
      </c>
      <c r="C121" s="168" t="s">
        <v>28</v>
      </c>
      <c r="D121">
        <v>4528.3999999999996</v>
      </c>
      <c r="E121">
        <v>2021</v>
      </c>
      <c r="F121" s="168" t="s">
        <v>592</v>
      </c>
      <c r="G121" s="168" t="s">
        <v>559</v>
      </c>
      <c r="H121">
        <v>16000</v>
      </c>
    </row>
    <row r="122" spans="1:8" x14ac:dyDescent="0.3">
      <c r="A122">
        <v>20</v>
      </c>
      <c r="B122" s="168" t="s">
        <v>27</v>
      </c>
      <c r="C122" s="168" t="s">
        <v>28</v>
      </c>
      <c r="D122">
        <v>4528.3999999999996</v>
      </c>
      <c r="E122">
        <v>2021</v>
      </c>
      <c r="F122" s="168" t="s">
        <v>592</v>
      </c>
      <c r="G122" s="168" t="s">
        <v>595</v>
      </c>
      <c r="H122">
        <v>0</v>
      </c>
    </row>
    <row r="123" spans="1:8" x14ac:dyDescent="0.3">
      <c r="A123">
        <v>20</v>
      </c>
      <c r="B123" s="168" t="s">
        <v>27</v>
      </c>
      <c r="C123" s="168" t="s">
        <v>28</v>
      </c>
      <c r="D123">
        <v>4528.3999999999996</v>
      </c>
      <c r="E123">
        <v>2021</v>
      </c>
      <c r="F123" s="168" t="s">
        <v>592</v>
      </c>
      <c r="G123" s="168" t="s">
        <v>560</v>
      </c>
      <c r="H123">
        <v>6545.454545454545</v>
      </c>
    </row>
    <row r="124" spans="1:8" x14ac:dyDescent="0.3">
      <c r="A124">
        <v>20</v>
      </c>
      <c r="B124" s="168" t="s">
        <v>27</v>
      </c>
      <c r="C124" s="168" t="s">
        <v>28</v>
      </c>
      <c r="D124">
        <v>4528.3999999999996</v>
      </c>
      <c r="E124">
        <v>2021</v>
      </c>
      <c r="F124" s="168" t="s">
        <v>592</v>
      </c>
      <c r="G124" s="168" t="s">
        <v>561</v>
      </c>
      <c r="H124">
        <v>20379.761552049386</v>
      </c>
    </row>
    <row r="125" spans="1:8" x14ac:dyDescent="0.3">
      <c r="A125">
        <v>20</v>
      </c>
      <c r="B125" s="168" t="s">
        <v>27</v>
      </c>
      <c r="C125" s="168" t="s">
        <v>28</v>
      </c>
      <c r="D125">
        <v>4528.3999999999996</v>
      </c>
      <c r="E125">
        <v>2021</v>
      </c>
      <c r="F125" s="168" t="s">
        <v>592</v>
      </c>
      <c r="G125" s="168" t="s">
        <v>562</v>
      </c>
      <c r="H125">
        <v>2207.8075014720166</v>
      </c>
    </row>
    <row r="126" spans="1:8" x14ac:dyDescent="0.3">
      <c r="A126">
        <v>20</v>
      </c>
      <c r="B126" s="168" t="s">
        <v>27</v>
      </c>
      <c r="C126" s="168" t="s">
        <v>28</v>
      </c>
      <c r="D126">
        <v>4528.3999999999996</v>
      </c>
      <c r="E126">
        <v>2021</v>
      </c>
      <c r="F126" s="168" t="s">
        <v>592</v>
      </c>
      <c r="G126" s="168" t="s">
        <v>563</v>
      </c>
      <c r="H126">
        <v>24515.383921320943</v>
      </c>
    </row>
    <row r="127" spans="1:8" x14ac:dyDescent="0.3">
      <c r="A127">
        <v>20</v>
      </c>
      <c r="B127" s="168" t="s">
        <v>27</v>
      </c>
      <c r="C127" s="168" t="s">
        <v>28</v>
      </c>
      <c r="D127">
        <v>4528.3999999999996</v>
      </c>
      <c r="E127">
        <v>2021</v>
      </c>
      <c r="F127" s="168" t="s">
        <v>592</v>
      </c>
      <c r="G127" s="168" t="s">
        <v>564</v>
      </c>
      <c r="H127">
        <v>11810.956371103519</v>
      </c>
    </row>
    <row r="128" spans="1:8" x14ac:dyDescent="0.3">
      <c r="A128">
        <v>20</v>
      </c>
      <c r="B128" s="168" t="s">
        <v>27</v>
      </c>
      <c r="C128" s="168" t="s">
        <v>28</v>
      </c>
      <c r="D128">
        <v>4528.3999999999996</v>
      </c>
      <c r="E128">
        <v>2021</v>
      </c>
      <c r="F128" s="168" t="s">
        <v>592</v>
      </c>
      <c r="G128" s="168" t="s">
        <v>575</v>
      </c>
      <c r="H128">
        <v>0</v>
      </c>
    </row>
    <row r="129" spans="1:8" x14ac:dyDescent="0.3">
      <c r="A129">
        <v>20</v>
      </c>
      <c r="B129" s="168" t="s">
        <v>27</v>
      </c>
      <c r="C129" s="168" t="s">
        <v>28</v>
      </c>
      <c r="D129">
        <v>4528.3999999999996</v>
      </c>
      <c r="E129">
        <v>2021</v>
      </c>
      <c r="F129" s="168" t="s">
        <v>592</v>
      </c>
      <c r="G129" s="168" t="s">
        <v>576</v>
      </c>
      <c r="H129">
        <v>7010</v>
      </c>
    </row>
    <row r="130" spans="1:8" x14ac:dyDescent="0.3">
      <c r="A130">
        <v>20</v>
      </c>
      <c r="B130" s="168" t="s">
        <v>27</v>
      </c>
      <c r="C130" s="168" t="s">
        <v>28</v>
      </c>
      <c r="D130">
        <v>4528.3999999999996</v>
      </c>
      <c r="E130">
        <v>2021</v>
      </c>
      <c r="F130" s="168" t="s">
        <v>592</v>
      </c>
      <c r="G130" s="168" t="s">
        <v>577</v>
      </c>
      <c r="H130">
        <v>0</v>
      </c>
    </row>
    <row r="131" spans="1:8" x14ac:dyDescent="0.3">
      <c r="A131">
        <v>20</v>
      </c>
      <c r="B131" s="168" t="s">
        <v>27</v>
      </c>
      <c r="C131" s="168" t="s">
        <v>28</v>
      </c>
      <c r="D131">
        <v>4528.3999999999996</v>
      </c>
      <c r="E131">
        <v>2021</v>
      </c>
      <c r="F131" s="168" t="s">
        <v>592</v>
      </c>
      <c r="G131" s="168" t="s">
        <v>578</v>
      </c>
      <c r="H131">
        <v>460983.03281321691</v>
      </c>
    </row>
    <row r="132" spans="1:8" x14ac:dyDescent="0.3">
      <c r="A132">
        <v>20</v>
      </c>
      <c r="B132" s="168" t="s">
        <v>27</v>
      </c>
      <c r="C132" s="168" t="s">
        <v>28</v>
      </c>
      <c r="D132">
        <v>4528.3999999999996</v>
      </c>
      <c r="E132">
        <v>2021</v>
      </c>
      <c r="F132" s="168" t="s">
        <v>592</v>
      </c>
      <c r="G132" s="168" t="s">
        <v>585</v>
      </c>
      <c r="H132">
        <v>12823.061348737769</v>
      </c>
    </row>
    <row r="133" spans="1:8" x14ac:dyDescent="0.3">
      <c r="A133">
        <v>20</v>
      </c>
      <c r="B133" s="168" t="s">
        <v>27</v>
      </c>
      <c r="C133" s="168" t="s">
        <v>28</v>
      </c>
      <c r="D133">
        <v>4528.3999999999996</v>
      </c>
      <c r="E133">
        <v>2021</v>
      </c>
      <c r="F133" s="168" t="s">
        <v>592</v>
      </c>
      <c r="G133" s="168" t="s">
        <v>586</v>
      </c>
      <c r="H133">
        <v>281466.19660479401</v>
      </c>
    </row>
    <row r="134" spans="1:8" x14ac:dyDescent="0.3">
      <c r="A134">
        <v>20</v>
      </c>
      <c r="B134" s="168" t="s">
        <v>27</v>
      </c>
      <c r="C134" s="168" t="s">
        <v>28</v>
      </c>
      <c r="D134">
        <v>4528.3999999999996</v>
      </c>
      <c r="E134">
        <v>2021</v>
      </c>
      <c r="F134" s="168" t="s">
        <v>592</v>
      </c>
      <c r="G134" s="168" t="s">
        <v>587</v>
      </c>
      <c r="H134">
        <v>50483.343475403446</v>
      </c>
    </row>
    <row r="135" spans="1:8" x14ac:dyDescent="0.3">
      <c r="A135">
        <v>20</v>
      </c>
      <c r="B135" s="168" t="s">
        <v>27</v>
      </c>
      <c r="C135" s="168" t="s">
        <v>28</v>
      </c>
      <c r="D135">
        <v>4528.3999999999996</v>
      </c>
      <c r="E135">
        <v>2021</v>
      </c>
      <c r="F135" s="168" t="s">
        <v>592</v>
      </c>
      <c r="G135" s="168" t="s">
        <v>588</v>
      </c>
      <c r="H135">
        <v>0</v>
      </c>
    </row>
    <row r="136" spans="1:8" x14ac:dyDescent="0.3">
      <c r="A136">
        <v>21</v>
      </c>
      <c r="B136" s="168" t="s">
        <v>27</v>
      </c>
      <c r="C136" s="168" t="s">
        <v>29</v>
      </c>
      <c r="D136">
        <v>4779.7</v>
      </c>
      <c r="E136">
        <v>2021</v>
      </c>
      <c r="F136" s="168" t="s">
        <v>592</v>
      </c>
      <c r="G136" s="168" t="s">
        <v>548</v>
      </c>
      <c r="H136">
        <v>77527.339023353736</v>
      </c>
    </row>
    <row r="137" spans="1:8" x14ac:dyDescent="0.3">
      <c r="A137">
        <v>21</v>
      </c>
      <c r="B137" s="168" t="s">
        <v>27</v>
      </c>
      <c r="C137" s="168" t="s">
        <v>29</v>
      </c>
      <c r="D137">
        <v>4779.7</v>
      </c>
      <c r="E137">
        <v>2021</v>
      </c>
      <c r="F137" s="168" t="s">
        <v>592</v>
      </c>
      <c r="G137" s="168" t="s">
        <v>549</v>
      </c>
      <c r="H137">
        <v>573898.06473933824</v>
      </c>
    </row>
    <row r="138" spans="1:8" x14ac:dyDescent="0.3">
      <c r="A138">
        <v>21</v>
      </c>
      <c r="B138" s="168" t="s">
        <v>27</v>
      </c>
      <c r="C138" s="168" t="s">
        <v>29</v>
      </c>
      <c r="D138">
        <v>4779.7</v>
      </c>
      <c r="E138">
        <v>2021</v>
      </c>
      <c r="F138" s="168" t="s">
        <v>592</v>
      </c>
      <c r="G138" s="168" t="s">
        <v>550</v>
      </c>
      <c r="H138">
        <v>26605.844190182495</v>
      </c>
    </row>
    <row r="139" spans="1:8" x14ac:dyDescent="0.3">
      <c r="A139">
        <v>21</v>
      </c>
      <c r="B139" s="168" t="s">
        <v>27</v>
      </c>
      <c r="C139" s="168" t="s">
        <v>29</v>
      </c>
      <c r="D139">
        <v>4779.7</v>
      </c>
      <c r="E139">
        <v>2021</v>
      </c>
      <c r="F139" s="168" t="s">
        <v>592</v>
      </c>
      <c r="G139" s="168" t="s">
        <v>551</v>
      </c>
      <c r="H139">
        <v>28574.676660256002</v>
      </c>
    </row>
    <row r="140" spans="1:8" x14ac:dyDescent="0.3">
      <c r="A140">
        <v>21</v>
      </c>
      <c r="B140" s="168" t="s">
        <v>27</v>
      </c>
      <c r="C140" s="168" t="s">
        <v>29</v>
      </c>
      <c r="D140">
        <v>4779.7</v>
      </c>
      <c r="E140">
        <v>2021</v>
      </c>
      <c r="F140" s="168" t="s">
        <v>592</v>
      </c>
      <c r="G140" s="168" t="s">
        <v>554</v>
      </c>
      <c r="H140">
        <v>0</v>
      </c>
    </row>
    <row r="141" spans="1:8" x14ac:dyDescent="0.3">
      <c r="A141">
        <v>21</v>
      </c>
      <c r="B141" s="168" t="s">
        <v>27</v>
      </c>
      <c r="C141" s="168" t="s">
        <v>29</v>
      </c>
      <c r="D141">
        <v>4779.7</v>
      </c>
      <c r="E141">
        <v>2021</v>
      </c>
      <c r="F141" s="168" t="s">
        <v>592</v>
      </c>
      <c r="G141" s="168" t="s">
        <v>555</v>
      </c>
      <c r="H141">
        <v>6704.6727359259885</v>
      </c>
    </row>
    <row r="142" spans="1:8" x14ac:dyDescent="0.3">
      <c r="A142">
        <v>21</v>
      </c>
      <c r="B142" s="168" t="s">
        <v>27</v>
      </c>
      <c r="C142" s="168" t="s">
        <v>29</v>
      </c>
      <c r="D142">
        <v>4779.7</v>
      </c>
      <c r="E142">
        <v>2021</v>
      </c>
      <c r="F142" s="168" t="s">
        <v>592</v>
      </c>
      <c r="G142" s="168" t="s">
        <v>595</v>
      </c>
      <c r="H142">
        <v>0</v>
      </c>
    </row>
    <row r="143" spans="1:8" x14ac:dyDescent="0.3">
      <c r="A143">
        <v>21</v>
      </c>
      <c r="B143" s="168" t="s">
        <v>27</v>
      </c>
      <c r="C143" s="168" t="s">
        <v>29</v>
      </c>
      <c r="D143">
        <v>4779.7</v>
      </c>
      <c r="E143">
        <v>2021</v>
      </c>
      <c r="F143" s="168" t="s">
        <v>592</v>
      </c>
      <c r="G143" s="168" t="s">
        <v>560</v>
      </c>
      <c r="H143">
        <v>3272.7272727272725</v>
      </c>
    </row>
    <row r="144" spans="1:8" x14ac:dyDescent="0.3">
      <c r="A144">
        <v>21</v>
      </c>
      <c r="B144" s="168" t="s">
        <v>27</v>
      </c>
      <c r="C144" s="168" t="s">
        <v>29</v>
      </c>
      <c r="D144">
        <v>4779.7</v>
      </c>
      <c r="E144">
        <v>2021</v>
      </c>
      <c r="F144" s="168" t="s">
        <v>592</v>
      </c>
      <c r="G144" s="168" t="s">
        <v>561</v>
      </c>
      <c r="H144">
        <v>21510.720406839158</v>
      </c>
    </row>
    <row r="145" spans="1:8" x14ac:dyDescent="0.3">
      <c r="A145">
        <v>21</v>
      </c>
      <c r="B145" s="168" t="s">
        <v>27</v>
      </c>
      <c r="C145" s="168" t="s">
        <v>29</v>
      </c>
      <c r="D145">
        <v>4779.7</v>
      </c>
      <c r="E145">
        <v>2021</v>
      </c>
      <c r="F145" s="168" t="s">
        <v>592</v>
      </c>
      <c r="G145" s="168" t="s">
        <v>562</v>
      </c>
      <c r="H145">
        <v>2330.3280440742424</v>
      </c>
    </row>
    <row r="146" spans="1:8" x14ac:dyDescent="0.3">
      <c r="A146">
        <v>21</v>
      </c>
      <c r="B146" s="168" t="s">
        <v>27</v>
      </c>
      <c r="C146" s="168" t="s">
        <v>29</v>
      </c>
      <c r="D146">
        <v>4779.7</v>
      </c>
      <c r="E146">
        <v>2021</v>
      </c>
      <c r="F146" s="168" t="s">
        <v>592</v>
      </c>
      <c r="G146" s="168" t="s">
        <v>563</v>
      </c>
      <c r="H146">
        <v>0</v>
      </c>
    </row>
    <row r="147" spans="1:8" x14ac:dyDescent="0.3">
      <c r="A147">
        <v>21</v>
      </c>
      <c r="B147" s="168" t="s">
        <v>27</v>
      </c>
      <c r="C147" s="168" t="s">
        <v>29</v>
      </c>
      <c r="D147">
        <v>4779.7</v>
      </c>
      <c r="E147">
        <v>2021</v>
      </c>
      <c r="F147" s="168" t="s">
        <v>592</v>
      </c>
      <c r="G147" s="168" t="s">
        <v>564</v>
      </c>
      <c r="H147">
        <v>12466.396114955282</v>
      </c>
    </row>
    <row r="148" spans="1:8" x14ac:dyDescent="0.3">
      <c r="A148">
        <v>21</v>
      </c>
      <c r="B148" s="168" t="s">
        <v>27</v>
      </c>
      <c r="C148" s="168" t="s">
        <v>29</v>
      </c>
      <c r="D148">
        <v>4779.7</v>
      </c>
      <c r="E148">
        <v>2021</v>
      </c>
      <c r="F148" s="168" t="s">
        <v>592</v>
      </c>
      <c r="G148" s="168" t="s">
        <v>575</v>
      </c>
      <c r="H148">
        <v>0</v>
      </c>
    </row>
    <row r="149" spans="1:8" x14ac:dyDescent="0.3">
      <c r="A149">
        <v>21</v>
      </c>
      <c r="B149" s="168" t="s">
        <v>27</v>
      </c>
      <c r="C149" s="168" t="s">
        <v>29</v>
      </c>
      <c r="D149">
        <v>4779.7</v>
      </c>
      <c r="E149">
        <v>2021</v>
      </c>
      <c r="F149" s="168" t="s">
        <v>592</v>
      </c>
      <c r="G149" s="168" t="s">
        <v>576</v>
      </c>
      <c r="H149">
        <v>7010</v>
      </c>
    </row>
    <row r="150" spans="1:8" x14ac:dyDescent="0.3">
      <c r="A150">
        <v>21</v>
      </c>
      <c r="B150" s="168" t="s">
        <v>27</v>
      </c>
      <c r="C150" s="168" t="s">
        <v>29</v>
      </c>
      <c r="D150">
        <v>4779.7</v>
      </c>
      <c r="E150">
        <v>2021</v>
      </c>
      <c r="F150" s="168" t="s">
        <v>592</v>
      </c>
      <c r="G150" s="168" t="s">
        <v>585</v>
      </c>
      <c r="H150">
        <v>13534.667063104391</v>
      </c>
    </row>
    <row r="151" spans="1:8" x14ac:dyDescent="0.3">
      <c r="A151">
        <v>21</v>
      </c>
      <c r="B151" s="168" t="s">
        <v>27</v>
      </c>
      <c r="C151" s="168" t="s">
        <v>29</v>
      </c>
      <c r="D151">
        <v>4779.7</v>
      </c>
      <c r="E151">
        <v>2021</v>
      </c>
      <c r="F151" s="168" t="s">
        <v>592</v>
      </c>
      <c r="G151" s="168" t="s">
        <v>586</v>
      </c>
      <c r="H151">
        <v>297085.9420351414</v>
      </c>
    </row>
    <row r="152" spans="1:8" x14ac:dyDescent="0.3">
      <c r="A152">
        <v>21</v>
      </c>
      <c r="B152" s="168" t="s">
        <v>27</v>
      </c>
      <c r="C152" s="168" t="s">
        <v>29</v>
      </c>
      <c r="D152">
        <v>4779.7</v>
      </c>
      <c r="E152">
        <v>2021</v>
      </c>
      <c r="F152" s="168" t="s">
        <v>592</v>
      </c>
      <c r="G152" s="168" t="s">
        <v>587</v>
      </c>
      <c r="H152">
        <v>53284.876956405322</v>
      </c>
    </row>
    <row r="153" spans="1:8" x14ac:dyDescent="0.3">
      <c r="A153">
        <v>21</v>
      </c>
      <c r="B153" s="168" t="s">
        <v>27</v>
      </c>
      <c r="C153" s="168" t="s">
        <v>29</v>
      </c>
      <c r="D153">
        <v>4779.7</v>
      </c>
      <c r="E153">
        <v>2021</v>
      </c>
      <c r="F153" s="168" t="s">
        <v>592</v>
      </c>
      <c r="G153" s="168" t="s">
        <v>588</v>
      </c>
      <c r="H153">
        <v>0</v>
      </c>
    </row>
    <row r="154" spans="1:8" x14ac:dyDescent="0.3">
      <c r="A154">
        <v>22</v>
      </c>
      <c r="B154" s="168" t="s">
        <v>30</v>
      </c>
      <c r="C154" s="168" t="s">
        <v>31</v>
      </c>
      <c r="D154">
        <v>3918.8</v>
      </c>
      <c r="E154">
        <v>2021</v>
      </c>
      <c r="F154" s="168" t="s">
        <v>591</v>
      </c>
      <c r="G154" s="168" t="s">
        <v>548</v>
      </c>
      <c r="H154">
        <v>906162.68400000001</v>
      </c>
    </row>
    <row r="155" spans="1:8" x14ac:dyDescent="0.3">
      <c r="A155">
        <v>22</v>
      </c>
      <c r="B155" s="168" t="s">
        <v>30</v>
      </c>
      <c r="C155" s="168" t="s">
        <v>31</v>
      </c>
      <c r="D155">
        <v>3918.8</v>
      </c>
      <c r="E155">
        <v>2021</v>
      </c>
      <c r="F155" s="168" t="s">
        <v>591</v>
      </c>
      <c r="G155" s="168" t="s">
        <v>549</v>
      </c>
      <c r="H155">
        <v>388355.43600000005</v>
      </c>
    </row>
    <row r="156" spans="1:8" x14ac:dyDescent="0.3">
      <c r="A156">
        <v>22</v>
      </c>
      <c r="B156" s="168" t="s">
        <v>30</v>
      </c>
      <c r="C156" s="168" t="s">
        <v>31</v>
      </c>
      <c r="D156">
        <v>3918.8</v>
      </c>
      <c r="E156">
        <v>2021</v>
      </c>
      <c r="F156" s="168" t="s">
        <v>591</v>
      </c>
      <c r="G156" s="168" t="s">
        <v>550</v>
      </c>
      <c r="H156">
        <v>21813.708436196241</v>
      </c>
    </row>
    <row r="157" spans="1:8" x14ac:dyDescent="0.3">
      <c r="A157">
        <v>22</v>
      </c>
      <c r="B157" s="168" t="s">
        <v>30</v>
      </c>
      <c r="C157" s="168" t="s">
        <v>31</v>
      </c>
      <c r="D157">
        <v>3918.8</v>
      </c>
      <c r="E157">
        <v>2021</v>
      </c>
      <c r="F157" s="168" t="s">
        <v>591</v>
      </c>
      <c r="G157" s="168" t="s">
        <v>551</v>
      </c>
      <c r="H157">
        <v>23427.922860474762</v>
      </c>
    </row>
    <row r="158" spans="1:8" x14ac:dyDescent="0.3">
      <c r="A158">
        <v>22</v>
      </c>
      <c r="B158" s="168" t="s">
        <v>30</v>
      </c>
      <c r="C158" s="168" t="s">
        <v>31</v>
      </c>
      <c r="D158">
        <v>3918.8</v>
      </c>
      <c r="E158">
        <v>2021</v>
      </c>
      <c r="F158" s="168" t="s">
        <v>591</v>
      </c>
      <c r="G158" s="168" t="s">
        <v>598</v>
      </c>
      <c r="H158">
        <v>0</v>
      </c>
    </row>
    <row r="159" spans="1:8" x14ac:dyDescent="0.3">
      <c r="A159">
        <v>22</v>
      </c>
      <c r="B159" s="168" t="s">
        <v>30</v>
      </c>
      <c r="C159" s="168" t="s">
        <v>31</v>
      </c>
      <c r="D159">
        <v>3918.8</v>
      </c>
      <c r="E159">
        <v>2021</v>
      </c>
      <c r="F159" s="168" t="s">
        <v>591</v>
      </c>
      <c r="G159" s="168" t="s">
        <v>599</v>
      </c>
      <c r="H159">
        <v>29031.243490663041</v>
      </c>
    </row>
    <row r="160" spans="1:8" x14ac:dyDescent="0.3">
      <c r="A160">
        <v>22</v>
      </c>
      <c r="B160" s="168" t="s">
        <v>30</v>
      </c>
      <c r="C160" s="168" t="s">
        <v>31</v>
      </c>
      <c r="D160">
        <v>3918.8</v>
      </c>
      <c r="E160">
        <v>2021</v>
      </c>
      <c r="F160" s="168" t="s">
        <v>591</v>
      </c>
      <c r="G160" s="168" t="s">
        <v>595</v>
      </c>
      <c r="H160">
        <v>0</v>
      </c>
    </row>
    <row r="161" spans="1:8" x14ac:dyDescent="0.3">
      <c r="A161">
        <v>22</v>
      </c>
      <c r="B161" s="168" t="s">
        <v>30</v>
      </c>
      <c r="C161" s="168" t="s">
        <v>31</v>
      </c>
      <c r="D161">
        <v>3918.8</v>
      </c>
      <c r="E161">
        <v>2021</v>
      </c>
      <c r="F161" s="168" t="s">
        <v>591</v>
      </c>
      <c r="G161" s="168" t="s">
        <v>560</v>
      </c>
      <c r="H161">
        <v>6545.454545454545</v>
      </c>
    </row>
    <row r="162" spans="1:8" x14ac:dyDescent="0.3">
      <c r="A162">
        <v>22</v>
      </c>
      <c r="B162" s="168" t="s">
        <v>30</v>
      </c>
      <c r="C162" s="168" t="s">
        <v>31</v>
      </c>
      <c r="D162">
        <v>3918.8</v>
      </c>
      <c r="E162">
        <v>2021</v>
      </c>
      <c r="F162" s="168" t="s">
        <v>591</v>
      </c>
      <c r="G162" s="168" t="s">
        <v>563</v>
      </c>
      <c r="H162">
        <v>0</v>
      </c>
    </row>
    <row r="163" spans="1:8" x14ac:dyDescent="0.3">
      <c r="A163">
        <v>22</v>
      </c>
      <c r="B163" s="168" t="s">
        <v>30</v>
      </c>
      <c r="C163" s="168" t="s">
        <v>31</v>
      </c>
      <c r="D163">
        <v>3918.8</v>
      </c>
      <c r="E163">
        <v>2021</v>
      </c>
      <c r="F163" s="168" t="s">
        <v>591</v>
      </c>
      <c r="G163" s="168" t="s">
        <v>564</v>
      </c>
      <c r="H163">
        <v>10220.999873483011</v>
      </c>
    </row>
    <row r="164" spans="1:8" x14ac:dyDescent="0.3">
      <c r="A164">
        <v>22</v>
      </c>
      <c r="B164" s="168" t="s">
        <v>30</v>
      </c>
      <c r="C164" s="168" t="s">
        <v>31</v>
      </c>
      <c r="D164">
        <v>3918.8</v>
      </c>
      <c r="E164">
        <v>2021</v>
      </c>
      <c r="F164" s="168" t="s">
        <v>591</v>
      </c>
      <c r="G164" s="168" t="s">
        <v>565</v>
      </c>
      <c r="H164">
        <v>81466.7</v>
      </c>
    </row>
    <row r="165" spans="1:8" x14ac:dyDescent="0.3">
      <c r="A165">
        <v>22</v>
      </c>
      <c r="B165" s="168" t="s">
        <v>30</v>
      </c>
      <c r="C165" s="168" t="s">
        <v>31</v>
      </c>
      <c r="D165">
        <v>3918.8</v>
      </c>
      <c r="E165">
        <v>2021</v>
      </c>
      <c r="F165" s="168" t="s">
        <v>591</v>
      </c>
      <c r="G165" s="168" t="s">
        <v>566</v>
      </c>
      <c r="H165">
        <v>16293.34</v>
      </c>
    </row>
    <row r="166" spans="1:8" x14ac:dyDescent="0.3">
      <c r="A166">
        <v>22</v>
      </c>
      <c r="B166" s="168" t="s">
        <v>30</v>
      </c>
      <c r="C166" s="168" t="s">
        <v>31</v>
      </c>
      <c r="D166">
        <v>3918.8</v>
      </c>
      <c r="E166">
        <v>2021</v>
      </c>
      <c r="F166" s="168" t="s">
        <v>591</v>
      </c>
      <c r="G166" s="168" t="s">
        <v>585</v>
      </c>
      <c r="H166">
        <v>11096.858231038243</v>
      </c>
    </row>
    <row r="167" spans="1:8" x14ac:dyDescent="0.3">
      <c r="A167">
        <v>22</v>
      </c>
      <c r="B167" s="168" t="s">
        <v>30</v>
      </c>
      <c r="C167" s="168" t="s">
        <v>31</v>
      </c>
      <c r="D167">
        <v>3918.8</v>
      </c>
      <c r="E167">
        <v>2021</v>
      </c>
      <c r="F167" s="168" t="s">
        <v>591</v>
      </c>
      <c r="G167" s="168" t="s">
        <v>586</v>
      </c>
      <c r="H167">
        <v>243576.03817128943</v>
      </c>
    </row>
    <row r="168" spans="1:8" x14ac:dyDescent="0.3">
      <c r="A168">
        <v>23</v>
      </c>
      <c r="B168" s="168" t="s">
        <v>32</v>
      </c>
      <c r="C168" s="168" t="s">
        <v>33</v>
      </c>
      <c r="D168">
        <v>4394.6000000000004</v>
      </c>
      <c r="E168">
        <v>2021</v>
      </c>
      <c r="F168" s="168" t="s">
        <v>592</v>
      </c>
      <c r="G168" s="168" t="s">
        <v>548</v>
      </c>
      <c r="H168">
        <v>71280.968276676431</v>
      </c>
    </row>
    <row r="169" spans="1:8" x14ac:dyDescent="0.3">
      <c r="A169">
        <v>23</v>
      </c>
      <c r="B169" s="168" t="s">
        <v>32</v>
      </c>
      <c r="C169" s="168" t="s">
        <v>33</v>
      </c>
      <c r="D169">
        <v>4394.6000000000004</v>
      </c>
      <c r="E169">
        <v>2021</v>
      </c>
      <c r="F169" s="168" t="s">
        <v>592</v>
      </c>
      <c r="G169" s="168" t="s">
        <v>549</v>
      </c>
      <c r="H169">
        <v>527659.14917327359</v>
      </c>
    </row>
    <row r="170" spans="1:8" x14ac:dyDescent="0.3">
      <c r="A170">
        <v>23</v>
      </c>
      <c r="B170" s="168" t="s">
        <v>32</v>
      </c>
      <c r="C170" s="168" t="s">
        <v>33</v>
      </c>
      <c r="D170">
        <v>4394.6000000000004</v>
      </c>
      <c r="E170">
        <v>2021</v>
      </c>
      <c r="F170" s="168" t="s">
        <v>592</v>
      </c>
      <c r="G170" s="168" t="s">
        <v>550</v>
      </c>
      <c r="H170">
        <v>24462.213711776054</v>
      </c>
    </row>
    <row r="171" spans="1:8" x14ac:dyDescent="0.3">
      <c r="A171">
        <v>23</v>
      </c>
      <c r="B171" s="168" t="s">
        <v>32</v>
      </c>
      <c r="C171" s="168" t="s">
        <v>33</v>
      </c>
      <c r="D171">
        <v>4394.6000000000004</v>
      </c>
      <c r="E171">
        <v>2021</v>
      </c>
      <c r="F171" s="168" t="s">
        <v>592</v>
      </c>
      <c r="G171" s="168" t="s">
        <v>551</v>
      </c>
      <c r="H171">
        <v>26272.417526447483</v>
      </c>
    </row>
    <row r="172" spans="1:8" x14ac:dyDescent="0.3">
      <c r="A172">
        <v>23</v>
      </c>
      <c r="B172" s="168" t="s">
        <v>32</v>
      </c>
      <c r="C172" s="168" t="s">
        <v>33</v>
      </c>
      <c r="D172">
        <v>4394.6000000000004</v>
      </c>
      <c r="E172">
        <v>2021</v>
      </c>
      <c r="F172" s="168" t="s">
        <v>592</v>
      </c>
      <c r="G172" s="168" t="s">
        <v>598</v>
      </c>
      <c r="H172">
        <v>0</v>
      </c>
    </row>
    <row r="173" spans="1:8" x14ac:dyDescent="0.3">
      <c r="A173">
        <v>23</v>
      </c>
      <c r="B173" s="168" t="s">
        <v>32</v>
      </c>
      <c r="C173" s="168" t="s">
        <v>33</v>
      </c>
      <c r="D173">
        <v>4394.6000000000004</v>
      </c>
      <c r="E173">
        <v>2021</v>
      </c>
      <c r="F173" s="168" t="s">
        <v>592</v>
      </c>
      <c r="G173" s="168" t="s">
        <v>599</v>
      </c>
      <c r="H173">
        <v>29471.110816279146</v>
      </c>
    </row>
    <row r="174" spans="1:8" x14ac:dyDescent="0.3">
      <c r="A174">
        <v>23</v>
      </c>
      <c r="B174" s="168" t="s">
        <v>32</v>
      </c>
      <c r="C174" s="168" t="s">
        <v>33</v>
      </c>
      <c r="D174">
        <v>4394.6000000000004</v>
      </c>
      <c r="E174">
        <v>2021</v>
      </c>
      <c r="F174" s="168" t="s">
        <v>592</v>
      </c>
      <c r="G174" s="168" t="s">
        <v>554</v>
      </c>
      <c r="H174">
        <v>0</v>
      </c>
    </row>
    <row r="175" spans="1:8" x14ac:dyDescent="0.3">
      <c r="A175">
        <v>23</v>
      </c>
      <c r="B175" s="168" t="s">
        <v>32</v>
      </c>
      <c r="C175" s="168" t="s">
        <v>33</v>
      </c>
      <c r="D175">
        <v>4394.6000000000004</v>
      </c>
      <c r="E175">
        <v>2021</v>
      </c>
      <c r="F175" s="168" t="s">
        <v>592</v>
      </c>
      <c r="G175" s="168" t="s">
        <v>555</v>
      </c>
      <c r="H175">
        <v>10075.947855367569</v>
      </c>
    </row>
    <row r="176" spans="1:8" x14ac:dyDescent="0.3">
      <c r="A176">
        <v>23</v>
      </c>
      <c r="B176" s="168" t="s">
        <v>32</v>
      </c>
      <c r="C176" s="168" t="s">
        <v>33</v>
      </c>
      <c r="D176">
        <v>4394.6000000000004</v>
      </c>
      <c r="E176">
        <v>2021</v>
      </c>
      <c r="F176" s="168" t="s">
        <v>592</v>
      </c>
      <c r="G176" s="168" t="s">
        <v>595</v>
      </c>
      <c r="H176">
        <v>0</v>
      </c>
    </row>
    <row r="177" spans="1:8" x14ac:dyDescent="0.3">
      <c r="A177">
        <v>23</v>
      </c>
      <c r="B177" s="168" t="s">
        <v>32</v>
      </c>
      <c r="C177" s="168" t="s">
        <v>33</v>
      </c>
      <c r="D177">
        <v>4394.6000000000004</v>
      </c>
      <c r="E177">
        <v>2021</v>
      </c>
      <c r="F177" s="168" t="s">
        <v>592</v>
      </c>
      <c r="G177" s="168" t="s">
        <v>560</v>
      </c>
      <c r="H177">
        <v>3272.7272727272725</v>
      </c>
    </row>
    <row r="178" spans="1:8" x14ac:dyDescent="0.3">
      <c r="A178">
        <v>23</v>
      </c>
      <c r="B178" s="168" t="s">
        <v>32</v>
      </c>
      <c r="C178" s="168" t="s">
        <v>33</v>
      </c>
      <c r="D178">
        <v>4394.6000000000004</v>
      </c>
      <c r="E178">
        <v>2021</v>
      </c>
      <c r="F178" s="168" t="s">
        <v>592</v>
      </c>
      <c r="G178" s="168" t="s">
        <v>563</v>
      </c>
      <c r="H178">
        <v>0</v>
      </c>
    </row>
    <row r="179" spans="1:8" x14ac:dyDescent="0.3">
      <c r="A179">
        <v>23</v>
      </c>
      <c r="B179" s="168" t="s">
        <v>32</v>
      </c>
      <c r="C179" s="168" t="s">
        <v>33</v>
      </c>
      <c r="D179">
        <v>4394.6000000000004</v>
      </c>
      <c r="E179">
        <v>2021</v>
      </c>
      <c r="F179" s="168" t="s">
        <v>592</v>
      </c>
      <c r="G179" s="168" t="s">
        <v>564</v>
      </c>
      <c r="H179">
        <v>11461.97969888957</v>
      </c>
    </row>
    <row r="180" spans="1:8" x14ac:dyDescent="0.3">
      <c r="A180">
        <v>23</v>
      </c>
      <c r="B180" s="168" t="s">
        <v>32</v>
      </c>
      <c r="C180" s="168" t="s">
        <v>33</v>
      </c>
      <c r="D180">
        <v>4394.6000000000004</v>
      </c>
      <c r="E180">
        <v>2021</v>
      </c>
      <c r="F180" s="168" t="s">
        <v>592</v>
      </c>
      <c r="G180" s="168" t="s">
        <v>585</v>
      </c>
      <c r="H180">
        <v>12444.180152628524</v>
      </c>
    </row>
    <row r="181" spans="1:8" x14ac:dyDescent="0.3">
      <c r="A181">
        <v>23</v>
      </c>
      <c r="B181" s="168" t="s">
        <v>32</v>
      </c>
      <c r="C181" s="168" t="s">
        <v>33</v>
      </c>
      <c r="D181">
        <v>4394.6000000000004</v>
      </c>
      <c r="E181">
        <v>2021</v>
      </c>
      <c r="F181" s="168" t="s">
        <v>592</v>
      </c>
      <c r="G181" s="168" t="s">
        <v>586</v>
      </c>
      <c r="H181">
        <v>273149.7543501961</v>
      </c>
    </row>
    <row r="182" spans="1:8" x14ac:dyDescent="0.3">
      <c r="A182">
        <v>24</v>
      </c>
      <c r="B182" s="168" t="s">
        <v>34</v>
      </c>
      <c r="C182" s="168" t="s">
        <v>35</v>
      </c>
      <c r="D182">
        <v>17.5</v>
      </c>
      <c r="E182">
        <v>2021</v>
      </c>
      <c r="F182" s="168" t="s">
        <v>593</v>
      </c>
      <c r="G182" s="168" t="s">
        <v>548</v>
      </c>
      <c r="H182">
        <v>0</v>
      </c>
    </row>
    <row r="183" spans="1:8" x14ac:dyDescent="0.3">
      <c r="A183">
        <v>24</v>
      </c>
      <c r="B183" s="168" t="s">
        <v>34</v>
      </c>
      <c r="C183" s="168" t="s">
        <v>35</v>
      </c>
      <c r="D183">
        <v>17.5</v>
      </c>
      <c r="E183">
        <v>2021</v>
      </c>
      <c r="F183" s="168" t="s">
        <v>593</v>
      </c>
      <c r="G183" s="168" t="s">
        <v>549</v>
      </c>
      <c r="H183">
        <v>1298.8675241043077</v>
      </c>
    </row>
    <row r="184" spans="1:8" x14ac:dyDescent="0.3">
      <c r="A184">
        <v>24</v>
      </c>
      <c r="B184" s="168" t="s">
        <v>34</v>
      </c>
      <c r="C184" s="168" t="s">
        <v>35</v>
      </c>
      <c r="D184">
        <v>17.5</v>
      </c>
      <c r="E184">
        <v>2021</v>
      </c>
      <c r="F184" s="168" t="s">
        <v>593</v>
      </c>
      <c r="G184" s="168" t="s">
        <v>550</v>
      </c>
      <c r="H184">
        <v>97.412447084167141</v>
      </c>
    </row>
    <row r="185" spans="1:8" x14ac:dyDescent="0.3">
      <c r="A185">
        <v>24</v>
      </c>
      <c r="B185" s="168" t="s">
        <v>34</v>
      </c>
      <c r="C185" s="168" t="s">
        <v>35</v>
      </c>
      <c r="D185">
        <v>17.5</v>
      </c>
      <c r="E185">
        <v>2021</v>
      </c>
      <c r="F185" s="168" t="s">
        <v>593</v>
      </c>
      <c r="G185" s="168" t="s">
        <v>551</v>
      </c>
      <c r="H185">
        <v>104.62096816839551</v>
      </c>
    </row>
    <row r="186" spans="1:8" x14ac:dyDescent="0.3">
      <c r="A186">
        <v>24</v>
      </c>
      <c r="B186" s="168" t="s">
        <v>34</v>
      </c>
      <c r="C186" s="168" t="s">
        <v>35</v>
      </c>
      <c r="D186">
        <v>17.5</v>
      </c>
      <c r="E186">
        <v>2021</v>
      </c>
      <c r="F186" s="168" t="s">
        <v>593</v>
      </c>
      <c r="G186" s="168" t="s">
        <v>554</v>
      </c>
      <c r="H186">
        <v>0</v>
      </c>
    </row>
    <row r="187" spans="1:8" x14ac:dyDescent="0.3">
      <c r="A187">
        <v>24</v>
      </c>
      <c r="B187" s="168" t="s">
        <v>34</v>
      </c>
      <c r="C187" s="168" t="s">
        <v>35</v>
      </c>
      <c r="D187">
        <v>17.5</v>
      </c>
      <c r="E187">
        <v>2021</v>
      </c>
      <c r="F187" s="168" t="s">
        <v>593</v>
      </c>
      <c r="G187" s="168" t="s">
        <v>555</v>
      </c>
      <c r="H187">
        <v>24.547936665210123</v>
      </c>
    </row>
    <row r="188" spans="1:8" x14ac:dyDescent="0.3">
      <c r="A188">
        <v>25</v>
      </c>
      <c r="B188" s="168" t="s">
        <v>21</v>
      </c>
      <c r="C188" s="168" t="s">
        <v>36</v>
      </c>
      <c r="D188">
        <v>95</v>
      </c>
      <c r="E188">
        <v>2021</v>
      </c>
      <c r="F188" s="168" t="s">
        <v>593</v>
      </c>
      <c r="G188" s="168" t="s">
        <v>548</v>
      </c>
      <c r="H188">
        <v>0</v>
      </c>
    </row>
    <row r="189" spans="1:8" x14ac:dyDescent="0.3">
      <c r="A189">
        <v>25</v>
      </c>
      <c r="B189" s="168" t="s">
        <v>21</v>
      </c>
      <c r="C189" s="168" t="s">
        <v>36</v>
      </c>
      <c r="D189">
        <v>95</v>
      </c>
      <c r="E189">
        <v>2021</v>
      </c>
      <c r="F189" s="168" t="s">
        <v>593</v>
      </c>
      <c r="G189" s="168" t="s">
        <v>549</v>
      </c>
      <c r="H189">
        <v>7050.9951308519667</v>
      </c>
    </row>
    <row r="190" spans="1:8" x14ac:dyDescent="0.3">
      <c r="A190">
        <v>25</v>
      </c>
      <c r="B190" s="168" t="s">
        <v>21</v>
      </c>
      <c r="C190" s="168" t="s">
        <v>36</v>
      </c>
      <c r="D190">
        <v>95</v>
      </c>
      <c r="E190">
        <v>2021</v>
      </c>
      <c r="F190" s="168" t="s">
        <v>593</v>
      </c>
      <c r="G190" s="168" t="s">
        <v>550</v>
      </c>
      <c r="H190">
        <v>528.81042702833588</v>
      </c>
    </row>
    <row r="191" spans="1:8" x14ac:dyDescent="0.3">
      <c r="A191">
        <v>25</v>
      </c>
      <c r="B191" s="168" t="s">
        <v>21</v>
      </c>
      <c r="C191" s="168" t="s">
        <v>36</v>
      </c>
      <c r="D191">
        <v>95</v>
      </c>
      <c r="E191">
        <v>2021</v>
      </c>
      <c r="F191" s="168" t="s">
        <v>593</v>
      </c>
      <c r="G191" s="168" t="s">
        <v>551</v>
      </c>
      <c r="H191">
        <v>567.94239862843267</v>
      </c>
    </row>
    <row r="192" spans="1:8" x14ac:dyDescent="0.3">
      <c r="A192">
        <v>25</v>
      </c>
      <c r="B192" s="168" t="s">
        <v>21</v>
      </c>
      <c r="C192" s="168" t="s">
        <v>36</v>
      </c>
      <c r="D192">
        <v>95</v>
      </c>
      <c r="E192">
        <v>2021</v>
      </c>
      <c r="F192" s="168" t="s">
        <v>593</v>
      </c>
      <c r="G192" s="168" t="s">
        <v>554</v>
      </c>
      <c r="H192">
        <v>0</v>
      </c>
    </row>
    <row r="193" spans="1:8" x14ac:dyDescent="0.3">
      <c r="A193">
        <v>25</v>
      </c>
      <c r="B193" s="168" t="s">
        <v>21</v>
      </c>
      <c r="C193" s="168" t="s">
        <v>36</v>
      </c>
      <c r="D193">
        <v>95</v>
      </c>
      <c r="E193">
        <v>2021</v>
      </c>
      <c r="F193" s="168" t="s">
        <v>593</v>
      </c>
      <c r="G193" s="168" t="s">
        <v>555</v>
      </c>
      <c r="H193">
        <v>133.26022761114066</v>
      </c>
    </row>
    <row r="194" spans="1:8" x14ac:dyDescent="0.3">
      <c r="A194">
        <v>25</v>
      </c>
      <c r="B194" s="168" t="s">
        <v>21</v>
      </c>
      <c r="C194" s="168" t="s">
        <v>36</v>
      </c>
      <c r="D194">
        <v>95</v>
      </c>
      <c r="E194">
        <v>2021</v>
      </c>
      <c r="F194" s="168" t="s">
        <v>593</v>
      </c>
      <c r="G194" s="168" t="s">
        <v>595</v>
      </c>
      <c r="H194">
        <v>0</v>
      </c>
    </row>
    <row r="195" spans="1:8" x14ac:dyDescent="0.3">
      <c r="A195">
        <v>25</v>
      </c>
      <c r="B195" s="168" t="s">
        <v>21</v>
      </c>
      <c r="C195" s="168" t="s">
        <v>36</v>
      </c>
      <c r="D195">
        <v>95</v>
      </c>
      <c r="E195">
        <v>2021</v>
      </c>
      <c r="F195" s="168" t="s">
        <v>593</v>
      </c>
      <c r="G195" s="168" t="s">
        <v>560</v>
      </c>
      <c r="H195">
        <v>3272.7272727272725</v>
      </c>
    </row>
    <row r="196" spans="1:8" x14ac:dyDescent="0.3">
      <c r="A196">
        <v>26</v>
      </c>
      <c r="B196" s="168" t="s">
        <v>37</v>
      </c>
      <c r="C196" s="168" t="s">
        <v>38</v>
      </c>
      <c r="D196">
        <v>4151.6000000000004</v>
      </c>
      <c r="E196">
        <v>2021</v>
      </c>
      <c r="F196" s="168" t="s">
        <v>592</v>
      </c>
      <c r="G196" s="168" t="s">
        <v>550</v>
      </c>
      <c r="H196">
        <v>23109.572303693047</v>
      </c>
    </row>
    <row r="197" spans="1:8" x14ac:dyDescent="0.3">
      <c r="A197">
        <v>26</v>
      </c>
      <c r="B197" s="168" t="s">
        <v>37</v>
      </c>
      <c r="C197" s="168" t="s">
        <v>38</v>
      </c>
      <c r="D197">
        <v>4151.6000000000004</v>
      </c>
      <c r="E197">
        <v>2021</v>
      </c>
      <c r="F197" s="168" t="s">
        <v>592</v>
      </c>
      <c r="G197" s="168" t="s">
        <v>551</v>
      </c>
      <c r="H197">
        <v>24819.680654166332</v>
      </c>
    </row>
    <row r="198" spans="1:8" x14ac:dyDescent="0.3">
      <c r="A198">
        <v>26</v>
      </c>
      <c r="B198" s="168" t="s">
        <v>37</v>
      </c>
      <c r="C198" s="168" t="s">
        <v>38</v>
      </c>
      <c r="D198">
        <v>4151.6000000000004</v>
      </c>
      <c r="E198">
        <v>2021</v>
      </c>
      <c r="F198" s="168" t="s">
        <v>592</v>
      </c>
      <c r="G198" s="168" t="s">
        <v>598</v>
      </c>
      <c r="H198">
        <v>0</v>
      </c>
    </row>
    <row r="199" spans="1:8" x14ac:dyDescent="0.3">
      <c r="A199">
        <v>26</v>
      </c>
      <c r="B199" s="168" t="s">
        <v>37</v>
      </c>
      <c r="C199" s="168" t="s">
        <v>38</v>
      </c>
      <c r="D199">
        <v>4151.6000000000004</v>
      </c>
      <c r="E199">
        <v>2021</v>
      </c>
      <c r="F199" s="168" t="s">
        <v>592</v>
      </c>
      <c r="G199" s="168" t="s">
        <v>599</v>
      </c>
      <c r="H199">
        <v>249914.07811507981</v>
      </c>
    </row>
    <row r="200" spans="1:8" x14ac:dyDescent="0.3">
      <c r="A200">
        <v>26</v>
      </c>
      <c r="B200" s="168" t="s">
        <v>37</v>
      </c>
      <c r="C200" s="168" t="s">
        <v>38</v>
      </c>
      <c r="D200">
        <v>4151.6000000000004</v>
      </c>
      <c r="E200">
        <v>2021</v>
      </c>
      <c r="F200" s="168" t="s">
        <v>592</v>
      </c>
      <c r="G200" s="168" t="s">
        <v>554</v>
      </c>
      <c r="H200">
        <v>0</v>
      </c>
    </row>
    <row r="201" spans="1:8" x14ac:dyDescent="0.3">
      <c r="A201">
        <v>26</v>
      </c>
      <c r="B201" s="168" t="s">
        <v>37</v>
      </c>
      <c r="C201" s="168" t="s">
        <v>38</v>
      </c>
      <c r="D201">
        <v>4151.6000000000004</v>
      </c>
      <c r="E201">
        <v>2021</v>
      </c>
      <c r="F201" s="168" t="s">
        <v>592</v>
      </c>
      <c r="G201" s="168" t="s">
        <v>555</v>
      </c>
      <c r="H201">
        <v>5823.6122205306483</v>
      </c>
    </row>
    <row r="202" spans="1:8" x14ac:dyDescent="0.3">
      <c r="A202">
        <v>26</v>
      </c>
      <c r="B202" s="168" t="s">
        <v>37</v>
      </c>
      <c r="C202" s="168" t="s">
        <v>38</v>
      </c>
      <c r="D202">
        <v>4151.6000000000004</v>
      </c>
      <c r="E202">
        <v>2021</v>
      </c>
      <c r="F202" s="168" t="s">
        <v>592</v>
      </c>
      <c r="G202" s="168" t="s">
        <v>595</v>
      </c>
      <c r="H202">
        <v>0</v>
      </c>
    </row>
    <row r="203" spans="1:8" x14ac:dyDescent="0.3">
      <c r="A203">
        <v>26</v>
      </c>
      <c r="B203" s="168" t="s">
        <v>37</v>
      </c>
      <c r="C203" s="168" t="s">
        <v>38</v>
      </c>
      <c r="D203">
        <v>4151.6000000000004</v>
      </c>
      <c r="E203">
        <v>2021</v>
      </c>
      <c r="F203" s="168" t="s">
        <v>592</v>
      </c>
      <c r="G203" s="168" t="s">
        <v>560</v>
      </c>
      <c r="H203">
        <v>3272.7272727272725</v>
      </c>
    </row>
    <row r="204" spans="1:8" x14ac:dyDescent="0.3">
      <c r="A204">
        <v>26</v>
      </c>
      <c r="B204" s="168" t="s">
        <v>37</v>
      </c>
      <c r="C204" s="168" t="s">
        <v>38</v>
      </c>
      <c r="D204">
        <v>4151.6000000000004</v>
      </c>
      <c r="E204">
        <v>2021</v>
      </c>
      <c r="F204" s="168" t="s">
        <v>592</v>
      </c>
      <c r="G204" s="168" t="s">
        <v>561</v>
      </c>
      <c r="H204">
        <v>18683.998334839733</v>
      </c>
    </row>
    <row r="205" spans="1:8" x14ac:dyDescent="0.3">
      <c r="A205">
        <v>26</v>
      </c>
      <c r="B205" s="168" t="s">
        <v>37</v>
      </c>
      <c r="C205" s="168" t="s">
        <v>38</v>
      </c>
      <c r="D205">
        <v>4151.6000000000004</v>
      </c>
      <c r="E205">
        <v>2021</v>
      </c>
      <c r="F205" s="168" t="s">
        <v>592</v>
      </c>
      <c r="G205" s="168" t="s">
        <v>562</v>
      </c>
      <c r="H205">
        <v>2024.0998196076375</v>
      </c>
    </row>
    <row r="206" spans="1:8" x14ac:dyDescent="0.3">
      <c r="A206">
        <v>26</v>
      </c>
      <c r="B206" s="168" t="s">
        <v>37</v>
      </c>
      <c r="C206" s="168" t="s">
        <v>38</v>
      </c>
      <c r="D206">
        <v>4151.6000000000004</v>
      </c>
      <c r="E206">
        <v>2021</v>
      </c>
      <c r="F206" s="168" t="s">
        <v>592</v>
      </c>
      <c r="G206" s="168" t="s">
        <v>585</v>
      </c>
      <c r="H206">
        <v>11756.077531891999</v>
      </c>
    </row>
    <row r="207" spans="1:8" x14ac:dyDescent="0.3">
      <c r="A207">
        <v>26</v>
      </c>
      <c r="B207" s="168" t="s">
        <v>37</v>
      </c>
      <c r="C207" s="168" t="s">
        <v>38</v>
      </c>
      <c r="D207">
        <v>4151.6000000000004</v>
      </c>
      <c r="E207">
        <v>2021</v>
      </c>
      <c r="F207" s="168" t="s">
        <v>592</v>
      </c>
      <c r="G207" s="168" t="s">
        <v>586</v>
      </c>
      <c r="H207">
        <v>258045.90182502937</v>
      </c>
    </row>
    <row r="208" spans="1:8" x14ac:dyDescent="0.3">
      <c r="A208">
        <v>27</v>
      </c>
      <c r="B208" s="168" t="s">
        <v>39</v>
      </c>
      <c r="C208" s="168" t="s">
        <v>40</v>
      </c>
      <c r="D208">
        <v>101.1</v>
      </c>
      <c r="E208">
        <v>2021</v>
      </c>
      <c r="F208" s="168" t="s">
        <v>593</v>
      </c>
      <c r="G208" s="168" t="s">
        <v>550</v>
      </c>
      <c r="H208">
        <v>562.76562286910269</v>
      </c>
    </row>
    <row r="209" spans="1:8" x14ac:dyDescent="0.3">
      <c r="A209">
        <v>27</v>
      </c>
      <c r="B209" s="168" t="s">
        <v>39</v>
      </c>
      <c r="C209" s="168" t="s">
        <v>40</v>
      </c>
      <c r="D209">
        <v>101.1</v>
      </c>
      <c r="E209">
        <v>2021</v>
      </c>
      <c r="F209" s="168" t="s">
        <v>593</v>
      </c>
      <c r="G209" s="168" t="s">
        <v>551</v>
      </c>
      <c r="H209">
        <v>604.41027896141622</v>
      </c>
    </row>
    <row r="210" spans="1:8" x14ac:dyDescent="0.3">
      <c r="A210">
        <v>27</v>
      </c>
      <c r="B210" s="168" t="s">
        <v>39</v>
      </c>
      <c r="C210" s="168" t="s">
        <v>40</v>
      </c>
      <c r="D210">
        <v>101.1</v>
      </c>
      <c r="E210">
        <v>2021</v>
      </c>
      <c r="F210" s="168" t="s">
        <v>593</v>
      </c>
      <c r="G210" s="168" t="s">
        <v>598</v>
      </c>
      <c r="H210">
        <v>0</v>
      </c>
    </row>
    <row r="211" spans="1:8" x14ac:dyDescent="0.3">
      <c r="A211">
        <v>27</v>
      </c>
      <c r="B211" s="168" t="s">
        <v>39</v>
      </c>
      <c r="C211" s="168" t="s">
        <v>40</v>
      </c>
      <c r="D211">
        <v>101.1</v>
      </c>
      <c r="E211">
        <v>2021</v>
      </c>
      <c r="F211" s="168" t="s">
        <v>593</v>
      </c>
      <c r="G211" s="168" t="s">
        <v>599</v>
      </c>
      <c r="H211">
        <v>6085.921884920167</v>
      </c>
    </row>
    <row r="212" spans="1:8" x14ac:dyDescent="0.3">
      <c r="A212">
        <v>27</v>
      </c>
      <c r="B212" s="168" t="s">
        <v>39</v>
      </c>
      <c r="C212" s="168" t="s">
        <v>40</v>
      </c>
      <c r="D212">
        <v>101.1</v>
      </c>
      <c r="E212">
        <v>2021</v>
      </c>
      <c r="F212" s="168" t="s">
        <v>593</v>
      </c>
      <c r="G212" s="168" t="s">
        <v>554</v>
      </c>
      <c r="H212">
        <v>0</v>
      </c>
    </row>
    <row r="213" spans="1:8" x14ac:dyDescent="0.3">
      <c r="A213">
        <v>27</v>
      </c>
      <c r="B213" s="168" t="s">
        <v>39</v>
      </c>
      <c r="C213" s="168" t="s">
        <v>40</v>
      </c>
      <c r="D213">
        <v>101.1</v>
      </c>
      <c r="E213">
        <v>2021</v>
      </c>
      <c r="F213" s="168" t="s">
        <v>593</v>
      </c>
      <c r="G213" s="168" t="s">
        <v>555</v>
      </c>
      <c r="H213">
        <v>141.81693696301389</v>
      </c>
    </row>
    <row r="214" spans="1:8" x14ac:dyDescent="0.3">
      <c r="A214">
        <v>27</v>
      </c>
      <c r="B214" s="168" t="s">
        <v>39</v>
      </c>
      <c r="C214" s="168" t="s">
        <v>40</v>
      </c>
      <c r="D214">
        <v>101.1</v>
      </c>
      <c r="E214">
        <v>2021</v>
      </c>
      <c r="F214" s="168" t="s">
        <v>593</v>
      </c>
      <c r="G214" s="168" t="s">
        <v>595</v>
      </c>
      <c r="H214">
        <v>0</v>
      </c>
    </row>
    <row r="215" spans="1:8" x14ac:dyDescent="0.3">
      <c r="A215">
        <v>27</v>
      </c>
      <c r="B215" s="168" t="s">
        <v>39</v>
      </c>
      <c r="C215" s="168" t="s">
        <v>40</v>
      </c>
      <c r="D215">
        <v>101.1</v>
      </c>
      <c r="E215">
        <v>2021</v>
      </c>
      <c r="F215" s="168" t="s">
        <v>593</v>
      </c>
      <c r="G215" s="168" t="s">
        <v>560</v>
      </c>
      <c r="H215">
        <v>3272.7272727272725</v>
      </c>
    </row>
    <row r="216" spans="1:8" x14ac:dyDescent="0.3">
      <c r="A216">
        <v>27</v>
      </c>
      <c r="B216" s="168" t="s">
        <v>39</v>
      </c>
      <c r="C216" s="168" t="s">
        <v>40</v>
      </c>
      <c r="D216">
        <v>101.1</v>
      </c>
      <c r="E216">
        <v>2021</v>
      </c>
      <c r="F216" s="168" t="s">
        <v>593</v>
      </c>
      <c r="G216" s="168" t="s">
        <v>585</v>
      </c>
      <c r="H216">
        <v>286.28467060272692</v>
      </c>
    </row>
    <row r="217" spans="1:8" x14ac:dyDescent="0.3">
      <c r="A217">
        <v>27</v>
      </c>
      <c r="B217" s="168" t="s">
        <v>39</v>
      </c>
      <c r="C217" s="168" t="s">
        <v>40</v>
      </c>
      <c r="D217">
        <v>101.1</v>
      </c>
      <c r="E217">
        <v>2021</v>
      </c>
      <c r="F217" s="168" t="s">
        <v>593</v>
      </c>
      <c r="G217" s="168" t="s">
        <v>586</v>
      </c>
      <c r="H217">
        <v>6283.9485197298563</v>
      </c>
    </row>
    <row r="218" spans="1:8" x14ac:dyDescent="0.3">
      <c r="A218">
        <v>28</v>
      </c>
      <c r="B218" s="168" t="s">
        <v>30</v>
      </c>
      <c r="C218" s="168" t="s">
        <v>41</v>
      </c>
      <c r="D218">
        <v>1239.3</v>
      </c>
      <c r="E218">
        <v>2021</v>
      </c>
      <c r="F218" s="168" t="s">
        <v>591</v>
      </c>
      <c r="G218" s="168" t="s">
        <v>548</v>
      </c>
      <c r="H218">
        <v>1812328.7279999999</v>
      </c>
    </row>
    <row r="219" spans="1:8" x14ac:dyDescent="0.3">
      <c r="A219">
        <v>28</v>
      </c>
      <c r="B219" s="168" t="s">
        <v>30</v>
      </c>
      <c r="C219" s="168" t="s">
        <v>41</v>
      </c>
      <c r="D219">
        <v>1239.3</v>
      </c>
      <c r="E219">
        <v>2021</v>
      </c>
      <c r="F219" s="168" t="s">
        <v>591</v>
      </c>
      <c r="G219" s="168" t="s">
        <v>549</v>
      </c>
      <c r="H219">
        <v>776712.31200000003</v>
      </c>
    </row>
    <row r="220" spans="1:8" x14ac:dyDescent="0.3">
      <c r="A220">
        <v>28</v>
      </c>
      <c r="B220" s="168" t="s">
        <v>30</v>
      </c>
      <c r="C220" s="168" t="s">
        <v>41</v>
      </c>
      <c r="D220">
        <v>1239.3</v>
      </c>
      <c r="E220">
        <v>2021</v>
      </c>
      <c r="F220" s="168" t="s">
        <v>591</v>
      </c>
      <c r="G220" s="168" t="s">
        <v>550</v>
      </c>
      <c r="H220">
        <v>297588.09999999998</v>
      </c>
    </row>
    <row r="221" spans="1:8" x14ac:dyDescent="0.3">
      <c r="A221">
        <v>28</v>
      </c>
      <c r="B221" s="168" t="s">
        <v>30</v>
      </c>
      <c r="C221" s="168" t="s">
        <v>41</v>
      </c>
      <c r="D221">
        <v>1239.3</v>
      </c>
      <c r="E221">
        <v>2021</v>
      </c>
      <c r="F221" s="168" t="s">
        <v>591</v>
      </c>
      <c r="G221" s="168" t="s">
        <v>551</v>
      </c>
      <c r="H221">
        <v>127537.76</v>
      </c>
    </row>
    <row r="222" spans="1:8" x14ac:dyDescent="0.3">
      <c r="A222">
        <v>28</v>
      </c>
      <c r="B222" s="168" t="s">
        <v>30</v>
      </c>
      <c r="C222" s="168" t="s">
        <v>41</v>
      </c>
      <c r="D222">
        <v>1239.3</v>
      </c>
      <c r="E222">
        <v>2021</v>
      </c>
      <c r="F222" s="168" t="s">
        <v>591</v>
      </c>
      <c r="G222" s="168" t="s">
        <v>598</v>
      </c>
      <c r="H222">
        <v>112776.29999999999</v>
      </c>
    </row>
    <row r="223" spans="1:8" x14ac:dyDescent="0.3">
      <c r="A223">
        <v>28</v>
      </c>
      <c r="B223" s="168" t="s">
        <v>30</v>
      </c>
      <c r="C223" s="168" t="s">
        <v>41</v>
      </c>
      <c r="D223">
        <v>1239.3</v>
      </c>
      <c r="E223">
        <v>2021</v>
      </c>
      <c r="F223" s="168" t="s">
        <v>591</v>
      </c>
      <c r="G223" s="168" t="s">
        <v>599</v>
      </c>
      <c r="H223">
        <v>48332.7</v>
      </c>
    </row>
    <row r="224" spans="1:8" x14ac:dyDescent="0.3">
      <c r="A224">
        <v>28</v>
      </c>
      <c r="B224" s="168" t="s">
        <v>30</v>
      </c>
      <c r="C224" s="168" t="s">
        <v>41</v>
      </c>
      <c r="D224">
        <v>1239.3</v>
      </c>
      <c r="E224">
        <v>2021</v>
      </c>
      <c r="F224" s="168" t="s">
        <v>591</v>
      </c>
      <c r="G224" s="168" t="s">
        <v>556</v>
      </c>
      <c r="H224">
        <v>0</v>
      </c>
    </row>
    <row r="225" spans="1:8" x14ac:dyDescent="0.3">
      <c r="A225">
        <v>28</v>
      </c>
      <c r="B225" s="168" t="s">
        <v>30</v>
      </c>
      <c r="C225" s="168" t="s">
        <v>41</v>
      </c>
      <c r="D225">
        <v>1239.3</v>
      </c>
      <c r="E225">
        <v>2021</v>
      </c>
      <c r="F225" s="168" t="s">
        <v>591</v>
      </c>
      <c r="G225" s="168" t="s">
        <v>557</v>
      </c>
      <c r="H225">
        <v>60000</v>
      </c>
    </row>
    <row r="226" spans="1:8" x14ac:dyDescent="0.3">
      <c r="A226">
        <v>28</v>
      </c>
      <c r="B226" s="168" t="s">
        <v>30</v>
      </c>
      <c r="C226" s="168" t="s">
        <v>41</v>
      </c>
      <c r="D226">
        <v>1239.3</v>
      </c>
      <c r="E226">
        <v>2021</v>
      </c>
      <c r="F226" s="168" t="s">
        <v>591</v>
      </c>
      <c r="G226" s="168" t="s">
        <v>595</v>
      </c>
      <c r="H226">
        <v>0</v>
      </c>
    </row>
    <row r="227" spans="1:8" x14ac:dyDescent="0.3">
      <c r="A227">
        <v>28</v>
      </c>
      <c r="B227" s="168" t="s">
        <v>30</v>
      </c>
      <c r="C227" s="168" t="s">
        <v>41</v>
      </c>
      <c r="D227">
        <v>1239.3</v>
      </c>
      <c r="E227">
        <v>2021</v>
      </c>
      <c r="F227" s="168" t="s">
        <v>591</v>
      </c>
      <c r="G227" s="168" t="s">
        <v>560</v>
      </c>
      <c r="H227">
        <v>3272.7272727272725</v>
      </c>
    </row>
    <row r="228" spans="1:8" x14ac:dyDescent="0.3">
      <c r="A228">
        <v>28</v>
      </c>
      <c r="B228" s="168" t="s">
        <v>30</v>
      </c>
      <c r="C228" s="168" t="s">
        <v>41</v>
      </c>
      <c r="D228">
        <v>1239.3</v>
      </c>
      <c r="E228">
        <v>2021</v>
      </c>
      <c r="F228" s="168" t="s">
        <v>591</v>
      </c>
      <c r="G228" s="168" t="s">
        <v>563</v>
      </c>
      <c r="H228">
        <v>7081.0134501094772</v>
      </c>
    </row>
    <row r="229" spans="1:8" x14ac:dyDescent="0.3">
      <c r="A229">
        <v>28</v>
      </c>
      <c r="B229" s="168" t="s">
        <v>30</v>
      </c>
      <c r="C229" s="168" t="s">
        <v>41</v>
      </c>
      <c r="D229">
        <v>1239.3</v>
      </c>
      <c r="E229">
        <v>2021</v>
      </c>
      <c r="F229" s="168" t="s">
        <v>591</v>
      </c>
      <c r="G229" s="168" t="s">
        <v>564</v>
      </c>
      <c r="H229">
        <v>3034.7200500469189</v>
      </c>
    </row>
    <row r="230" spans="1:8" x14ac:dyDescent="0.3">
      <c r="A230">
        <v>28</v>
      </c>
      <c r="B230" s="168" t="s">
        <v>30</v>
      </c>
      <c r="C230" s="168" t="s">
        <v>41</v>
      </c>
      <c r="D230">
        <v>1239.3</v>
      </c>
      <c r="E230">
        <v>2021</v>
      </c>
      <c r="F230" s="168" t="s">
        <v>591</v>
      </c>
      <c r="G230" s="168" t="s">
        <v>600</v>
      </c>
      <c r="H230">
        <v>151357.14299999998</v>
      </c>
    </row>
    <row r="231" spans="1:8" x14ac:dyDescent="0.3">
      <c r="A231">
        <v>28</v>
      </c>
      <c r="B231" s="168" t="s">
        <v>30</v>
      </c>
      <c r="C231" s="168" t="s">
        <v>41</v>
      </c>
      <c r="D231">
        <v>1239.3</v>
      </c>
      <c r="E231">
        <v>2021</v>
      </c>
      <c r="F231" s="168" t="s">
        <v>591</v>
      </c>
      <c r="G231" s="168" t="s">
        <v>601</v>
      </c>
      <c r="H231">
        <v>64867.346999999994</v>
      </c>
    </row>
    <row r="232" spans="1:8" x14ac:dyDescent="0.3">
      <c r="A232">
        <v>28</v>
      </c>
      <c r="B232" s="168" t="s">
        <v>30</v>
      </c>
      <c r="C232" s="168" t="s">
        <v>41</v>
      </c>
      <c r="D232">
        <v>1239.3</v>
      </c>
      <c r="E232">
        <v>2021</v>
      </c>
      <c r="F232" s="168" t="s">
        <v>591</v>
      </c>
      <c r="G232" s="168" t="s">
        <v>575</v>
      </c>
      <c r="H232">
        <v>0</v>
      </c>
    </row>
    <row r="233" spans="1:8" x14ac:dyDescent="0.3">
      <c r="A233">
        <v>28</v>
      </c>
      <c r="B233" s="168" t="s">
        <v>30</v>
      </c>
      <c r="C233" s="168" t="s">
        <v>41</v>
      </c>
      <c r="D233">
        <v>1239.3</v>
      </c>
      <c r="E233">
        <v>2021</v>
      </c>
      <c r="F233" s="168" t="s">
        <v>591</v>
      </c>
      <c r="G233" s="168" t="s">
        <v>576</v>
      </c>
      <c r="H233">
        <v>5179.7553323442844</v>
      </c>
    </row>
    <row r="234" spans="1:8" x14ac:dyDescent="0.3">
      <c r="A234">
        <v>28</v>
      </c>
      <c r="B234" s="168" t="s">
        <v>30</v>
      </c>
      <c r="C234" s="168" t="s">
        <v>41</v>
      </c>
      <c r="D234">
        <v>1239.3</v>
      </c>
      <c r="E234">
        <v>2021</v>
      </c>
      <c r="F234" s="168" t="s">
        <v>591</v>
      </c>
      <c r="G234" s="168" t="s">
        <v>585</v>
      </c>
      <c r="H234">
        <v>87822.130182542503</v>
      </c>
    </row>
    <row r="235" spans="1:8" x14ac:dyDescent="0.3">
      <c r="A235">
        <v>28</v>
      </c>
      <c r="B235" s="168" t="s">
        <v>30</v>
      </c>
      <c r="C235" s="168" t="s">
        <v>41</v>
      </c>
      <c r="D235">
        <v>1239.3</v>
      </c>
      <c r="E235">
        <v>2021</v>
      </c>
      <c r="F235" s="168" t="s">
        <v>591</v>
      </c>
      <c r="G235" s="168" t="s">
        <v>586</v>
      </c>
      <c r="H235">
        <v>35809.250100632562</v>
      </c>
    </row>
    <row r="236" spans="1:8" x14ac:dyDescent="0.3">
      <c r="A236">
        <v>29</v>
      </c>
      <c r="B236" s="168" t="s">
        <v>27</v>
      </c>
      <c r="C236" s="168" t="s">
        <v>42</v>
      </c>
      <c r="D236">
        <v>11233.4</v>
      </c>
      <c r="E236">
        <v>2021</v>
      </c>
      <c r="F236" s="168" t="s">
        <v>592</v>
      </c>
      <c r="G236" s="168" t="s">
        <v>548</v>
      </c>
      <c r="H236">
        <v>182207.16994475399</v>
      </c>
    </row>
    <row r="237" spans="1:8" x14ac:dyDescent="0.3">
      <c r="A237">
        <v>29</v>
      </c>
      <c r="B237" s="168" t="s">
        <v>27</v>
      </c>
      <c r="C237" s="168" t="s">
        <v>42</v>
      </c>
      <c r="D237">
        <v>11233.4</v>
      </c>
      <c r="E237">
        <v>2021</v>
      </c>
      <c r="F237" s="168" t="s">
        <v>592</v>
      </c>
      <c r="G237" s="168" t="s">
        <v>549</v>
      </c>
      <c r="H237">
        <v>1581367.1971666953</v>
      </c>
    </row>
    <row r="238" spans="1:8" x14ac:dyDescent="0.3">
      <c r="A238">
        <v>29</v>
      </c>
      <c r="B238" s="168" t="s">
        <v>27</v>
      </c>
      <c r="C238" s="168" t="s">
        <v>42</v>
      </c>
      <c r="D238">
        <v>11233.4</v>
      </c>
      <c r="E238">
        <v>2021</v>
      </c>
      <c r="F238" s="168" t="s">
        <v>592</v>
      </c>
      <c r="G238" s="168" t="s">
        <v>550</v>
      </c>
      <c r="H238">
        <v>62529.884747159034</v>
      </c>
    </row>
    <row r="239" spans="1:8" x14ac:dyDescent="0.3">
      <c r="A239">
        <v>29</v>
      </c>
      <c r="B239" s="168" t="s">
        <v>27</v>
      </c>
      <c r="C239" s="168" t="s">
        <v>42</v>
      </c>
      <c r="D239">
        <v>11233.4</v>
      </c>
      <c r="E239">
        <v>2021</v>
      </c>
      <c r="F239" s="168" t="s">
        <v>592</v>
      </c>
      <c r="G239" s="168" t="s">
        <v>551</v>
      </c>
      <c r="H239">
        <v>67157.096218448802</v>
      </c>
    </row>
    <row r="240" spans="1:8" x14ac:dyDescent="0.3">
      <c r="A240">
        <v>29</v>
      </c>
      <c r="B240" s="168" t="s">
        <v>27</v>
      </c>
      <c r="C240" s="168" t="s">
        <v>42</v>
      </c>
      <c r="D240">
        <v>11233.4</v>
      </c>
      <c r="E240">
        <v>2021</v>
      </c>
      <c r="F240" s="168" t="s">
        <v>592</v>
      </c>
      <c r="G240" s="168" t="s">
        <v>598</v>
      </c>
      <c r="H240">
        <v>0</v>
      </c>
    </row>
    <row r="241" spans="1:8" x14ac:dyDescent="0.3">
      <c r="A241">
        <v>29</v>
      </c>
      <c r="B241" s="168" t="s">
        <v>27</v>
      </c>
      <c r="C241" s="168" t="s">
        <v>42</v>
      </c>
      <c r="D241">
        <v>11233.4</v>
      </c>
      <c r="E241">
        <v>2021</v>
      </c>
      <c r="F241" s="168" t="s">
        <v>592</v>
      </c>
      <c r="G241" s="168" t="s">
        <v>599</v>
      </c>
      <c r="H241">
        <v>85643.74088692831</v>
      </c>
    </row>
    <row r="242" spans="1:8" x14ac:dyDescent="0.3">
      <c r="A242">
        <v>29</v>
      </c>
      <c r="B242" s="168" t="s">
        <v>27</v>
      </c>
      <c r="C242" s="168" t="s">
        <v>42</v>
      </c>
      <c r="D242">
        <v>11233.4</v>
      </c>
      <c r="E242">
        <v>2021</v>
      </c>
      <c r="F242" s="168" t="s">
        <v>592</v>
      </c>
      <c r="G242" s="168" t="s">
        <v>554</v>
      </c>
      <c r="H242">
        <v>0</v>
      </c>
    </row>
    <row r="243" spans="1:8" x14ac:dyDescent="0.3">
      <c r="A243">
        <v>29</v>
      </c>
      <c r="B243" s="168" t="s">
        <v>27</v>
      </c>
      <c r="C243" s="168" t="s">
        <v>42</v>
      </c>
      <c r="D243">
        <v>11233.4</v>
      </c>
      <c r="E243">
        <v>2021</v>
      </c>
      <c r="F243" s="168" t="s">
        <v>592</v>
      </c>
      <c r="G243" s="168" t="s">
        <v>555</v>
      </c>
      <c r="H243">
        <v>27379.340956284097</v>
      </c>
    </row>
    <row r="244" spans="1:8" x14ac:dyDescent="0.3">
      <c r="A244">
        <v>29</v>
      </c>
      <c r="B244" s="168" t="s">
        <v>27</v>
      </c>
      <c r="C244" s="168" t="s">
        <v>42</v>
      </c>
      <c r="D244">
        <v>11233.4</v>
      </c>
      <c r="E244">
        <v>2021</v>
      </c>
      <c r="F244" s="168" t="s">
        <v>592</v>
      </c>
      <c r="G244" s="168" t="s">
        <v>556</v>
      </c>
      <c r="H244">
        <v>0</v>
      </c>
    </row>
    <row r="245" spans="1:8" x14ac:dyDescent="0.3">
      <c r="A245">
        <v>29</v>
      </c>
      <c r="B245" s="168" t="s">
        <v>27</v>
      </c>
      <c r="C245" s="168" t="s">
        <v>42</v>
      </c>
      <c r="D245">
        <v>11233.4</v>
      </c>
      <c r="E245">
        <v>2021</v>
      </c>
      <c r="F245" s="168" t="s">
        <v>592</v>
      </c>
      <c r="G245" s="168" t="s">
        <v>557</v>
      </c>
      <c r="H245">
        <v>41000</v>
      </c>
    </row>
    <row r="246" spans="1:8" x14ac:dyDescent="0.3">
      <c r="A246">
        <v>29</v>
      </c>
      <c r="B246" s="168" t="s">
        <v>27</v>
      </c>
      <c r="C246" s="168" t="s">
        <v>42</v>
      </c>
      <c r="D246">
        <v>11233.4</v>
      </c>
      <c r="E246">
        <v>2021</v>
      </c>
      <c r="F246" s="168" t="s">
        <v>592</v>
      </c>
      <c r="G246" s="168" t="s">
        <v>595</v>
      </c>
      <c r="H246">
        <v>0</v>
      </c>
    </row>
    <row r="247" spans="1:8" x14ac:dyDescent="0.3">
      <c r="A247">
        <v>29</v>
      </c>
      <c r="B247" s="168" t="s">
        <v>27</v>
      </c>
      <c r="C247" s="168" t="s">
        <v>42</v>
      </c>
      <c r="D247">
        <v>11233.4</v>
      </c>
      <c r="E247">
        <v>2021</v>
      </c>
      <c r="F247" s="168" t="s">
        <v>592</v>
      </c>
      <c r="G247" s="168" t="s">
        <v>560</v>
      </c>
      <c r="H247">
        <v>6545.454545454545</v>
      </c>
    </row>
    <row r="248" spans="1:8" x14ac:dyDescent="0.3">
      <c r="A248">
        <v>29</v>
      </c>
      <c r="B248" s="168" t="s">
        <v>27</v>
      </c>
      <c r="C248" s="168" t="s">
        <v>42</v>
      </c>
      <c r="D248">
        <v>11233.4</v>
      </c>
      <c r="E248">
        <v>2021</v>
      </c>
      <c r="F248" s="168" t="s">
        <v>592</v>
      </c>
      <c r="G248" s="168" t="s">
        <v>561</v>
      </c>
      <c r="H248">
        <v>50555.165934721219</v>
      </c>
    </row>
    <row r="249" spans="1:8" x14ac:dyDescent="0.3">
      <c r="A249">
        <v>29</v>
      </c>
      <c r="B249" s="168" t="s">
        <v>27</v>
      </c>
      <c r="C249" s="168" t="s">
        <v>42</v>
      </c>
      <c r="D249">
        <v>11233.4</v>
      </c>
      <c r="E249">
        <v>2021</v>
      </c>
      <c r="F249" s="168" t="s">
        <v>592</v>
      </c>
      <c r="G249" s="168" t="s">
        <v>562</v>
      </c>
      <c r="H249">
        <v>5476.8096429281322</v>
      </c>
    </row>
    <row r="250" spans="1:8" x14ac:dyDescent="0.3">
      <c r="A250">
        <v>29</v>
      </c>
      <c r="B250" s="168" t="s">
        <v>27</v>
      </c>
      <c r="C250" s="168" t="s">
        <v>42</v>
      </c>
      <c r="D250">
        <v>11233.4</v>
      </c>
      <c r="E250">
        <v>2021</v>
      </c>
      <c r="F250" s="168" t="s">
        <v>592</v>
      </c>
      <c r="G250" s="168" t="s">
        <v>563</v>
      </c>
      <c r="H250">
        <v>60814.219976540648</v>
      </c>
    </row>
    <row r="251" spans="1:8" x14ac:dyDescent="0.3">
      <c r="A251">
        <v>29</v>
      </c>
      <c r="B251" s="168" t="s">
        <v>27</v>
      </c>
      <c r="C251" s="168" t="s">
        <v>42</v>
      </c>
      <c r="D251">
        <v>11233.4</v>
      </c>
      <c r="E251">
        <v>2021</v>
      </c>
      <c r="F251" s="168" t="s">
        <v>592</v>
      </c>
      <c r="G251" s="168" t="s">
        <v>564</v>
      </c>
      <c r="H251">
        <v>29298.912927116478</v>
      </c>
    </row>
    <row r="252" spans="1:8" x14ac:dyDescent="0.3">
      <c r="A252">
        <v>29</v>
      </c>
      <c r="B252" s="168" t="s">
        <v>27</v>
      </c>
      <c r="C252" s="168" t="s">
        <v>42</v>
      </c>
      <c r="D252">
        <v>11233.4</v>
      </c>
      <c r="E252">
        <v>2021</v>
      </c>
      <c r="F252" s="168" t="s">
        <v>592</v>
      </c>
      <c r="G252" s="168" t="s">
        <v>575</v>
      </c>
      <c r="H252">
        <v>0</v>
      </c>
    </row>
    <row r="253" spans="1:8" x14ac:dyDescent="0.3">
      <c r="A253">
        <v>29</v>
      </c>
      <c r="B253" s="168" t="s">
        <v>27</v>
      </c>
      <c r="C253" s="168" t="s">
        <v>42</v>
      </c>
      <c r="D253">
        <v>11233.4</v>
      </c>
      <c r="E253">
        <v>2021</v>
      </c>
      <c r="F253" s="168" t="s">
        <v>592</v>
      </c>
      <c r="G253" s="168" t="s">
        <v>576</v>
      </c>
      <c r="H253">
        <v>7010</v>
      </c>
    </row>
    <row r="254" spans="1:8" x14ac:dyDescent="0.3">
      <c r="A254">
        <v>29</v>
      </c>
      <c r="B254" s="168" t="s">
        <v>27</v>
      </c>
      <c r="C254" s="168" t="s">
        <v>42</v>
      </c>
      <c r="D254">
        <v>11233.4</v>
      </c>
      <c r="E254">
        <v>2021</v>
      </c>
      <c r="F254" s="168" t="s">
        <v>592</v>
      </c>
      <c r="G254" s="168" t="s">
        <v>577</v>
      </c>
      <c r="H254">
        <v>0</v>
      </c>
    </row>
    <row r="255" spans="1:8" x14ac:dyDescent="0.3">
      <c r="A255">
        <v>29</v>
      </c>
      <c r="B255" s="168" t="s">
        <v>27</v>
      </c>
      <c r="C255" s="168" t="s">
        <v>42</v>
      </c>
      <c r="D255">
        <v>11233.4</v>
      </c>
      <c r="E255">
        <v>2021</v>
      </c>
      <c r="F255" s="168" t="s">
        <v>592</v>
      </c>
      <c r="G255" s="168" t="s">
        <v>578</v>
      </c>
      <c r="H255">
        <v>1143540.0584762811</v>
      </c>
    </row>
    <row r="256" spans="1:8" x14ac:dyDescent="0.3">
      <c r="A256">
        <v>29</v>
      </c>
      <c r="B256" s="168" t="s">
        <v>27</v>
      </c>
      <c r="C256" s="168" t="s">
        <v>42</v>
      </c>
      <c r="D256">
        <v>11233.4</v>
      </c>
      <c r="E256">
        <v>2021</v>
      </c>
      <c r="F256" s="168" t="s">
        <v>592</v>
      </c>
      <c r="G256" s="168" t="s">
        <v>585</v>
      </c>
      <c r="H256">
        <v>31809.596624615948</v>
      </c>
    </row>
    <row r="257" spans="1:8" x14ac:dyDescent="0.3">
      <c r="A257">
        <v>29</v>
      </c>
      <c r="B257" s="168" t="s">
        <v>27</v>
      </c>
      <c r="C257" s="168" t="s">
        <v>42</v>
      </c>
      <c r="D257">
        <v>11233.4</v>
      </c>
      <c r="E257">
        <v>2021</v>
      </c>
      <c r="F257" s="168" t="s">
        <v>592</v>
      </c>
      <c r="G257" s="168" t="s">
        <v>586</v>
      </c>
      <c r="H257">
        <v>698220.64591032011</v>
      </c>
    </row>
    <row r="258" spans="1:8" x14ac:dyDescent="0.3">
      <c r="A258">
        <v>29</v>
      </c>
      <c r="B258" s="168" t="s">
        <v>27</v>
      </c>
      <c r="C258" s="168" t="s">
        <v>42</v>
      </c>
      <c r="D258">
        <v>11233.4</v>
      </c>
      <c r="E258">
        <v>2021</v>
      </c>
      <c r="F258" s="168" t="s">
        <v>592</v>
      </c>
      <c r="G258" s="168" t="s">
        <v>587</v>
      </c>
      <c r="H258">
        <v>125231.77956819121</v>
      </c>
    </row>
    <row r="259" spans="1:8" x14ac:dyDescent="0.3">
      <c r="A259">
        <v>29</v>
      </c>
      <c r="B259" s="168" t="s">
        <v>27</v>
      </c>
      <c r="C259" s="168" t="s">
        <v>42</v>
      </c>
      <c r="D259">
        <v>11233.4</v>
      </c>
      <c r="E259">
        <v>2021</v>
      </c>
      <c r="F259" s="168" t="s">
        <v>592</v>
      </c>
      <c r="G259" s="168" t="s">
        <v>588</v>
      </c>
      <c r="H259">
        <v>0</v>
      </c>
    </row>
    <row r="260" spans="1:8" x14ac:dyDescent="0.3">
      <c r="A260">
        <v>30</v>
      </c>
      <c r="B260" s="168" t="s">
        <v>43</v>
      </c>
      <c r="C260" s="168" t="s">
        <v>44</v>
      </c>
      <c r="D260">
        <v>235.9</v>
      </c>
      <c r="E260">
        <v>2021</v>
      </c>
      <c r="F260" s="168" t="s">
        <v>592</v>
      </c>
      <c r="G260" s="168" t="s">
        <v>548</v>
      </c>
      <c r="H260">
        <v>0</v>
      </c>
    </row>
    <row r="261" spans="1:8" x14ac:dyDescent="0.3">
      <c r="A261">
        <v>30</v>
      </c>
      <c r="B261" s="168" t="s">
        <v>43</v>
      </c>
      <c r="C261" s="168" t="s">
        <v>44</v>
      </c>
      <c r="D261">
        <v>235.9</v>
      </c>
      <c r="E261">
        <v>2021</v>
      </c>
      <c r="F261" s="168" t="s">
        <v>592</v>
      </c>
      <c r="G261" s="168" t="s">
        <v>549</v>
      </c>
      <c r="H261">
        <v>20539.661940985508</v>
      </c>
    </row>
    <row r="262" spans="1:8" x14ac:dyDescent="0.3">
      <c r="A262">
        <v>30</v>
      </c>
      <c r="B262" s="168" t="s">
        <v>43</v>
      </c>
      <c r="C262" s="168" t="s">
        <v>44</v>
      </c>
      <c r="D262">
        <v>235.9</v>
      </c>
      <c r="E262">
        <v>2021</v>
      </c>
      <c r="F262" s="168" t="s">
        <v>592</v>
      </c>
      <c r="G262" s="168" t="s">
        <v>550</v>
      </c>
      <c r="H262">
        <v>1313.1197866945731</v>
      </c>
    </row>
    <row r="263" spans="1:8" x14ac:dyDescent="0.3">
      <c r="A263">
        <v>30</v>
      </c>
      <c r="B263" s="168" t="s">
        <v>43</v>
      </c>
      <c r="C263" s="168" t="s">
        <v>44</v>
      </c>
      <c r="D263">
        <v>235.9</v>
      </c>
      <c r="E263">
        <v>2021</v>
      </c>
      <c r="F263" s="168" t="s">
        <v>592</v>
      </c>
      <c r="G263" s="168" t="s">
        <v>551</v>
      </c>
      <c r="H263">
        <v>1410.2906509099714</v>
      </c>
    </row>
    <row r="264" spans="1:8" x14ac:dyDescent="0.3">
      <c r="A264">
        <v>30</v>
      </c>
      <c r="B264" s="168" t="s">
        <v>43</v>
      </c>
      <c r="C264" s="168" t="s">
        <v>44</v>
      </c>
      <c r="D264">
        <v>235.9</v>
      </c>
      <c r="E264">
        <v>2021</v>
      </c>
      <c r="F264" s="168" t="s">
        <v>592</v>
      </c>
      <c r="G264" s="168" t="s">
        <v>554</v>
      </c>
      <c r="H264">
        <v>0</v>
      </c>
    </row>
    <row r="265" spans="1:8" x14ac:dyDescent="0.3">
      <c r="A265">
        <v>30</v>
      </c>
      <c r="B265" s="168" t="s">
        <v>43</v>
      </c>
      <c r="C265" s="168" t="s">
        <v>44</v>
      </c>
      <c r="D265">
        <v>235.9</v>
      </c>
      <c r="E265">
        <v>2021</v>
      </c>
      <c r="F265" s="168" t="s">
        <v>592</v>
      </c>
      <c r="G265" s="168" t="s">
        <v>555</v>
      </c>
      <c r="H265">
        <v>330.90618624703245</v>
      </c>
    </row>
    <row r="266" spans="1:8" x14ac:dyDescent="0.3">
      <c r="A266">
        <v>30</v>
      </c>
      <c r="B266" s="168" t="s">
        <v>43</v>
      </c>
      <c r="C266" s="168" t="s">
        <v>44</v>
      </c>
      <c r="D266">
        <v>235.9</v>
      </c>
      <c r="E266">
        <v>2021</v>
      </c>
      <c r="F266" s="168" t="s">
        <v>592</v>
      </c>
      <c r="G266" s="168" t="s">
        <v>595</v>
      </c>
      <c r="H266">
        <v>0</v>
      </c>
    </row>
    <row r="267" spans="1:8" x14ac:dyDescent="0.3">
      <c r="A267">
        <v>30</v>
      </c>
      <c r="B267" s="168" t="s">
        <v>43</v>
      </c>
      <c r="C267" s="168" t="s">
        <v>44</v>
      </c>
      <c r="D267">
        <v>235.9</v>
      </c>
      <c r="E267">
        <v>2021</v>
      </c>
      <c r="F267" s="168" t="s">
        <v>592</v>
      </c>
      <c r="G267" s="168" t="s">
        <v>560</v>
      </c>
      <c r="H267">
        <v>3272.7272727272725</v>
      </c>
    </row>
    <row r="268" spans="1:8" x14ac:dyDescent="0.3">
      <c r="A268">
        <v>30</v>
      </c>
      <c r="B268" s="168" t="s">
        <v>43</v>
      </c>
      <c r="C268" s="168" t="s">
        <v>44</v>
      </c>
      <c r="D268">
        <v>235.9</v>
      </c>
      <c r="E268">
        <v>2021</v>
      </c>
      <c r="F268" s="168" t="s">
        <v>592</v>
      </c>
      <c r="G268" s="168" t="s">
        <v>575</v>
      </c>
      <c r="H268">
        <v>0</v>
      </c>
    </row>
    <row r="269" spans="1:8" x14ac:dyDescent="0.3">
      <c r="A269">
        <v>30</v>
      </c>
      <c r="B269" s="168" t="s">
        <v>43</v>
      </c>
      <c r="C269" s="168" t="s">
        <v>44</v>
      </c>
      <c r="D269">
        <v>235.9</v>
      </c>
      <c r="E269">
        <v>2021</v>
      </c>
      <c r="F269" s="168" t="s">
        <v>592</v>
      </c>
      <c r="G269" s="168" t="s">
        <v>576</v>
      </c>
      <c r="H269">
        <v>7010</v>
      </c>
    </row>
    <row r="270" spans="1:8" x14ac:dyDescent="0.3">
      <c r="A270">
        <v>30</v>
      </c>
      <c r="B270" s="168" t="s">
        <v>43</v>
      </c>
      <c r="C270" s="168" t="s">
        <v>44</v>
      </c>
      <c r="D270">
        <v>235.9</v>
      </c>
      <c r="E270">
        <v>2021</v>
      </c>
      <c r="F270" s="168" t="s">
        <v>592</v>
      </c>
      <c r="G270" s="168" t="s">
        <v>577</v>
      </c>
      <c r="H270">
        <v>0</v>
      </c>
    </row>
    <row r="271" spans="1:8" x14ac:dyDescent="0.3">
      <c r="A271">
        <v>30</v>
      </c>
      <c r="B271" s="168" t="s">
        <v>43</v>
      </c>
      <c r="C271" s="168" t="s">
        <v>44</v>
      </c>
      <c r="D271">
        <v>235.9</v>
      </c>
      <c r="E271">
        <v>2021</v>
      </c>
      <c r="F271" s="168" t="s">
        <v>592</v>
      </c>
      <c r="G271" s="168" t="s">
        <v>578</v>
      </c>
      <c r="H271">
        <v>24014.198710502136</v>
      </c>
    </row>
    <row r="272" spans="1:8" x14ac:dyDescent="0.3">
      <c r="A272">
        <v>30</v>
      </c>
      <c r="B272" s="168" t="s">
        <v>43</v>
      </c>
      <c r="C272" s="168" t="s">
        <v>44</v>
      </c>
      <c r="D272">
        <v>235.9</v>
      </c>
      <c r="E272">
        <v>2021</v>
      </c>
      <c r="F272" s="168" t="s">
        <v>592</v>
      </c>
      <c r="G272" s="168" t="s">
        <v>585</v>
      </c>
      <c r="H272">
        <v>667.99756473969614</v>
      </c>
    </row>
    <row r="273" spans="1:8" x14ac:dyDescent="0.3">
      <c r="A273">
        <v>30</v>
      </c>
      <c r="B273" s="168" t="s">
        <v>43</v>
      </c>
      <c r="C273" s="168" t="s">
        <v>44</v>
      </c>
      <c r="D273">
        <v>235.9</v>
      </c>
      <c r="E273">
        <v>2021</v>
      </c>
      <c r="F273" s="168" t="s">
        <v>592</v>
      </c>
      <c r="G273" s="168" t="s">
        <v>586</v>
      </c>
      <c r="H273">
        <v>14662.546546036332</v>
      </c>
    </row>
    <row r="274" spans="1:8" x14ac:dyDescent="0.3">
      <c r="A274">
        <v>31</v>
      </c>
      <c r="B274" s="168" t="s">
        <v>45</v>
      </c>
      <c r="C274" s="168" t="s">
        <v>46</v>
      </c>
      <c r="D274">
        <v>173.4</v>
      </c>
      <c r="E274">
        <v>2021</v>
      </c>
      <c r="F274" s="168" t="s">
        <v>593</v>
      </c>
      <c r="G274" s="168" t="s">
        <v>548</v>
      </c>
      <c r="H274">
        <v>0</v>
      </c>
    </row>
    <row r="275" spans="1:8" x14ac:dyDescent="0.3">
      <c r="A275">
        <v>31</v>
      </c>
      <c r="B275" s="168" t="s">
        <v>45</v>
      </c>
      <c r="C275" s="168" t="s">
        <v>46</v>
      </c>
      <c r="D275">
        <v>173.4</v>
      </c>
      <c r="E275">
        <v>2021</v>
      </c>
      <c r="F275" s="168" t="s">
        <v>593</v>
      </c>
      <c r="G275" s="168" t="s">
        <v>549</v>
      </c>
      <c r="H275">
        <v>15097.826962979596</v>
      </c>
    </row>
    <row r="276" spans="1:8" x14ac:dyDescent="0.3">
      <c r="A276">
        <v>31</v>
      </c>
      <c r="B276" s="168" t="s">
        <v>45</v>
      </c>
      <c r="C276" s="168" t="s">
        <v>46</v>
      </c>
      <c r="D276">
        <v>173.4</v>
      </c>
      <c r="E276">
        <v>2021</v>
      </c>
      <c r="F276" s="168" t="s">
        <v>593</v>
      </c>
      <c r="G276" s="168" t="s">
        <v>550</v>
      </c>
      <c r="H276">
        <v>965.2181899654048</v>
      </c>
    </row>
    <row r="277" spans="1:8" x14ac:dyDescent="0.3">
      <c r="A277">
        <v>31</v>
      </c>
      <c r="B277" s="168" t="s">
        <v>45</v>
      </c>
      <c r="C277" s="168" t="s">
        <v>46</v>
      </c>
      <c r="D277">
        <v>173.4</v>
      </c>
      <c r="E277">
        <v>2021</v>
      </c>
      <c r="F277" s="168" t="s">
        <v>593</v>
      </c>
      <c r="G277" s="168" t="s">
        <v>551</v>
      </c>
      <c r="H277">
        <v>1036.6443360228448</v>
      </c>
    </row>
    <row r="278" spans="1:8" x14ac:dyDescent="0.3">
      <c r="A278">
        <v>31</v>
      </c>
      <c r="B278" s="168" t="s">
        <v>45</v>
      </c>
      <c r="C278" s="168" t="s">
        <v>46</v>
      </c>
      <c r="D278">
        <v>173.4</v>
      </c>
      <c r="E278">
        <v>2021</v>
      </c>
      <c r="F278" s="168" t="s">
        <v>593</v>
      </c>
      <c r="G278" s="168" t="s">
        <v>554</v>
      </c>
      <c r="H278">
        <v>0</v>
      </c>
    </row>
    <row r="279" spans="1:8" x14ac:dyDescent="0.3">
      <c r="A279">
        <v>31</v>
      </c>
      <c r="B279" s="168" t="s">
        <v>45</v>
      </c>
      <c r="C279" s="168" t="s">
        <v>46</v>
      </c>
      <c r="D279">
        <v>173.4</v>
      </c>
      <c r="E279">
        <v>2021</v>
      </c>
      <c r="F279" s="168" t="s">
        <v>593</v>
      </c>
      <c r="G279" s="168" t="s">
        <v>555</v>
      </c>
      <c r="H279">
        <v>243.23498387128203</v>
      </c>
    </row>
    <row r="280" spans="1:8" x14ac:dyDescent="0.3">
      <c r="A280">
        <v>32</v>
      </c>
      <c r="B280" s="168" t="s">
        <v>30</v>
      </c>
      <c r="C280" s="168" t="s">
        <v>47</v>
      </c>
      <c r="D280">
        <v>1971</v>
      </c>
      <c r="E280">
        <v>2021</v>
      </c>
      <c r="F280" s="168" t="s">
        <v>591</v>
      </c>
      <c r="G280" s="168" t="s">
        <v>548</v>
      </c>
      <c r="H280">
        <v>1812328.73</v>
      </c>
    </row>
    <row r="281" spans="1:8" x14ac:dyDescent="0.3">
      <c r="A281">
        <v>32</v>
      </c>
      <c r="B281" s="168" t="s">
        <v>30</v>
      </c>
      <c r="C281" s="168" t="s">
        <v>47</v>
      </c>
      <c r="D281">
        <v>1971</v>
      </c>
      <c r="E281">
        <v>2021</v>
      </c>
      <c r="F281" s="168" t="s">
        <v>591</v>
      </c>
      <c r="G281" s="168" t="s">
        <v>549</v>
      </c>
      <c r="H281">
        <v>776712.31</v>
      </c>
    </row>
    <row r="282" spans="1:8" x14ac:dyDescent="0.3">
      <c r="A282">
        <v>32</v>
      </c>
      <c r="B282" s="168" t="s">
        <v>30</v>
      </c>
      <c r="C282" s="168" t="s">
        <v>47</v>
      </c>
      <c r="D282">
        <v>1971</v>
      </c>
      <c r="E282">
        <v>2021</v>
      </c>
      <c r="F282" s="168" t="s">
        <v>591</v>
      </c>
      <c r="G282" s="168" t="s">
        <v>550</v>
      </c>
      <c r="H282">
        <v>10971.424754451054</v>
      </c>
    </row>
    <row r="283" spans="1:8" x14ac:dyDescent="0.3">
      <c r="A283">
        <v>32</v>
      </c>
      <c r="B283" s="168" t="s">
        <v>30</v>
      </c>
      <c r="C283" s="168" t="s">
        <v>47</v>
      </c>
      <c r="D283">
        <v>1971</v>
      </c>
      <c r="E283">
        <v>2021</v>
      </c>
      <c r="F283" s="168" t="s">
        <v>591</v>
      </c>
      <c r="G283" s="168" t="s">
        <v>551</v>
      </c>
      <c r="H283">
        <v>11783.310186280432</v>
      </c>
    </row>
    <row r="284" spans="1:8" x14ac:dyDescent="0.3">
      <c r="A284">
        <v>32</v>
      </c>
      <c r="B284" s="168" t="s">
        <v>30</v>
      </c>
      <c r="C284" s="168" t="s">
        <v>47</v>
      </c>
      <c r="D284">
        <v>1971</v>
      </c>
      <c r="E284">
        <v>2021</v>
      </c>
      <c r="F284" s="168" t="s">
        <v>591</v>
      </c>
      <c r="G284" s="168" t="s">
        <v>598</v>
      </c>
      <c r="H284">
        <v>0</v>
      </c>
    </row>
    <row r="285" spans="1:8" x14ac:dyDescent="0.3">
      <c r="A285">
        <v>32</v>
      </c>
      <c r="B285" s="168" t="s">
        <v>30</v>
      </c>
      <c r="C285" s="168" t="s">
        <v>47</v>
      </c>
      <c r="D285">
        <v>1971</v>
      </c>
      <c r="E285">
        <v>2021</v>
      </c>
      <c r="F285" s="168" t="s">
        <v>591</v>
      </c>
      <c r="G285" s="168" t="s">
        <v>599</v>
      </c>
      <c r="H285">
        <v>8386.8036750804349</v>
      </c>
    </row>
    <row r="286" spans="1:8" x14ac:dyDescent="0.3">
      <c r="A286">
        <v>32</v>
      </c>
      <c r="B286" s="168" t="s">
        <v>30</v>
      </c>
      <c r="C286" s="168" t="s">
        <v>47</v>
      </c>
      <c r="D286">
        <v>1971</v>
      </c>
      <c r="E286">
        <v>2021</v>
      </c>
      <c r="F286" s="168" t="s">
        <v>591</v>
      </c>
      <c r="G286" s="168" t="s">
        <v>595</v>
      </c>
      <c r="H286">
        <v>0</v>
      </c>
    </row>
    <row r="287" spans="1:8" x14ac:dyDescent="0.3">
      <c r="A287">
        <v>32</v>
      </c>
      <c r="B287" s="168" t="s">
        <v>30</v>
      </c>
      <c r="C287" s="168" t="s">
        <v>47</v>
      </c>
      <c r="D287">
        <v>1971</v>
      </c>
      <c r="E287">
        <v>2021</v>
      </c>
      <c r="F287" s="168" t="s">
        <v>591</v>
      </c>
      <c r="G287" s="168" t="s">
        <v>560</v>
      </c>
      <c r="H287">
        <v>6545.454545454545</v>
      </c>
    </row>
    <row r="288" spans="1:8" x14ac:dyDescent="0.3">
      <c r="A288">
        <v>32</v>
      </c>
      <c r="B288" s="168" t="s">
        <v>30</v>
      </c>
      <c r="C288" s="168" t="s">
        <v>47</v>
      </c>
      <c r="D288">
        <v>1971</v>
      </c>
      <c r="E288">
        <v>2021</v>
      </c>
      <c r="F288" s="168" t="s">
        <v>591</v>
      </c>
      <c r="G288" s="168" t="s">
        <v>561</v>
      </c>
      <c r="H288">
        <v>8870.3537715505117</v>
      </c>
    </row>
    <row r="289" spans="1:8" x14ac:dyDescent="0.3">
      <c r="A289">
        <v>32</v>
      </c>
      <c r="B289" s="168" t="s">
        <v>30</v>
      </c>
      <c r="C289" s="168" t="s">
        <v>47</v>
      </c>
      <c r="D289">
        <v>1971</v>
      </c>
      <c r="E289">
        <v>2021</v>
      </c>
      <c r="F289" s="168" t="s">
        <v>591</v>
      </c>
      <c r="G289" s="168" t="s">
        <v>562</v>
      </c>
      <c r="H289">
        <v>960.95499191797205</v>
      </c>
    </row>
    <row r="290" spans="1:8" x14ac:dyDescent="0.3">
      <c r="A290">
        <v>32</v>
      </c>
      <c r="B290" s="168" t="s">
        <v>30</v>
      </c>
      <c r="C290" s="168" t="s">
        <v>47</v>
      </c>
      <c r="D290">
        <v>1971</v>
      </c>
      <c r="E290">
        <v>2021</v>
      </c>
      <c r="F290" s="168" t="s">
        <v>591</v>
      </c>
      <c r="G290" s="168" t="s">
        <v>563</v>
      </c>
      <c r="H290">
        <v>10670.396102138411</v>
      </c>
    </row>
    <row r="291" spans="1:8" x14ac:dyDescent="0.3">
      <c r="A291">
        <v>32</v>
      </c>
      <c r="B291" s="168" t="s">
        <v>30</v>
      </c>
      <c r="C291" s="168" t="s">
        <v>47</v>
      </c>
      <c r="D291">
        <v>1971</v>
      </c>
      <c r="E291">
        <v>2021</v>
      </c>
      <c r="F291" s="168" t="s">
        <v>591</v>
      </c>
      <c r="G291" s="168" t="s">
        <v>564</v>
      </c>
      <c r="H291">
        <v>5140.7550144521329</v>
      </c>
    </row>
    <row r="292" spans="1:8" x14ac:dyDescent="0.3">
      <c r="A292">
        <v>32</v>
      </c>
      <c r="B292" s="168" t="s">
        <v>30</v>
      </c>
      <c r="C292" s="168" t="s">
        <v>47</v>
      </c>
      <c r="D292">
        <v>1971</v>
      </c>
      <c r="E292">
        <v>2021</v>
      </c>
      <c r="F292" s="168" t="s">
        <v>591</v>
      </c>
      <c r="G292" s="168" t="s">
        <v>585</v>
      </c>
      <c r="H292">
        <v>5581.2768126407</v>
      </c>
    </row>
    <row r="293" spans="1:8" x14ac:dyDescent="0.3">
      <c r="A293">
        <v>32</v>
      </c>
      <c r="B293" s="168" t="s">
        <v>30</v>
      </c>
      <c r="C293" s="168" t="s">
        <v>47</v>
      </c>
      <c r="D293">
        <v>1971</v>
      </c>
      <c r="E293">
        <v>2021</v>
      </c>
      <c r="F293" s="168" t="s">
        <v>591</v>
      </c>
      <c r="G293" s="168" t="s">
        <v>586</v>
      </c>
      <c r="H293">
        <v>122509.02603746337</v>
      </c>
    </row>
    <row r="294" spans="1:8" x14ac:dyDescent="0.3">
      <c r="A294">
        <v>33</v>
      </c>
      <c r="B294" s="168" t="s">
        <v>48</v>
      </c>
      <c r="C294" s="168" t="s">
        <v>49</v>
      </c>
      <c r="D294">
        <v>126.6</v>
      </c>
      <c r="E294">
        <v>2021</v>
      </c>
      <c r="F294" s="168" t="s">
        <v>593</v>
      </c>
      <c r="G294" s="168" t="s">
        <v>548</v>
      </c>
      <c r="H294">
        <v>0</v>
      </c>
    </row>
    <row r="295" spans="1:8" x14ac:dyDescent="0.3">
      <c r="A295">
        <v>33</v>
      </c>
      <c r="B295" s="168" t="s">
        <v>48</v>
      </c>
      <c r="C295" s="168" t="s">
        <v>49</v>
      </c>
      <c r="D295">
        <v>126.6</v>
      </c>
      <c r="E295">
        <v>2021</v>
      </c>
      <c r="F295" s="168" t="s">
        <v>593</v>
      </c>
      <c r="G295" s="168" t="s">
        <v>549</v>
      </c>
      <c r="H295">
        <v>11022.980931448788</v>
      </c>
    </row>
    <row r="296" spans="1:8" x14ac:dyDescent="0.3">
      <c r="A296">
        <v>33</v>
      </c>
      <c r="B296" s="168" t="s">
        <v>48</v>
      </c>
      <c r="C296" s="168" t="s">
        <v>49</v>
      </c>
      <c r="D296">
        <v>126.6</v>
      </c>
      <c r="E296">
        <v>2021</v>
      </c>
      <c r="F296" s="168" t="s">
        <v>593</v>
      </c>
      <c r="G296" s="168" t="s">
        <v>550</v>
      </c>
      <c r="H296">
        <v>704.70947433460333</v>
      </c>
    </row>
    <row r="297" spans="1:8" x14ac:dyDescent="0.3">
      <c r="A297">
        <v>33</v>
      </c>
      <c r="B297" s="168" t="s">
        <v>48</v>
      </c>
      <c r="C297" s="168" t="s">
        <v>49</v>
      </c>
      <c r="D297">
        <v>126.6</v>
      </c>
      <c r="E297">
        <v>2021</v>
      </c>
      <c r="F297" s="168" t="s">
        <v>593</v>
      </c>
      <c r="G297" s="168" t="s">
        <v>551</v>
      </c>
      <c r="H297">
        <v>756.85797543536398</v>
      </c>
    </row>
    <row r="298" spans="1:8" x14ac:dyDescent="0.3">
      <c r="A298">
        <v>33</v>
      </c>
      <c r="B298" s="168" t="s">
        <v>48</v>
      </c>
      <c r="C298" s="168" t="s">
        <v>49</v>
      </c>
      <c r="D298">
        <v>126.6</v>
      </c>
      <c r="E298">
        <v>2021</v>
      </c>
      <c r="F298" s="168" t="s">
        <v>593</v>
      </c>
      <c r="G298" s="168" t="s">
        <v>554</v>
      </c>
      <c r="H298">
        <v>0</v>
      </c>
    </row>
    <row r="299" spans="1:8" x14ac:dyDescent="0.3">
      <c r="A299">
        <v>33</v>
      </c>
      <c r="B299" s="168" t="s">
        <v>48</v>
      </c>
      <c r="C299" s="168" t="s">
        <v>49</v>
      </c>
      <c r="D299">
        <v>126.6</v>
      </c>
      <c r="E299">
        <v>2021</v>
      </c>
      <c r="F299" s="168" t="s">
        <v>593</v>
      </c>
      <c r="G299" s="168" t="s">
        <v>555</v>
      </c>
      <c r="H299">
        <v>177.58678753232007</v>
      </c>
    </row>
    <row r="300" spans="1:8" x14ac:dyDescent="0.3">
      <c r="A300">
        <v>34</v>
      </c>
      <c r="B300" s="168" t="s">
        <v>48</v>
      </c>
      <c r="C300" s="168" t="s">
        <v>50</v>
      </c>
      <c r="D300">
        <v>71</v>
      </c>
      <c r="E300">
        <v>2021</v>
      </c>
      <c r="F300" s="168" t="s">
        <v>593</v>
      </c>
      <c r="G300" s="168" t="s">
        <v>548</v>
      </c>
      <c r="H300">
        <v>0</v>
      </c>
    </row>
    <row r="301" spans="1:8" x14ac:dyDescent="0.3">
      <c r="A301">
        <v>34</v>
      </c>
      <c r="B301" s="168" t="s">
        <v>48</v>
      </c>
      <c r="C301" s="168" t="s">
        <v>50</v>
      </c>
      <c r="D301">
        <v>71</v>
      </c>
      <c r="E301">
        <v>2021</v>
      </c>
      <c r="F301" s="168" t="s">
        <v>593</v>
      </c>
      <c r="G301" s="168" t="s">
        <v>549</v>
      </c>
      <c r="H301">
        <v>6181.9245350147103</v>
      </c>
    </row>
    <row r="302" spans="1:8" x14ac:dyDescent="0.3">
      <c r="A302">
        <v>34</v>
      </c>
      <c r="B302" s="168" t="s">
        <v>48</v>
      </c>
      <c r="C302" s="168" t="s">
        <v>50</v>
      </c>
      <c r="D302">
        <v>71</v>
      </c>
      <c r="E302">
        <v>2021</v>
      </c>
      <c r="F302" s="168" t="s">
        <v>593</v>
      </c>
      <c r="G302" s="168" t="s">
        <v>550</v>
      </c>
      <c r="H302">
        <v>395.21621388433527</v>
      </c>
    </row>
    <row r="303" spans="1:8" x14ac:dyDescent="0.3">
      <c r="A303">
        <v>34</v>
      </c>
      <c r="B303" s="168" t="s">
        <v>48</v>
      </c>
      <c r="C303" s="168" t="s">
        <v>50</v>
      </c>
      <c r="D303">
        <v>71</v>
      </c>
      <c r="E303">
        <v>2021</v>
      </c>
      <c r="F303" s="168" t="s">
        <v>593</v>
      </c>
      <c r="G303" s="168" t="s">
        <v>551</v>
      </c>
      <c r="H303">
        <v>424.46221371177609</v>
      </c>
    </row>
    <row r="304" spans="1:8" x14ac:dyDescent="0.3">
      <c r="A304">
        <v>34</v>
      </c>
      <c r="B304" s="168" t="s">
        <v>48</v>
      </c>
      <c r="C304" s="168" t="s">
        <v>50</v>
      </c>
      <c r="D304">
        <v>71</v>
      </c>
      <c r="E304">
        <v>2021</v>
      </c>
      <c r="F304" s="168" t="s">
        <v>593</v>
      </c>
      <c r="G304" s="168" t="s">
        <v>554</v>
      </c>
      <c r="H304">
        <v>0</v>
      </c>
    </row>
    <row r="305" spans="1:8" x14ac:dyDescent="0.3">
      <c r="A305">
        <v>34</v>
      </c>
      <c r="B305" s="168" t="s">
        <v>48</v>
      </c>
      <c r="C305" s="168" t="s">
        <v>50</v>
      </c>
      <c r="D305">
        <v>71</v>
      </c>
      <c r="E305">
        <v>2021</v>
      </c>
      <c r="F305" s="168" t="s">
        <v>593</v>
      </c>
      <c r="G305" s="168" t="s">
        <v>555</v>
      </c>
      <c r="H305">
        <v>99.594485898852497</v>
      </c>
    </row>
    <row r="306" spans="1:8" x14ac:dyDescent="0.3">
      <c r="A306">
        <v>35</v>
      </c>
      <c r="B306" s="168" t="s">
        <v>48</v>
      </c>
      <c r="C306" s="168" t="s">
        <v>51</v>
      </c>
      <c r="D306">
        <v>34.700000000000003</v>
      </c>
      <c r="E306">
        <v>2021</v>
      </c>
      <c r="F306" s="168" t="s">
        <v>593</v>
      </c>
      <c r="G306" s="168" t="s">
        <v>548</v>
      </c>
      <c r="H306">
        <v>0</v>
      </c>
    </row>
    <row r="307" spans="1:8" x14ac:dyDescent="0.3">
      <c r="A307">
        <v>35</v>
      </c>
      <c r="B307" s="168" t="s">
        <v>48</v>
      </c>
      <c r="C307" s="168" t="s">
        <v>51</v>
      </c>
      <c r="D307">
        <v>34.700000000000003</v>
      </c>
      <c r="E307">
        <v>2021</v>
      </c>
      <c r="F307" s="168" t="s">
        <v>593</v>
      </c>
      <c r="G307" s="168" t="s">
        <v>549</v>
      </c>
      <c r="H307">
        <v>3021.3067797888698</v>
      </c>
    </row>
    <row r="308" spans="1:8" x14ac:dyDescent="0.3">
      <c r="A308">
        <v>35</v>
      </c>
      <c r="B308" s="168" t="s">
        <v>48</v>
      </c>
      <c r="C308" s="168" t="s">
        <v>51</v>
      </c>
      <c r="D308">
        <v>34.700000000000003</v>
      </c>
      <c r="E308">
        <v>2021</v>
      </c>
      <c r="F308" s="168" t="s">
        <v>593</v>
      </c>
      <c r="G308" s="168" t="s">
        <v>550</v>
      </c>
      <c r="H308">
        <v>193.15496650403429</v>
      </c>
    </row>
    <row r="309" spans="1:8" x14ac:dyDescent="0.3">
      <c r="A309">
        <v>35</v>
      </c>
      <c r="B309" s="168" t="s">
        <v>48</v>
      </c>
      <c r="C309" s="168" t="s">
        <v>51</v>
      </c>
      <c r="D309">
        <v>34.700000000000003</v>
      </c>
      <c r="E309">
        <v>2021</v>
      </c>
      <c r="F309" s="168" t="s">
        <v>593</v>
      </c>
      <c r="G309" s="168" t="s">
        <v>551</v>
      </c>
      <c r="H309">
        <v>207.44843402533283</v>
      </c>
    </row>
    <row r="310" spans="1:8" x14ac:dyDescent="0.3">
      <c r="A310">
        <v>35</v>
      </c>
      <c r="B310" s="168" t="s">
        <v>48</v>
      </c>
      <c r="C310" s="168" t="s">
        <v>51</v>
      </c>
      <c r="D310">
        <v>34.700000000000003</v>
      </c>
      <c r="E310">
        <v>2021</v>
      </c>
      <c r="F310" s="168" t="s">
        <v>593</v>
      </c>
      <c r="G310" s="168" t="s">
        <v>554</v>
      </c>
      <c r="H310">
        <v>0</v>
      </c>
    </row>
    <row r="311" spans="1:8" x14ac:dyDescent="0.3">
      <c r="A311">
        <v>35</v>
      </c>
      <c r="B311" s="168" t="s">
        <v>48</v>
      </c>
      <c r="C311" s="168" t="s">
        <v>51</v>
      </c>
      <c r="D311">
        <v>34.700000000000003</v>
      </c>
      <c r="E311">
        <v>2021</v>
      </c>
      <c r="F311" s="168" t="s">
        <v>593</v>
      </c>
      <c r="G311" s="168" t="s">
        <v>555</v>
      </c>
      <c r="H311">
        <v>48.675051559016644</v>
      </c>
    </row>
    <row r="312" spans="1:8" x14ac:dyDescent="0.3">
      <c r="A312">
        <v>36</v>
      </c>
      <c r="B312" s="168" t="s">
        <v>48</v>
      </c>
      <c r="C312" s="168" t="s">
        <v>52</v>
      </c>
      <c r="D312">
        <v>97</v>
      </c>
      <c r="E312">
        <v>2021</v>
      </c>
      <c r="F312" s="168" t="s">
        <v>593</v>
      </c>
      <c r="G312" s="168" t="s">
        <v>548</v>
      </c>
      <c r="H312">
        <v>0</v>
      </c>
    </row>
    <row r="313" spans="1:8" x14ac:dyDescent="0.3">
      <c r="A313">
        <v>36</v>
      </c>
      <c r="B313" s="168" t="s">
        <v>48</v>
      </c>
      <c r="C313" s="168" t="s">
        <v>52</v>
      </c>
      <c r="D313">
        <v>97</v>
      </c>
      <c r="E313">
        <v>2021</v>
      </c>
      <c r="F313" s="168" t="s">
        <v>593</v>
      </c>
      <c r="G313" s="168" t="s">
        <v>549</v>
      </c>
      <c r="H313">
        <v>8445.7278858651644</v>
      </c>
    </row>
    <row r="314" spans="1:8" x14ac:dyDescent="0.3">
      <c r="A314">
        <v>36</v>
      </c>
      <c r="B314" s="168" t="s">
        <v>48</v>
      </c>
      <c r="C314" s="168" t="s">
        <v>52</v>
      </c>
      <c r="D314">
        <v>97</v>
      </c>
      <c r="E314">
        <v>2021</v>
      </c>
      <c r="F314" s="168" t="s">
        <v>593</v>
      </c>
      <c r="G314" s="168" t="s">
        <v>550</v>
      </c>
      <c r="H314">
        <v>539.9432781236693</v>
      </c>
    </row>
    <row r="315" spans="1:8" x14ac:dyDescent="0.3">
      <c r="A315">
        <v>36</v>
      </c>
      <c r="B315" s="168" t="s">
        <v>48</v>
      </c>
      <c r="C315" s="168" t="s">
        <v>52</v>
      </c>
      <c r="D315">
        <v>97</v>
      </c>
      <c r="E315">
        <v>2021</v>
      </c>
      <c r="F315" s="168" t="s">
        <v>593</v>
      </c>
      <c r="G315" s="168" t="s">
        <v>551</v>
      </c>
      <c r="H315">
        <v>579.89908070482079</v>
      </c>
    </row>
    <row r="316" spans="1:8" x14ac:dyDescent="0.3">
      <c r="A316">
        <v>36</v>
      </c>
      <c r="B316" s="168" t="s">
        <v>48</v>
      </c>
      <c r="C316" s="168" t="s">
        <v>52</v>
      </c>
      <c r="D316">
        <v>97</v>
      </c>
      <c r="E316">
        <v>2021</v>
      </c>
      <c r="F316" s="168" t="s">
        <v>593</v>
      </c>
      <c r="G316" s="168" t="s">
        <v>554</v>
      </c>
      <c r="H316">
        <v>0</v>
      </c>
    </row>
    <row r="317" spans="1:8" x14ac:dyDescent="0.3">
      <c r="A317">
        <v>36</v>
      </c>
      <c r="B317" s="168" t="s">
        <v>48</v>
      </c>
      <c r="C317" s="168" t="s">
        <v>52</v>
      </c>
      <c r="D317">
        <v>97</v>
      </c>
      <c r="E317">
        <v>2021</v>
      </c>
      <c r="F317" s="168" t="s">
        <v>593</v>
      </c>
      <c r="G317" s="168" t="s">
        <v>555</v>
      </c>
      <c r="H317">
        <v>136.06570608716467</v>
      </c>
    </row>
    <row r="318" spans="1:8" x14ac:dyDescent="0.3">
      <c r="A318">
        <v>37</v>
      </c>
      <c r="B318" s="168" t="s">
        <v>294</v>
      </c>
      <c r="C318" s="168" t="s">
        <v>54</v>
      </c>
      <c r="D318">
        <v>971.9</v>
      </c>
      <c r="E318">
        <v>2021</v>
      </c>
      <c r="F318" s="168" t="s">
        <v>591</v>
      </c>
      <c r="G318" s="168" t="s">
        <v>548</v>
      </c>
      <c r="H318">
        <v>1812328.7279999999</v>
      </c>
    </row>
    <row r="319" spans="1:8" x14ac:dyDescent="0.3">
      <c r="A319">
        <v>37</v>
      </c>
      <c r="B319" s="168" t="s">
        <v>294</v>
      </c>
      <c r="C319" s="168" t="s">
        <v>54</v>
      </c>
      <c r="D319">
        <v>971.9</v>
      </c>
      <c r="E319">
        <v>2021</v>
      </c>
      <c r="F319" s="168" t="s">
        <v>591</v>
      </c>
      <c r="G319" s="168" t="s">
        <v>549</v>
      </c>
      <c r="H319">
        <v>776712.31200000003</v>
      </c>
    </row>
    <row r="320" spans="1:8" x14ac:dyDescent="0.3">
      <c r="A320">
        <v>37</v>
      </c>
      <c r="B320" s="168" t="s">
        <v>294</v>
      </c>
      <c r="C320" s="168" t="s">
        <v>54</v>
      </c>
      <c r="D320">
        <v>971.9</v>
      </c>
      <c r="E320">
        <v>2021</v>
      </c>
      <c r="F320" s="168" t="s">
        <v>591</v>
      </c>
      <c r="G320" s="168" t="s">
        <v>598</v>
      </c>
      <c r="H320">
        <v>88442.9</v>
      </c>
    </row>
    <row r="321" spans="1:8" x14ac:dyDescent="0.3">
      <c r="A321">
        <v>37</v>
      </c>
      <c r="B321" s="168" t="s">
        <v>294</v>
      </c>
      <c r="C321" s="168" t="s">
        <v>54</v>
      </c>
      <c r="D321">
        <v>971.9</v>
      </c>
      <c r="E321">
        <v>2021</v>
      </c>
      <c r="F321" s="168" t="s">
        <v>591</v>
      </c>
      <c r="G321" s="168" t="s">
        <v>599</v>
      </c>
      <c r="H321">
        <v>37904.1</v>
      </c>
    </row>
    <row r="322" spans="1:8" x14ac:dyDescent="0.3">
      <c r="A322">
        <v>37</v>
      </c>
      <c r="B322" s="168" t="s">
        <v>294</v>
      </c>
      <c r="C322" s="168" t="s">
        <v>54</v>
      </c>
      <c r="D322">
        <v>971.9</v>
      </c>
      <c r="E322">
        <v>2021</v>
      </c>
      <c r="F322" s="168" t="s">
        <v>591</v>
      </c>
      <c r="G322" s="168" t="s">
        <v>595</v>
      </c>
      <c r="H322">
        <v>0</v>
      </c>
    </row>
    <row r="323" spans="1:8" x14ac:dyDescent="0.3">
      <c r="A323">
        <v>37</v>
      </c>
      <c r="B323" s="168" t="s">
        <v>294</v>
      </c>
      <c r="C323" s="168" t="s">
        <v>54</v>
      </c>
      <c r="D323">
        <v>971.9</v>
      </c>
      <c r="E323">
        <v>2021</v>
      </c>
      <c r="F323" s="168" t="s">
        <v>591</v>
      </c>
      <c r="G323" s="168" t="s">
        <v>560</v>
      </c>
      <c r="H323">
        <v>3272.7272727272725</v>
      </c>
    </row>
    <row r="324" spans="1:8" x14ac:dyDescent="0.3">
      <c r="A324">
        <v>37</v>
      </c>
      <c r="B324" s="168" t="s">
        <v>294</v>
      </c>
      <c r="C324" s="168" t="s">
        <v>54</v>
      </c>
      <c r="D324">
        <v>971.9</v>
      </c>
      <c r="E324">
        <v>2021</v>
      </c>
      <c r="F324" s="168" t="s">
        <v>591</v>
      </c>
      <c r="G324" s="168" t="s">
        <v>563</v>
      </c>
      <c r="H324">
        <v>5110.4160150140751</v>
      </c>
    </row>
    <row r="325" spans="1:8" x14ac:dyDescent="0.3">
      <c r="A325">
        <v>37</v>
      </c>
      <c r="B325" s="168" t="s">
        <v>294</v>
      </c>
      <c r="C325" s="168" t="s">
        <v>54</v>
      </c>
      <c r="D325">
        <v>971.9</v>
      </c>
      <c r="E325">
        <v>2021</v>
      </c>
      <c r="F325" s="168" t="s">
        <v>591</v>
      </c>
      <c r="G325" s="168" t="s">
        <v>564</v>
      </c>
      <c r="H325">
        <v>2190.1782921488893</v>
      </c>
    </row>
    <row r="326" spans="1:8" x14ac:dyDescent="0.3">
      <c r="A326">
        <v>37</v>
      </c>
      <c r="B326" s="168" t="s">
        <v>294</v>
      </c>
      <c r="C326" s="168" t="s">
        <v>54</v>
      </c>
      <c r="D326">
        <v>971.9</v>
      </c>
      <c r="E326">
        <v>2021</v>
      </c>
      <c r="F326" s="168" t="s">
        <v>591</v>
      </c>
      <c r="G326" s="168" t="s">
        <v>600</v>
      </c>
      <c r="H326">
        <v>101880.821</v>
      </c>
    </row>
    <row r="327" spans="1:8" x14ac:dyDescent="0.3">
      <c r="A327">
        <v>37</v>
      </c>
      <c r="B327" s="168" t="s">
        <v>294</v>
      </c>
      <c r="C327" s="168" t="s">
        <v>54</v>
      </c>
      <c r="D327">
        <v>971.9</v>
      </c>
      <c r="E327">
        <v>2021</v>
      </c>
      <c r="F327" s="168" t="s">
        <v>591</v>
      </c>
      <c r="G327" s="168" t="s">
        <v>601</v>
      </c>
      <c r="H327">
        <v>43663.209000000003</v>
      </c>
    </row>
    <row r="328" spans="1:8" x14ac:dyDescent="0.3">
      <c r="A328">
        <v>37</v>
      </c>
      <c r="B328" s="168" t="s">
        <v>294</v>
      </c>
      <c r="C328" s="168" t="s">
        <v>54</v>
      </c>
      <c r="D328">
        <v>971.9</v>
      </c>
      <c r="E328">
        <v>2021</v>
      </c>
      <c r="F328" s="168" t="s">
        <v>591</v>
      </c>
      <c r="G328" s="168" t="s">
        <v>575</v>
      </c>
      <c r="H328">
        <v>0</v>
      </c>
    </row>
    <row r="329" spans="1:8" x14ac:dyDescent="0.3">
      <c r="A329">
        <v>37</v>
      </c>
      <c r="B329" s="168" t="s">
        <v>294</v>
      </c>
      <c r="C329" s="168" t="s">
        <v>54</v>
      </c>
      <c r="D329">
        <v>971.9</v>
      </c>
      <c r="E329">
        <v>2021</v>
      </c>
      <c r="F329" s="168" t="s">
        <v>591</v>
      </c>
      <c r="G329" s="168" t="s">
        <v>576</v>
      </c>
      <c r="H329">
        <v>4062.1352436903176</v>
      </c>
    </row>
    <row r="330" spans="1:8" x14ac:dyDescent="0.3">
      <c r="A330">
        <v>37</v>
      </c>
      <c r="B330" s="168" t="s">
        <v>294</v>
      </c>
      <c r="C330" s="168" t="s">
        <v>54</v>
      </c>
      <c r="D330">
        <v>971.9</v>
      </c>
      <c r="E330">
        <v>2021</v>
      </c>
      <c r="F330" s="168" t="s">
        <v>591</v>
      </c>
      <c r="G330" s="168" t="s">
        <v>585</v>
      </c>
      <c r="H330">
        <v>68873.0156736973</v>
      </c>
    </row>
    <row r="331" spans="1:8" x14ac:dyDescent="0.3">
      <c r="A331">
        <v>37</v>
      </c>
      <c r="B331" s="168" t="s">
        <v>294</v>
      </c>
      <c r="C331" s="168" t="s">
        <v>54</v>
      </c>
      <c r="D331">
        <v>971.9</v>
      </c>
      <c r="E331">
        <v>2021</v>
      </c>
      <c r="F331" s="168" t="s">
        <v>591</v>
      </c>
      <c r="G331" s="168" t="s">
        <v>586</v>
      </c>
      <c r="H331">
        <v>28082.79687953266</v>
      </c>
    </row>
    <row r="332" spans="1:8" x14ac:dyDescent="0.3">
      <c r="A332">
        <v>39</v>
      </c>
      <c r="B332" s="168" t="s">
        <v>57</v>
      </c>
      <c r="C332" s="168" t="s">
        <v>58</v>
      </c>
      <c r="D332">
        <v>676.6</v>
      </c>
      <c r="E332">
        <v>2021</v>
      </c>
      <c r="F332" s="168" t="s">
        <v>590</v>
      </c>
      <c r="G332" s="168" t="s">
        <v>548</v>
      </c>
      <c r="H332">
        <v>906164.36399999994</v>
      </c>
    </row>
    <row r="333" spans="1:8" x14ac:dyDescent="0.3">
      <c r="A333">
        <v>39</v>
      </c>
      <c r="B333" s="168" t="s">
        <v>57</v>
      </c>
      <c r="C333" s="168" t="s">
        <v>58</v>
      </c>
      <c r="D333">
        <v>676.6</v>
      </c>
      <c r="E333">
        <v>2021</v>
      </c>
      <c r="F333" s="168" t="s">
        <v>590</v>
      </c>
      <c r="G333" s="168" t="s">
        <v>549</v>
      </c>
      <c r="H333">
        <v>388356.15600000002</v>
      </c>
    </row>
    <row r="334" spans="1:8" x14ac:dyDescent="0.3">
      <c r="A334">
        <v>39</v>
      </c>
      <c r="B334" s="168" t="s">
        <v>57</v>
      </c>
      <c r="C334" s="168" t="s">
        <v>58</v>
      </c>
      <c r="D334">
        <v>676.6</v>
      </c>
      <c r="E334">
        <v>2021</v>
      </c>
      <c r="F334" s="168" t="s">
        <v>590</v>
      </c>
      <c r="G334" s="168" t="s">
        <v>550</v>
      </c>
      <c r="H334">
        <v>0</v>
      </c>
    </row>
    <row r="335" spans="1:8" x14ac:dyDescent="0.3">
      <c r="A335">
        <v>39</v>
      </c>
      <c r="B335" s="168" t="s">
        <v>57</v>
      </c>
      <c r="C335" s="168" t="s">
        <v>58</v>
      </c>
      <c r="D335">
        <v>676.6</v>
      </c>
      <c r="E335">
        <v>2021</v>
      </c>
      <c r="F335" s="168" t="s">
        <v>590</v>
      </c>
      <c r="G335" s="168" t="s">
        <v>551</v>
      </c>
      <c r="H335">
        <v>45871.75</v>
      </c>
    </row>
    <row r="336" spans="1:8" x14ac:dyDescent="0.3">
      <c r="A336">
        <v>39</v>
      </c>
      <c r="B336" s="168" t="s">
        <v>57</v>
      </c>
      <c r="C336" s="168" t="s">
        <v>58</v>
      </c>
      <c r="D336">
        <v>676.6</v>
      </c>
      <c r="E336">
        <v>2021</v>
      </c>
      <c r="F336" s="168" t="s">
        <v>590</v>
      </c>
      <c r="G336" s="168" t="s">
        <v>598</v>
      </c>
      <c r="H336">
        <v>61570.6</v>
      </c>
    </row>
    <row r="337" spans="1:8" x14ac:dyDescent="0.3">
      <c r="A337">
        <v>39</v>
      </c>
      <c r="B337" s="168" t="s">
        <v>57</v>
      </c>
      <c r="C337" s="168" t="s">
        <v>58</v>
      </c>
      <c r="D337">
        <v>676.6</v>
      </c>
      <c r="E337">
        <v>2021</v>
      </c>
      <c r="F337" s="168" t="s">
        <v>590</v>
      </c>
      <c r="G337" s="168" t="s">
        <v>599</v>
      </c>
      <c r="H337">
        <v>26387.399999999998</v>
      </c>
    </row>
    <row r="338" spans="1:8" x14ac:dyDescent="0.3">
      <c r="A338">
        <v>39</v>
      </c>
      <c r="B338" s="168" t="s">
        <v>57</v>
      </c>
      <c r="C338" s="168" t="s">
        <v>58</v>
      </c>
      <c r="D338">
        <v>676.6</v>
      </c>
      <c r="E338">
        <v>2021</v>
      </c>
      <c r="F338" s="168" t="s">
        <v>590</v>
      </c>
      <c r="G338" s="168" t="s">
        <v>595</v>
      </c>
      <c r="H338">
        <v>0</v>
      </c>
    </row>
    <row r="339" spans="1:8" x14ac:dyDescent="0.3">
      <c r="A339">
        <v>39</v>
      </c>
      <c r="B339" s="168" t="s">
        <v>57</v>
      </c>
      <c r="C339" s="168" t="s">
        <v>58</v>
      </c>
      <c r="D339">
        <v>676.6</v>
      </c>
      <c r="E339">
        <v>2021</v>
      </c>
      <c r="F339" s="168" t="s">
        <v>590</v>
      </c>
      <c r="G339" s="168" t="s">
        <v>560</v>
      </c>
      <c r="H339">
        <v>3272.7272727272725</v>
      </c>
    </row>
    <row r="340" spans="1:8" x14ac:dyDescent="0.3">
      <c r="A340">
        <v>39</v>
      </c>
      <c r="B340" s="168" t="s">
        <v>57</v>
      </c>
      <c r="C340" s="168" t="s">
        <v>58</v>
      </c>
      <c r="D340">
        <v>676.6</v>
      </c>
      <c r="E340">
        <v>2021</v>
      </c>
      <c r="F340" s="168" t="s">
        <v>590</v>
      </c>
      <c r="G340" s="168" t="s">
        <v>563</v>
      </c>
      <c r="H340">
        <v>1655.3018454801379</v>
      </c>
    </row>
    <row r="341" spans="1:8" x14ac:dyDescent="0.3">
      <c r="A341">
        <v>39</v>
      </c>
      <c r="B341" s="168" t="s">
        <v>57</v>
      </c>
      <c r="C341" s="168" t="s">
        <v>58</v>
      </c>
      <c r="D341">
        <v>676.6</v>
      </c>
      <c r="E341">
        <v>2021</v>
      </c>
      <c r="F341" s="168" t="s">
        <v>590</v>
      </c>
      <c r="G341" s="168" t="s">
        <v>564</v>
      </c>
      <c r="H341">
        <v>709.41507663434481</v>
      </c>
    </row>
    <row r="342" spans="1:8" x14ac:dyDescent="0.3">
      <c r="A342">
        <v>39</v>
      </c>
      <c r="B342" s="168" t="s">
        <v>57</v>
      </c>
      <c r="C342" s="168" t="s">
        <v>58</v>
      </c>
      <c r="D342">
        <v>676.6</v>
      </c>
      <c r="E342">
        <v>2021</v>
      </c>
      <c r="F342" s="168" t="s">
        <v>590</v>
      </c>
      <c r="G342" s="168" t="s">
        <v>600</v>
      </c>
      <c r="H342">
        <v>120639.36499999999</v>
      </c>
    </row>
    <row r="343" spans="1:8" x14ac:dyDescent="0.3">
      <c r="A343">
        <v>39</v>
      </c>
      <c r="B343" s="168" t="s">
        <v>57</v>
      </c>
      <c r="C343" s="168" t="s">
        <v>58</v>
      </c>
      <c r="D343">
        <v>676.6</v>
      </c>
      <c r="E343">
        <v>2021</v>
      </c>
      <c r="F343" s="168" t="s">
        <v>590</v>
      </c>
      <c r="G343" s="168" t="s">
        <v>601</v>
      </c>
      <c r="H343">
        <v>51702.584999999992</v>
      </c>
    </row>
    <row r="344" spans="1:8" x14ac:dyDescent="0.3">
      <c r="A344">
        <v>39</v>
      </c>
      <c r="B344" s="168" t="s">
        <v>57</v>
      </c>
      <c r="C344" s="168" t="s">
        <v>58</v>
      </c>
      <c r="D344">
        <v>676.6</v>
      </c>
      <c r="E344">
        <v>2021</v>
      </c>
      <c r="F344" s="168" t="s">
        <v>590</v>
      </c>
      <c r="G344" s="168" t="s">
        <v>575</v>
      </c>
      <c r="H344">
        <v>0</v>
      </c>
    </row>
    <row r="345" spans="1:8" x14ac:dyDescent="0.3">
      <c r="A345">
        <v>39</v>
      </c>
      <c r="B345" s="168" t="s">
        <v>57</v>
      </c>
      <c r="C345" s="168" t="s">
        <v>58</v>
      </c>
      <c r="D345">
        <v>676.6</v>
      </c>
      <c r="E345">
        <v>2021</v>
      </c>
      <c r="F345" s="168" t="s">
        <v>590</v>
      </c>
      <c r="G345" s="168" t="s">
        <v>576</v>
      </c>
      <c r="H345">
        <v>2827.9048316502403</v>
      </c>
    </row>
    <row r="346" spans="1:8" x14ac:dyDescent="0.3">
      <c r="A346">
        <v>39</v>
      </c>
      <c r="B346" s="168" t="s">
        <v>57</v>
      </c>
      <c r="C346" s="168" t="s">
        <v>58</v>
      </c>
      <c r="D346">
        <v>676.6</v>
      </c>
      <c r="E346">
        <v>2021</v>
      </c>
      <c r="F346" s="168" t="s">
        <v>590</v>
      </c>
      <c r="G346" s="168" t="s">
        <v>585</v>
      </c>
      <c r="H346">
        <v>22406.425758364716</v>
      </c>
    </row>
    <row r="347" spans="1:8" x14ac:dyDescent="0.3">
      <c r="A347">
        <v>39</v>
      </c>
      <c r="B347" s="168" t="s">
        <v>57</v>
      </c>
      <c r="C347" s="168" t="s">
        <v>58</v>
      </c>
      <c r="D347">
        <v>676.6</v>
      </c>
      <c r="E347">
        <v>2021</v>
      </c>
      <c r="F347" s="168" t="s">
        <v>590</v>
      </c>
      <c r="G347" s="168" t="s">
        <v>586</v>
      </c>
      <c r="H347">
        <v>14366.253328325376</v>
      </c>
    </row>
    <row r="348" spans="1:8" x14ac:dyDescent="0.3">
      <c r="A348">
        <v>40</v>
      </c>
      <c r="B348" s="168" t="s">
        <v>27</v>
      </c>
      <c r="C348" s="168" t="s">
        <v>59</v>
      </c>
      <c r="D348">
        <v>16237.4</v>
      </c>
      <c r="E348">
        <v>2021</v>
      </c>
      <c r="F348" s="168" t="s">
        <v>592</v>
      </c>
      <c r="G348" s="168" t="s">
        <v>548</v>
      </c>
      <c r="H348">
        <v>0</v>
      </c>
    </row>
    <row r="349" spans="1:8" x14ac:dyDescent="0.3">
      <c r="A349">
        <v>40</v>
      </c>
      <c r="B349" s="168" t="s">
        <v>27</v>
      </c>
      <c r="C349" s="168" t="s">
        <v>59</v>
      </c>
      <c r="D349">
        <v>16237.4</v>
      </c>
      <c r="E349">
        <v>2021</v>
      </c>
      <c r="F349" s="168" t="s">
        <v>592</v>
      </c>
      <c r="G349" s="168" t="s">
        <v>549</v>
      </c>
      <c r="H349">
        <v>2827661.4400000004</v>
      </c>
    </row>
    <row r="350" spans="1:8" x14ac:dyDescent="0.3">
      <c r="A350">
        <v>40</v>
      </c>
      <c r="B350" s="168" t="s">
        <v>27</v>
      </c>
      <c r="C350" s="168" t="s">
        <v>59</v>
      </c>
      <c r="D350">
        <v>16237.4</v>
      </c>
      <c r="E350">
        <v>2021</v>
      </c>
      <c r="F350" s="168" t="s">
        <v>592</v>
      </c>
      <c r="G350" s="168" t="s">
        <v>598</v>
      </c>
      <c r="H350">
        <v>0</v>
      </c>
    </row>
    <row r="351" spans="1:8" x14ac:dyDescent="0.3">
      <c r="A351">
        <v>40</v>
      </c>
      <c r="B351" s="168" t="s">
        <v>27</v>
      </c>
      <c r="C351" s="168" t="s">
        <v>59</v>
      </c>
      <c r="D351">
        <v>16237.4</v>
      </c>
      <c r="E351">
        <v>2021</v>
      </c>
      <c r="F351" s="168" t="s">
        <v>592</v>
      </c>
      <c r="G351" s="168" t="s">
        <v>599</v>
      </c>
      <c r="H351">
        <v>6331462.9580164403</v>
      </c>
    </row>
    <row r="352" spans="1:8" x14ac:dyDescent="0.3">
      <c r="A352">
        <v>40</v>
      </c>
      <c r="B352" s="168" t="s">
        <v>27</v>
      </c>
      <c r="C352" s="168" t="s">
        <v>59</v>
      </c>
      <c r="D352">
        <v>16237.4</v>
      </c>
      <c r="E352">
        <v>2021</v>
      </c>
      <c r="F352" s="168" t="s">
        <v>592</v>
      </c>
      <c r="G352" s="168" t="s">
        <v>554</v>
      </c>
      <c r="H352">
        <v>0</v>
      </c>
    </row>
    <row r="353" spans="1:8" x14ac:dyDescent="0.3">
      <c r="A353">
        <v>40</v>
      </c>
      <c r="B353" s="168" t="s">
        <v>27</v>
      </c>
      <c r="C353" s="168" t="s">
        <v>59</v>
      </c>
      <c r="D353">
        <v>16237.4</v>
      </c>
      <c r="E353">
        <v>2021</v>
      </c>
      <c r="F353" s="168" t="s">
        <v>592</v>
      </c>
      <c r="G353" s="168" t="s">
        <v>555</v>
      </c>
      <c r="H353">
        <v>25701.473755173123</v>
      </c>
    </row>
    <row r="354" spans="1:8" x14ac:dyDescent="0.3">
      <c r="A354">
        <v>40</v>
      </c>
      <c r="B354" s="168" t="s">
        <v>27</v>
      </c>
      <c r="C354" s="168" t="s">
        <v>59</v>
      </c>
      <c r="D354">
        <v>16237.4</v>
      </c>
      <c r="E354">
        <v>2021</v>
      </c>
      <c r="F354" s="168" t="s">
        <v>592</v>
      </c>
      <c r="G354" s="168" t="s">
        <v>558</v>
      </c>
      <c r="H354">
        <v>0</v>
      </c>
    </row>
    <row r="355" spans="1:8" x14ac:dyDescent="0.3">
      <c r="A355">
        <v>40</v>
      </c>
      <c r="B355" s="168" t="s">
        <v>27</v>
      </c>
      <c r="C355" s="168" t="s">
        <v>59</v>
      </c>
      <c r="D355">
        <v>16237.4</v>
      </c>
      <c r="E355">
        <v>2021</v>
      </c>
      <c r="F355" s="168" t="s">
        <v>592</v>
      </c>
      <c r="G355" s="168" t="s">
        <v>559</v>
      </c>
      <c r="H355">
        <v>286599.05660377361</v>
      </c>
    </row>
    <row r="356" spans="1:8" x14ac:dyDescent="0.3">
      <c r="A356">
        <v>40</v>
      </c>
      <c r="B356" s="168" t="s">
        <v>27</v>
      </c>
      <c r="C356" s="168" t="s">
        <v>59</v>
      </c>
      <c r="D356">
        <v>16237.4</v>
      </c>
      <c r="E356">
        <v>2021</v>
      </c>
      <c r="F356" s="168" t="s">
        <v>592</v>
      </c>
      <c r="G356" s="168" t="s">
        <v>595</v>
      </c>
      <c r="H356">
        <v>0</v>
      </c>
    </row>
    <row r="357" spans="1:8" x14ac:dyDescent="0.3">
      <c r="A357">
        <v>40</v>
      </c>
      <c r="B357" s="168" t="s">
        <v>27</v>
      </c>
      <c r="C357" s="168" t="s">
        <v>59</v>
      </c>
      <c r="D357">
        <v>16237.4</v>
      </c>
      <c r="E357">
        <v>2021</v>
      </c>
      <c r="F357" s="168" t="s">
        <v>592</v>
      </c>
      <c r="G357" s="168" t="s">
        <v>560</v>
      </c>
      <c r="H357">
        <v>46545.454545454551</v>
      </c>
    </row>
    <row r="358" spans="1:8" x14ac:dyDescent="0.3">
      <c r="A358">
        <v>40</v>
      </c>
      <c r="B358" s="168" t="s">
        <v>27</v>
      </c>
      <c r="C358" s="168" t="s">
        <v>59</v>
      </c>
      <c r="D358">
        <v>16237.4</v>
      </c>
      <c r="E358">
        <v>2021</v>
      </c>
      <c r="F358" s="168" t="s">
        <v>592</v>
      </c>
      <c r="G358" s="168" t="s">
        <v>585</v>
      </c>
      <c r="H358">
        <v>0</v>
      </c>
    </row>
    <row r="359" spans="1:8" x14ac:dyDescent="0.3">
      <c r="A359">
        <v>40</v>
      </c>
      <c r="B359" s="168" t="s">
        <v>27</v>
      </c>
      <c r="C359" s="168" t="s">
        <v>59</v>
      </c>
      <c r="D359">
        <v>16237.4</v>
      </c>
      <c r="E359">
        <v>2021</v>
      </c>
      <c r="F359" s="168" t="s">
        <v>592</v>
      </c>
      <c r="G359" s="168" t="s">
        <v>586</v>
      </c>
      <c r="H359">
        <v>2749915.0385841941</v>
      </c>
    </row>
    <row r="360" spans="1:8" x14ac:dyDescent="0.3">
      <c r="A360">
        <v>41</v>
      </c>
      <c r="B360" s="168" t="s">
        <v>60</v>
      </c>
      <c r="C360" s="168" t="s">
        <v>61</v>
      </c>
      <c r="D360">
        <v>3051</v>
      </c>
      <c r="E360">
        <v>2021</v>
      </c>
      <c r="F360" s="168" t="s">
        <v>592</v>
      </c>
      <c r="G360" s="168" t="s">
        <v>548</v>
      </c>
      <c r="H360">
        <v>0</v>
      </c>
    </row>
    <row r="361" spans="1:8" x14ac:dyDescent="0.3">
      <c r="A361">
        <v>41</v>
      </c>
      <c r="B361" s="168" t="s">
        <v>60</v>
      </c>
      <c r="C361" s="168" t="s">
        <v>61</v>
      </c>
      <c r="D361">
        <v>3051</v>
      </c>
      <c r="E361">
        <v>2021</v>
      </c>
      <c r="F361" s="168" t="s">
        <v>592</v>
      </c>
      <c r="G361" s="168" t="s">
        <v>549</v>
      </c>
      <c r="H361">
        <v>2572595</v>
      </c>
    </row>
    <row r="362" spans="1:8" x14ac:dyDescent="0.3">
      <c r="A362">
        <v>41</v>
      </c>
      <c r="B362" s="168" t="s">
        <v>60</v>
      </c>
      <c r="C362" s="168" t="s">
        <v>61</v>
      </c>
      <c r="D362">
        <v>3051</v>
      </c>
      <c r="E362">
        <v>2021</v>
      </c>
      <c r="F362" s="168" t="s">
        <v>592</v>
      </c>
      <c r="G362" s="168" t="s">
        <v>550</v>
      </c>
      <c r="H362">
        <v>0</v>
      </c>
    </row>
    <row r="363" spans="1:8" x14ac:dyDescent="0.3">
      <c r="A363">
        <v>41</v>
      </c>
      <c r="B363" s="168" t="s">
        <v>60</v>
      </c>
      <c r="C363" s="168" t="s">
        <v>61</v>
      </c>
      <c r="D363">
        <v>3051</v>
      </c>
      <c r="E363">
        <v>2021</v>
      </c>
      <c r="F363" s="168" t="s">
        <v>592</v>
      </c>
      <c r="G363" s="168" t="s">
        <v>551</v>
      </c>
      <c r="H363">
        <v>184260</v>
      </c>
    </row>
    <row r="364" spans="1:8" x14ac:dyDescent="0.3">
      <c r="A364">
        <v>41</v>
      </c>
      <c r="B364" s="168" t="s">
        <v>60</v>
      </c>
      <c r="C364" s="168" t="s">
        <v>61</v>
      </c>
      <c r="D364">
        <v>3051</v>
      </c>
      <c r="E364">
        <v>2021</v>
      </c>
      <c r="F364" s="168" t="s">
        <v>592</v>
      </c>
      <c r="G364" s="168" t="s">
        <v>598</v>
      </c>
      <c r="H364">
        <v>0</v>
      </c>
    </row>
    <row r="365" spans="1:8" x14ac:dyDescent="0.3">
      <c r="A365">
        <v>41</v>
      </c>
      <c r="B365" s="168" t="s">
        <v>60</v>
      </c>
      <c r="C365" s="168" t="s">
        <v>61</v>
      </c>
      <c r="D365">
        <v>3051</v>
      </c>
      <c r="E365">
        <v>2021</v>
      </c>
      <c r="F365" s="168" t="s">
        <v>592</v>
      </c>
      <c r="G365" s="168" t="s">
        <v>599</v>
      </c>
      <c r="H365">
        <v>833946.578553712</v>
      </c>
    </row>
    <row r="366" spans="1:8" x14ac:dyDescent="0.3">
      <c r="A366">
        <v>41</v>
      </c>
      <c r="B366" s="168" t="s">
        <v>60</v>
      </c>
      <c r="C366" s="168" t="s">
        <v>61</v>
      </c>
      <c r="D366">
        <v>3051</v>
      </c>
      <c r="E366">
        <v>2021</v>
      </c>
      <c r="F366" s="168" t="s">
        <v>592</v>
      </c>
      <c r="G366" s="168" t="s">
        <v>554</v>
      </c>
      <c r="H366">
        <v>0</v>
      </c>
    </row>
    <row r="367" spans="1:8" x14ac:dyDescent="0.3">
      <c r="A367">
        <v>41</v>
      </c>
      <c r="B367" s="168" t="s">
        <v>60</v>
      </c>
      <c r="C367" s="168" t="s">
        <v>61</v>
      </c>
      <c r="D367">
        <v>3051</v>
      </c>
      <c r="E367">
        <v>2021</v>
      </c>
      <c r="F367" s="168" t="s">
        <v>592</v>
      </c>
      <c r="G367" s="168" t="s">
        <v>555</v>
      </c>
      <c r="H367">
        <v>4799.23596936387</v>
      </c>
    </row>
    <row r="368" spans="1:8" x14ac:dyDescent="0.3">
      <c r="A368">
        <v>41</v>
      </c>
      <c r="B368" s="168" t="s">
        <v>60</v>
      </c>
      <c r="C368" s="168" t="s">
        <v>61</v>
      </c>
      <c r="D368">
        <v>3051</v>
      </c>
      <c r="E368">
        <v>2021</v>
      </c>
      <c r="F368" s="168" t="s">
        <v>592</v>
      </c>
      <c r="G368" s="168" t="s">
        <v>558</v>
      </c>
      <c r="H368">
        <v>0</v>
      </c>
    </row>
    <row r="369" spans="1:8" x14ac:dyDescent="0.3">
      <c r="A369">
        <v>41</v>
      </c>
      <c r="B369" s="168" t="s">
        <v>60</v>
      </c>
      <c r="C369" s="168" t="s">
        <v>61</v>
      </c>
      <c r="D369">
        <v>3051</v>
      </c>
      <c r="E369">
        <v>2021</v>
      </c>
      <c r="F369" s="168" t="s">
        <v>592</v>
      </c>
      <c r="G369" s="168" t="s">
        <v>559</v>
      </c>
      <c r="H369">
        <v>36509.433962264156</v>
      </c>
    </row>
    <row r="370" spans="1:8" x14ac:dyDescent="0.3">
      <c r="A370">
        <v>41</v>
      </c>
      <c r="B370" s="168" t="s">
        <v>60</v>
      </c>
      <c r="C370" s="168" t="s">
        <v>61</v>
      </c>
      <c r="D370">
        <v>3051</v>
      </c>
      <c r="E370">
        <v>2021</v>
      </c>
      <c r="F370" s="168" t="s">
        <v>592</v>
      </c>
      <c r="G370" s="168" t="s">
        <v>563</v>
      </c>
      <c r="H370">
        <v>0</v>
      </c>
    </row>
    <row r="371" spans="1:8" x14ac:dyDescent="0.3">
      <c r="A371">
        <v>41</v>
      </c>
      <c r="B371" s="168" t="s">
        <v>60</v>
      </c>
      <c r="C371" s="168" t="s">
        <v>61</v>
      </c>
      <c r="D371">
        <v>3051</v>
      </c>
      <c r="E371">
        <v>2021</v>
      </c>
      <c r="F371" s="168" t="s">
        <v>592</v>
      </c>
      <c r="G371" s="168" t="s">
        <v>564</v>
      </c>
      <c r="H371">
        <v>36000</v>
      </c>
    </row>
    <row r="372" spans="1:8" x14ac:dyDescent="0.3">
      <c r="A372">
        <v>41</v>
      </c>
      <c r="B372" s="168" t="s">
        <v>60</v>
      </c>
      <c r="C372" s="168" t="s">
        <v>61</v>
      </c>
      <c r="D372">
        <v>3051</v>
      </c>
      <c r="E372">
        <v>2021</v>
      </c>
      <c r="F372" s="168" t="s">
        <v>592</v>
      </c>
      <c r="G372" s="168" t="s">
        <v>585</v>
      </c>
      <c r="H372">
        <v>0</v>
      </c>
    </row>
    <row r="373" spans="1:8" x14ac:dyDescent="0.3">
      <c r="A373">
        <v>41</v>
      </c>
      <c r="B373" s="168" t="s">
        <v>60</v>
      </c>
      <c r="C373" s="168" t="s">
        <v>61</v>
      </c>
      <c r="D373">
        <v>3051</v>
      </c>
      <c r="E373">
        <v>2021</v>
      </c>
      <c r="F373" s="168" t="s">
        <v>592</v>
      </c>
      <c r="G373" s="168" t="s">
        <v>586</v>
      </c>
      <c r="H373">
        <v>770367.18234781304</v>
      </c>
    </row>
    <row r="374" spans="1:8" x14ac:dyDescent="0.3">
      <c r="A374">
        <v>42</v>
      </c>
      <c r="B374" s="168" t="s">
        <v>62</v>
      </c>
      <c r="C374" s="168" t="s">
        <v>63</v>
      </c>
      <c r="D374">
        <v>1467.1</v>
      </c>
      <c r="E374">
        <v>2021</v>
      </c>
      <c r="F374" s="168" t="s">
        <v>593</v>
      </c>
      <c r="G374" s="168" t="s">
        <v>548</v>
      </c>
      <c r="H374">
        <v>0</v>
      </c>
    </row>
    <row r="375" spans="1:8" x14ac:dyDescent="0.3">
      <c r="A375">
        <v>42</v>
      </c>
      <c r="B375" s="168" t="s">
        <v>62</v>
      </c>
      <c r="C375" s="168" t="s">
        <v>63</v>
      </c>
      <c r="D375">
        <v>1467.1</v>
      </c>
      <c r="E375">
        <v>2021</v>
      </c>
      <c r="F375" s="168" t="s">
        <v>593</v>
      </c>
      <c r="G375" s="168" t="s">
        <v>549</v>
      </c>
      <c r="H375">
        <v>2560865</v>
      </c>
    </row>
    <row r="376" spans="1:8" x14ac:dyDescent="0.3">
      <c r="A376">
        <v>42</v>
      </c>
      <c r="B376" s="168" t="s">
        <v>62</v>
      </c>
      <c r="C376" s="168" t="s">
        <v>63</v>
      </c>
      <c r="D376">
        <v>1467.1</v>
      </c>
      <c r="E376">
        <v>2021</v>
      </c>
      <c r="F376" s="168" t="s">
        <v>593</v>
      </c>
      <c r="G376" s="168" t="s">
        <v>558</v>
      </c>
      <c r="H376">
        <v>0</v>
      </c>
    </row>
    <row r="377" spans="1:8" x14ac:dyDescent="0.3">
      <c r="A377">
        <v>42</v>
      </c>
      <c r="B377" s="168" t="s">
        <v>62</v>
      </c>
      <c r="C377" s="168" t="s">
        <v>63</v>
      </c>
      <c r="D377">
        <v>1467.1</v>
      </c>
      <c r="E377">
        <v>2021</v>
      </c>
      <c r="F377" s="168" t="s">
        <v>593</v>
      </c>
      <c r="G377" s="168" t="s">
        <v>559</v>
      </c>
      <c r="H377">
        <v>25556.603773584906</v>
      </c>
    </row>
    <row r="378" spans="1:8" x14ac:dyDescent="0.3">
      <c r="A378">
        <v>42</v>
      </c>
      <c r="B378" s="168" t="s">
        <v>62</v>
      </c>
      <c r="C378" s="168" t="s">
        <v>63</v>
      </c>
      <c r="D378">
        <v>1467.1</v>
      </c>
      <c r="E378">
        <v>2021</v>
      </c>
      <c r="F378" s="168" t="s">
        <v>593</v>
      </c>
      <c r="G378" s="168" t="s">
        <v>595</v>
      </c>
      <c r="H378">
        <v>0</v>
      </c>
    </row>
    <row r="379" spans="1:8" x14ac:dyDescent="0.3">
      <c r="A379">
        <v>42</v>
      </c>
      <c r="B379" s="168" t="s">
        <v>62</v>
      </c>
      <c r="C379" s="168" t="s">
        <v>63</v>
      </c>
      <c r="D379">
        <v>1467.1</v>
      </c>
      <c r="E379">
        <v>2021</v>
      </c>
      <c r="F379" s="168" t="s">
        <v>593</v>
      </c>
      <c r="G379" s="168" t="s">
        <v>560</v>
      </c>
      <c r="H379">
        <v>6545.454545454545</v>
      </c>
    </row>
    <row r="380" spans="1:8" x14ac:dyDescent="0.3">
      <c r="A380">
        <v>42</v>
      </c>
      <c r="B380" s="168" t="s">
        <v>62</v>
      </c>
      <c r="C380" s="168" t="s">
        <v>63</v>
      </c>
      <c r="D380">
        <v>1467.1</v>
      </c>
      <c r="E380">
        <v>2021</v>
      </c>
      <c r="F380" s="168" t="s">
        <v>593</v>
      </c>
      <c r="G380" s="168" t="s">
        <v>585</v>
      </c>
      <c r="H380">
        <v>0</v>
      </c>
    </row>
    <row r="381" spans="1:8" x14ac:dyDescent="0.3">
      <c r="A381">
        <v>42</v>
      </c>
      <c r="B381" s="168" t="s">
        <v>62</v>
      </c>
      <c r="C381" s="168" t="s">
        <v>63</v>
      </c>
      <c r="D381">
        <v>1467.1</v>
      </c>
      <c r="E381">
        <v>2021</v>
      </c>
      <c r="F381" s="168" t="s">
        <v>593</v>
      </c>
      <c r="G381" s="168" t="s">
        <v>586</v>
      </c>
      <c r="H381">
        <v>497184.57569369901</v>
      </c>
    </row>
    <row r="382" spans="1:8" x14ac:dyDescent="0.3">
      <c r="A382">
        <v>43</v>
      </c>
      <c r="B382" s="168" t="s">
        <v>64</v>
      </c>
      <c r="C382" s="168" t="s">
        <v>65</v>
      </c>
      <c r="D382">
        <v>1779.1</v>
      </c>
      <c r="E382">
        <v>2021</v>
      </c>
      <c r="F382" s="168" t="s">
        <v>592</v>
      </c>
      <c r="G382" s="168" t="s">
        <v>548</v>
      </c>
      <c r="H382">
        <v>0</v>
      </c>
    </row>
    <row r="383" spans="1:8" x14ac:dyDescent="0.3">
      <c r="A383">
        <v>43</v>
      </c>
      <c r="B383" s="168" t="s">
        <v>64</v>
      </c>
      <c r="C383" s="168" t="s">
        <v>65</v>
      </c>
      <c r="D383">
        <v>1779.1</v>
      </c>
      <c r="E383">
        <v>2021</v>
      </c>
      <c r="F383" s="168" t="s">
        <v>592</v>
      </c>
      <c r="G383" s="168" t="s">
        <v>549</v>
      </c>
      <c r="H383">
        <v>650675</v>
      </c>
    </row>
    <row r="384" spans="1:8" x14ac:dyDescent="0.3">
      <c r="A384">
        <v>43</v>
      </c>
      <c r="B384" s="168" t="s">
        <v>64</v>
      </c>
      <c r="C384" s="168" t="s">
        <v>65</v>
      </c>
      <c r="D384">
        <v>1779.1</v>
      </c>
      <c r="E384">
        <v>2021</v>
      </c>
      <c r="F384" s="168" t="s">
        <v>592</v>
      </c>
      <c r="G384" s="168" t="s">
        <v>550</v>
      </c>
      <c r="H384">
        <v>0</v>
      </c>
    </row>
    <row r="385" spans="1:8" x14ac:dyDescent="0.3">
      <c r="A385">
        <v>43</v>
      </c>
      <c r="B385" s="168" t="s">
        <v>64</v>
      </c>
      <c r="C385" s="168" t="s">
        <v>65</v>
      </c>
      <c r="D385">
        <v>1779.1</v>
      </c>
      <c r="E385">
        <v>2021</v>
      </c>
      <c r="F385" s="168" t="s">
        <v>592</v>
      </c>
      <c r="G385" s="168" t="s">
        <v>551</v>
      </c>
      <c r="H385">
        <v>24900</v>
      </c>
    </row>
    <row r="386" spans="1:8" x14ac:dyDescent="0.3">
      <c r="A386">
        <v>43</v>
      </c>
      <c r="B386" s="168" t="s">
        <v>64</v>
      </c>
      <c r="C386" s="168" t="s">
        <v>65</v>
      </c>
      <c r="D386">
        <v>1779.1</v>
      </c>
      <c r="E386">
        <v>2021</v>
      </c>
      <c r="F386" s="168" t="s">
        <v>592</v>
      </c>
      <c r="G386" s="168" t="s">
        <v>598</v>
      </c>
      <c r="H386">
        <v>0</v>
      </c>
    </row>
    <row r="387" spans="1:8" x14ac:dyDescent="0.3">
      <c r="A387">
        <v>43</v>
      </c>
      <c r="B387" s="168" t="s">
        <v>64</v>
      </c>
      <c r="C387" s="168" t="s">
        <v>65</v>
      </c>
      <c r="D387">
        <v>1779.1</v>
      </c>
      <c r="E387">
        <v>2021</v>
      </c>
      <c r="F387" s="168" t="s">
        <v>592</v>
      </c>
      <c r="G387" s="168" t="s">
        <v>599</v>
      </c>
      <c r="H387">
        <v>629394.95228111197</v>
      </c>
    </row>
    <row r="388" spans="1:8" x14ac:dyDescent="0.3">
      <c r="A388">
        <v>43</v>
      </c>
      <c r="B388" s="168" t="s">
        <v>64</v>
      </c>
      <c r="C388" s="168" t="s">
        <v>65</v>
      </c>
      <c r="D388">
        <v>1779.1</v>
      </c>
      <c r="E388">
        <v>2021</v>
      </c>
      <c r="F388" s="168" t="s">
        <v>592</v>
      </c>
      <c r="G388" s="168" t="s">
        <v>554</v>
      </c>
      <c r="H388">
        <v>0</v>
      </c>
    </row>
    <row r="389" spans="1:8" x14ac:dyDescent="0.3">
      <c r="A389">
        <v>43</v>
      </c>
      <c r="B389" s="168" t="s">
        <v>64</v>
      </c>
      <c r="C389" s="168" t="s">
        <v>65</v>
      </c>
      <c r="D389">
        <v>1779.1</v>
      </c>
      <c r="E389">
        <v>2021</v>
      </c>
      <c r="F389" s="168" t="s">
        <v>592</v>
      </c>
      <c r="G389" s="168" t="s">
        <v>555</v>
      </c>
      <c r="H389">
        <v>2810.6439954307971</v>
      </c>
    </row>
    <row r="390" spans="1:8" x14ac:dyDescent="0.3">
      <c r="A390">
        <v>43</v>
      </c>
      <c r="B390" s="168" t="s">
        <v>64</v>
      </c>
      <c r="C390" s="168" t="s">
        <v>65</v>
      </c>
      <c r="D390">
        <v>1779.1</v>
      </c>
      <c r="E390">
        <v>2021</v>
      </c>
      <c r="F390" s="168" t="s">
        <v>592</v>
      </c>
      <c r="G390" s="168" t="s">
        <v>558</v>
      </c>
      <c r="H390">
        <v>0</v>
      </c>
    </row>
    <row r="391" spans="1:8" x14ac:dyDescent="0.3">
      <c r="A391">
        <v>43</v>
      </c>
      <c r="B391" s="168" t="s">
        <v>64</v>
      </c>
      <c r="C391" s="168" t="s">
        <v>65</v>
      </c>
      <c r="D391">
        <v>1779.1</v>
      </c>
      <c r="E391">
        <v>2021</v>
      </c>
      <c r="F391" s="168" t="s">
        <v>592</v>
      </c>
      <c r="G391" s="168" t="s">
        <v>559</v>
      </c>
      <c r="H391">
        <v>31033.018867924526</v>
      </c>
    </row>
    <row r="392" spans="1:8" x14ac:dyDescent="0.3">
      <c r="A392">
        <v>43</v>
      </c>
      <c r="B392" s="168" t="s">
        <v>64</v>
      </c>
      <c r="C392" s="168" t="s">
        <v>65</v>
      </c>
      <c r="D392">
        <v>1779.1</v>
      </c>
      <c r="E392">
        <v>2021</v>
      </c>
      <c r="F392" s="168" t="s">
        <v>592</v>
      </c>
      <c r="G392" s="168" t="s">
        <v>595</v>
      </c>
      <c r="H392">
        <v>0</v>
      </c>
    </row>
    <row r="393" spans="1:8" x14ac:dyDescent="0.3">
      <c r="A393">
        <v>43</v>
      </c>
      <c r="B393" s="168" t="s">
        <v>64</v>
      </c>
      <c r="C393" s="168" t="s">
        <v>65</v>
      </c>
      <c r="D393">
        <v>1779.1</v>
      </c>
      <c r="E393">
        <v>2021</v>
      </c>
      <c r="F393" s="168" t="s">
        <v>592</v>
      </c>
      <c r="G393" s="168" t="s">
        <v>560</v>
      </c>
      <c r="H393">
        <v>46770.727272727272</v>
      </c>
    </row>
    <row r="394" spans="1:8" x14ac:dyDescent="0.3">
      <c r="A394">
        <v>43</v>
      </c>
      <c r="B394" s="168" t="s">
        <v>64</v>
      </c>
      <c r="C394" s="168" t="s">
        <v>65</v>
      </c>
      <c r="D394">
        <v>1779.1</v>
      </c>
      <c r="E394">
        <v>2021</v>
      </c>
      <c r="F394" s="168" t="s">
        <v>592</v>
      </c>
      <c r="G394" s="168" t="s">
        <v>585</v>
      </c>
      <c r="H394">
        <v>0</v>
      </c>
    </row>
    <row r="395" spans="1:8" x14ac:dyDescent="0.3">
      <c r="A395">
        <v>43</v>
      </c>
      <c r="B395" s="168" t="s">
        <v>64</v>
      </c>
      <c r="C395" s="168" t="s">
        <v>65</v>
      </c>
      <c r="D395">
        <v>1779.1</v>
      </c>
      <c r="E395">
        <v>2021</v>
      </c>
      <c r="F395" s="168" t="s">
        <v>592</v>
      </c>
      <c r="G395" s="168" t="s">
        <v>586</v>
      </c>
      <c r="H395">
        <v>525409.595507783</v>
      </c>
    </row>
    <row r="396" spans="1:8" x14ac:dyDescent="0.3">
      <c r="A396">
        <v>44</v>
      </c>
      <c r="B396" s="168" t="s">
        <v>66</v>
      </c>
      <c r="C396" s="168" t="s">
        <v>67</v>
      </c>
      <c r="D396">
        <v>561.79999999999995</v>
      </c>
      <c r="E396">
        <v>2021</v>
      </c>
      <c r="F396" s="168" t="s">
        <v>593</v>
      </c>
      <c r="G396" s="168" t="s">
        <v>548</v>
      </c>
      <c r="H396">
        <v>0</v>
      </c>
    </row>
    <row r="397" spans="1:8" x14ac:dyDescent="0.3">
      <c r="A397">
        <v>44</v>
      </c>
      <c r="B397" s="168" t="s">
        <v>66</v>
      </c>
      <c r="C397" s="168" t="s">
        <v>67</v>
      </c>
      <c r="D397">
        <v>561.79999999999995</v>
      </c>
      <c r="E397">
        <v>2021</v>
      </c>
      <c r="F397" s="168" t="s">
        <v>593</v>
      </c>
      <c r="G397" s="168" t="s">
        <v>549</v>
      </c>
      <c r="H397">
        <v>641660</v>
      </c>
    </row>
    <row r="398" spans="1:8" x14ac:dyDescent="0.3">
      <c r="A398">
        <v>44</v>
      </c>
      <c r="B398" s="168" t="s">
        <v>66</v>
      </c>
      <c r="C398" s="168" t="s">
        <v>67</v>
      </c>
      <c r="D398">
        <v>561.79999999999995</v>
      </c>
      <c r="E398">
        <v>2021</v>
      </c>
      <c r="F398" s="168" t="s">
        <v>593</v>
      </c>
      <c r="G398" s="168" t="s">
        <v>554</v>
      </c>
      <c r="H398">
        <v>0</v>
      </c>
    </row>
    <row r="399" spans="1:8" x14ac:dyDescent="0.3">
      <c r="A399">
        <v>44</v>
      </c>
      <c r="B399" s="168" t="s">
        <v>66</v>
      </c>
      <c r="C399" s="168" t="s">
        <v>67</v>
      </c>
      <c r="D399">
        <v>561.79999999999995</v>
      </c>
      <c r="E399">
        <v>2021</v>
      </c>
      <c r="F399" s="168" t="s">
        <v>593</v>
      </c>
      <c r="G399" s="168" t="s">
        <v>555</v>
      </c>
      <c r="H399">
        <v>1179.281286867287</v>
      </c>
    </row>
    <row r="400" spans="1:8" x14ac:dyDescent="0.3">
      <c r="A400">
        <v>44</v>
      </c>
      <c r="B400" s="168" t="s">
        <v>66</v>
      </c>
      <c r="C400" s="168" t="s">
        <v>67</v>
      </c>
      <c r="D400">
        <v>561.79999999999995</v>
      </c>
      <c r="E400">
        <v>2021</v>
      </c>
      <c r="F400" s="168" t="s">
        <v>593</v>
      </c>
      <c r="G400" s="168" t="s">
        <v>585</v>
      </c>
      <c r="H400">
        <v>0</v>
      </c>
    </row>
    <row r="401" spans="1:8" x14ac:dyDescent="0.3">
      <c r="A401">
        <v>44</v>
      </c>
      <c r="B401" s="168" t="s">
        <v>66</v>
      </c>
      <c r="C401" s="168" t="s">
        <v>67</v>
      </c>
      <c r="D401">
        <v>561.79999999999995</v>
      </c>
      <c r="E401">
        <v>2021</v>
      </c>
      <c r="F401" s="168" t="s">
        <v>593</v>
      </c>
      <c r="G401" s="168" t="s">
        <v>586</v>
      </c>
      <c r="H401">
        <v>165912.60230244102</v>
      </c>
    </row>
    <row r="402" spans="1:8" x14ac:dyDescent="0.3">
      <c r="A402">
        <v>45</v>
      </c>
      <c r="B402" s="168" t="s">
        <v>30</v>
      </c>
      <c r="C402" s="168" t="s">
        <v>68</v>
      </c>
      <c r="D402">
        <v>4466.7</v>
      </c>
      <c r="E402">
        <v>2021</v>
      </c>
      <c r="F402" s="168" t="s">
        <v>591</v>
      </c>
      <c r="G402" s="168" t="s">
        <v>548</v>
      </c>
      <c r="H402">
        <v>906162.68400000001</v>
      </c>
    </row>
    <row r="403" spans="1:8" x14ac:dyDescent="0.3">
      <c r="A403">
        <v>45</v>
      </c>
      <c r="B403" s="168" t="s">
        <v>30</v>
      </c>
      <c r="C403" s="168" t="s">
        <v>68</v>
      </c>
      <c r="D403">
        <v>4466.7</v>
      </c>
      <c r="E403">
        <v>2021</v>
      </c>
      <c r="F403" s="168" t="s">
        <v>591</v>
      </c>
      <c r="G403" s="168" t="s">
        <v>549</v>
      </c>
      <c r="H403">
        <v>388355.43600000005</v>
      </c>
    </row>
    <row r="404" spans="1:8" x14ac:dyDescent="0.3">
      <c r="A404">
        <v>45</v>
      </c>
      <c r="B404" s="168" t="s">
        <v>30</v>
      </c>
      <c r="C404" s="168" t="s">
        <v>68</v>
      </c>
      <c r="D404">
        <v>4466.7</v>
      </c>
      <c r="E404">
        <v>2021</v>
      </c>
      <c r="F404" s="168" t="s">
        <v>591</v>
      </c>
      <c r="G404" s="168" t="s">
        <v>598</v>
      </c>
      <c r="H404">
        <v>0</v>
      </c>
    </row>
    <row r="405" spans="1:8" x14ac:dyDescent="0.3">
      <c r="A405">
        <v>45</v>
      </c>
      <c r="B405" s="168" t="s">
        <v>30</v>
      </c>
      <c r="C405" s="168" t="s">
        <v>68</v>
      </c>
      <c r="D405">
        <v>4466.7</v>
      </c>
      <c r="E405">
        <v>2021</v>
      </c>
      <c r="F405" s="168" t="s">
        <v>591</v>
      </c>
      <c r="G405" s="168" t="s">
        <v>599</v>
      </c>
      <c r="H405">
        <v>2604951.7611487401</v>
      </c>
    </row>
    <row r="406" spans="1:8" x14ac:dyDescent="0.3">
      <c r="A406">
        <v>45</v>
      </c>
      <c r="B406" s="168" t="s">
        <v>30</v>
      </c>
      <c r="C406" s="168" t="s">
        <v>68</v>
      </c>
      <c r="D406">
        <v>4466.7</v>
      </c>
      <c r="E406">
        <v>2021</v>
      </c>
      <c r="F406" s="168" t="s">
        <v>591</v>
      </c>
      <c r="G406" s="168" t="s">
        <v>558</v>
      </c>
      <c r="H406">
        <v>0</v>
      </c>
    </row>
    <row r="407" spans="1:8" x14ac:dyDescent="0.3">
      <c r="A407">
        <v>45</v>
      </c>
      <c r="B407" s="168" t="s">
        <v>30</v>
      </c>
      <c r="C407" s="168" t="s">
        <v>68</v>
      </c>
      <c r="D407">
        <v>4466.7</v>
      </c>
      <c r="E407">
        <v>2021</v>
      </c>
      <c r="F407" s="168" t="s">
        <v>591</v>
      </c>
      <c r="G407" s="168" t="s">
        <v>559</v>
      </c>
      <c r="H407">
        <v>7301.8867924528295</v>
      </c>
    </row>
    <row r="408" spans="1:8" x14ac:dyDescent="0.3">
      <c r="A408">
        <v>45</v>
      </c>
      <c r="B408" s="168" t="s">
        <v>30</v>
      </c>
      <c r="C408" s="168" t="s">
        <v>68</v>
      </c>
      <c r="D408">
        <v>4466.7</v>
      </c>
      <c r="E408">
        <v>2021</v>
      </c>
      <c r="F408" s="168" t="s">
        <v>591</v>
      </c>
      <c r="G408" s="168" t="s">
        <v>595</v>
      </c>
      <c r="H408">
        <v>0</v>
      </c>
    </row>
    <row r="409" spans="1:8" x14ac:dyDescent="0.3">
      <c r="A409">
        <v>45</v>
      </c>
      <c r="B409" s="168" t="s">
        <v>30</v>
      </c>
      <c r="C409" s="168" t="s">
        <v>68</v>
      </c>
      <c r="D409">
        <v>4466.7</v>
      </c>
      <c r="E409">
        <v>2021</v>
      </c>
      <c r="F409" s="168" t="s">
        <v>591</v>
      </c>
      <c r="G409" s="168" t="s">
        <v>560</v>
      </c>
      <c r="H409">
        <v>65149.854545454553</v>
      </c>
    </row>
    <row r="410" spans="1:8" x14ac:dyDescent="0.3">
      <c r="A410">
        <v>45</v>
      </c>
      <c r="B410" s="168" t="s">
        <v>30</v>
      </c>
      <c r="C410" s="168" t="s">
        <v>68</v>
      </c>
      <c r="D410">
        <v>4466.7</v>
      </c>
      <c r="E410">
        <v>2021</v>
      </c>
      <c r="F410" s="168" t="s">
        <v>591</v>
      </c>
      <c r="G410" s="168" t="s">
        <v>563</v>
      </c>
      <c r="H410">
        <v>0</v>
      </c>
    </row>
    <row r="411" spans="1:8" x14ac:dyDescent="0.3">
      <c r="A411">
        <v>45</v>
      </c>
      <c r="B411" s="168" t="s">
        <v>30</v>
      </c>
      <c r="C411" s="168" t="s">
        <v>68</v>
      </c>
      <c r="D411">
        <v>4466.7</v>
      </c>
      <c r="E411">
        <v>2021</v>
      </c>
      <c r="F411" s="168" t="s">
        <v>591</v>
      </c>
      <c r="G411" s="168" t="s">
        <v>564</v>
      </c>
      <c r="H411">
        <v>36000</v>
      </c>
    </row>
    <row r="412" spans="1:8" x14ac:dyDescent="0.3">
      <c r="A412">
        <v>45</v>
      </c>
      <c r="B412" s="168" t="s">
        <v>30</v>
      </c>
      <c r="C412" s="168" t="s">
        <v>68</v>
      </c>
      <c r="D412">
        <v>4466.7</v>
      </c>
      <c r="E412">
        <v>2021</v>
      </c>
      <c r="F412" s="168" t="s">
        <v>591</v>
      </c>
      <c r="G412" s="168" t="s">
        <v>565</v>
      </c>
      <c r="H412">
        <v>0</v>
      </c>
    </row>
    <row r="413" spans="1:8" x14ac:dyDescent="0.3">
      <c r="A413">
        <v>45</v>
      </c>
      <c r="B413" s="168" t="s">
        <v>30</v>
      </c>
      <c r="C413" s="168" t="s">
        <v>68</v>
      </c>
      <c r="D413">
        <v>4466.7</v>
      </c>
      <c r="E413">
        <v>2021</v>
      </c>
      <c r="F413" s="168" t="s">
        <v>591</v>
      </c>
      <c r="G413" s="168" t="s">
        <v>566</v>
      </c>
      <c r="H413">
        <v>364168.48</v>
      </c>
    </row>
    <row r="414" spans="1:8" x14ac:dyDescent="0.3">
      <c r="A414">
        <v>45</v>
      </c>
      <c r="B414" s="168" t="s">
        <v>30</v>
      </c>
      <c r="C414" s="168" t="s">
        <v>68</v>
      </c>
      <c r="D414">
        <v>4466.7</v>
      </c>
      <c r="E414">
        <v>2021</v>
      </c>
      <c r="F414" s="168" t="s">
        <v>591</v>
      </c>
      <c r="G414" s="168" t="s">
        <v>585</v>
      </c>
      <c r="H414">
        <v>0</v>
      </c>
    </row>
    <row r="415" spans="1:8" x14ac:dyDescent="0.3">
      <c r="A415">
        <v>45</v>
      </c>
      <c r="B415" s="168" t="s">
        <v>30</v>
      </c>
      <c r="C415" s="168" t="s">
        <v>68</v>
      </c>
      <c r="D415">
        <v>4466.7</v>
      </c>
      <c r="E415">
        <v>2021</v>
      </c>
      <c r="F415" s="168" t="s">
        <v>591</v>
      </c>
      <c r="G415" s="168" t="s">
        <v>586</v>
      </c>
      <c r="H415">
        <v>1044284.4155640691</v>
      </c>
    </row>
    <row r="416" spans="1:8" x14ac:dyDescent="0.3">
      <c r="A416">
        <v>46</v>
      </c>
      <c r="B416" s="168" t="s">
        <v>37</v>
      </c>
      <c r="C416" s="168" t="s">
        <v>69</v>
      </c>
      <c r="D416">
        <v>912.3</v>
      </c>
      <c r="E416">
        <v>2021</v>
      </c>
      <c r="F416" s="168" t="s">
        <v>592</v>
      </c>
      <c r="G416" s="168" t="s">
        <v>548</v>
      </c>
      <c r="H416">
        <v>173196.60578167695</v>
      </c>
    </row>
    <row r="417" spans="1:8" x14ac:dyDescent="0.3">
      <c r="A417">
        <v>46</v>
      </c>
      <c r="B417" s="168" t="s">
        <v>37</v>
      </c>
      <c r="C417" s="168" t="s">
        <v>69</v>
      </c>
      <c r="D417">
        <v>912.3</v>
      </c>
      <c r="E417">
        <v>2021</v>
      </c>
      <c r="F417" s="168" t="s">
        <v>592</v>
      </c>
      <c r="G417" s="168" t="s">
        <v>549</v>
      </c>
      <c r="H417">
        <v>73758.511228452247</v>
      </c>
    </row>
    <row r="418" spans="1:8" x14ac:dyDescent="0.3">
      <c r="A418">
        <v>46</v>
      </c>
      <c r="B418" s="168" t="s">
        <v>37</v>
      </c>
      <c r="C418" s="168" t="s">
        <v>69</v>
      </c>
      <c r="D418">
        <v>912.3</v>
      </c>
      <c r="E418">
        <v>2021</v>
      </c>
      <c r="F418" s="168" t="s">
        <v>592</v>
      </c>
      <c r="G418" s="168" t="s">
        <v>561</v>
      </c>
      <c r="H418">
        <v>0</v>
      </c>
    </row>
    <row r="419" spans="1:8" x14ac:dyDescent="0.3">
      <c r="A419">
        <v>46</v>
      </c>
      <c r="B419" s="168" t="s">
        <v>37</v>
      </c>
      <c r="C419" s="168" t="s">
        <v>69</v>
      </c>
      <c r="D419">
        <v>912.3</v>
      </c>
      <c r="E419">
        <v>2021</v>
      </c>
      <c r="F419" s="168" t="s">
        <v>592</v>
      </c>
      <c r="G419" s="168" t="s">
        <v>562</v>
      </c>
      <c r="H419">
        <v>448541.66666666669</v>
      </c>
    </row>
    <row r="420" spans="1:8" x14ac:dyDescent="0.3">
      <c r="A420">
        <v>46</v>
      </c>
      <c r="B420" s="168" t="s">
        <v>37</v>
      </c>
      <c r="C420" s="168" t="s">
        <v>69</v>
      </c>
      <c r="D420">
        <v>912.3</v>
      </c>
      <c r="E420">
        <v>2021</v>
      </c>
      <c r="F420" s="168" t="s">
        <v>592</v>
      </c>
      <c r="G420" s="168" t="s">
        <v>577</v>
      </c>
      <c r="H420">
        <v>0</v>
      </c>
    </row>
    <row r="421" spans="1:8" x14ac:dyDescent="0.3">
      <c r="A421">
        <v>46</v>
      </c>
      <c r="B421" s="168" t="s">
        <v>37</v>
      </c>
      <c r="C421" s="168" t="s">
        <v>69</v>
      </c>
      <c r="D421">
        <v>912.3</v>
      </c>
      <c r="E421">
        <v>2021</v>
      </c>
      <c r="F421" s="168" t="s">
        <v>592</v>
      </c>
      <c r="G421" s="168" t="s">
        <v>578</v>
      </c>
      <c r="H421">
        <v>63764.36056361474</v>
      </c>
    </row>
    <row r="422" spans="1:8" x14ac:dyDescent="0.3">
      <c r="A422">
        <v>47</v>
      </c>
      <c r="B422" s="168" t="s">
        <v>37</v>
      </c>
      <c r="C422" s="168" t="s">
        <v>70</v>
      </c>
      <c r="D422">
        <v>1610.7</v>
      </c>
      <c r="E422">
        <v>2021</v>
      </c>
      <c r="F422" s="168" t="s">
        <v>592</v>
      </c>
      <c r="G422" s="168" t="s">
        <v>548</v>
      </c>
      <c r="H422">
        <v>305785.12872141518</v>
      </c>
    </row>
    <row r="423" spans="1:8" x14ac:dyDescent="0.3">
      <c r="A423">
        <v>47</v>
      </c>
      <c r="B423" s="168" t="s">
        <v>37</v>
      </c>
      <c r="C423" s="168" t="s">
        <v>70</v>
      </c>
      <c r="D423">
        <v>1610.7</v>
      </c>
      <c r="E423">
        <v>2021</v>
      </c>
      <c r="F423" s="168" t="s">
        <v>592</v>
      </c>
      <c r="G423" s="168" t="s">
        <v>549</v>
      </c>
      <c r="H423">
        <v>130223.42873579748</v>
      </c>
    </row>
    <row r="424" spans="1:8" x14ac:dyDescent="0.3">
      <c r="A424">
        <v>47</v>
      </c>
      <c r="B424" s="168" t="s">
        <v>37</v>
      </c>
      <c r="C424" s="168" t="s">
        <v>70</v>
      </c>
      <c r="D424">
        <v>1610.7</v>
      </c>
      <c r="E424">
        <v>2021</v>
      </c>
      <c r="F424" s="168" t="s">
        <v>592</v>
      </c>
      <c r="G424" s="168" t="s">
        <v>550</v>
      </c>
      <c r="H424">
        <v>0</v>
      </c>
    </row>
    <row r="425" spans="1:8" x14ac:dyDescent="0.3">
      <c r="A425">
        <v>47</v>
      </c>
      <c r="B425" s="168" t="s">
        <v>37</v>
      </c>
      <c r="C425" s="168" t="s">
        <v>70</v>
      </c>
      <c r="D425">
        <v>1610.7</v>
      </c>
      <c r="E425">
        <v>2021</v>
      </c>
      <c r="F425" s="168" t="s">
        <v>592</v>
      </c>
      <c r="G425" s="168" t="s">
        <v>551</v>
      </c>
      <c r="H425">
        <v>90400</v>
      </c>
    </row>
    <row r="426" spans="1:8" x14ac:dyDescent="0.3">
      <c r="A426">
        <v>47</v>
      </c>
      <c r="B426" s="168" t="s">
        <v>37</v>
      </c>
      <c r="C426" s="168" t="s">
        <v>70</v>
      </c>
      <c r="D426">
        <v>1610.7</v>
      </c>
      <c r="E426">
        <v>2021</v>
      </c>
      <c r="F426" s="168" t="s">
        <v>592</v>
      </c>
      <c r="G426" s="168" t="s">
        <v>561</v>
      </c>
      <c r="H426">
        <v>0</v>
      </c>
    </row>
    <row r="427" spans="1:8" x14ac:dyDescent="0.3">
      <c r="A427">
        <v>47</v>
      </c>
      <c r="B427" s="168" t="s">
        <v>37</v>
      </c>
      <c r="C427" s="168" t="s">
        <v>70</v>
      </c>
      <c r="D427">
        <v>1610.7</v>
      </c>
      <c r="E427">
        <v>2021</v>
      </c>
      <c r="F427" s="168" t="s">
        <v>592</v>
      </c>
      <c r="G427" s="168" t="s">
        <v>562</v>
      </c>
      <c r="H427">
        <v>358833.33333333331</v>
      </c>
    </row>
    <row r="428" spans="1:8" x14ac:dyDescent="0.3">
      <c r="A428">
        <v>47</v>
      </c>
      <c r="B428" s="168" t="s">
        <v>37</v>
      </c>
      <c r="C428" s="168" t="s">
        <v>70</v>
      </c>
      <c r="D428">
        <v>1610.7</v>
      </c>
      <c r="E428">
        <v>2021</v>
      </c>
      <c r="F428" s="168" t="s">
        <v>592</v>
      </c>
      <c r="G428" s="168" t="s">
        <v>577</v>
      </c>
      <c r="H428">
        <v>0</v>
      </c>
    </row>
    <row r="429" spans="1:8" x14ac:dyDescent="0.3">
      <c r="A429">
        <v>47</v>
      </c>
      <c r="B429" s="168" t="s">
        <v>37</v>
      </c>
      <c r="C429" s="168" t="s">
        <v>70</v>
      </c>
      <c r="D429">
        <v>1610.7</v>
      </c>
      <c r="E429">
        <v>2021</v>
      </c>
      <c r="F429" s="168" t="s">
        <v>592</v>
      </c>
      <c r="G429" s="168" t="s">
        <v>578</v>
      </c>
      <c r="H429">
        <v>112578.37943638526</v>
      </c>
    </row>
    <row r="430" spans="1:8" x14ac:dyDescent="0.3">
      <c r="A430">
        <v>48</v>
      </c>
      <c r="B430" s="168" t="s">
        <v>71</v>
      </c>
      <c r="C430" s="168" t="s">
        <v>72</v>
      </c>
      <c r="D430">
        <v>18956.5</v>
      </c>
      <c r="E430">
        <v>2021</v>
      </c>
      <c r="F430" s="168" t="s">
        <v>592</v>
      </c>
      <c r="G430" s="168" t="s">
        <v>548</v>
      </c>
      <c r="H430">
        <v>172563.66824289903</v>
      </c>
    </row>
    <row r="431" spans="1:8" x14ac:dyDescent="0.3">
      <c r="A431">
        <v>48</v>
      </c>
      <c r="B431" s="168" t="s">
        <v>71</v>
      </c>
      <c r="C431" s="168" t="s">
        <v>72</v>
      </c>
      <c r="D431">
        <v>18956.5</v>
      </c>
      <c r="E431">
        <v>2021</v>
      </c>
      <c r="F431" s="168" t="s">
        <v>592</v>
      </c>
      <c r="G431" s="168" t="s">
        <v>549</v>
      </c>
      <c r="H431">
        <v>0</v>
      </c>
    </row>
    <row r="432" spans="1:8" x14ac:dyDescent="0.3">
      <c r="A432">
        <v>48</v>
      </c>
      <c r="B432" s="168" t="s">
        <v>71</v>
      </c>
      <c r="C432" s="168" t="s">
        <v>72</v>
      </c>
      <c r="D432">
        <v>18956.5</v>
      </c>
      <c r="E432">
        <v>2021</v>
      </c>
      <c r="F432" s="168" t="s">
        <v>592</v>
      </c>
      <c r="G432" s="168" t="s">
        <v>598</v>
      </c>
      <c r="H432">
        <v>0</v>
      </c>
    </row>
    <row r="433" spans="1:8" x14ac:dyDescent="0.3">
      <c r="A433">
        <v>48</v>
      </c>
      <c r="B433" s="168" t="s">
        <v>71</v>
      </c>
      <c r="C433" s="168" t="s">
        <v>72</v>
      </c>
      <c r="D433">
        <v>18956.5</v>
      </c>
      <c r="E433">
        <v>2021</v>
      </c>
      <c r="F433" s="168" t="s">
        <v>592</v>
      </c>
      <c r="G433" s="168" t="s">
        <v>599</v>
      </c>
      <c r="H433">
        <v>1480250</v>
      </c>
    </row>
    <row r="434" spans="1:8" x14ac:dyDescent="0.3">
      <c r="A434">
        <v>48</v>
      </c>
      <c r="B434" s="168" t="s">
        <v>71</v>
      </c>
      <c r="C434" s="168" t="s">
        <v>72</v>
      </c>
      <c r="D434">
        <v>18956.5</v>
      </c>
      <c r="E434">
        <v>2021</v>
      </c>
      <c r="F434" s="168" t="s">
        <v>592</v>
      </c>
      <c r="G434" s="168" t="s">
        <v>554</v>
      </c>
      <c r="H434">
        <v>12803.821878744808</v>
      </c>
    </row>
    <row r="435" spans="1:8" x14ac:dyDescent="0.3">
      <c r="A435">
        <v>48</v>
      </c>
      <c r="B435" s="168" t="s">
        <v>71</v>
      </c>
      <c r="C435" s="168" t="s">
        <v>72</v>
      </c>
      <c r="D435">
        <v>18956.5</v>
      </c>
      <c r="E435">
        <v>2021</v>
      </c>
      <c r="F435" s="168" t="s">
        <v>592</v>
      </c>
      <c r="G435" s="168" t="s">
        <v>555</v>
      </c>
      <c r="H435">
        <v>14441.69640905861</v>
      </c>
    </row>
    <row r="436" spans="1:8" x14ac:dyDescent="0.3">
      <c r="A436">
        <v>48</v>
      </c>
      <c r="B436" s="168" t="s">
        <v>71</v>
      </c>
      <c r="C436" s="168" t="s">
        <v>72</v>
      </c>
      <c r="D436">
        <v>18956.5</v>
      </c>
      <c r="E436">
        <v>2021</v>
      </c>
      <c r="F436" s="168" t="s">
        <v>592</v>
      </c>
      <c r="G436" s="168" t="s">
        <v>556</v>
      </c>
      <c r="H436">
        <v>0</v>
      </c>
    </row>
    <row r="437" spans="1:8" x14ac:dyDescent="0.3">
      <c r="A437">
        <v>48</v>
      </c>
      <c r="B437" s="168" t="s">
        <v>71</v>
      </c>
      <c r="C437" s="168" t="s">
        <v>72</v>
      </c>
      <c r="D437">
        <v>18956.5</v>
      </c>
      <c r="E437">
        <v>2021</v>
      </c>
      <c r="F437" s="168" t="s">
        <v>592</v>
      </c>
      <c r="G437" s="168" t="s">
        <v>557</v>
      </c>
      <c r="H437">
        <v>42606.741573033709</v>
      </c>
    </row>
    <row r="438" spans="1:8" x14ac:dyDescent="0.3">
      <c r="A438">
        <v>48</v>
      </c>
      <c r="B438" s="168" t="s">
        <v>71</v>
      </c>
      <c r="C438" s="168" t="s">
        <v>72</v>
      </c>
      <c r="D438">
        <v>18956.5</v>
      </c>
      <c r="E438">
        <v>2021</v>
      </c>
      <c r="F438" s="168" t="s">
        <v>592</v>
      </c>
      <c r="G438" s="168" t="s">
        <v>558</v>
      </c>
      <c r="H438">
        <v>0</v>
      </c>
    </row>
    <row r="439" spans="1:8" x14ac:dyDescent="0.3">
      <c r="A439">
        <v>48</v>
      </c>
      <c r="B439" s="168" t="s">
        <v>71</v>
      </c>
      <c r="C439" s="168" t="s">
        <v>72</v>
      </c>
      <c r="D439">
        <v>18956.5</v>
      </c>
      <c r="E439">
        <v>2021</v>
      </c>
      <c r="F439" s="168" t="s">
        <v>592</v>
      </c>
      <c r="G439" s="168" t="s">
        <v>559</v>
      </c>
      <c r="H439">
        <v>299000</v>
      </c>
    </row>
    <row r="440" spans="1:8" x14ac:dyDescent="0.3">
      <c r="A440">
        <v>48</v>
      </c>
      <c r="B440" s="168" t="s">
        <v>71</v>
      </c>
      <c r="C440" s="168" t="s">
        <v>72</v>
      </c>
      <c r="D440">
        <v>18956.5</v>
      </c>
      <c r="E440">
        <v>2021</v>
      </c>
      <c r="F440" s="168" t="s">
        <v>592</v>
      </c>
      <c r="G440" s="168" t="s">
        <v>595</v>
      </c>
      <c r="H440">
        <v>0</v>
      </c>
    </row>
    <row r="441" spans="1:8" x14ac:dyDescent="0.3">
      <c r="A441">
        <v>48</v>
      </c>
      <c r="B441" s="168" t="s">
        <v>71</v>
      </c>
      <c r="C441" s="168" t="s">
        <v>72</v>
      </c>
      <c r="D441">
        <v>18956.5</v>
      </c>
      <c r="E441">
        <v>2021</v>
      </c>
      <c r="F441" s="168" t="s">
        <v>592</v>
      </c>
      <c r="G441" s="168" t="s">
        <v>560</v>
      </c>
      <c r="H441">
        <v>311338.90909090912</v>
      </c>
    </row>
    <row r="442" spans="1:8" x14ac:dyDescent="0.3">
      <c r="A442">
        <v>48</v>
      </c>
      <c r="B442" s="168" t="s">
        <v>71</v>
      </c>
      <c r="C442" s="168" t="s">
        <v>72</v>
      </c>
      <c r="D442">
        <v>18956.5</v>
      </c>
      <c r="E442">
        <v>2021</v>
      </c>
      <c r="F442" s="168" t="s">
        <v>592</v>
      </c>
      <c r="G442" s="168" t="s">
        <v>561</v>
      </c>
      <c r="H442">
        <v>452096.1080645161</v>
      </c>
    </row>
    <row r="443" spans="1:8" x14ac:dyDescent="0.3">
      <c r="A443">
        <v>48</v>
      </c>
      <c r="B443" s="168" t="s">
        <v>71</v>
      </c>
      <c r="C443" s="168" t="s">
        <v>72</v>
      </c>
      <c r="D443">
        <v>18956.5</v>
      </c>
      <c r="E443">
        <v>2021</v>
      </c>
      <c r="F443" s="168" t="s">
        <v>592</v>
      </c>
      <c r="G443" s="168" t="s">
        <v>562</v>
      </c>
      <c r="H443">
        <v>0</v>
      </c>
    </row>
    <row r="444" spans="1:8" x14ac:dyDescent="0.3">
      <c r="A444">
        <v>48</v>
      </c>
      <c r="B444" s="168" t="s">
        <v>71</v>
      </c>
      <c r="C444" s="168" t="s">
        <v>72</v>
      </c>
      <c r="D444">
        <v>18956.5</v>
      </c>
      <c r="E444">
        <v>2021</v>
      </c>
      <c r="F444" s="168" t="s">
        <v>592</v>
      </c>
      <c r="G444" s="168" t="s">
        <v>563</v>
      </c>
      <c r="H444">
        <v>0</v>
      </c>
    </row>
    <row r="445" spans="1:8" x14ac:dyDescent="0.3">
      <c r="A445">
        <v>48</v>
      </c>
      <c r="B445" s="168" t="s">
        <v>71</v>
      </c>
      <c r="C445" s="168" t="s">
        <v>72</v>
      </c>
      <c r="D445">
        <v>18956.5</v>
      </c>
      <c r="E445">
        <v>2021</v>
      </c>
      <c r="F445" s="168" t="s">
        <v>592</v>
      </c>
      <c r="G445" s="168" t="s">
        <v>564</v>
      </c>
      <c r="H445">
        <v>342725.30973451299</v>
      </c>
    </row>
    <row r="446" spans="1:8" x14ac:dyDescent="0.3">
      <c r="A446">
        <v>48</v>
      </c>
      <c r="B446" s="168" t="s">
        <v>71</v>
      </c>
      <c r="C446" s="168" t="s">
        <v>72</v>
      </c>
      <c r="D446">
        <v>18956.5</v>
      </c>
      <c r="E446">
        <v>2021</v>
      </c>
      <c r="F446" s="168" t="s">
        <v>592</v>
      </c>
      <c r="G446" s="168" t="s">
        <v>565</v>
      </c>
      <c r="H446">
        <v>97634.615384615405</v>
      </c>
    </row>
    <row r="447" spans="1:8" x14ac:dyDescent="0.3">
      <c r="A447">
        <v>48</v>
      </c>
      <c r="B447" s="168" t="s">
        <v>71</v>
      </c>
      <c r="C447" s="168" t="s">
        <v>72</v>
      </c>
      <c r="D447">
        <v>18956.5</v>
      </c>
      <c r="E447">
        <v>2021</v>
      </c>
      <c r="F447" s="168" t="s">
        <v>592</v>
      </c>
      <c r="G447" s="168" t="s">
        <v>566</v>
      </c>
      <c r="H447">
        <v>71020.782500000001</v>
      </c>
    </row>
    <row r="448" spans="1:8" x14ac:dyDescent="0.3">
      <c r="A448">
        <v>48</v>
      </c>
      <c r="B448" s="168" t="s">
        <v>71</v>
      </c>
      <c r="C448" s="168" t="s">
        <v>72</v>
      </c>
      <c r="D448">
        <v>18956.5</v>
      </c>
      <c r="E448">
        <v>2021</v>
      </c>
      <c r="F448" s="168" t="s">
        <v>592</v>
      </c>
      <c r="G448" s="168" t="s">
        <v>567</v>
      </c>
      <c r="H448">
        <v>0</v>
      </c>
    </row>
    <row r="449" spans="1:8" x14ac:dyDescent="0.3">
      <c r="A449">
        <v>48</v>
      </c>
      <c r="B449" s="168" t="s">
        <v>71</v>
      </c>
      <c r="C449" s="168" t="s">
        <v>72</v>
      </c>
      <c r="D449">
        <v>18956.5</v>
      </c>
      <c r="E449">
        <v>2021</v>
      </c>
      <c r="F449" s="168" t="s">
        <v>592</v>
      </c>
      <c r="G449" s="168" t="s">
        <v>568</v>
      </c>
      <c r="H449">
        <v>101498</v>
      </c>
    </row>
    <row r="450" spans="1:8" x14ac:dyDescent="0.3">
      <c r="A450">
        <v>48</v>
      </c>
      <c r="B450" s="168" t="s">
        <v>71</v>
      </c>
      <c r="C450" s="168" t="s">
        <v>72</v>
      </c>
      <c r="D450">
        <v>18956.5</v>
      </c>
      <c r="E450">
        <v>2021</v>
      </c>
      <c r="F450" s="168" t="s">
        <v>592</v>
      </c>
      <c r="G450" s="168" t="s">
        <v>571</v>
      </c>
      <c r="H450">
        <v>0</v>
      </c>
    </row>
    <row r="451" spans="1:8" x14ac:dyDescent="0.3">
      <c r="A451">
        <v>48</v>
      </c>
      <c r="B451" s="168" t="s">
        <v>71</v>
      </c>
      <c r="C451" s="168" t="s">
        <v>72</v>
      </c>
      <c r="D451">
        <v>18956.5</v>
      </c>
      <c r="E451">
        <v>2021</v>
      </c>
      <c r="F451" s="168" t="s">
        <v>592</v>
      </c>
      <c r="G451" s="168" t="s">
        <v>572</v>
      </c>
      <c r="H451">
        <v>22609.756097560974</v>
      </c>
    </row>
    <row r="452" spans="1:8" x14ac:dyDescent="0.3">
      <c r="A452">
        <v>48</v>
      </c>
      <c r="B452" s="168" t="s">
        <v>71</v>
      </c>
      <c r="C452" s="168" t="s">
        <v>72</v>
      </c>
      <c r="D452">
        <v>18956.5</v>
      </c>
      <c r="E452">
        <v>2021</v>
      </c>
      <c r="F452" s="168" t="s">
        <v>592</v>
      </c>
      <c r="G452" s="168" t="s">
        <v>600</v>
      </c>
      <c r="H452">
        <v>354629.68152015435</v>
      </c>
    </row>
    <row r="453" spans="1:8" x14ac:dyDescent="0.3">
      <c r="A453">
        <v>48</v>
      </c>
      <c r="B453" s="168" t="s">
        <v>71</v>
      </c>
      <c r="C453" s="168" t="s">
        <v>72</v>
      </c>
      <c r="D453">
        <v>18956.5</v>
      </c>
      <c r="E453">
        <v>2021</v>
      </c>
      <c r="F453" s="168" t="s">
        <v>592</v>
      </c>
      <c r="G453" s="168" t="s">
        <v>601</v>
      </c>
      <c r="H453">
        <v>373064.56945313641</v>
      </c>
    </row>
    <row r="454" spans="1:8" x14ac:dyDescent="0.3">
      <c r="A454">
        <v>48</v>
      </c>
      <c r="B454" s="168" t="s">
        <v>71</v>
      </c>
      <c r="C454" s="168" t="s">
        <v>72</v>
      </c>
      <c r="D454">
        <v>18956.5</v>
      </c>
      <c r="E454">
        <v>2021</v>
      </c>
      <c r="F454" s="168" t="s">
        <v>592</v>
      </c>
      <c r="G454" s="168" t="s">
        <v>575</v>
      </c>
      <c r="H454">
        <v>0</v>
      </c>
    </row>
    <row r="455" spans="1:8" x14ac:dyDescent="0.3">
      <c r="A455">
        <v>48</v>
      </c>
      <c r="B455" s="168" t="s">
        <v>71</v>
      </c>
      <c r="C455" s="168" t="s">
        <v>72</v>
      </c>
      <c r="D455">
        <v>18956.5</v>
      </c>
      <c r="E455">
        <v>2021</v>
      </c>
      <c r="F455" s="168" t="s">
        <v>592</v>
      </c>
      <c r="G455" s="168" t="s">
        <v>576</v>
      </c>
      <c r="H455">
        <v>87158.94016684829</v>
      </c>
    </row>
    <row r="456" spans="1:8" x14ac:dyDescent="0.3">
      <c r="A456">
        <v>48</v>
      </c>
      <c r="B456" s="168" t="s">
        <v>71</v>
      </c>
      <c r="C456" s="168" t="s">
        <v>72</v>
      </c>
      <c r="D456">
        <v>18956.5</v>
      </c>
      <c r="E456">
        <v>2021</v>
      </c>
      <c r="F456" s="168" t="s">
        <v>592</v>
      </c>
      <c r="G456" s="168" t="s">
        <v>577</v>
      </c>
      <c r="H456">
        <v>0</v>
      </c>
    </row>
    <row r="457" spans="1:8" x14ac:dyDescent="0.3">
      <c r="A457">
        <v>48</v>
      </c>
      <c r="B457" s="168" t="s">
        <v>71</v>
      </c>
      <c r="C457" s="168" t="s">
        <v>72</v>
      </c>
      <c r="D457">
        <v>18956.5</v>
      </c>
      <c r="E457">
        <v>2021</v>
      </c>
      <c r="F457" s="168" t="s">
        <v>592</v>
      </c>
      <c r="G457" s="168" t="s">
        <v>578</v>
      </c>
      <c r="H457">
        <v>1187546.67</v>
      </c>
    </row>
    <row r="458" spans="1:8" x14ac:dyDescent="0.3">
      <c r="A458">
        <v>48</v>
      </c>
      <c r="B458" s="168" t="s">
        <v>71</v>
      </c>
      <c r="C458" s="168" t="s">
        <v>72</v>
      </c>
      <c r="D458">
        <v>18956.5</v>
      </c>
      <c r="E458">
        <v>2021</v>
      </c>
      <c r="F458" s="168" t="s">
        <v>592</v>
      </c>
      <c r="G458" s="168" t="s">
        <v>583</v>
      </c>
      <c r="H458">
        <v>0</v>
      </c>
    </row>
    <row r="459" spans="1:8" x14ac:dyDescent="0.3">
      <c r="A459">
        <v>48</v>
      </c>
      <c r="B459" s="168" t="s">
        <v>71</v>
      </c>
      <c r="C459" s="168" t="s">
        <v>72</v>
      </c>
      <c r="D459">
        <v>18956.5</v>
      </c>
      <c r="E459">
        <v>2021</v>
      </c>
      <c r="F459" s="168" t="s">
        <v>592</v>
      </c>
      <c r="G459" s="168" t="s">
        <v>584</v>
      </c>
      <c r="H459">
        <v>59500</v>
      </c>
    </row>
    <row r="460" spans="1:8" x14ac:dyDescent="0.3">
      <c r="A460">
        <v>48</v>
      </c>
      <c r="B460" s="168" t="s">
        <v>71</v>
      </c>
      <c r="C460" s="168" t="s">
        <v>72</v>
      </c>
      <c r="D460">
        <v>18956.5</v>
      </c>
      <c r="E460">
        <v>2021</v>
      </c>
      <c r="F460" s="168" t="s">
        <v>592</v>
      </c>
      <c r="G460" s="168" t="s">
        <v>585</v>
      </c>
      <c r="H460">
        <v>1343339.1517835618</v>
      </c>
    </row>
    <row r="461" spans="1:8" x14ac:dyDescent="0.3">
      <c r="A461">
        <v>48</v>
      </c>
      <c r="B461" s="168" t="s">
        <v>71</v>
      </c>
      <c r="C461" s="168" t="s">
        <v>72</v>
      </c>
      <c r="D461">
        <v>18956.5</v>
      </c>
      <c r="E461">
        <v>2021</v>
      </c>
      <c r="F461" s="168" t="s">
        <v>592</v>
      </c>
      <c r="G461" s="168" t="s">
        <v>586</v>
      </c>
      <c r="H461">
        <v>547743.12073964393</v>
      </c>
    </row>
    <row r="462" spans="1:8" x14ac:dyDescent="0.3">
      <c r="A462">
        <v>48</v>
      </c>
      <c r="B462" s="168" t="s">
        <v>71</v>
      </c>
      <c r="C462" s="168" t="s">
        <v>72</v>
      </c>
      <c r="D462">
        <v>18956.5</v>
      </c>
      <c r="E462">
        <v>2021</v>
      </c>
      <c r="F462" s="168" t="s">
        <v>592</v>
      </c>
      <c r="G462" s="168" t="s">
        <v>587</v>
      </c>
      <c r="H462">
        <v>3052.8092904743239</v>
      </c>
    </row>
    <row r="463" spans="1:8" x14ac:dyDescent="0.3">
      <c r="A463">
        <v>48</v>
      </c>
      <c r="B463" s="168" t="s">
        <v>71</v>
      </c>
      <c r="C463" s="168" t="s">
        <v>72</v>
      </c>
      <c r="D463">
        <v>18956.5</v>
      </c>
      <c r="E463">
        <v>2021</v>
      </c>
      <c r="F463" s="168" t="s">
        <v>592</v>
      </c>
      <c r="G463" s="168" t="s">
        <v>588</v>
      </c>
      <c r="H463">
        <v>0</v>
      </c>
    </row>
    <row r="464" spans="1:8" x14ac:dyDescent="0.3">
      <c r="A464">
        <v>49</v>
      </c>
      <c r="B464" s="168" t="s">
        <v>73</v>
      </c>
      <c r="C464" s="168" t="s">
        <v>74</v>
      </c>
      <c r="D464">
        <v>2378.5</v>
      </c>
      <c r="E464">
        <v>2021</v>
      </c>
      <c r="F464" s="168" t="s">
        <v>592</v>
      </c>
      <c r="G464" s="168" t="s">
        <v>548</v>
      </c>
      <c r="H464">
        <v>21651.817841676224</v>
      </c>
    </row>
    <row r="465" spans="1:8" x14ac:dyDescent="0.3">
      <c r="A465">
        <v>49</v>
      </c>
      <c r="B465" s="168" t="s">
        <v>73</v>
      </c>
      <c r="C465" s="168" t="s">
        <v>74</v>
      </c>
      <c r="D465">
        <v>2378.5</v>
      </c>
      <c r="E465">
        <v>2021</v>
      </c>
      <c r="F465" s="168" t="s">
        <v>592</v>
      </c>
      <c r="G465" s="168" t="s">
        <v>549</v>
      </c>
      <c r="H465">
        <v>61304.34782608696</v>
      </c>
    </row>
    <row r="466" spans="1:8" x14ac:dyDescent="0.3">
      <c r="A466">
        <v>49</v>
      </c>
      <c r="B466" s="168" t="s">
        <v>73</v>
      </c>
      <c r="C466" s="168" t="s">
        <v>74</v>
      </c>
      <c r="D466">
        <v>2378.5</v>
      </c>
      <c r="E466">
        <v>2021</v>
      </c>
      <c r="F466" s="168" t="s">
        <v>592</v>
      </c>
      <c r="G466" s="168" t="s">
        <v>550</v>
      </c>
      <c r="H466">
        <v>0</v>
      </c>
    </row>
    <row r="467" spans="1:8" x14ac:dyDescent="0.3">
      <c r="A467">
        <v>49</v>
      </c>
      <c r="B467" s="168" t="s">
        <v>73</v>
      </c>
      <c r="C467" s="168" t="s">
        <v>74</v>
      </c>
      <c r="D467">
        <v>2378.5</v>
      </c>
      <c r="E467">
        <v>2021</v>
      </c>
      <c r="F467" s="168" t="s">
        <v>592</v>
      </c>
      <c r="G467" s="168" t="s">
        <v>551</v>
      </c>
      <c r="H467">
        <v>45200</v>
      </c>
    </row>
    <row r="468" spans="1:8" x14ac:dyDescent="0.3">
      <c r="A468">
        <v>49</v>
      </c>
      <c r="B468" s="168" t="s">
        <v>73</v>
      </c>
      <c r="C468" s="168" t="s">
        <v>74</v>
      </c>
      <c r="D468">
        <v>2378.5</v>
      </c>
      <c r="E468">
        <v>2021</v>
      </c>
      <c r="F468" s="168" t="s">
        <v>592</v>
      </c>
      <c r="G468" s="168" t="s">
        <v>554</v>
      </c>
      <c r="H468">
        <v>1606.5144060662321</v>
      </c>
    </row>
    <row r="469" spans="1:8" x14ac:dyDescent="0.3">
      <c r="A469">
        <v>49</v>
      </c>
      <c r="B469" s="168" t="s">
        <v>73</v>
      </c>
      <c r="C469" s="168" t="s">
        <v>74</v>
      </c>
      <c r="D469">
        <v>2378.5</v>
      </c>
      <c r="E469">
        <v>2021</v>
      </c>
      <c r="F469" s="168" t="s">
        <v>592</v>
      </c>
      <c r="G469" s="168" t="s">
        <v>555</v>
      </c>
      <c r="H469">
        <v>4516.88580454967</v>
      </c>
    </row>
    <row r="470" spans="1:8" x14ac:dyDescent="0.3">
      <c r="A470">
        <v>49</v>
      </c>
      <c r="B470" s="168" t="s">
        <v>73</v>
      </c>
      <c r="C470" s="168" t="s">
        <v>74</v>
      </c>
      <c r="D470">
        <v>2378.5</v>
      </c>
      <c r="E470">
        <v>2021</v>
      </c>
      <c r="F470" s="168" t="s">
        <v>592</v>
      </c>
      <c r="G470" s="168" t="s">
        <v>558</v>
      </c>
      <c r="H470">
        <v>0</v>
      </c>
    </row>
    <row r="471" spans="1:8" x14ac:dyDescent="0.3">
      <c r="A471">
        <v>49</v>
      </c>
      <c r="B471" s="168" t="s">
        <v>73</v>
      </c>
      <c r="C471" s="168" t="s">
        <v>74</v>
      </c>
      <c r="D471">
        <v>2378.5</v>
      </c>
      <c r="E471">
        <v>2021</v>
      </c>
      <c r="F471" s="168" t="s">
        <v>592</v>
      </c>
      <c r="G471" s="168" t="s">
        <v>559</v>
      </c>
      <c r="H471">
        <v>318000</v>
      </c>
    </row>
    <row r="472" spans="1:8" x14ac:dyDescent="0.3">
      <c r="A472">
        <v>49</v>
      </c>
      <c r="B472" s="168" t="s">
        <v>73</v>
      </c>
      <c r="C472" s="168" t="s">
        <v>74</v>
      </c>
      <c r="D472">
        <v>2378.5</v>
      </c>
      <c r="E472">
        <v>2021</v>
      </c>
      <c r="F472" s="168" t="s">
        <v>592</v>
      </c>
      <c r="G472" s="168" t="s">
        <v>595</v>
      </c>
      <c r="H472">
        <v>0</v>
      </c>
    </row>
    <row r="473" spans="1:8" x14ac:dyDescent="0.3">
      <c r="A473">
        <v>49</v>
      </c>
      <c r="B473" s="168" t="s">
        <v>73</v>
      </c>
      <c r="C473" s="168" t="s">
        <v>74</v>
      </c>
      <c r="D473">
        <v>2378.5</v>
      </c>
      <c r="E473">
        <v>2021</v>
      </c>
      <c r="F473" s="168" t="s">
        <v>592</v>
      </c>
      <c r="G473" s="168" t="s">
        <v>560</v>
      </c>
      <c r="H473">
        <v>6545.454545454545</v>
      </c>
    </row>
    <row r="474" spans="1:8" x14ac:dyDescent="0.3">
      <c r="A474">
        <v>49</v>
      </c>
      <c r="B474" s="168" t="s">
        <v>73</v>
      </c>
      <c r="C474" s="168" t="s">
        <v>74</v>
      </c>
      <c r="D474">
        <v>2378.5</v>
      </c>
      <c r="E474">
        <v>2021</v>
      </c>
      <c r="F474" s="168" t="s">
        <v>592</v>
      </c>
      <c r="G474" s="168" t="s">
        <v>561</v>
      </c>
      <c r="H474">
        <v>388226.92720235052</v>
      </c>
    </row>
    <row r="475" spans="1:8" x14ac:dyDescent="0.3">
      <c r="A475">
        <v>49</v>
      </c>
      <c r="B475" s="168" t="s">
        <v>73</v>
      </c>
      <c r="C475" s="168" t="s">
        <v>74</v>
      </c>
      <c r="D475">
        <v>2378.5</v>
      </c>
      <c r="E475">
        <v>2021</v>
      </c>
      <c r="F475" s="168" t="s">
        <v>592</v>
      </c>
      <c r="G475" s="168" t="s">
        <v>562</v>
      </c>
      <c r="H475">
        <v>712071.02179032797</v>
      </c>
    </row>
    <row r="476" spans="1:8" x14ac:dyDescent="0.3">
      <c r="A476">
        <v>49</v>
      </c>
      <c r="B476" s="168" t="s">
        <v>73</v>
      </c>
      <c r="C476" s="168" t="s">
        <v>74</v>
      </c>
      <c r="D476">
        <v>2378.5</v>
      </c>
      <c r="E476">
        <v>2021</v>
      </c>
      <c r="F476" s="168" t="s">
        <v>592</v>
      </c>
      <c r="G476" s="168" t="s">
        <v>567</v>
      </c>
      <c r="H476">
        <v>0</v>
      </c>
    </row>
    <row r="477" spans="1:8" x14ac:dyDescent="0.3">
      <c r="A477">
        <v>49</v>
      </c>
      <c r="B477" s="168" t="s">
        <v>73</v>
      </c>
      <c r="C477" s="168" t="s">
        <v>74</v>
      </c>
      <c r="D477">
        <v>2378.5</v>
      </c>
      <c r="E477">
        <v>2021</v>
      </c>
      <c r="F477" s="168" t="s">
        <v>592</v>
      </c>
      <c r="G477" s="168" t="s">
        <v>568</v>
      </c>
      <c r="H477">
        <v>101498</v>
      </c>
    </row>
    <row r="478" spans="1:8" x14ac:dyDescent="0.3">
      <c r="A478">
        <v>49</v>
      </c>
      <c r="B478" s="168" t="s">
        <v>73</v>
      </c>
      <c r="C478" s="168" t="s">
        <v>74</v>
      </c>
      <c r="D478">
        <v>2378.5</v>
      </c>
      <c r="E478">
        <v>2021</v>
      </c>
      <c r="F478" s="168" t="s">
        <v>592</v>
      </c>
      <c r="G478" s="168" t="s">
        <v>571</v>
      </c>
      <c r="H478">
        <v>0</v>
      </c>
    </row>
    <row r="479" spans="1:8" x14ac:dyDescent="0.3">
      <c r="A479">
        <v>49</v>
      </c>
      <c r="B479" s="168" t="s">
        <v>73</v>
      </c>
      <c r="C479" s="168" t="s">
        <v>74</v>
      </c>
      <c r="D479">
        <v>2378.5</v>
      </c>
      <c r="E479">
        <v>2021</v>
      </c>
      <c r="F479" s="168" t="s">
        <v>592</v>
      </c>
      <c r="G479" s="168" t="s">
        <v>572</v>
      </c>
      <c r="H479">
        <v>7536.5853658536589</v>
      </c>
    </row>
    <row r="480" spans="1:8" x14ac:dyDescent="0.3">
      <c r="A480">
        <v>49</v>
      </c>
      <c r="B480" s="168" t="s">
        <v>73</v>
      </c>
      <c r="C480" s="168" t="s">
        <v>74</v>
      </c>
      <c r="D480">
        <v>2378.5</v>
      </c>
      <c r="E480">
        <v>2021</v>
      </c>
      <c r="F480" s="168" t="s">
        <v>592</v>
      </c>
      <c r="G480" s="168" t="s">
        <v>600</v>
      </c>
      <c r="H480">
        <v>35561.325316100985</v>
      </c>
    </row>
    <row r="481" spans="1:8" x14ac:dyDescent="0.3">
      <c r="A481">
        <v>49</v>
      </c>
      <c r="B481" s="168" t="s">
        <v>73</v>
      </c>
      <c r="C481" s="168" t="s">
        <v>74</v>
      </c>
      <c r="D481">
        <v>2378.5</v>
      </c>
      <c r="E481">
        <v>2021</v>
      </c>
      <c r="F481" s="168" t="s">
        <v>592</v>
      </c>
      <c r="G481" s="168" t="s">
        <v>601</v>
      </c>
      <c r="H481">
        <v>37874.377881110282</v>
      </c>
    </row>
    <row r="482" spans="1:8" x14ac:dyDescent="0.3">
      <c r="A482">
        <v>49</v>
      </c>
      <c r="B482" s="168" t="s">
        <v>73</v>
      </c>
      <c r="C482" s="168" t="s">
        <v>74</v>
      </c>
      <c r="D482">
        <v>2378.5</v>
      </c>
      <c r="E482">
        <v>2021</v>
      </c>
      <c r="F482" s="168" t="s">
        <v>592</v>
      </c>
      <c r="G482" s="168" t="s">
        <v>575</v>
      </c>
      <c r="H482">
        <v>0</v>
      </c>
    </row>
    <row r="483" spans="1:8" x14ac:dyDescent="0.3">
      <c r="A483">
        <v>49</v>
      </c>
      <c r="B483" s="168" t="s">
        <v>73</v>
      </c>
      <c r="C483" s="168" t="s">
        <v>74</v>
      </c>
      <c r="D483">
        <v>2378.5</v>
      </c>
      <c r="E483">
        <v>2021</v>
      </c>
      <c r="F483" s="168" t="s">
        <v>592</v>
      </c>
      <c r="G483" s="168" t="s">
        <v>576</v>
      </c>
      <c r="H483">
        <v>994.82615114999976</v>
      </c>
    </row>
    <row r="484" spans="1:8" x14ac:dyDescent="0.3">
      <c r="A484">
        <v>49</v>
      </c>
      <c r="B484" s="168" t="s">
        <v>73</v>
      </c>
      <c r="C484" s="168" t="s">
        <v>74</v>
      </c>
      <c r="D484">
        <v>2378.5</v>
      </c>
      <c r="E484">
        <v>2021</v>
      </c>
      <c r="F484" s="168" t="s">
        <v>592</v>
      </c>
      <c r="G484" s="168" t="s">
        <v>583</v>
      </c>
      <c r="H484">
        <v>0</v>
      </c>
    </row>
    <row r="485" spans="1:8" x14ac:dyDescent="0.3">
      <c r="A485">
        <v>49</v>
      </c>
      <c r="B485" s="168" t="s">
        <v>73</v>
      </c>
      <c r="C485" s="168" t="s">
        <v>74</v>
      </c>
      <c r="D485">
        <v>2378.5</v>
      </c>
      <c r="E485">
        <v>2021</v>
      </c>
      <c r="F485" s="168" t="s">
        <v>592</v>
      </c>
      <c r="G485" s="168" t="s">
        <v>584</v>
      </c>
      <c r="H485">
        <v>10500</v>
      </c>
    </row>
    <row r="486" spans="1:8" x14ac:dyDescent="0.3">
      <c r="A486">
        <v>49</v>
      </c>
      <c r="B486" s="168" t="s">
        <v>73</v>
      </c>
      <c r="C486" s="168" t="s">
        <v>74</v>
      </c>
      <c r="D486">
        <v>2378.5</v>
      </c>
      <c r="E486">
        <v>2021</v>
      </c>
      <c r="F486" s="168" t="s">
        <v>592</v>
      </c>
      <c r="G486" s="168" t="s">
        <v>585</v>
      </c>
      <c r="H486">
        <v>168550.743677219</v>
      </c>
    </row>
    <row r="487" spans="1:8" x14ac:dyDescent="0.3">
      <c r="A487">
        <v>49</v>
      </c>
      <c r="B487" s="168" t="s">
        <v>73</v>
      </c>
      <c r="C487" s="168" t="s">
        <v>74</v>
      </c>
      <c r="D487">
        <v>2378.5</v>
      </c>
      <c r="E487">
        <v>2021</v>
      </c>
      <c r="F487" s="168" t="s">
        <v>592</v>
      </c>
      <c r="G487" s="168" t="s">
        <v>586</v>
      </c>
      <c r="H487">
        <v>68726.136822685905</v>
      </c>
    </row>
    <row r="488" spans="1:8" x14ac:dyDescent="0.3">
      <c r="A488">
        <v>49</v>
      </c>
      <c r="B488" s="168" t="s">
        <v>73</v>
      </c>
      <c r="C488" s="168" t="s">
        <v>74</v>
      </c>
      <c r="D488">
        <v>2378.5</v>
      </c>
      <c r="E488">
        <v>2021</v>
      </c>
      <c r="F488" s="168" t="s">
        <v>592</v>
      </c>
      <c r="G488" s="168" t="s">
        <v>587</v>
      </c>
      <c r="H488">
        <v>32436.098711289691</v>
      </c>
    </row>
    <row r="489" spans="1:8" x14ac:dyDescent="0.3">
      <c r="A489">
        <v>49</v>
      </c>
      <c r="B489" s="168" t="s">
        <v>73</v>
      </c>
      <c r="C489" s="168" t="s">
        <v>74</v>
      </c>
      <c r="D489">
        <v>2378.5</v>
      </c>
      <c r="E489">
        <v>2021</v>
      </c>
      <c r="F489" s="168" t="s">
        <v>592</v>
      </c>
      <c r="G489" s="168" t="s">
        <v>588</v>
      </c>
      <c r="H489">
        <v>0</v>
      </c>
    </row>
    <row r="490" spans="1:8" x14ac:dyDescent="0.3">
      <c r="A490">
        <v>50</v>
      </c>
      <c r="B490" s="168" t="s">
        <v>75</v>
      </c>
      <c r="C490" s="168" t="s">
        <v>76</v>
      </c>
      <c r="D490">
        <v>6733.6</v>
      </c>
      <c r="E490">
        <v>2021</v>
      </c>
      <c r="F490" s="168" t="s">
        <v>592</v>
      </c>
      <c r="G490" s="168" t="s">
        <v>548</v>
      </c>
      <c r="H490">
        <v>1812328.73</v>
      </c>
    </row>
    <row r="491" spans="1:8" x14ac:dyDescent="0.3">
      <c r="A491">
        <v>50</v>
      </c>
      <c r="B491" s="168" t="s">
        <v>75</v>
      </c>
      <c r="C491" s="168" t="s">
        <v>76</v>
      </c>
      <c r="D491">
        <v>6733.6</v>
      </c>
      <c r="E491">
        <v>2021</v>
      </c>
      <c r="F491" s="168" t="s">
        <v>592</v>
      </c>
      <c r="G491" s="168" t="s">
        <v>549</v>
      </c>
      <c r="H491">
        <v>776712.31</v>
      </c>
    </row>
    <row r="492" spans="1:8" x14ac:dyDescent="0.3">
      <c r="A492">
        <v>50</v>
      </c>
      <c r="B492" s="168" t="s">
        <v>75</v>
      </c>
      <c r="C492" s="168" t="s">
        <v>76</v>
      </c>
      <c r="D492">
        <v>6733.6</v>
      </c>
      <c r="E492">
        <v>2021</v>
      </c>
      <c r="F492" s="168" t="s">
        <v>592</v>
      </c>
      <c r="G492" s="168" t="s">
        <v>598</v>
      </c>
      <c r="H492">
        <v>0</v>
      </c>
    </row>
    <row r="493" spans="1:8" x14ac:dyDescent="0.3">
      <c r="A493">
        <v>50</v>
      </c>
      <c r="B493" s="168" t="s">
        <v>75</v>
      </c>
      <c r="C493" s="168" t="s">
        <v>76</v>
      </c>
      <c r="D493">
        <v>6733.6</v>
      </c>
      <c r="E493">
        <v>2021</v>
      </c>
      <c r="F493" s="168" t="s">
        <v>592</v>
      </c>
      <c r="G493" s="168" t="s">
        <v>599</v>
      </c>
      <c r="H493">
        <v>148998.18322167807</v>
      </c>
    </row>
    <row r="494" spans="1:8" x14ac:dyDescent="0.3">
      <c r="A494">
        <v>50</v>
      </c>
      <c r="B494" s="168" t="s">
        <v>75</v>
      </c>
      <c r="C494" s="168" t="s">
        <v>76</v>
      </c>
      <c r="D494">
        <v>6733.6</v>
      </c>
      <c r="E494">
        <v>2021</v>
      </c>
      <c r="F494" s="168" t="s">
        <v>592</v>
      </c>
      <c r="G494" s="168" t="s">
        <v>554</v>
      </c>
      <c r="H494">
        <v>4548.0871997845616</v>
      </c>
    </row>
    <row r="495" spans="1:8" x14ac:dyDescent="0.3">
      <c r="A495">
        <v>50</v>
      </c>
      <c r="B495" s="168" t="s">
        <v>75</v>
      </c>
      <c r="C495" s="168" t="s">
        <v>76</v>
      </c>
      <c r="D495">
        <v>6733.6</v>
      </c>
      <c r="E495">
        <v>2021</v>
      </c>
      <c r="F495" s="168" t="s">
        <v>592</v>
      </c>
      <c r="G495" s="168" t="s">
        <v>555</v>
      </c>
      <c r="H495">
        <v>3411.0653998384214</v>
      </c>
    </row>
    <row r="496" spans="1:8" x14ac:dyDescent="0.3">
      <c r="A496">
        <v>50</v>
      </c>
      <c r="B496" s="168" t="s">
        <v>75</v>
      </c>
      <c r="C496" s="168" t="s">
        <v>76</v>
      </c>
      <c r="D496">
        <v>6733.6</v>
      </c>
      <c r="E496">
        <v>2021</v>
      </c>
      <c r="F496" s="168" t="s">
        <v>592</v>
      </c>
      <c r="G496" s="168" t="s">
        <v>556</v>
      </c>
      <c r="H496">
        <v>0</v>
      </c>
    </row>
    <row r="497" spans="1:8" x14ac:dyDescent="0.3">
      <c r="A497">
        <v>50</v>
      </c>
      <c r="B497" s="168" t="s">
        <v>75</v>
      </c>
      <c r="C497" s="168" t="s">
        <v>76</v>
      </c>
      <c r="D497">
        <v>6733.6</v>
      </c>
      <c r="E497">
        <v>2021</v>
      </c>
      <c r="F497" s="168" t="s">
        <v>592</v>
      </c>
      <c r="G497" s="168" t="s">
        <v>557</v>
      </c>
      <c r="H497">
        <v>15977.528089887641</v>
      </c>
    </row>
    <row r="498" spans="1:8" x14ac:dyDescent="0.3">
      <c r="A498">
        <v>50</v>
      </c>
      <c r="B498" s="168" t="s">
        <v>75</v>
      </c>
      <c r="C498" s="168" t="s">
        <v>76</v>
      </c>
      <c r="D498">
        <v>6733.6</v>
      </c>
      <c r="E498">
        <v>2021</v>
      </c>
      <c r="F498" s="168" t="s">
        <v>592</v>
      </c>
      <c r="G498" s="168" t="s">
        <v>595</v>
      </c>
      <c r="H498">
        <v>0</v>
      </c>
    </row>
    <row r="499" spans="1:8" x14ac:dyDescent="0.3">
      <c r="A499">
        <v>50</v>
      </c>
      <c r="B499" s="168" t="s">
        <v>75</v>
      </c>
      <c r="C499" s="168" t="s">
        <v>76</v>
      </c>
      <c r="D499">
        <v>6733.6</v>
      </c>
      <c r="E499">
        <v>2021</v>
      </c>
      <c r="F499" s="168" t="s">
        <v>592</v>
      </c>
      <c r="G499" s="168" t="s">
        <v>560</v>
      </c>
      <c r="H499">
        <v>6545.454545454545</v>
      </c>
    </row>
    <row r="500" spans="1:8" x14ac:dyDescent="0.3">
      <c r="A500">
        <v>50</v>
      </c>
      <c r="B500" s="168" t="s">
        <v>75</v>
      </c>
      <c r="C500" s="168" t="s">
        <v>76</v>
      </c>
      <c r="D500">
        <v>6733.6</v>
      </c>
      <c r="E500">
        <v>2021</v>
      </c>
      <c r="F500" s="168" t="s">
        <v>592</v>
      </c>
      <c r="G500" s="168" t="s">
        <v>565</v>
      </c>
      <c r="H500">
        <v>95576.923076923093</v>
      </c>
    </row>
    <row r="501" spans="1:8" x14ac:dyDescent="0.3">
      <c r="A501">
        <v>50</v>
      </c>
      <c r="B501" s="168" t="s">
        <v>75</v>
      </c>
      <c r="C501" s="168" t="s">
        <v>76</v>
      </c>
      <c r="D501">
        <v>6733.6</v>
      </c>
      <c r="E501">
        <v>2021</v>
      </c>
      <c r="F501" s="168" t="s">
        <v>592</v>
      </c>
      <c r="G501" s="168" t="s">
        <v>566</v>
      </c>
      <c r="H501">
        <v>71020.782500000001</v>
      </c>
    </row>
    <row r="502" spans="1:8" x14ac:dyDescent="0.3">
      <c r="A502">
        <v>50</v>
      </c>
      <c r="B502" s="168" t="s">
        <v>75</v>
      </c>
      <c r="C502" s="168" t="s">
        <v>76</v>
      </c>
      <c r="D502">
        <v>6733.6</v>
      </c>
      <c r="E502">
        <v>2021</v>
      </c>
      <c r="F502" s="168" t="s">
        <v>592</v>
      </c>
      <c r="G502" s="168" t="s">
        <v>571</v>
      </c>
      <c r="H502">
        <v>0</v>
      </c>
    </row>
    <row r="503" spans="1:8" x14ac:dyDescent="0.3">
      <c r="A503">
        <v>50</v>
      </c>
      <c r="B503" s="168" t="s">
        <v>75</v>
      </c>
      <c r="C503" s="168" t="s">
        <v>76</v>
      </c>
      <c r="D503">
        <v>6733.6</v>
      </c>
      <c r="E503">
        <v>2021</v>
      </c>
      <c r="F503" s="168" t="s">
        <v>592</v>
      </c>
      <c r="G503" s="168" t="s">
        <v>572</v>
      </c>
      <c r="H503">
        <v>22609.756097560974</v>
      </c>
    </row>
    <row r="504" spans="1:8" x14ac:dyDescent="0.3">
      <c r="A504">
        <v>50</v>
      </c>
      <c r="B504" s="168" t="s">
        <v>75</v>
      </c>
      <c r="C504" s="168" t="s">
        <v>76</v>
      </c>
      <c r="D504">
        <v>6733.6</v>
      </c>
      <c r="E504">
        <v>2021</v>
      </c>
      <c r="F504" s="168" t="s">
        <v>592</v>
      </c>
      <c r="G504" s="168" t="s">
        <v>600</v>
      </c>
      <c r="H504">
        <v>100675.10622177742</v>
      </c>
    </row>
    <row r="505" spans="1:8" x14ac:dyDescent="0.3">
      <c r="A505">
        <v>50</v>
      </c>
      <c r="B505" s="168" t="s">
        <v>75</v>
      </c>
      <c r="C505" s="168" t="s">
        <v>76</v>
      </c>
      <c r="D505">
        <v>6733.6</v>
      </c>
      <c r="E505">
        <v>2021</v>
      </c>
      <c r="F505" s="168" t="s">
        <v>592</v>
      </c>
      <c r="G505" s="168" t="s">
        <v>601</v>
      </c>
      <c r="H505">
        <v>107223.42270348717</v>
      </c>
    </row>
    <row r="506" spans="1:8" x14ac:dyDescent="0.3">
      <c r="A506">
        <v>50</v>
      </c>
      <c r="B506" s="168" t="s">
        <v>75</v>
      </c>
      <c r="C506" s="168" t="s">
        <v>76</v>
      </c>
      <c r="D506">
        <v>6733.6</v>
      </c>
      <c r="E506">
        <v>2021</v>
      </c>
      <c r="F506" s="168" t="s">
        <v>592</v>
      </c>
      <c r="G506" s="168" t="s">
        <v>575</v>
      </c>
      <c r="H506">
        <v>0</v>
      </c>
    </row>
    <row r="507" spans="1:8" x14ac:dyDescent="0.3">
      <c r="A507">
        <v>50</v>
      </c>
      <c r="B507" s="168" t="s">
        <v>75</v>
      </c>
      <c r="C507" s="168" t="s">
        <v>76</v>
      </c>
      <c r="D507">
        <v>6733.6</v>
      </c>
      <c r="E507">
        <v>2021</v>
      </c>
      <c r="F507" s="168" t="s">
        <v>592</v>
      </c>
      <c r="G507" s="168" t="s">
        <v>576</v>
      </c>
      <c r="H507">
        <v>2816.3806480486182</v>
      </c>
    </row>
    <row r="508" spans="1:8" x14ac:dyDescent="0.3">
      <c r="A508">
        <v>50</v>
      </c>
      <c r="B508" s="168" t="s">
        <v>75</v>
      </c>
      <c r="C508" s="168" t="s">
        <v>76</v>
      </c>
      <c r="D508">
        <v>6733.6</v>
      </c>
      <c r="E508">
        <v>2021</v>
      </c>
      <c r="F508" s="168" t="s">
        <v>592</v>
      </c>
      <c r="G508" s="168" t="s">
        <v>585</v>
      </c>
      <c r="H508">
        <v>254180.5753543734</v>
      </c>
    </row>
    <row r="509" spans="1:8" x14ac:dyDescent="0.3">
      <c r="A509">
        <v>50</v>
      </c>
      <c r="B509" s="168" t="s">
        <v>75</v>
      </c>
      <c r="C509" s="168" t="s">
        <v>76</v>
      </c>
      <c r="D509">
        <v>6733.6</v>
      </c>
      <c r="E509">
        <v>2021</v>
      </c>
      <c r="F509" s="168" t="s">
        <v>592</v>
      </c>
      <c r="G509" s="168" t="s">
        <v>586</v>
      </c>
      <c r="H509">
        <v>51591.031026648598</v>
      </c>
    </row>
    <row r="510" spans="1:8" x14ac:dyDescent="0.3">
      <c r="A510">
        <v>51</v>
      </c>
      <c r="B510" s="168" t="s">
        <v>77</v>
      </c>
      <c r="C510" s="168" t="s">
        <v>78</v>
      </c>
      <c r="D510">
        <v>1557</v>
      </c>
      <c r="E510">
        <v>2021</v>
      </c>
      <c r="F510" s="168" t="s">
        <v>592</v>
      </c>
      <c r="G510" s="168" t="s">
        <v>548</v>
      </c>
      <c r="H510">
        <v>14173.588555598013</v>
      </c>
    </row>
    <row r="511" spans="1:8" x14ac:dyDescent="0.3">
      <c r="A511">
        <v>51</v>
      </c>
      <c r="B511" s="168" t="s">
        <v>77</v>
      </c>
      <c r="C511" s="168" t="s">
        <v>78</v>
      </c>
      <c r="D511">
        <v>1557</v>
      </c>
      <c r="E511">
        <v>2021</v>
      </c>
      <c r="F511" s="168" t="s">
        <v>592</v>
      </c>
      <c r="G511" s="168" t="s">
        <v>549</v>
      </c>
      <c r="H511">
        <v>0</v>
      </c>
    </row>
    <row r="512" spans="1:8" x14ac:dyDescent="0.3">
      <c r="A512">
        <v>51</v>
      </c>
      <c r="B512" s="168" t="s">
        <v>77</v>
      </c>
      <c r="C512" s="168" t="s">
        <v>78</v>
      </c>
      <c r="D512">
        <v>1557</v>
      </c>
      <c r="E512">
        <v>2021</v>
      </c>
      <c r="F512" s="168" t="s">
        <v>592</v>
      </c>
      <c r="G512" s="168" t="s">
        <v>554</v>
      </c>
      <c r="H512">
        <v>1051.6472273471193</v>
      </c>
    </row>
    <row r="513" spans="1:8" x14ac:dyDescent="0.3">
      <c r="A513">
        <v>51</v>
      </c>
      <c r="B513" s="168" t="s">
        <v>77</v>
      </c>
      <c r="C513" s="168" t="s">
        <v>78</v>
      </c>
      <c r="D513">
        <v>1557</v>
      </c>
      <c r="E513">
        <v>2021</v>
      </c>
      <c r="F513" s="168" t="s">
        <v>592</v>
      </c>
      <c r="G513" s="168" t="s">
        <v>555</v>
      </c>
      <c r="H513">
        <v>788.73542051033951</v>
      </c>
    </row>
    <row r="514" spans="1:8" x14ac:dyDescent="0.3">
      <c r="A514">
        <v>51</v>
      </c>
      <c r="B514" s="168" t="s">
        <v>77</v>
      </c>
      <c r="C514" s="168" t="s">
        <v>78</v>
      </c>
      <c r="D514">
        <v>1557</v>
      </c>
      <c r="E514">
        <v>2021</v>
      </c>
      <c r="F514" s="168" t="s">
        <v>592</v>
      </c>
      <c r="G514" s="168" t="s">
        <v>556</v>
      </c>
      <c r="H514">
        <v>0</v>
      </c>
    </row>
    <row r="515" spans="1:8" x14ac:dyDescent="0.3">
      <c r="A515">
        <v>51</v>
      </c>
      <c r="B515" s="168" t="s">
        <v>77</v>
      </c>
      <c r="C515" s="168" t="s">
        <v>78</v>
      </c>
      <c r="D515">
        <v>1557</v>
      </c>
      <c r="E515">
        <v>2021</v>
      </c>
      <c r="F515" s="168" t="s">
        <v>592</v>
      </c>
      <c r="G515" s="168" t="s">
        <v>557</v>
      </c>
      <c r="H515">
        <v>111842.69662921347</v>
      </c>
    </row>
    <row r="516" spans="1:8" x14ac:dyDescent="0.3">
      <c r="A516">
        <v>51</v>
      </c>
      <c r="B516" s="168" t="s">
        <v>77</v>
      </c>
      <c r="C516" s="168" t="s">
        <v>78</v>
      </c>
      <c r="D516">
        <v>1557</v>
      </c>
      <c r="E516">
        <v>2021</v>
      </c>
      <c r="F516" s="168" t="s">
        <v>592</v>
      </c>
      <c r="G516" s="168" t="s">
        <v>595</v>
      </c>
      <c r="H516">
        <v>0</v>
      </c>
    </row>
    <row r="517" spans="1:8" x14ac:dyDescent="0.3">
      <c r="A517">
        <v>51</v>
      </c>
      <c r="B517" s="168" t="s">
        <v>77</v>
      </c>
      <c r="C517" s="168" t="s">
        <v>78</v>
      </c>
      <c r="D517">
        <v>1557</v>
      </c>
      <c r="E517">
        <v>2021</v>
      </c>
      <c r="F517" s="168" t="s">
        <v>592</v>
      </c>
      <c r="G517" s="168" t="s">
        <v>560</v>
      </c>
      <c r="H517">
        <v>6545.454545454545</v>
      </c>
    </row>
    <row r="518" spans="1:8" x14ac:dyDescent="0.3">
      <c r="A518">
        <v>51</v>
      </c>
      <c r="B518" s="168" t="s">
        <v>77</v>
      </c>
      <c r="C518" s="168" t="s">
        <v>78</v>
      </c>
      <c r="D518">
        <v>1557</v>
      </c>
      <c r="E518">
        <v>2021</v>
      </c>
      <c r="F518" s="168" t="s">
        <v>592</v>
      </c>
      <c r="G518" s="168" t="s">
        <v>561</v>
      </c>
      <c r="H518">
        <v>96190.661290322576</v>
      </c>
    </row>
    <row r="519" spans="1:8" x14ac:dyDescent="0.3">
      <c r="A519">
        <v>51</v>
      </c>
      <c r="B519" s="168" t="s">
        <v>77</v>
      </c>
      <c r="C519" s="168" t="s">
        <v>78</v>
      </c>
      <c r="D519">
        <v>1557</v>
      </c>
      <c r="E519">
        <v>2021</v>
      </c>
      <c r="F519" s="168" t="s">
        <v>592</v>
      </c>
      <c r="G519" s="168" t="s">
        <v>562</v>
      </c>
      <c r="H519">
        <v>0</v>
      </c>
    </row>
    <row r="520" spans="1:8" x14ac:dyDescent="0.3">
      <c r="A520">
        <v>51</v>
      </c>
      <c r="B520" s="168" t="s">
        <v>77</v>
      </c>
      <c r="C520" s="168" t="s">
        <v>78</v>
      </c>
      <c r="D520">
        <v>1557</v>
      </c>
      <c r="E520">
        <v>2021</v>
      </c>
      <c r="F520" s="168" t="s">
        <v>592</v>
      </c>
      <c r="G520" s="168" t="s">
        <v>600</v>
      </c>
      <c r="H520">
        <v>29127.6561668494</v>
      </c>
    </row>
    <row r="521" spans="1:8" x14ac:dyDescent="0.3">
      <c r="A521">
        <v>51</v>
      </c>
      <c r="B521" s="168" t="s">
        <v>77</v>
      </c>
      <c r="C521" s="168" t="s">
        <v>78</v>
      </c>
      <c r="D521">
        <v>1557</v>
      </c>
      <c r="E521">
        <v>2021</v>
      </c>
      <c r="F521" s="168" t="s">
        <v>592</v>
      </c>
      <c r="G521" s="168" t="s">
        <v>601</v>
      </c>
      <c r="H521">
        <v>30641.813343103098</v>
      </c>
    </row>
    <row r="522" spans="1:8" x14ac:dyDescent="0.3">
      <c r="A522">
        <v>51</v>
      </c>
      <c r="B522" s="168" t="s">
        <v>77</v>
      </c>
      <c r="C522" s="168" t="s">
        <v>78</v>
      </c>
      <c r="D522">
        <v>1557</v>
      </c>
      <c r="E522">
        <v>2021</v>
      </c>
      <c r="F522" s="168" t="s">
        <v>592</v>
      </c>
      <c r="G522" s="168" t="s">
        <v>585</v>
      </c>
      <c r="H522">
        <v>58773.784576862206</v>
      </c>
    </row>
    <row r="523" spans="1:8" x14ac:dyDescent="0.3">
      <c r="A523">
        <v>51</v>
      </c>
      <c r="B523" s="168" t="s">
        <v>77</v>
      </c>
      <c r="C523" s="168" t="s">
        <v>78</v>
      </c>
      <c r="D523">
        <v>1557</v>
      </c>
      <c r="E523">
        <v>2021</v>
      </c>
      <c r="F523" s="168" t="s">
        <v>592</v>
      </c>
      <c r="G523" s="168" t="s">
        <v>586</v>
      </c>
      <c r="H523">
        <v>11929.314973935467</v>
      </c>
    </row>
    <row r="524" spans="1:8" x14ac:dyDescent="0.3">
      <c r="A524">
        <v>52</v>
      </c>
      <c r="B524" s="168" t="s">
        <v>79</v>
      </c>
      <c r="C524" s="168" t="s">
        <v>80</v>
      </c>
      <c r="D524">
        <v>5057.3</v>
      </c>
      <c r="E524">
        <v>2021</v>
      </c>
      <c r="F524" s="168" t="s">
        <v>592</v>
      </c>
      <c r="G524" s="168" t="s">
        <v>548</v>
      </c>
      <c r="H524">
        <v>46037.308543497646</v>
      </c>
    </row>
    <row r="525" spans="1:8" x14ac:dyDescent="0.3">
      <c r="A525">
        <v>52</v>
      </c>
      <c r="B525" s="168" t="s">
        <v>79</v>
      </c>
      <c r="C525" s="168" t="s">
        <v>80</v>
      </c>
      <c r="D525">
        <v>5057.3</v>
      </c>
      <c r="E525">
        <v>2021</v>
      </c>
      <c r="F525" s="168" t="s">
        <v>592</v>
      </c>
      <c r="G525" s="168" t="s">
        <v>549</v>
      </c>
      <c r="H525">
        <v>0</v>
      </c>
    </row>
    <row r="526" spans="1:8" x14ac:dyDescent="0.3">
      <c r="A526">
        <v>52</v>
      </c>
      <c r="B526" s="168" t="s">
        <v>79</v>
      </c>
      <c r="C526" s="168" t="s">
        <v>80</v>
      </c>
      <c r="D526">
        <v>5057.3</v>
      </c>
      <c r="E526">
        <v>2021</v>
      </c>
      <c r="F526" s="168" t="s">
        <v>592</v>
      </c>
      <c r="G526" s="168" t="s">
        <v>554</v>
      </c>
      <c r="H526">
        <v>3415.8609652296641</v>
      </c>
    </row>
    <row r="527" spans="1:8" x14ac:dyDescent="0.3">
      <c r="A527">
        <v>52</v>
      </c>
      <c r="B527" s="168" t="s">
        <v>79</v>
      </c>
      <c r="C527" s="168" t="s">
        <v>80</v>
      </c>
      <c r="D527">
        <v>5057.3</v>
      </c>
      <c r="E527">
        <v>2021</v>
      </c>
      <c r="F527" s="168" t="s">
        <v>592</v>
      </c>
      <c r="G527" s="168" t="s">
        <v>555</v>
      </c>
      <c r="H527">
        <v>2561.8957239222477</v>
      </c>
    </row>
    <row r="528" spans="1:8" x14ac:dyDescent="0.3">
      <c r="A528">
        <v>52</v>
      </c>
      <c r="B528" s="168" t="s">
        <v>79</v>
      </c>
      <c r="C528" s="168" t="s">
        <v>80</v>
      </c>
      <c r="D528">
        <v>5057.3</v>
      </c>
      <c r="E528">
        <v>2021</v>
      </c>
      <c r="F528" s="168" t="s">
        <v>592</v>
      </c>
      <c r="G528" s="168" t="s">
        <v>595</v>
      </c>
      <c r="H528">
        <v>0</v>
      </c>
    </row>
    <row r="529" spans="1:8" x14ac:dyDescent="0.3">
      <c r="A529">
        <v>52</v>
      </c>
      <c r="B529" s="168" t="s">
        <v>79</v>
      </c>
      <c r="C529" s="168" t="s">
        <v>80</v>
      </c>
      <c r="D529">
        <v>5057.3</v>
      </c>
      <c r="E529">
        <v>2021</v>
      </c>
      <c r="F529" s="168" t="s">
        <v>592</v>
      </c>
      <c r="G529" s="168" t="s">
        <v>560</v>
      </c>
      <c r="H529">
        <v>6545.454545454545</v>
      </c>
    </row>
    <row r="530" spans="1:8" x14ac:dyDescent="0.3">
      <c r="A530">
        <v>52</v>
      </c>
      <c r="B530" s="168" t="s">
        <v>79</v>
      </c>
      <c r="C530" s="168" t="s">
        <v>80</v>
      </c>
      <c r="D530">
        <v>5057.3</v>
      </c>
      <c r="E530">
        <v>2021</v>
      </c>
      <c r="F530" s="168" t="s">
        <v>592</v>
      </c>
      <c r="G530" s="168" t="s">
        <v>561</v>
      </c>
      <c r="H530">
        <v>38476.264516129027</v>
      </c>
    </row>
    <row r="531" spans="1:8" x14ac:dyDescent="0.3">
      <c r="A531">
        <v>52</v>
      </c>
      <c r="B531" s="168" t="s">
        <v>79</v>
      </c>
      <c r="C531" s="168" t="s">
        <v>80</v>
      </c>
      <c r="D531">
        <v>5057.3</v>
      </c>
      <c r="E531">
        <v>2021</v>
      </c>
      <c r="F531" s="168" t="s">
        <v>592</v>
      </c>
      <c r="G531" s="168" t="s">
        <v>562</v>
      </c>
      <c r="H531">
        <v>0</v>
      </c>
    </row>
    <row r="532" spans="1:8" x14ac:dyDescent="0.3">
      <c r="A532">
        <v>52</v>
      </c>
      <c r="B532" s="168" t="s">
        <v>79</v>
      </c>
      <c r="C532" s="168" t="s">
        <v>80</v>
      </c>
      <c r="D532">
        <v>5057.3</v>
      </c>
      <c r="E532">
        <v>2021</v>
      </c>
      <c r="F532" s="168" t="s">
        <v>592</v>
      </c>
      <c r="G532" s="168" t="s">
        <v>567</v>
      </c>
      <c r="H532">
        <v>0</v>
      </c>
    </row>
    <row r="533" spans="1:8" x14ac:dyDescent="0.3">
      <c r="A533">
        <v>52</v>
      </c>
      <c r="B533" s="168" t="s">
        <v>79</v>
      </c>
      <c r="C533" s="168" t="s">
        <v>80</v>
      </c>
      <c r="D533">
        <v>5057.3</v>
      </c>
      <c r="E533">
        <v>2021</v>
      </c>
      <c r="F533" s="168" t="s">
        <v>592</v>
      </c>
      <c r="G533" s="168" t="s">
        <v>568</v>
      </c>
      <c r="H533">
        <v>101498</v>
      </c>
    </row>
    <row r="534" spans="1:8" x14ac:dyDescent="0.3">
      <c r="A534">
        <v>52</v>
      </c>
      <c r="B534" s="168" t="s">
        <v>79</v>
      </c>
      <c r="C534" s="168" t="s">
        <v>80</v>
      </c>
      <c r="D534">
        <v>5057.3</v>
      </c>
      <c r="E534">
        <v>2021</v>
      </c>
      <c r="F534" s="168" t="s">
        <v>592</v>
      </c>
      <c r="G534" s="168" t="s">
        <v>600</v>
      </c>
      <c r="H534">
        <v>94609.69526821289</v>
      </c>
    </row>
    <row r="535" spans="1:8" x14ac:dyDescent="0.3">
      <c r="A535">
        <v>52</v>
      </c>
      <c r="B535" s="168" t="s">
        <v>79</v>
      </c>
      <c r="C535" s="168" t="s">
        <v>80</v>
      </c>
      <c r="D535">
        <v>5057.3</v>
      </c>
      <c r="E535">
        <v>2021</v>
      </c>
      <c r="F535" s="168" t="s">
        <v>592</v>
      </c>
      <c r="G535" s="168" t="s">
        <v>601</v>
      </c>
      <c r="H535">
        <v>99527.837264017595</v>
      </c>
    </row>
    <row r="536" spans="1:8" x14ac:dyDescent="0.3">
      <c r="A536">
        <v>52</v>
      </c>
      <c r="B536" s="168" t="s">
        <v>79</v>
      </c>
      <c r="C536" s="168" t="s">
        <v>80</v>
      </c>
      <c r="D536">
        <v>5057.3</v>
      </c>
      <c r="E536">
        <v>2021</v>
      </c>
      <c r="F536" s="168" t="s">
        <v>592</v>
      </c>
      <c r="G536" s="168" t="s">
        <v>577</v>
      </c>
      <c r="H536">
        <v>0</v>
      </c>
    </row>
    <row r="537" spans="1:8" x14ac:dyDescent="0.3">
      <c r="A537">
        <v>52</v>
      </c>
      <c r="B537" s="168" t="s">
        <v>79</v>
      </c>
      <c r="C537" s="168" t="s">
        <v>80</v>
      </c>
      <c r="D537">
        <v>5057.3</v>
      </c>
      <c r="E537">
        <v>2021</v>
      </c>
      <c r="F537" s="168" t="s">
        <v>592</v>
      </c>
      <c r="G537" s="168" t="s">
        <v>578</v>
      </c>
      <c r="H537">
        <v>2724045.06</v>
      </c>
    </row>
    <row r="538" spans="1:8" x14ac:dyDescent="0.3">
      <c r="A538">
        <v>52</v>
      </c>
      <c r="B538" s="168" t="s">
        <v>79</v>
      </c>
      <c r="C538" s="168" t="s">
        <v>80</v>
      </c>
      <c r="D538">
        <v>5057.3</v>
      </c>
      <c r="E538">
        <v>2021</v>
      </c>
      <c r="F538" s="168" t="s">
        <v>592</v>
      </c>
      <c r="G538" s="168" t="s">
        <v>585</v>
      </c>
      <c r="H538">
        <v>358382.03741803602</v>
      </c>
    </row>
    <row r="539" spans="1:8" x14ac:dyDescent="0.3">
      <c r="A539">
        <v>52</v>
      </c>
      <c r="B539" s="168" t="s">
        <v>79</v>
      </c>
      <c r="C539" s="168" t="s">
        <v>80</v>
      </c>
      <c r="D539">
        <v>5057.3</v>
      </c>
      <c r="E539">
        <v>2021</v>
      </c>
      <c r="F539" s="168" t="s">
        <v>592</v>
      </c>
      <c r="G539" s="168" t="s">
        <v>586</v>
      </c>
      <c r="H539">
        <v>146129.36378111009</v>
      </c>
    </row>
    <row r="540" spans="1:8" x14ac:dyDescent="0.3">
      <c r="A540">
        <v>53</v>
      </c>
      <c r="B540" s="168" t="s">
        <v>81</v>
      </c>
      <c r="C540" s="168" t="s">
        <v>82</v>
      </c>
      <c r="D540">
        <v>286.89999999999998</v>
      </c>
      <c r="E540">
        <v>2021</v>
      </c>
      <c r="F540" s="168" t="s">
        <v>592</v>
      </c>
      <c r="G540" s="168" t="s">
        <v>548</v>
      </c>
      <c r="H540">
        <v>2611.6907877977328</v>
      </c>
    </row>
    <row r="541" spans="1:8" x14ac:dyDescent="0.3">
      <c r="A541">
        <v>53</v>
      </c>
      <c r="B541" s="168" t="s">
        <v>81</v>
      </c>
      <c r="C541" s="168" t="s">
        <v>82</v>
      </c>
      <c r="D541">
        <v>286.89999999999998</v>
      </c>
      <c r="E541">
        <v>2021</v>
      </c>
      <c r="F541" s="168" t="s">
        <v>592</v>
      </c>
      <c r="G541" s="168" t="s">
        <v>549</v>
      </c>
      <c r="H541">
        <v>0</v>
      </c>
    </row>
    <row r="542" spans="1:8" x14ac:dyDescent="0.3">
      <c r="A542">
        <v>53</v>
      </c>
      <c r="B542" s="168" t="s">
        <v>81</v>
      </c>
      <c r="C542" s="168" t="s">
        <v>82</v>
      </c>
      <c r="D542">
        <v>286.89999999999998</v>
      </c>
      <c r="E542">
        <v>2021</v>
      </c>
      <c r="F542" s="168" t="s">
        <v>592</v>
      </c>
      <c r="G542" s="168" t="s">
        <v>554</v>
      </c>
      <c r="H542">
        <v>193.78136771091104</v>
      </c>
    </row>
    <row r="543" spans="1:8" x14ac:dyDescent="0.3">
      <c r="A543">
        <v>53</v>
      </c>
      <c r="B543" s="168" t="s">
        <v>81</v>
      </c>
      <c r="C543" s="168" t="s">
        <v>82</v>
      </c>
      <c r="D543">
        <v>286.89999999999998</v>
      </c>
      <c r="E543">
        <v>2021</v>
      </c>
      <c r="F543" s="168" t="s">
        <v>592</v>
      </c>
      <c r="G543" s="168" t="s">
        <v>555</v>
      </c>
      <c r="H543">
        <v>145.33602578318326</v>
      </c>
    </row>
    <row r="544" spans="1:8" x14ac:dyDescent="0.3">
      <c r="A544">
        <v>54</v>
      </c>
      <c r="B544" s="168" t="s">
        <v>81</v>
      </c>
      <c r="C544" s="168" t="s">
        <v>83</v>
      </c>
      <c r="D544">
        <v>155.69999999999999</v>
      </c>
      <c r="E544">
        <v>2021</v>
      </c>
      <c r="F544" s="168" t="s">
        <v>592</v>
      </c>
      <c r="G544" s="168" t="s">
        <v>548</v>
      </c>
      <c r="H544">
        <v>1417.3588555598014</v>
      </c>
    </row>
    <row r="545" spans="1:8" x14ac:dyDescent="0.3">
      <c r="A545">
        <v>54</v>
      </c>
      <c r="B545" s="168" t="s">
        <v>81</v>
      </c>
      <c r="C545" s="168" t="s">
        <v>83</v>
      </c>
      <c r="D545">
        <v>155.69999999999999</v>
      </c>
      <c r="E545">
        <v>2021</v>
      </c>
      <c r="F545" s="168" t="s">
        <v>592</v>
      </c>
      <c r="G545" s="168" t="s">
        <v>549</v>
      </c>
      <c r="H545">
        <v>0</v>
      </c>
    </row>
    <row r="546" spans="1:8" x14ac:dyDescent="0.3">
      <c r="A546">
        <v>54</v>
      </c>
      <c r="B546" s="168" t="s">
        <v>81</v>
      </c>
      <c r="C546" s="168" t="s">
        <v>83</v>
      </c>
      <c r="D546">
        <v>155.69999999999999</v>
      </c>
      <c r="E546">
        <v>2021</v>
      </c>
      <c r="F546" s="168" t="s">
        <v>592</v>
      </c>
      <c r="G546" s="168" t="s">
        <v>554</v>
      </c>
      <c r="H546">
        <v>105.16472273471193</v>
      </c>
    </row>
    <row r="547" spans="1:8" x14ac:dyDescent="0.3">
      <c r="A547">
        <v>54</v>
      </c>
      <c r="B547" s="168" t="s">
        <v>81</v>
      </c>
      <c r="C547" s="168" t="s">
        <v>83</v>
      </c>
      <c r="D547">
        <v>155.69999999999999</v>
      </c>
      <c r="E547">
        <v>2021</v>
      </c>
      <c r="F547" s="168" t="s">
        <v>592</v>
      </c>
      <c r="G547" s="168" t="s">
        <v>555</v>
      </c>
      <c r="H547">
        <v>78.873542051033951</v>
      </c>
    </row>
    <row r="548" spans="1:8" x14ac:dyDescent="0.3">
      <c r="A548">
        <v>54</v>
      </c>
      <c r="B548" s="168" t="s">
        <v>81</v>
      </c>
      <c r="C548" s="168" t="s">
        <v>83</v>
      </c>
      <c r="D548">
        <v>155.69999999999999</v>
      </c>
      <c r="E548">
        <v>2021</v>
      </c>
      <c r="F548" s="168" t="s">
        <v>592</v>
      </c>
      <c r="G548" s="168" t="s">
        <v>577</v>
      </c>
      <c r="H548">
        <v>0</v>
      </c>
    </row>
    <row r="549" spans="1:8" x14ac:dyDescent="0.3">
      <c r="A549">
        <v>54</v>
      </c>
      <c r="B549" s="168" t="s">
        <v>81</v>
      </c>
      <c r="C549" s="168" t="s">
        <v>83</v>
      </c>
      <c r="D549">
        <v>155.69999999999999</v>
      </c>
      <c r="E549">
        <v>2021</v>
      </c>
      <c r="F549" s="168" t="s">
        <v>592</v>
      </c>
      <c r="G549" s="168" t="s">
        <v>578</v>
      </c>
      <c r="H549">
        <v>4532960</v>
      </c>
    </row>
    <row r="550" spans="1:8" x14ac:dyDescent="0.3">
      <c r="A550">
        <v>55</v>
      </c>
      <c r="B550" s="168" t="s">
        <v>81</v>
      </c>
      <c r="C550" s="168" t="s">
        <v>84</v>
      </c>
      <c r="D550">
        <v>1142.7</v>
      </c>
      <c r="E550">
        <v>2021</v>
      </c>
      <c r="F550" s="168" t="s">
        <v>592</v>
      </c>
      <c r="G550" s="168" t="s">
        <v>548</v>
      </c>
      <c r="H550">
        <v>10402.157766526558</v>
      </c>
    </row>
    <row r="551" spans="1:8" x14ac:dyDescent="0.3">
      <c r="A551">
        <v>55</v>
      </c>
      <c r="B551" s="168" t="s">
        <v>81</v>
      </c>
      <c r="C551" s="168" t="s">
        <v>84</v>
      </c>
      <c r="D551">
        <v>1142.7</v>
      </c>
      <c r="E551">
        <v>2021</v>
      </c>
      <c r="F551" s="168" t="s">
        <v>592</v>
      </c>
      <c r="G551" s="168" t="s">
        <v>549</v>
      </c>
      <c r="H551">
        <v>7826.086956521739</v>
      </c>
    </row>
    <row r="552" spans="1:8" x14ac:dyDescent="0.3">
      <c r="A552">
        <v>55</v>
      </c>
      <c r="B552" s="168" t="s">
        <v>81</v>
      </c>
      <c r="C552" s="168" t="s">
        <v>84</v>
      </c>
      <c r="D552">
        <v>1142.7</v>
      </c>
      <c r="E552">
        <v>2021</v>
      </c>
      <c r="F552" s="168" t="s">
        <v>592</v>
      </c>
      <c r="G552" s="168" t="s">
        <v>554</v>
      </c>
      <c r="H552">
        <v>771.8158552919416</v>
      </c>
    </row>
    <row r="553" spans="1:8" x14ac:dyDescent="0.3">
      <c r="A553">
        <v>55</v>
      </c>
      <c r="B553" s="168" t="s">
        <v>81</v>
      </c>
      <c r="C553" s="168" t="s">
        <v>84</v>
      </c>
      <c r="D553">
        <v>1142.7</v>
      </c>
      <c r="E553">
        <v>2021</v>
      </c>
      <c r="F553" s="168" t="s">
        <v>592</v>
      </c>
      <c r="G553" s="168" t="s">
        <v>555</v>
      </c>
      <c r="H553">
        <v>578.86189146895629</v>
      </c>
    </row>
    <row r="554" spans="1:8" x14ac:dyDescent="0.3">
      <c r="A554">
        <v>55</v>
      </c>
      <c r="B554" s="168" t="s">
        <v>81</v>
      </c>
      <c r="C554" s="168" t="s">
        <v>84</v>
      </c>
      <c r="D554">
        <v>1142.7</v>
      </c>
      <c r="E554">
        <v>2021</v>
      </c>
      <c r="F554" s="168" t="s">
        <v>592</v>
      </c>
      <c r="G554" s="168" t="s">
        <v>556</v>
      </c>
      <c r="H554">
        <v>0</v>
      </c>
    </row>
    <row r="555" spans="1:8" x14ac:dyDescent="0.3">
      <c r="A555">
        <v>55</v>
      </c>
      <c r="B555" s="168" t="s">
        <v>81</v>
      </c>
      <c r="C555" s="168" t="s">
        <v>84</v>
      </c>
      <c r="D555">
        <v>1142.7</v>
      </c>
      <c r="E555">
        <v>2021</v>
      </c>
      <c r="F555" s="168" t="s">
        <v>592</v>
      </c>
      <c r="G555" s="168" t="s">
        <v>557</v>
      </c>
      <c r="H555">
        <v>37280.898876404492</v>
      </c>
    </row>
    <row r="556" spans="1:8" x14ac:dyDescent="0.3">
      <c r="A556">
        <v>55</v>
      </c>
      <c r="B556" s="168" t="s">
        <v>81</v>
      </c>
      <c r="C556" s="168" t="s">
        <v>84</v>
      </c>
      <c r="D556">
        <v>1142.7</v>
      </c>
      <c r="E556">
        <v>2021</v>
      </c>
      <c r="F556" s="168" t="s">
        <v>592</v>
      </c>
      <c r="G556" s="168" t="s">
        <v>595</v>
      </c>
      <c r="H556">
        <v>0</v>
      </c>
    </row>
    <row r="557" spans="1:8" x14ac:dyDescent="0.3">
      <c r="A557">
        <v>55</v>
      </c>
      <c r="B557" s="168" t="s">
        <v>81</v>
      </c>
      <c r="C557" s="168" t="s">
        <v>84</v>
      </c>
      <c r="D557">
        <v>1142.7</v>
      </c>
      <c r="E557">
        <v>2021</v>
      </c>
      <c r="F557" s="168" t="s">
        <v>592</v>
      </c>
      <c r="G557" s="168" t="s">
        <v>560</v>
      </c>
      <c r="H557">
        <v>6545.454545454545</v>
      </c>
    </row>
    <row r="558" spans="1:8" x14ac:dyDescent="0.3">
      <c r="A558">
        <v>55</v>
      </c>
      <c r="B558" s="168" t="s">
        <v>81</v>
      </c>
      <c r="C558" s="168" t="s">
        <v>84</v>
      </c>
      <c r="D558">
        <v>1142.7</v>
      </c>
      <c r="E558">
        <v>2021</v>
      </c>
      <c r="F558" s="168" t="s">
        <v>592</v>
      </c>
      <c r="G558" s="168" t="s">
        <v>561</v>
      </c>
      <c r="H558">
        <v>186515.41295527678</v>
      </c>
    </row>
    <row r="559" spans="1:8" x14ac:dyDescent="0.3">
      <c r="A559">
        <v>55</v>
      </c>
      <c r="B559" s="168" t="s">
        <v>81</v>
      </c>
      <c r="C559" s="168" t="s">
        <v>84</v>
      </c>
      <c r="D559">
        <v>1142.7</v>
      </c>
      <c r="E559">
        <v>2021</v>
      </c>
      <c r="F559" s="168" t="s">
        <v>592</v>
      </c>
      <c r="G559" s="168" t="s">
        <v>562</v>
      </c>
      <c r="H559">
        <v>342099.45621181739</v>
      </c>
    </row>
    <row r="560" spans="1:8" x14ac:dyDescent="0.3">
      <c r="A560">
        <v>55</v>
      </c>
      <c r="B560" s="168" t="s">
        <v>81</v>
      </c>
      <c r="C560" s="168" t="s">
        <v>84</v>
      </c>
      <c r="D560">
        <v>1142.7</v>
      </c>
      <c r="E560">
        <v>2021</v>
      </c>
      <c r="F560" s="168" t="s">
        <v>592</v>
      </c>
      <c r="G560" s="168" t="s">
        <v>567</v>
      </c>
      <c r="H560">
        <v>0</v>
      </c>
    </row>
    <row r="561" spans="1:8" x14ac:dyDescent="0.3">
      <c r="A561">
        <v>55</v>
      </c>
      <c r="B561" s="168" t="s">
        <v>81</v>
      </c>
      <c r="C561" s="168" t="s">
        <v>84</v>
      </c>
      <c r="D561">
        <v>1142.7</v>
      </c>
      <c r="E561">
        <v>2021</v>
      </c>
      <c r="F561" s="168" t="s">
        <v>592</v>
      </c>
      <c r="G561" s="168" t="s">
        <v>568</v>
      </c>
      <c r="H561">
        <v>101498</v>
      </c>
    </row>
    <row r="562" spans="1:8" x14ac:dyDescent="0.3">
      <c r="A562">
        <v>55</v>
      </c>
      <c r="B562" s="168" t="s">
        <v>81</v>
      </c>
      <c r="C562" s="168" t="s">
        <v>84</v>
      </c>
      <c r="D562">
        <v>1142.7</v>
      </c>
      <c r="E562">
        <v>2021</v>
      </c>
      <c r="F562" s="168" t="s">
        <v>592</v>
      </c>
      <c r="G562" s="168" t="s">
        <v>600</v>
      </c>
      <c r="H562">
        <v>17084.686331178724</v>
      </c>
    </row>
    <row r="563" spans="1:8" x14ac:dyDescent="0.3">
      <c r="A563">
        <v>55</v>
      </c>
      <c r="B563" s="168" t="s">
        <v>81</v>
      </c>
      <c r="C563" s="168" t="s">
        <v>84</v>
      </c>
      <c r="D563">
        <v>1142.7</v>
      </c>
      <c r="E563">
        <v>2021</v>
      </c>
      <c r="F563" s="168" t="s">
        <v>592</v>
      </c>
      <c r="G563" s="168" t="s">
        <v>601</v>
      </c>
      <c r="H563">
        <v>18195.94349579345</v>
      </c>
    </row>
    <row r="564" spans="1:8" x14ac:dyDescent="0.3">
      <c r="A564">
        <v>55</v>
      </c>
      <c r="B564" s="168" t="s">
        <v>81</v>
      </c>
      <c r="C564" s="168" t="s">
        <v>84</v>
      </c>
      <c r="D564">
        <v>1142.7</v>
      </c>
      <c r="E564">
        <v>2021</v>
      </c>
      <c r="F564" s="168" t="s">
        <v>592</v>
      </c>
      <c r="G564" s="168" t="s">
        <v>585</v>
      </c>
      <c r="H564">
        <v>43134.748642248196</v>
      </c>
    </row>
    <row r="565" spans="1:8" x14ac:dyDescent="0.3">
      <c r="A565">
        <v>55</v>
      </c>
      <c r="B565" s="168" t="s">
        <v>81</v>
      </c>
      <c r="C565" s="168" t="s">
        <v>84</v>
      </c>
      <c r="D565">
        <v>1142.7</v>
      </c>
      <c r="E565">
        <v>2021</v>
      </c>
      <c r="F565" s="168" t="s">
        <v>592</v>
      </c>
      <c r="G565" s="168" t="s">
        <v>586</v>
      </c>
      <c r="H565">
        <v>8755.0598720077433</v>
      </c>
    </row>
    <row r="566" spans="1:8" x14ac:dyDescent="0.3">
      <c r="A566">
        <v>55</v>
      </c>
      <c r="B566" s="168" t="s">
        <v>81</v>
      </c>
      <c r="C566" s="168" t="s">
        <v>84</v>
      </c>
      <c r="D566">
        <v>1142.7</v>
      </c>
      <c r="E566">
        <v>2021</v>
      </c>
      <c r="F566" s="168" t="s">
        <v>592</v>
      </c>
      <c r="G566" s="168" t="s">
        <v>587</v>
      </c>
      <c r="H566">
        <v>0</v>
      </c>
    </row>
    <row r="567" spans="1:8" x14ac:dyDescent="0.3">
      <c r="A567">
        <v>55</v>
      </c>
      <c r="B567" s="168" t="s">
        <v>81</v>
      </c>
      <c r="C567" s="168" t="s">
        <v>84</v>
      </c>
      <c r="D567">
        <v>1142.7</v>
      </c>
      <c r="E567">
        <v>2021</v>
      </c>
      <c r="F567" s="168" t="s">
        <v>592</v>
      </c>
      <c r="G567" s="168" t="s">
        <v>588</v>
      </c>
      <c r="H567">
        <v>990000</v>
      </c>
    </row>
    <row r="568" spans="1:8" x14ac:dyDescent="0.3">
      <c r="A568">
        <v>56</v>
      </c>
      <c r="B568" s="168" t="s">
        <v>81</v>
      </c>
      <c r="C568" s="168" t="s">
        <v>85</v>
      </c>
      <c r="D568">
        <v>1186.4000000000001</v>
      </c>
      <c r="E568">
        <v>2021</v>
      </c>
      <c r="F568" s="168" t="s">
        <v>592</v>
      </c>
      <c r="G568" s="168" t="s">
        <v>548</v>
      </c>
      <c r="H568">
        <v>10799.964972614955</v>
      </c>
    </row>
    <row r="569" spans="1:8" x14ac:dyDescent="0.3">
      <c r="A569">
        <v>56</v>
      </c>
      <c r="B569" s="168" t="s">
        <v>81</v>
      </c>
      <c r="C569" s="168" t="s">
        <v>85</v>
      </c>
      <c r="D569">
        <v>1186.4000000000001</v>
      </c>
      <c r="E569">
        <v>2021</v>
      </c>
      <c r="F569" s="168" t="s">
        <v>592</v>
      </c>
      <c r="G569" s="168" t="s">
        <v>549</v>
      </c>
      <c r="H569">
        <v>0</v>
      </c>
    </row>
    <row r="570" spans="1:8" x14ac:dyDescent="0.3">
      <c r="A570">
        <v>56</v>
      </c>
      <c r="B570" s="168" t="s">
        <v>81</v>
      </c>
      <c r="C570" s="168" t="s">
        <v>85</v>
      </c>
      <c r="D570">
        <v>1186.4000000000001</v>
      </c>
      <c r="E570">
        <v>2021</v>
      </c>
      <c r="F570" s="168" t="s">
        <v>592</v>
      </c>
      <c r="G570" s="168" t="s">
        <v>554</v>
      </c>
      <c r="H570">
        <v>801.33222255916667</v>
      </c>
    </row>
    <row r="571" spans="1:8" x14ac:dyDescent="0.3">
      <c r="A571">
        <v>56</v>
      </c>
      <c r="B571" s="168" t="s">
        <v>81</v>
      </c>
      <c r="C571" s="168" t="s">
        <v>85</v>
      </c>
      <c r="D571">
        <v>1186.4000000000001</v>
      </c>
      <c r="E571">
        <v>2021</v>
      </c>
      <c r="F571" s="168" t="s">
        <v>592</v>
      </c>
      <c r="G571" s="168" t="s">
        <v>555</v>
      </c>
      <c r="H571">
        <v>600.99916691937494</v>
      </c>
    </row>
    <row r="572" spans="1:8" x14ac:dyDescent="0.3">
      <c r="A572">
        <v>56</v>
      </c>
      <c r="B572" s="168" t="s">
        <v>81</v>
      </c>
      <c r="C572" s="168" t="s">
        <v>85</v>
      </c>
      <c r="D572">
        <v>1186.4000000000001</v>
      </c>
      <c r="E572">
        <v>2021</v>
      </c>
      <c r="F572" s="168" t="s">
        <v>592</v>
      </c>
      <c r="G572" s="168" t="s">
        <v>556</v>
      </c>
      <c r="H572">
        <v>0</v>
      </c>
    </row>
    <row r="573" spans="1:8" x14ac:dyDescent="0.3">
      <c r="A573">
        <v>56</v>
      </c>
      <c r="B573" s="168" t="s">
        <v>81</v>
      </c>
      <c r="C573" s="168" t="s">
        <v>85</v>
      </c>
      <c r="D573">
        <v>1186.4000000000001</v>
      </c>
      <c r="E573">
        <v>2021</v>
      </c>
      <c r="F573" s="168" t="s">
        <v>592</v>
      </c>
      <c r="G573" s="168" t="s">
        <v>557</v>
      </c>
      <c r="H573">
        <v>53258.426966292136</v>
      </c>
    </row>
    <row r="574" spans="1:8" x14ac:dyDescent="0.3">
      <c r="A574">
        <v>56</v>
      </c>
      <c r="B574" s="168" t="s">
        <v>81</v>
      </c>
      <c r="C574" s="168" t="s">
        <v>85</v>
      </c>
      <c r="D574">
        <v>1186.4000000000001</v>
      </c>
      <c r="E574">
        <v>2021</v>
      </c>
      <c r="F574" s="168" t="s">
        <v>592</v>
      </c>
      <c r="G574" s="168" t="s">
        <v>595</v>
      </c>
      <c r="H574">
        <v>0</v>
      </c>
    </row>
    <row r="575" spans="1:8" x14ac:dyDescent="0.3">
      <c r="A575">
        <v>56</v>
      </c>
      <c r="B575" s="168" t="s">
        <v>81</v>
      </c>
      <c r="C575" s="168" t="s">
        <v>85</v>
      </c>
      <c r="D575">
        <v>1186.4000000000001</v>
      </c>
      <c r="E575">
        <v>2021</v>
      </c>
      <c r="F575" s="168" t="s">
        <v>592</v>
      </c>
      <c r="G575" s="168" t="s">
        <v>560</v>
      </c>
      <c r="H575">
        <v>6545.454545454545</v>
      </c>
    </row>
    <row r="576" spans="1:8" x14ac:dyDescent="0.3">
      <c r="A576">
        <v>56</v>
      </c>
      <c r="B576" s="168" t="s">
        <v>81</v>
      </c>
      <c r="C576" s="168" t="s">
        <v>85</v>
      </c>
      <c r="D576">
        <v>1186.4000000000001</v>
      </c>
      <c r="E576">
        <v>2021</v>
      </c>
      <c r="F576" s="168" t="s">
        <v>592</v>
      </c>
      <c r="G576" s="168" t="s">
        <v>565</v>
      </c>
      <c r="H576">
        <v>37500</v>
      </c>
    </row>
    <row r="577" spans="1:8" x14ac:dyDescent="0.3">
      <c r="A577">
        <v>56</v>
      </c>
      <c r="B577" s="168" t="s">
        <v>81</v>
      </c>
      <c r="C577" s="168" t="s">
        <v>85</v>
      </c>
      <c r="D577">
        <v>1186.4000000000001</v>
      </c>
      <c r="E577">
        <v>2021</v>
      </c>
      <c r="F577" s="168" t="s">
        <v>592</v>
      </c>
      <c r="G577" s="168" t="s">
        <v>566</v>
      </c>
      <c r="H577">
        <v>35510.391250000001</v>
      </c>
    </row>
    <row r="578" spans="1:8" x14ac:dyDescent="0.3">
      <c r="A578">
        <v>56</v>
      </c>
      <c r="B578" s="168" t="s">
        <v>81</v>
      </c>
      <c r="C578" s="168" t="s">
        <v>85</v>
      </c>
      <c r="D578">
        <v>1186.4000000000001</v>
      </c>
      <c r="E578">
        <v>2021</v>
      </c>
      <c r="F578" s="168" t="s">
        <v>592</v>
      </c>
      <c r="G578" s="168" t="s">
        <v>600</v>
      </c>
      <c r="H578">
        <v>17738.051862527729</v>
      </c>
    </row>
    <row r="579" spans="1:8" x14ac:dyDescent="0.3">
      <c r="A579">
        <v>56</v>
      </c>
      <c r="B579" s="168" t="s">
        <v>81</v>
      </c>
      <c r="C579" s="168" t="s">
        <v>85</v>
      </c>
      <c r="D579">
        <v>1186.4000000000001</v>
      </c>
      <c r="E579">
        <v>2021</v>
      </c>
      <c r="F579" s="168" t="s">
        <v>592</v>
      </c>
      <c r="G579" s="168" t="s">
        <v>601</v>
      </c>
      <c r="H579">
        <v>18891.806566386058</v>
      </c>
    </row>
    <row r="580" spans="1:8" x14ac:dyDescent="0.3">
      <c r="A580">
        <v>56</v>
      </c>
      <c r="B580" s="168" t="s">
        <v>81</v>
      </c>
      <c r="C580" s="168" t="s">
        <v>85</v>
      </c>
      <c r="D580">
        <v>1186.4000000000001</v>
      </c>
      <c r="E580">
        <v>2021</v>
      </c>
      <c r="F580" s="168" t="s">
        <v>592</v>
      </c>
      <c r="G580" s="168" t="s">
        <v>585</v>
      </c>
      <c r="H580">
        <v>44784.340412324549</v>
      </c>
    </row>
    <row r="581" spans="1:8" x14ac:dyDescent="0.3">
      <c r="A581">
        <v>56</v>
      </c>
      <c r="B581" s="168" t="s">
        <v>81</v>
      </c>
      <c r="C581" s="168" t="s">
        <v>85</v>
      </c>
      <c r="D581">
        <v>1186.4000000000001</v>
      </c>
      <c r="E581">
        <v>2021</v>
      </c>
      <c r="F581" s="168" t="s">
        <v>592</v>
      </c>
      <c r="G581" s="168" t="s">
        <v>586</v>
      </c>
      <c r="H581">
        <v>9089.8775112890416</v>
      </c>
    </row>
    <row r="582" spans="1:8" x14ac:dyDescent="0.3">
      <c r="A582">
        <v>57</v>
      </c>
      <c r="B582" s="168" t="s">
        <v>81</v>
      </c>
      <c r="C582" s="168" t="s">
        <v>86</v>
      </c>
      <c r="D582">
        <v>122.7</v>
      </c>
      <c r="E582">
        <v>2021</v>
      </c>
      <c r="F582" s="168" t="s">
        <v>592</v>
      </c>
      <c r="G582" s="168" t="s">
        <v>548</v>
      </c>
      <c r="H582">
        <v>1116.9552445548338</v>
      </c>
    </row>
    <row r="583" spans="1:8" x14ac:dyDescent="0.3">
      <c r="A583">
        <v>57</v>
      </c>
      <c r="B583" s="168" t="s">
        <v>81</v>
      </c>
      <c r="C583" s="168" t="s">
        <v>86</v>
      </c>
      <c r="D583">
        <v>122.7</v>
      </c>
      <c r="E583">
        <v>2021</v>
      </c>
      <c r="F583" s="168" t="s">
        <v>592</v>
      </c>
      <c r="G583" s="168" t="s">
        <v>549</v>
      </c>
      <c r="H583">
        <v>0</v>
      </c>
    </row>
    <row r="584" spans="1:8" x14ac:dyDescent="0.3">
      <c r="A584">
        <v>57</v>
      </c>
      <c r="B584" s="168" t="s">
        <v>81</v>
      </c>
      <c r="C584" s="168" t="s">
        <v>86</v>
      </c>
      <c r="D584">
        <v>122.7</v>
      </c>
      <c r="E584">
        <v>2021</v>
      </c>
      <c r="F584" s="168" t="s">
        <v>592</v>
      </c>
      <c r="G584" s="168" t="s">
        <v>554</v>
      </c>
      <c r="H584">
        <v>82.875475141613066</v>
      </c>
    </row>
    <row r="585" spans="1:8" x14ac:dyDescent="0.3">
      <c r="A585">
        <v>57</v>
      </c>
      <c r="B585" s="168" t="s">
        <v>81</v>
      </c>
      <c r="C585" s="168" t="s">
        <v>86</v>
      </c>
      <c r="D585">
        <v>122.7</v>
      </c>
      <c r="E585">
        <v>2021</v>
      </c>
      <c r="F585" s="168" t="s">
        <v>592</v>
      </c>
      <c r="G585" s="168" t="s">
        <v>555</v>
      </c>
      <c r="H585">
        <v>62.156606356209799</v>
      </c>
    </row>
    <row r="586" spans="1:8" x14ac:dyDescent="0.3">
      <c r="A586">
        <v>58</v>
      </c>
      <c r="B586" s="168" t="s">
        <v>34</v>
      </c>
      <c r="C586" s="168" t="s">
        <v>87</v>
      </c>
      <c r="D586">
        <v>52.6</v>
      </c>
      <c r="E586">
        <v>2021</v>
      </c>
      <c r="F586" s="168" t="s">
        <v>593</v>
      </c>
      <c r="G586" s="168" t="s">
        <v>548</v>
      </c>
      <c r="H586">
        <v>478.82514966246345</v>
      </c>
    </row>
    <row r="587" spans="1:8" x14ac:dyDescent="0.3">
      <c r="A587">
        <v>58</v>
      </c>
      <c r="B587" s="168" t="s">
        <v>34</v>
      </c>
      <c r="C587" s="168" t="s">
        <v>87</v>
      </c>
      <c r="D587">
        <v>52.6</v>
      </c>
      <c r="E587">
        <v>2021</v>
      </c>
      <c r="F587" s="168" t="s">
        <v>593</v>
      </c>
      <c r="G587" s="168" t="s">
        <v>549</v>
      </c>
      <c r="H587">
        <v>0</v>
      </c>
    </row>
    <row r="588" spans="1:8" x14ac:dyDescent="0.3">
      <c r="A588">
        <v>58</v>
      </c>
      <c r="B588" s="168" t="s">
        <v>34</v>
      </c>
      <c r="C588" s="168" t="s">
        <v>87</v>
      </c>
      <c r="D588">
        <v>52.6</v>
      </c>
      <c r="E588">
        <v>2021</v>
      </c>
      <c r="F588" s="168" t="s">
        <v>593</v>
      </c>
      <c r="G588" s="168" t="s">
        <v>554</v>
      </c>
      <c r="H588">
        <v>35.527709799909104</v>
      </c>
    </row>
    <row r="589" spans="1:8" x14ac:dyDescent="0.3">
      <c r="A589">
        <v>58</v>
      </c>
      <c r="B589" s="168" t="s">
        <v>34</v>
      </c>
      <c r="C589" s="168" t="s">
        <v>87</v>
      </c>
      <c r="D589">
        <v>52.6</v>
      </c>
      <c r="E589">
        <v>2021</v>
      </c>
      <c r="F589" s="168" t="s">
        <v>593</v>
      </c>
      <c r="G589" s="168" t="s">
        <v>555</v>
      </c>
      <c r="H589">
        <v>26.645782349931828</v>
      </c>
    </row>
    <row r="590" spans="1:8" x14ac:dyDescent="0.3">
      <c r="A590">
        <v>58</v>
      </c>
      <c r="B590" s="168" t="s">
        <v>34</v>
      </c>
      <c r="C590" s="168" t="s">
        <v>87</v>
      </c>
      <c r="D590">
        <v>52.6</v>
      </c>
      <c r="E590">
        <v>2021</v>
      </c>
      <c r="F590" s="168" t="s">
        <v>593</v>
      </c>
      <c r="G590" s="168" t="s">
        <v>600</v>
      </c>
      <c r="H590">
        <v>197.58633496494139</v>
      </c>
    </row>
    <row r="591" spans="1:8" x14ac:dyDescent="0.3">
      <c r="A591">
        <v>58</v>
      </c>
      <c r="B591" s="168" t="s">
        <v>34</v>
      </c>
      <c r="C591" s="168" t="s">
        <v>87</v>
      </c>
      <c r="D591">
        <v>52.6</v>
      </c>
      <c r="E591">
        <v>2021</v>
      </c>
      <c r="F591" s="168" t="s">
        <v>593</v>
      </c>
      <c r="G591" s="168" t="s">
        <v>601</v>
      </c>
      <c r="H591">
        <v>197.58633496494139</v>
      </c>
    </row>
    <row r="592" spans="1:8" x14ac:dyDescent="0.3">
      <c r="A592">
        <v>59</v>
      </c>
      <c r="B592" s="168" t="s">
        <v>34</v>
      </c>
      <c r="C592" s="168" t="s">
        <v>88</v>
      </c>
      <c r="D592">
        <v>54.9</v>
      </c>
      <c r="E592">
        <v>2021</v>
      </c>
      <c r="F592" s="168" t="s">
        <v>593</v>
      </c>
      <c r="G592" s="168" t="s">
        <v>548</v>
      </c>
      <c r="H592">
        <v>499.76237103553694</v>
      </c>
    </row>
    <row r="593" spans="1:8" x14ac:dyDescent="0.3">
      <c r="A593">
        <v>59</v>
      </c>
      <c r="B593" s="168" t="s">
        <v>34</v>
      </c>
      <c r="C593" s="168" t="s">
        <v>88</v>
      </c>
      <c r="D593">
        <v>54.9</v>
      </c>
      <c r="E593">
        <v>2021</v>
      </c>
      <c r="F593" s="168" t="s">
        <v>593</v>
      </c>
      <c r="G593" s="168" t="s">
        <v>549</v>
      </c>
      <c r="H593">
        <v>0</v>
      </c>
    </row>
    <row r="594" spans="1:8" x14ac:dyDescent="0.3">
      <c r="A594">
        <v>59</v>
      </c>
      <c r="B594" s="168" t="s">
        <v>34</v>
      </c>
      <c r="C594" s="168" t="s">
        <v>88</v>
      </c>
      <c r="D594">
        <v>54.9</v>
      </c>
      <c r="E594">
        <v>2021</v>
      </c>
      <c r="F594" s="168" t="s">
        <v>593</v>
      </c>
      <c r="G594" s="168" t="s">
        <v>550</v>
      </c>
      <c r="H594">
        <v>0</v>
      </c>
    </row>
    <row r="595" spans="1:8" x14ac:dyDescent="0.3">
      <c r="A595">
        <v>59</v>
      </c>
      <c r="B595" s="168" t="s">
        <v>34</v>
      </c>
      <c r="C595" s="168" t="s">
        <v>88</v>
      </c>
      <c r="D595">
        <v>54.9</v>
      </c>
      <c r="E595">
        <v>2021</v>
      </c>
      <c r="F595" s="168" t="s">
        <v>593</v>
      </c>
      <c r="G595" s="168" t="s">
        <v>551</v>
      </c>
      <c r="H595">
        <v>68.793268981875869</v>
      </c>
    </row>
    <row r="596" spans="1:8" x14ac:dyDescent="0.3">
      <c r="A596">
        <v>59</v>
      </c>
      <c r="B596" s="168" t="s">
        <v>34</v>
      </c>
      <c r="C596" s="168" t="s">
        <v>88</v>
      </c>
      <c r="D596">
        <v>54.9</v>
      </c>
      <c r="E596">
        <v>2021</v>
      </c>
      <c r="F596" s="168" t="s">
        <v>593</v>
      </c>
      <c r="G596" s="168" t="s">
        <v>554</v>
      </c>
      <c r="H596">
        <v>37.081202813973569</v>
      </c>
    </row>
    <row r="597" spans="1:8" x14ac:dyDescent="0.3">
      <c r="A597">
        <v>59</v>
      </c>
      <c r="B597" s="168" t="s">
        <v>34</v>
      </c>
      <c r="C597" s="168" t="s">
        <v>88</v>
      </c>
      <c r="D597">
        <v>54.9</v>
      </c>
      <c r="E597">
        <v>2021</v>
      </c>
      <c r="F597" s="168" t="s">
        <v>593</v>
      </c>
      <c r="G597" s="168" t="s">
        <v>555</v>
      </c>
      <c r="H597">
        <v>27.810902110480175</v>
      </c>
    </row>
    <row r="598" spans="1:8" x14ac:dyDescent="0.3">
      <c r="A598">
        <v>59</v>
      </c>
      <c r="B598" s="168" t="s">
        <v>34</v>
      </c>
      <c r="C598" s="168" t="s">
        <v>88</v>
      </c>
      <c r="D598">
        <v>54.9</v>
      </c>
      <c r="E598">
        <v>2021</v>
      </c>
      <c r="F598" s="168" t="s">
        <v>593</v>
      </c>
      <c r="G598" s="168" t="s">
        <v>563</v>
      </c>
      <c r="H598">
        <v>0</v>
      </c>
    </row>
    <row r="599" spans="1:8" x14ac:dyDescent="0.3">
      <c r="A599">
        <v>59</v>
      </c>
      <c r="B599" s="168" t="s">
        <v>34</v>
      </c>
      <c r="C599" s="168" t="s">
        <v>88</v>
      </c>
      <c r="D599">
        <v>54.9</v>
      </c>
      <c r="E599">
        <v>2021</v>
      </c>
      <c r="F599" s="168" t="s">
        <v>593</v>
      </c>
      <c r="G599" s="168" t="s">
        <v>564</v>
      </c>
      <c r="H599">
        <v>145433.62831858409</v>
      </c>
    </row>
    <row r="600" spans="1:8" x14ac:dyDescent="0.3">
      <c r="A600">
        <v>59</v>
      </c>
      <c r="B600" s="168" t="s">
        <v>34</v>
      </c>
      <c r="C600" s="168" t="s">
        <v>88</v>
      </c>
      <c r="D600">
        <v>54.9</v>
      </c>
      <c r="E600">
        <v>2021</v>
      </c>
      <c r="F600" s="168" t="s">
        <v>593</v>
      </c>
      <c r="G600" s="168" t="s">
        <v>600</v>
      </c>
      <c r="H600">
        <v>206.22604162690649</v>
      </c>
    </row>
    <row r="601" spans="1:8" x14ac:dyDescent="0.3">
      <c r="A601">
        <v>59</v>
      </c>
      <c r="B601" s="168" t="s">
        <v>34</v>
      </c>
      <c r="C601" s="168" t="s">
        <v>88</v>
      </c>
      <c r="D601">
        <v>54.9</v>
      </c>
      <c r="E601">
        <v>2021</v>
      </c>
      <c r="F601" s="168" t="s">
        <v>593</v>
      </c>
      <c r="G601" s="168" t="s">
        <v>601</v>
      </c>
      <c r="H601">
        <v>206.22604162690649</v>
      </c>
    </row>
    <row r="602" spans="1:8" x14ac:dyDescent="0.3">
      <c r="A602">
        <v>60</v>
      </c>
      <c r="B602" s="168" t="s">
        <v>60</v>
      </c>
      <c r="C602" s="168" t="s">
        <v>89</v>
      </c>
      <c r="D602">
        <v>11053.9</v>
      </c>
      <c r="E602">
        <v>2021</v>
      </c>
      <c r="F602" s="168" t="s">
        <v>592</v>
      </c>
      <c r="G602" s="168" t="s">
        <v>550</v>
      </c>
      <c r="H602">
        <v>0</v>
      </c>
    </row>
    <row r="603" spans="1:8" x14ac:dyDescent="0.3">
      <c r="A603">
        <v>60</v>
      </c>
      <c r="B603" s="168" t="s">
        <v>60</v>
      </c>
      <c r="C603" s="168" t="s">
        <v>89</v>
      </c>
      <c r="D603">
        <v>11053.9</v>
      </c>
      <c r="E603">
        <v>2021</v>
      </c>
      <c r="F603" s="168" t="s">
        <v>592</v>
      </c>
      <c r="G603" s="168" t="s">
        <v>551</v>
      </c>
      <c r="H603">
        <v>13851.255300523817</v>
      </c>
    </row>
    <row r="604" spans="1:8" x14ac:dyDescent="0.3">
      <c r="A604">
        <v>60</v>
      </c>
      <c r="B604" s="168" t="s">
        <v>60</v>
      </c>
      <c r="C604" s="168" t="s">
        <v>89</v>
      </c>
      <c r="D604">
        <v>11053.9</v>
      </c>
      <c r="E604">
        <v>2021</v>
      </c>
      <c r="F604" s="168" t="s">
        <v>592</v>
      </c>
      <c r="G604" s="168" t="s">
        <v>598</v>
      </c>
      <c r="H604">
        <v>3609883.8517911453</v>
      </c>
    </row>
    <row r="605" spans="1:8" x14ac:dyDescent="0.3">
      <c r="A605">
        <v>60</v>
      </c>
      <c r="B605" s="168" t="s">
        <v>60</v>
      </c>
      <c r="C605" s="168" t="s">
        <v>89</v>
      </c>
      <c r="D605">
        <v>11053.9</v>
      </c>
      <c r="E605">
        <v>2021</v>
      </c>
      <c r="F605" s="168" t="s">
        <v>592</v>
      </c>
      <c r="G605" s="168" t="s">
        <v>599</v>
      </c>
      <c r="H605">
        <v>642398.67138219427</v>
      </c>
    </row>
    <row r="606" spans="1:8" x14ac:dyDescent="0.3">
      <c r="A606">
        <v>60</v>
      </c>
      <c r="B606" s="168" t="s">
        <v>60</v>
      </c>
      <c r="C606" s="168" t="s">
        <v>89</v>
      </c>
      <c r="D606">
        <v>11053.9</v>
      </c>
      <c r="E606">
        <v>2021</v>
      </c>
      <c r="F606" s="168" t="s">
        <v>592</v>
      </c>
      <c r="G606" s="168" t="s">
        <v>554</v>
      </c>
      <c r="H606">
        <v>7466.15496876835</v>
      </c>
    </row>
    <row r="607" spans="1:8" x14ac:dyDescent="0.3">
      <c r="A607">
        <v>60</v>
      </c>
      <c r="B607" s="168" t="s">
        <v>60</v>
      </c>
      <c r="C607" s="168" t="s">
        <v>89</v>
      </c>
      <c r="D607">
        <v>11053.9</v>
      </c>
      <c r="E607">
        <v>2021</v>
      </c>
      <c r="F607" s="168" t="s">
        <v>592</v>
      </c>
      <c r="G607" s="168" t="s">
        <v>555</v>
      </c>
      <c r="H607">
        <v>8792.4162265762607</v>
      </c>
    </row>
    <row r="608" spans="1:8" x14ac:dyDescent="0.3">
      <c r="A608">
        <v>60</v>
      </c>
      <c r="B608" s="168" t="s">
        <v>60</v>
      </c>
      <c r="C608" s="168" t="s">
        <v>89</v>
      </c>
      <c r="D608">
        <v>11053.9</v>
      </c>
      <c r="E608">
        <v>2021</v>
      </c>
      <c r="F608" s="168" t="s">
        <v>592</v>
      </c>
      <c r="G608" s="168" t="s">
        <v>556</v>
      </c>
      <c r="H608">
        <v>0</v>
      </c>
    </row>
    <row r="609" spans="1:8" x14ac:dyDescent="0.3">
      <c r="A609">
        <v>60</v>
      </c>
      <c r="B609" s="168" t="s">
        <v>60</v>
      </c>
      <c r="C609" s="168" t="s">
        <v>89</v>
      </c>
      <c r="D609">
        <v>11053.9</v>
      </c>
      <c r="E609">
        <v>2021</v>
      </c>
      <c r="F609" s="168" t="s">
        <v>592</v>
      </c>
      <c r="G609" s="168" t="s">
        <v>557</v>
      </c>
      <c r="H609">
        <v>15977.528089887641</v>
      </c>
    </row>
    <row r="610" spans="1:8" x14ac:dyDescent="0.3">
      <c r="A610">
        <v>60</v>
      </c>
      <c r="B610" s="168" t="s">
        <v>60</v>
      </c>
      <c r="C610" s="168" t="s">
        <v>89</v>
      </c>
      <c r="D610">
        <v>11053.9</v>
      </c>
      <c r="E610">
        <v>2021</v>
      </c>
      <c r="F610" s="168" t="s">
        <v>592</v>
      </c>
      <c r="G610" s="168" t="s">
        <v>595</v>
      </c>
      <c r="H610">
        <v>0</v>
      </c>
    </row>
    <row r="611" spans="1:8" x14ac:dyDescent="0.3">
      <c r="A611">
        <v>60</v>
      </c>
      <c r="B611" s="168" t="s">
        <v>60</v>
      </c>
      <c r="C611" s="168" t="s">
        <v>89</v>
      </c>
      <c r="D611">
        <v>11053.9</v>
      </c>
      <c r="E611">
        <v>2021</v>
      </c>
      <c r="F611" s="168" t="s">
        <v>592</v>
      </c>
      <c r="G611" s="168" t="s">
        <v>560</v>
      </c>
      <c r="H611">
        <v>6545.454545454545</v>
      </c>
    </row>
    <row r="612" spans="1:8" x14ac:dyDescent="0.3">
      <c r="A612">
        <v>60</v>
      </c>
      <c r="B612" s="168" t="s">
        <v>60</v>
      </c>
      <c r="C612" s="168" t="s">
        <v>89</v>
      </c>
      <c r="D612">
        <v>11053.9</v>
      </c>
      <c r="E612">
        <v>2021</v>
      </c>
      <c r="F612" s="168" t="s">
        <v>592</v>
      </c>
      <c r="G612" s="168" t="s">
        <v>561</v>
      </c>
      <c r="H612">
        <v>96190.661290322576</v>
      </c>
    </row>
    <row r="613" spans="1:8" x14ac:dyDescent="0.3">
      <c r="A613">
        <v>60</v>
      </c>
      <c r="B613" s="168" t="s">
        <v>60</v>
      </c>
      <c r="C613" s="168" t="s">
        <v>89</v>
      </c>
      <c r="D613">
        <v>11053.9</v>
      </c>
      <c r="E613">
        <v>2021</v>
      </c>
      <c r="F613" s="168" t="s">
        <v>592</v>
      </c>
      <c r="G613" s="168" t="s">
        <v>562</v>
      </c>
      <c r="H613">
        <v>0</v>
      </c>
    </row>
    <row r="614" spans="1:8" x14ac:dyDescent="0.3">
      <c r="A614">
        <v>60</v>
      </c>
      <c r="B614" s="168" t="s">
        <v>60</v>
      </c>
      <c r="C614" s="168" t="s">
        <v>89</v>
      </c>
      <c r="D614">
        <v>11053.9</v>
      </c>
      <c r="E614">
        <v>2021</v>
      </c>
      <c r="F614" s="168" t="s">
        <v>592</v>
      </c>
      <c r="G614" s="168" t="s">
        <v>565</v>
      </c>
      <c r="H614">
        <v>48817.307692307702</v>
      </c>
    </row>
    <row r="615" spans="1:8" x14ac:dyDescent="0.3">
      <c r="A615">
        <v>60</v>
      </c>
      <c r="B615" s="168" t="s">
        <v>60</v>
      </c>
      <c r="C615" s="168" t="s">
        <v>89</v>
      </c>
      <c r="D615">
        <v>11053.9</v>
      </c>
      <c r="E615">
        <v>2021</v>
      </c>
      <c r="F615" s="168" t="s">
        <v>592</v>
      </c>
      <c r="G615" s="168" t="s">
        <v>566</v>
      </c>
      <c r="H615">
        <v>35510.391250000001</v>
      </c>
    </row>
    <row r="616" spans="1:8" x14ac:dyDescent="0.3">
      <c r="A616">
        <v>60</v>
      </c>
      <c r="B616" s="168" t="s">
        <v>60</v>
      </c>
      <c r="C616" s="168" t="s">
        <v>89</v>
      </c>
      <c r="D616">
        <v>11053.9</v>
      </c>
      <c r="E616">
        <v>2021</v>
      </c>
      <c r="F616" s="168" t="s">
        <v>592</v>
      </c>
      <c r="G616" s="168" t="s">
        <v>567</v>
      </c>
      <c r="H616">
        <v>0</v>
      </c>
    </row>
    <row r="617" spans="1:8" x14ac:dyDescent="0.3">
      <c r="A617">
        <v>60</v>
      </c>
      <c r="B617" s="168" t="s">
        <v>60</v>
      </c>
      <c r="C617" s="168" t="s">
        <v>89</v>
      </c>
      <c r="D617">
        <v>11053.9</v>
      </c>
      <c r="E617">
        <v>2021</v>
      </c>
      <c r="F617" s="168" t="s">
        <v>592</v>
      </c>
      <c r="G617" s="168" t="s">
        <v>568</v>
      </c>
      <c r="H617">
        <v>195848.85</v>
      </c>
    </row>
    <row r="618" spans="1:8" x14ac:dyDescent="0.3">
      <c r="A618">
        <v>60</v>
      </c>
      <c r="B618" s="168" t="s">
        <v>60</v>
      </c>
      <c r="C618" s="168" t="s">
        <v>89</v>
      </c>
      <c r="D618">
        <v>11053.9</v>
      </c>
      <c r="E618">
        <v>2021</v>
      </c>
      <c r="F618" s="168" t="s">
        <v>592</v>
      </c>
      <c r="G618" s="168" t="s">
        <v>600</v>
      </c>
      <c r="H618">
        <v>206791.39274421037</v>
      </c>
    </row>
    <row r="619" spans="1:8" x14ac:dyDescent="0.3">
      <c r="A619">
        <v>60</v>
      </c>
      <c r="B619" s="168" t="s">
        <v>60</v>
      </c>
      <c r="C619" s="168" t="s">
        <v>89</v>
      </c>
      <c r="D619">
        <v>11053.9</v>
      </c>
      <c r="E619">
        <v>2021</v>
      </c>
      <c r="F619" s="168" t="s">
        <v>592</v>
      </c>
      <c r="G619" s="168" t="s">
        <v>601</v>
      </c>
      <c r="H619">
        <v>217541.13070862339</v>
      </c>
    </row>
    <row r="620" spans="1:8" x14ac:dyDescent="0.3">
      <c r="A620">
        <v>60</v>
      </c>
      <c r="B620" s="168" t="s">
        <v>60</v>
      </c>
      <c r="C620" s="168" t="s">
        <v>89</v>
      </c>
      <c r="D620">
        <v>11053.9</v>
      </c>
      <c r="E620">
        <v>2021</v>
      </c>
      <c r="F620" s="168" t="s">
        <v>592</v>
      </c>
      <c r="G620" s="168" t="s">
        <v>577</v>
      </c>
      <c r="H620">
        <v>0</v>
      </c>
    </row>
    <row r="621" spans="1:8" x14ac:dyDescent="0.3">
      <c r="A621">
        <v>60</v>
      </c>
      <c r="B621" s="168" t="s">
        <v>60</v>
      </c>
      <c r="C621" s="168" t="s">
        <v>89</v>
      </c>
      <c r="D621">
        <v>11053.9</v>
      </c>
      <c r="E621">
        <v>2021</v>
      </c>
      <c r="F621" s="168" t="s">
        <v>592</v>
      </c>
      <c r="G621" s="168" t="s">
        <v>578</v>
      </c>
      <c r="H621">
        <v>98047.2</v>
      </c>
    </row>
    <row r="622" spans="1:8" x14ac:dyDescent="0.3">
      <c r="A622">
        <v>60</v>
      </c>
      <c r="B622" s="168" t="s">
        <v>60</v>
      </c>
      <c r="C622" s="168" t="s">
        <v>89</v>
      </c>
      <c r="D622">
        <v>11053.9</v>
      </c>
      <c r="E622">
        <v>2021</v>
      </c>
      <c r="F622" s="168" t="s">
        <v>592</v>
      </c>
      <c r="G622" s="168" t="s">
        <v>581</v>
      </c>
      <c r="H622">
        <v>0</v>
      </c>
    </row>
    <row r="623" spans="1:8" x14ac:dyDescent="0.3">
      <c r="A623">
        <v>60</v>
      </c>
      <c r="B623" s="168" t="s">
        <v>60</v>
      </c>
      <c r="C623" s="168" t="s">
        <v>89</v>
      </c>
      <c r="D623">
        <v>11053.9</v>
      </c>
      <c r="E623">
        <v>2021</v>
      </c>
      <c r="F623" s="168" t="s">
        <v>592</v>
      </c>
      <c r="G623" s="168" t="s">
        <v>582</v>
      </c>
      <c r="H623">
        <v>1351680.56</v>
      </c>
    </row>
    <row r="624" spans="1:8" x14ac:dyDescent="0.3">
      <c r="A624">
        <v>60</v>
      </c>
      <c r="B624" s="168" t="s">
        <v>60</v>
      </c>
      <c r="C624" s="168" t="s">
        <v>89</v>
      </c>
      <c r="D624">
        <v>11053.9</v>
      </c>
      <c r="E624">
        <v>2021</v>
      </c>
      <c r="F624" s="168" t="s">
        <v>592</v>
      </c>
      <c r="G624" s="168" t="s">
        <v>585</v>
      </c>
      <c r="H624">
        <v>417263.6720193816</v>
      </c>
    </row>
    <row r="625" spans="1:8" x14ac:dyDescent="0.3">
      <c r="A625">
        <v>60</v>
      </c>
      <c r="B625" s="168" t="s">
        <v>60</v>
      </c>
      <c r="C625" s="168" t="s">
        <v>89</v>
      </c>
      <c r="D625">
        <v>11053.9</v>
      </c>
      <c r="E625">
        <v>2021</v>
      </c>
      <c r="F625" s="168" t="s">
        <v>592</v>
      </c>
      <c r="G625" s="168" t="s">
        <v>586</v>
      </c>
      <c r="H625">
        <v>84692.006930241012</v>
      </c>
    </row>
    <row r="626" spans="1:8" x14ac:dyDescent="0.3">
      <c r="A626">
        <v>60</v>
      </c>
      <c r="B626" s="168" t="s">
        <v>60</v>
      </c>
      <c r="C626" s="168" t="s">
        <v>89</v>
      </c>
      <c r="D626">
        <v>11053.9</v>
      </c>
      <c r="E626">
        <v>2021</v>
      </c>
      <c r="F626" s="168" t="s">
        <v>592</v>
      </c>
      <c r="G626" s="168" t="s">
        <v>587</v>
      </c>
      <c r="H626">
        <v>136318.1108506468</v>
      </c>
    </row>
    <row r="627" spans="1:8" x14ac:dyDescent="0.3">
      <c r="A627">
        <v>60</v>
      </c>
      <c r="B627" s="168" t="s">
        <v>60</v>
      </c>
      <c r="C627" s="168" t="s">
        <v>89</v>
      </c>
      <c r="D627">
        <v>11053.9</v>
      </c>
      <c r="E627">
        <v>2021</v>
      </c>
      <c r="F627" s="168" t="s">
        <v>592</v>
      </c>
      <c r="G627" s="168" t="s">
        <v>588</v>
      </c>
      <c r="H627">
        <v>0</v>
      </c>
    </row>
    <row r="628" spans="1:8" x14ac:dyDescent="0.3">
      <c r="A628">
        <v>61</v>
      </c>
      <c r="B628" s="168" t="s">
        <v>90</v>
      </c>
      <c r="C628" s="168" t="s">
        <v>91</v>
      </c>
      <c r="D628">
        <v>17563.900000000001</v>
      </c>
      <c r="E628">
        <v>2021</v>
      </c>
      <c r="F628" s="168" t="s">
        <v>592</v>
      </c>
      <c r="G628" s="168" t="s">
        <v>550</v>
      </c>
      <c r="H628">
        <v>0</v>
      </c>
    </row>
    <row r="629" spans="1:8" x14ac:dyDescent="0.3">
      <c r="A629">
        <v>61</v>
      </c>
      <c r="B629" s="168" t="s">
        <v>90</v>
      </c>
      <c r="C629" s="168" t="s">
        <v>91</v>
      </c>
      <c r="D629">
        <v>17563.900000000001</v>
      </c>
      <c r="E629">
        <v>2021</v>
      </c>
      <c r="F629" s="168" t="s">
        <v>592</v>
      </c>
      <c r="G629" s="168" t="s">
        <v>551</v>
      </c>
      <c r="H629">
        <v>89808.708507664298</v>
      </c>
    </row>
    <row r="630" spans="1:8" x14ac:dyDescent="0.3">
      <c r="A630">
        <v>61</v>
      </c>
      <c r="B630" s="168" t="s">
        <v>90</v>
      </c>
      <c r="C630" s="168" t="s">
        <v>91</v>
      </c>
      <c r="D630">
        <v>17563.900000000001</v>
      </c>
      <c r="E630">
        <v>2021</v>
      </c>
      <c r="F630" s="168" t="s">
        <v>592</v>
      </c>
      <c r="G630" s="168" t="s">
        <v>598</v>
      </c>
      <c r="H630">
        <v>0</v>
      </c>
    </row>
    <row r="631" spans="1:8" x14ac:dyDescent="0.3">
      <c r="A631">
        <v>61</v>
      </c>
      <c r="B631" s="168" t="s">
        <v>90</v>
      </c>
      <c r="C631" s="168" t="s">
        <v>91</v>
      </c>
      <c r="D631">
        <v>17563.900000000001</v>
      </c>
      <c r="E631">
        <v>2021</v>
      </c>
      <c r="F631" s="168" t="s">
        <v>592</v>
      </c>
      <c r="G631" s="168" t="s">
        <v>599</v>
      </c>
      <c r="H631">
        <v>298973</v>
      </c>
    </row>
    <row r="632" spans="1:8" x14ac:dyDescent="0.3">
      <c r="A632">
        <v>61</v>
      </c>
      <c r="B632" s="168" t="s">
        <v>90</v>
      </c>
      <c r="C632" s="168" t="s">
        <v>91</v>
      </c>
      <c r="D632">
        <v>17563.900000000001</v>
      </c>
      <c r="E632">
        <v>2021</v>
      </c>
      <c r="F632" s="168" t="s">
        <v>592</v>
      </c>
      <c r="G632" s="168" t="s">
        <v>554</v>
      </c>
      <c r="H632">
        <v>11863.215630316037</v>
      </c>
    </row>
    <row r="633" spans="1:8" x14ac:dyDescent="0.3">
      <c r="A633">
        <v>61</v>
      </c>
      <c r="B633" s="168" t="s">
        <v>90</v>
      </c>
      <c r="C633" s="168" t="s">
        <v>91</v>
      </c>
      <c r="D633">
        <v>17563.900000000001</v>
      </c>
      <c r="E633">
        <v>2021</v>
      </c>
      <c r="F633" s="168" t="s">
        <v>592</v>
      </c>
      <c r="G633" s="168" t="s">
        <v>555</v>
      </c>
      <c r="H633">
        <v>69089.711722737033</v>
      </c>
    </row>
    <row r="634" spans="1:8" x14ac:dyDescent="0.3">
      <c r="A634">
        <v>61</v>
      </c>
      <c r="B634" s="168" t="s">
        <v>90</v>
      </c>
      <c r="C634" s="168" t="s">
        <v>91</v>
      </c>
      <c r="D634">
        <v>17563.900000000001</v>
      </c>
      <c r="E634">
        <v>2021</v>
      </c>
      <c r="F634" s="168" t="s">
        <v>592</v>
      </c>
      <c r="G634" s="168" t="s">
        <v>595</v>
      </c>
      <c r="H634">
        <v>0</v>
      </c>
    </row>
    <row r="635" spans="1:8" x14ac:dyDescent="0.3">
      <c r="A635">
        <v>61</v>
      </c>
      <c r="B635" s="168" t="s">
        <v>90</v>
      </c>
      <c r="C635" s="168" t="s">
        <v>91</v>
      </c>
      <c r="D635">
        <v>17563.900000000001</v>
      </c>
      <c r="E635">
        <v>2021</v>
      </c>
      <c r="F635" s="168" t="s">
        <v>592</v>
      </c>
      <c r="G635" s="168" t="s">
        <v>560</v>
      </c>
      <c r="H635">
        <v>6545.454545454545</v>
      </c>
    </row>
    <row r="636" spans="1:8" x14ac:dyDescent="0.3">
      <c r="A636">
        <v>61</v>
      </c>
      <c r="B636" s="168" t="s">
        <v>90</v>
      </c>
      <c r="C636" s="168" t="s">
        <v>91</v>
      </c>
      <c r="D636">
        <v>17563.900000000001</v>
      </c>
      <c r="E636">
        <v>2021</v>
      </c>
      <c r="F636" s="168" t="s">
        <v>592</v>
      </c>
      <c r="G636" s="168" t="s">
        <v>561</v>
      </c>
      <c r="H636">
        <v>163524.12419354837</v>
      </c>
    </row>
    <row r="637" spans="1:8" x14ac:dyDescent="0.3">
      <c r="A637">
        <v>61</v>
      </c>
      <c r="B637" s="168" t="s">
        <v>90</v>
      </c>
      <c r="C637" s="168" t="s">
        <v>91</v>
      </c>
      <c r="D637">
        <v>17563.900000000001</v>
      </c>
      <c r="E637">
        <v>2021</v>
      </c>
      <c r="F637" s="168" t="s">
        <v>592</v>
      </c>
      <c r="G637" s="168" t="s">
        <v>562</v>
      </c>
      <c r="H637">
        <v>0</v>
      </c>
    </row>
    <row r="638" spans="1:8" x14ac:dyDescent="0.3">
      <c r="A638">
        <v>61</v>
      </c>
      <c r="B638" s="168" t="s">
        <v>90</v>
      </c>
      <c r="C638" s="168" t="s">
        <v>91</v>
      </c>
      <c r="D638">
        <v>17563.900000000001</v>
      </c>
      <c r="E638">
        <v>2021</v>
      </c>
      <c r="F638" s="168" t="s">
        <v>592</v>
      </c>
      <c r="G638" s="168" t="s">
        <v>565</v>
      </c>
      <c r="H638">
        <v>97634.615384615405</v>
      </c>
    </row>
    <row r="639" spans="1:8" x14ac:dyDescent="0.3">
      <c r="A639">
        <v>61</v>
      </c>
      <c r="B639" s="168" t="s">
        <v>90</v>
      </c>
      <c r="C639" s="168" t="s">
        <v>91</v>
      </c>
      <c r="D639">
        <v>17563.900000000001</v>
      </c>
      <c r="E639">
        <v>2021</v>
      </c>
      <c r="F639" s="168" t="s">
        <v>592</v>
      </c>
      <c r="G639" s="168" t="s">
        <v>566</v>
      </c>
      <c r="H639">
        <v>71020.782500000001</v>
      </c>
    </row>
    <row r="640" spans="1:8" x14ac:dyDescent="0.3">
      <c r="A640">
        <v>61</v>
      </c>
      <c r="B640" s="168" t="s">
        <v>90</v>
      </c>
      <c r="C640" s="168" t="s">
        <v>91</v>
      </c>
      <c r="D640">
        <v>17563.900000000001</v>
      </c>
      <c r="E640">
        <v>2021</v>
      </c>
      <c r="F640" s="168" t="s">
        <v>592</v>
      </c>
      <c r="G640" s="168" t="s">
        <v>571</v>
      </c>
      <c r="H640">
        <v>0</v>
      </c>
    </row>
    <row r="641" spans="1:8" x14ac:dyDescent="0.3">
      <c r="A641">
        <v>61</v>
      </c>
      <c r="B641" s="168" t="s">
        <v>90</v>
      </c>
      <c r="C641" s="168" t="s">
        <v>91</v>
      </c>
      <c r="D641">
        <v>17563.900000000001</v>
      </c>
      <c r="E641">
        <v>2021</v>
      </c>
      <c r="F641" s="168" t="s">
        <v>592</v>
      </c>
      <c r="G641" s="168" t="s">
        <v>572</v>
      </c>
      <c r="H641">
        <v>15073.170731707318</v>
      </c>
    </row>
    <row r="642" spans="1:8" x14ac:dyDescent="0.3">
      <c r="A642">
        <v>61</v>
      </c>
      <c r="B642" s="168" t="s">
        <v>90</v>
      </c>
      <c r="C642" s="168" t="s">
        <v>91</v>
      </c>
      <c r="D642">
        <v>17563.900000000001</v>
      </c>
      <c r="E642">
        <v>2021</v>
      </c>
      <c r="F642" s="168" t="s">
        <v>592</v>
      </c>
      <c r="G642" s="168" t="s">
        <v>600</v>
      </c>
      <c r="H642">
        <v>328577.54665955459</v>
      </c>
    </row>
    <row r="643" spans="1:8" x14ac:dyDescent="0.3">
      <c r="A643">
        <v>61</v>
      </c>
      <c r="B643" s="168" t="s">
        <v>90</v>
      </c>
      <c r="C643" s="168" t="s">
        <v>91</v>
      </c>
      <c r="D643">
        <v>17563.900000000001</v>
      </c>
      <c r="E643">
        <v>2021</v>
      </c>
      <c r="F643" s="168" t="s">
        <v>592</v>
      </c>
      <c r="G643" s="168" t="s">
        <v>601</v>
      </c>
      <c r="H643">
        <v>345658.15374240757</v>
      </c>
    </row>
    <row r="644" spans="1:8" x14ac:dyDescent="0.3">
      <c r="A644">
        <v>61</v>
      </c>
      <c r="B644" s="168" t="s">
        <v>90</v>
      </c>
      <c r="C644" s="168" t="s">
        <v>91</v>
      </c>
      <c r="D644">
        <v>17563.900000000001</v>
      </c>
      <c r="E644">
        <v>2021</v>
      </c>
      <c r="F644" s="168" t="s">
        <v>592</v>
      </c>
      <c r="G644" s="168" t="s">
        <v>575</v>
      </c>
      <c r="H644">
        <v>0</v>
      </c>
    </row>
    <row r="645" spans="1:8" x14ac:dyDescent="0.3">
      <c r="A645">
        <v>61</v>
      </c>
      <c r="B645" s="168" t="s">
        <v>90</v>
      </c>
      <c r="C645" s="168" t="s">
        <v>91</v>
      </c>
      <c r="D645">
        <v>17563.900000000001</v>
      </c>
      <c r="E645">
        <v>2021</v>
      </c>
      <c r="F645" s="168" t="s">
        <v>592</v>
      </c>
      <c r="G645" s="168" t="s">
        <v>576</v>
      </c>
      <c r="H645">
        <v>7346.2379803167878</v>
      </c>
    </row>
    <row r="646" spans="1:8" x14ac:dyDescent="0.3">
      <c r="A646">
        <v>61</v>
      </c>
      <c r="B646" s="168" t="s">
        <v>90</v>
      </c>
      <c r="C646" s="168" t="s">
        <v>91</v>
      </c>
      <c r="D646">
        <v>17563.900000000001</v>
      </c>
      <c r="E646">
        <v>2021</v>
      </c>
      <c r="F646" s="168" t="s">
        <v>592</v>
      </c>
      <c r="G646" s="168" t="s">
        <v>577</v>
      </c>
      <c r="H646">
        <v>0</v>
      </c>
    </row>
    <row r="647" spans="1:8" x14ac:dyDescent="0.3">
      <c r="A647">
        <v>61</v>
      </c>
      <c r="B647" s="168" t="s">
        <v>90</v>
      </c>
      <c r="C647" s="168" t="s">
        <v>91</v>
      </c>
      <c r="D647">
        <v>17563.900000000001</v>
      </c>
      <c r="E647">
        <v>2021</v>
      </c>
      <c r="F647" s="168" t="s">
        <v>592</v>
      </c>
      <c r="G647" s="168" t="s">
        <v>578</v>
      </c>
      <c r="H647">
        <v>640942.24</v>
      </c>
    </row>
    <row r="648" spans="1:8" x14ac:dyDescent="0.3">
      <c r="A648">
        <v>61</v>
      </c>
      <c r="B648" s="168" t="s">
        <v>90</v>
      </c>
      <c r="C648" s="168" t="s">
        <v>91</v>
      </c>
      <c r="D648">
        <v>17563.900000000001</v>
      </c>
      <c r="E648">
        <v>2021</v>
      </c>
      <c r="F648" s="168" t="s">
        <v>592</v>
      </c>
      <c r="G648" s="168" t="s">
        <v>585</v>
      </c>
      <c r="H648">
        <v>663003.77323670534</v>
      </c>
    </row>
    <row r="649" spans="1:8" x14ac:dyDescent="0.3">
      <c r="A649">
        <v>61</v>
      </c>
      <c r="B649" s="168" t="s">
        <v>90</v>
      </c>
      <c r="C649" s="168" t="s">
        <v>91</v>
      </c>
      <c r="D649">
        <v>17563.900000000001</v>
      </c>
      <c r="E649">
        <v>2021</v>
      </c>
      <c r="F649" s="168" t="s">
        <v>592</v>
      </c>
      <c r="G649" s="168" t="s">
        <v>586</v>
      </c>
      <c r="H649">
        <v>134569.8749330155</v>
      </c>
    </row>
    <row r="650" spans="1:8" x14ac:dyDescent="0.3">
      <c r="A650">
        <v>61</v>
      </c>
      <c r="B650" s="168" t="s">
        <v>90</v>
      </c>
      <c r="C650" s="168" t="s">
        <v>91</v>
      </c>
      <c r="D650">
        <v>17563.900000000001</v>
      </c>
      <c r="E650">
        <v>2021</v>
      </c>
      <c r="F650" s="168" t="s">
        <v>592</v>
      </c>
      <c r="G650" s="168" t="s">
        <v>587</v>
      </c>
      <c r="H650">
        <v>114480.34839278714</v>
      </c>
    </row>
    <row r="651" spans="1:8" x14ac:dyDescent="0.3">
      <c r="A651">
        <v>61</v>
      </c>
      <c r="B651" s="168" t="s">
        <v>90</v>
      </c>
      <c r="C651" s="168" t="s">
        <v>91</v>
      </c>
      <c r="D651">
        <v>17563.900000000001</v>
      </c>
      <c r="E651">
        <v>2021</v>
      </c>
      <c r="F651" s="168" t="s">
        <v>592</v>
      </c>
      <c r="G651" s="168" t="s">
        <v>588</v>
      </c>
      <c r="H651">
        <v>0</v>
      </c>
    </row>
    <row r="652" spans="1:8" x14ac:dyDescent="0.3">
      <c r="A652">
        <v>62</v>
      </c>
      <c r="B652" s="168" t="s">
        <v>92</v>
      </c>
      <c r="C652" s="168" t="s">
        <v>93</v>
      </c>
      <c r="D652">
        <v>21448.3</v>
      </c>
      <c r="E652">
        <v>2021</v>
      </c>
      <c r="F652" s="168" t="s">
        <v>592</v>
      </c>
      <c r="G652" s="168" t="s">
        <v>550</v>
      </c>
      <c r="H652">
        <v>0</v>
      </c>
    </row>
    <row r="653" spans="1:8" x14ac:dyDescent="0.3">
      <c r="A653">
        <v>62</v>
      </c>
      <c r="B653" s="168" t="s">
        <v>92</v>
      </c>
      <c r="C653" s="168" t="s">
        <v>93</v>
      </c>
      <c r="D653">
        <v>21448.3</v>
      </c>
      <c r="E653">
        <v>2021</v>
      </c>
      <c r="F653" s="168" t="s">
        <v>592</v>
      </c>
      <c r="G653" s="168" t="s">
        <v>551</v>
      </c>
      <c r="H653">
        <v>26876.114227758979</v>
      </c>
    </row>
    <row r="654" spans="1:8" x14ac:dyDescent="0.3">
      <c r="A654">
        <v>62</v>
      </c>
      <c r="B654" s="168" t="s">
        <v>92</v>
      </c>
      <c r="C654" s="168" t="s">
        <v>93</v>
      </c>
      <c r="D654">
        <v>21448.3</v>
      </c>
      <c r="E654">
        <v>2021</v>
      </c>
      <c r="F654" s="168" t="s">
        <v>592</v>
      </c>
      <c r="G654" s="168" t="s">
        <v>598</v>
      </c>
      <c r="H654">
        <v>2959761.6282088547</v>
      </c>
    </row>
    <row r="655" spans="1:8" x14ac:dyDescent="0.3">
      <c r="A655">
        <v>62</v>
      </c>
      <c r="B655" s="168" t="s">
        <v>92</v>
      </c>
      <c r="C655" s="168" t="s">
        <v>93</v>
      </c>
      <c r="D655">
        <v>21448.3</v>
      </c>
      <c r="E655">
        <v>2021</v>
      </c>
      <c r="F655" s="168" t="s">
        <v>592</v>
      </c>
      <c r="G655" s="168" t="s">
        <v>599</v>
      </c>
      <c r="H655">
        <v>526705.84861780563</v>
      </c>
    </row>
    <row r="656" spans="1:8" x14ac:dyDescent="0.3">
      <c r="A656">
        <v>62</v>
      </c>
      <c r="B656" s="168" t="s">
        <v>92</v>
      </c>
      <c r="C656" s="168" t="s">
        <v>93</v>
      </c>
      <c r="D656">
        <v>21448.3</v>
      </c>
      <c r="E656">
        <v>2021</v>
      </c>
      <c r="F656" s="168" t="s">
        <v>592</v>
      </c>
      <c r="G656" s="168" t="s">
        <v>554</v>
      </c>
      <c r="H656">
        <v>14486.862701547345</v>
      </c>
    </row>
    <row r="657" spans="1:8" x14ac:dyDescent="0.3">
      <c r="A657">
        <v>62</v>
      </c>
      <c r="B657" s="168" t="s">
        <v>92</v>
      </c>
      <c r="C657" s="168" t="s">
        <v>93</v>
      </c>
      <c r="D657">
        <v>21448.3</v>
      </c>
      <c r="E657">
        <v>2021</v>
      </c>
      <c r="F657" s="168" t="s">
        <v>592</v>
      </c>
      <c r="G657" s="168" t="s">
        <v>555</v>
      </c>
      <c r="H657">
        <v>10865.14702616051</v>
      </c>
    </row>
    <row r="658" spans="1:8" x14ac:dyDescent="0.3">
      <c r="A658">
        <v>62</v>
      </c>
      <c r="B658" s="168" t="s">
        <v>92</v>
      </c>
      <c r="C658" s="168" t="s">
        <v>93</v>
      </c>
      <c r="D658">
        <v>21448.3</v>
      </c>
      <c r="E658">
        <v>2021</v>
      </c>
      <c r="F658" s="168" t="s">
        <v>592</v>
      </c>
      <c r="G658" s="168" t="s">
        <v>556</v>
      </c>
      <c r="H658">
        <v>0</v>
      </c>
    </row>
    <row r="659" spans="1:8" x14ac:dyDescent="0.3">
      <c r="A659">
        <v>62</v>
      </c>
      <c r="B659" s="168" t="s">
        <v>92</v>
      </c>
      <c r="C659" s="168" t="s">
        <v>93</v>
      </c>
      <c r="D659">
        <v>21448.3</v>
      </c>
      <c r="E659">
        <v>2021</v>
      </c>
      <c r="F659" s="168" t="s">
        <v>592</v>
      </c>
      <c r="G659" s="168" t="s">
        <v>557</v>
      </c>
      <c r="H659">
        <v>10651.685393258427</v>
      </c>
    </row>
    <row r="660" spans="1:8" x14ac:dyDescent="0.3">
      <c r="A660">
        <v>62</v>
      </c>
      <c r="B660" s="168" t="s">
        <v>92</v>
      </c>
      <c r="C660" s="168" t="s">
        <v>93</v>
      </c>
      <c r="D660">
        <v>21448.3</v>
      </c>
      <c r="E660">
        <v>2021</v>
      </c>
      <c r="F660" s="168" t="s">
        <v>592</v>
      </c>
      <c r="G660" s="168" t="s">
        <v>595</v>
      </c>
      <c r="H660">
        <v>0</v>
      </c>
    </row>
    <row r="661" spans="1:8" x14ac:dyDescent="0.3">
      <c r="A661">
        <v>62</v>
      </c>
      <c r="B661" s="168" t="s">
        <v>92</v>
      </c>
      <c r="C661" s="168" t="s">
        <v>93</v>
      </c>
      <c r="D661">
        <v>21448.3</v>
      </c>
      <c r="E661">
        <v>2021</v>
      </c>
      <c r="F661" s="168" t="s">
        <v>592</v>
      </c>
      <c r="G661" s="168" t="s">
        <v>560</v>
      </c>
      <c r="H661">
        <v>26181.81818181818</v>
      </c>
    </row>
    <row r="662" spans="1:8" x14ac:dyDescent="0.3">
      <c r="A662">
        <v>62</v>
      </c>
      <c r="B662" s="168" t="s">
        <v>92</v>
      </c>
      <c r="C662" s="168" t="s">
        <v>93</v>
      </c>
      <c r="D662">
        <v>21448.3</v>
      </c>
      <c r="E662">
        <v>2021</v>
      </c>
      <c r="F662" s="168" t="s">
        <v>592</v>
      </c>
      <c r="G662" s="168" t="s">
        <v>561</v>
      </c>
      <c r="H662">
        <v>76952.529032258055</v>
      </c>
    </row>
    <row r="663" spans="1:8" x14ac:dyDescent="0.3">
      <c r="A663">
        <v>62</v>
      </c>
      <c r="B663" s="168" t="s">
        <v>92</v>
      </c>
      <c r="C663" s="168" t="s">
        <v>93</v>
      </c>
      <c r="D663">
        <v>21448.3</v>
      </c>
      <c r="E663">
        <v>2021</v>
      </c>
      <c r="F663" s="168" t="s">
        <v>592</v>
      </c>
      <c r="G663" s="168" t="s">
        <v>562</v>
      </c>
      <c r="H663">
        <v>0</v>
      </c>
    </row>
    <row r="664" spans="1:8" x14ac:dyDescent="0.3">
      <c r="A664">
        <v>62</v>
      </c>
      <c r="B664" s="168" t="s">
        <v>92</v>
      </c>
      <c r="C664" s="168" t="s">
        <v>93</v>
      </c>
      <c r="D664">
        <v>21448.3</v>
      </c>
      <c r="E664">
        <v>2021</v>
      </c>
      <c r="F664" s="168" t="s">
        <v>592</v>
      </c>
      <c r="G664" s="168" t="s">
        <v>565</v>
      </c>
      <c r="H664">
        <v>48817.307692307702</v>
      </c>
    </row>
    <row r="665" spans="1:8" x14ac:dyDescent="0.3">
      <c r="A665">
        <v>62</v>
      </c>
      <c r="B665" s="168" t="s">
        <v>92</v>
      </c>
      <c r="C665" s="168" t="s">
        <v>93</v>
      </c>
      <c r="D665">
        <v>21448.3</v>
      </c>
      <c r="E665">
        <v>2021</v>
      </c>
      <c r="F665" s="168" t="s">
        <v>592</v>
      </c>
      <c r="G665" s="168" t="s">
        <v>566</v>
      </c>
      <c r="H665">
        <v>35510.391250000001</v>
      </c>
    </row>
    <row r="666" spans="1:8" x14ac:dyDescent="0.3">
      <c r="A666">
        <v>62</v>
      </c>
      <c r="B666" s="168" t="s">
        <v>92</v>
      </c>
      <c r="C666" s="168" t="s">
        <v>93</v>
      </c>
      <c r="D666">
        <v>21448.3</v>
      </c>
      <c r="E666">
        <v>2021</v>
      </c>
      <c r="F666" s="168" t="s">
        <v>592</v>
      </c>
      <c r="G666" s="168" t="s">
        <v>567</v>
      </c>
      <c r="H666">
        <v>0</v>
      </c>
    </row>
    <row r="667" spans="1:8" x14ac:dyDescent="0.3">
      <c r="A667">
        <v>62</v>
      </c>
      <c r="B667" s="168" t="s">
        <v>92</v>
      </c>
      <c r="C667" s="168" t="s">
        <v>93</v>
      </c>
      <c r="D667">
        <v>21448.3</v>
      </c>
      <c r="E667">
        <v>2021</v>
      </c>
      <c r="F667" s="168" t="s">
        <v>592</v>
      </c>
      <c r="G667" s="168" t="s">
        <v>568</v>
      </c>
      <c r="H667">
        <v>101498</v>
      </c>
    </row>
    <row r="668" spans="1:8" x14ac:dyDescent="0.3">
      <c r="A668">
        <v>62</v>
      </c>
      <c r="B668" s="168" t="s">
        <v>92</v>
      </c>
      <c r="C668" s="168" t="s">
        <v>93</v>
      </c>
      <c r="D668">
        <v>21448.3</v>
      </c>
      <c r="E668">
        <v>2021</v>
      </c>
      <c r="F668" s="168" t="s">
        <v>592</v>
      </c>
      <c r="G668" s="168" t="s">
        <v>571</v>
      </c>
      <c r="H668">
        <v>0</v>
      </c>
    </row>
    <row r="669" spans="1:8" x14ac:dyDescent="0.3">
      <c r="A669">
        <v>62</v>
      </c>
      <c r="B669" s="168" t="s">
        <v>92</v>
      </c>
      <c r="C669" s="168" t="s">
        <v>93</v>
      </c>
      <c r="D669">
        <v>21448.3</v>
      </c>
      <c r="E669">
        <v>2021</v>
      </c>
      <c r="F669" s="168" t="s">
        <v>592</v>
      </c>
      <c r="G669" s="168" t="s">
        <v>572</v>
      </c>
      <c r="H669">
        <v>7536.5853658536589</v>
      </c>
    </row>
    <row r="670" spans="1:8" x14ac:dyDescent="0.3">
      <c r="A670">
        <v>62</v>
      </c>
      <c r="B670" s="168" t="s">
        <v>92</v>
      </c>
      <c r="C670" s="168" t="s">
        <v>93</v>
      </c>
      <c r="D670">
        <v>21448.3</v>
      </c>
      <c r="E670">
        <v>2021</v>
      </c>
      <c r="F670" s="168" t="s">
        <v>592</v>
      </c>
      <c r="G670" s="168" t="s">
        <v>600</v>
      </c>
      <c r="H670">
        <v>401245.15591742838</v>
      </c>
    </row>
    <row r="671" spans="1:8" x14ac:dyDescent="0.3">
      <c r="A671">
        <v>62</v>
      </c>
      <c r="B671" s="168" t="s">
        <v>92</v>
      </c>
      <c r="C671" s="168" t="s">
        <v>93</v>
      </c>
      <c r="D671">
        <v>21448.3</v>
      </c>
      <c r="E671">
        <v>2021</v>
      </c>
      <c r="F671" s="168" t="s">
        <v>592</v>
      </c>
      <c r="G671" s="168" t="s">
        <v>601</v>
      </c>
      <c r="H671">
        <v>422103.27882265742</v>
      </c>
    </row>
    <row r="672" spans="1:8" x14ac:dyDescent="0.3">
      <c r="A672">
        <v>62</v>
      </c>
      <c r="B672" s="168" t="s">
        <v>92</v>
      </c>
      <c r="C672" s="168" t="s">
        <v>93</v>
      </c>
      <c r="D672">
        <v>21448.3</v>
      </c>
      <c r="E672">
        <v>2021</v>
      </c>
      <c r="F672" s="168" t="s">
        <v>592</v>
      </c>
      <c r="G672" s="168" t="s">
        <v>585</v>
      </c>
      <c r="H672">
        <v>1519918.820942651</v>
      </c>
    </row>
    <row r="673" spans="1:8" x14ac:dyDescent="0.3">
      <c r="A673">
        <v>62</v>
      </c>
      <c r="B673" s="168" t="s">
        <v>92</v>
      </c>
      <c r="C673" s="168" t="s">
        <v>93</v>
      </c>
      <c r="D673">
        <v>21448.3</v>
      </c>
      <c r="E673">
        <v>2021</v>
      </c>
      <c r="F673" s="168" t="s">
        <v>592</v>
      </c>
      <c r="G673" s="168" t="s">
        <v>586</v>
      </c>
      <c r="H673">
        <v>619743.03149632702</v>
      </c>
    </row>
    <row r="674" spans="1:8" x14ac:dyDescent="0.3">
      <c r="A674">
        <v>62</v>
      </c>
      <c r="B674" s="168" t="s">
        <v>92</v>
      </c>
      <c r="C674" s="168" t="s">
        <v>93</v>
      </c>
      <c r="D674">
        <v>21448.3</v>
      </c>
      <c r="E674">
        <v>2021</v>
      </c>
      <c r="F674" s="168" t="s">
        <v>592</v>
      </c>
      <c r="G674" s="168" t="s">
        <v>587</v>
      </c>
      <c r="H674">
        <v>21624.065807526462</v>
      </c>
    </row>
    <row r="675" spans="1:8" x14ac:dyDescent="0.3">
      <c r="A675">
        <v>62</v>
      </c>
      <c r="B675" s="168" t="s">
        <v>92</v>
      </c>
      <c r="C675" s="168" t="s">
        <v>93</v>
      </c>
      <c r="D675">
        <v>21448.3</v>
      </c>
      <c r="E675">
        <v>2021</v>
      </c>
      <c r="F675" s="168" t="s">
        <v>592</v>
      </c>
      <c r="G675" s="168" t="s">
        <v>588</v>
      </c>
      <c r="H675">
        <v>0</v>
      </c>
    </row>
    <row r="676" spans="1:8" x14ac:dyDescent="0.3">
      <c r="A676">
        <v>63</v>
      </c>
      <c r="B676" s="168" t="s">
        <v>94</v>
      </c>
      <c r="C676" s="168" t="s">
        <v>95</v>
      </c>
      <c r="D676">
        <v>348.4</v>
      </c>
      <c r="E676">
        <v>2021</v>
      </c>
      <c r="F676" s="168" t="s">
        <v>593</v>
      </c>
      <c r="G676" s="168" t="s">
        <v>550</v>
      </c>
      <c r="H676">
        <v>0</v>
      </c>
    </row>
    <row r="677" spans="1:8" x14ac:dyDescent="0.3">
      <c r="A677">
        <v>63</v>
      </c>
      <c r="B677" s="168" t="s">
        <v>94</v>
      </c>
      <c r="C677" s="168" t="s">
        <v>95</v>
      </c>
      <c r="D677">
        <v>348.4</v>
      </c>
      <c r="E677">
        <v>2021</v>
      </c>
      <c r="F677" s="168" t="s">
        <v>593</v>
      </c>
      <c r="G677" s="168" t="s">
        <v>551</v>
      </c>
      <c r="H677">
        <v>436.56784905802459</v>
      </c>
    </row>
    <row r="678" spans="1:8" x14ac:dyDescent="0.3">
      <c r="A678">
        <v>63</v>
      </c>
      <c r="B678" s="168" t="s">
        <v>94</v>
      </c>
      <c r="C678" s="168" t="s">
        <v>95</v>
      </c>
      <c r="D678">
        <v>348.4</v>
      </c>
      <c r="E678">
        <v>2021</v>
      </c>
      <c r="F678" s="168" t="s">
        <v>593</v>
      </c>
      <c r="G678" s="168" t="s">
        <v>554</v>
      </c>
      <c r="H678">
        <v>235.32042004350438</v>
      </c>
    </row>
    <row r="679" spans="1:8" x14ac:dyDescent="0.3">
      <c r="A679">
        <v>63</v>
      </c>
      <c r="B679" s="168" t="s">
        <v>94</v>
      </c>
      <c r="C679" s="168" t="s">
        <v>95</v>
      </c>
      <c r="D679">
        <v>348.4</v>
      </c>
      <c r="E679">
        <v>2021</v>
      </c>
      <c r="F679" s="168" t="s">
        <v>593</v>
      </c>
      <c r="G679" s="168" t="s">
        <v>555</v>
      </c>
      <c r="H679">
        <v>176.49031503262827</v>
      </c>
    </row>
    <row r="680" spans="1:8" x14ac:dyDescent="0.3">
      <c r="A680">
        <v>63</v>
      </c>
      <c r="B680" s="168" t="s">
        <v>94</v>
      </c>
      <c r="C680" s="168" t="s">
        <v>95</v>
      </c>
      <c r="D680">
        <v>348.4</v>
      </c>
      <c r="E680">
        <v>2021</v>
      </c>
      <c r="F680" s="168" t="s">
        <v>593</v>
      </c>
      <c r="G680" s="168" t="s">
        <v>561</v>
      </c>
      <c r="H680">
        <v>56867.04285780908</v>
      </c>
    </row>
    <row r="681" spans="1:8" x14ac:dyDescent="0.3">
      <c r="A681">
        <v>63</v>
      </c>
      <c r="B681" s="168" t="s">
        <v>94</v>
      </c>
      <c r="C681" s="168" t="s">
        <v>95</v>
      </c>
      <c r="D681">
        <v>348.4</v>
      </c>
      <c r="E681">
        <v>2021</v>
      </c>
      <c r="F681" s="168" t="s">
        <v>593</v>
      </c>
      <c r="G681" s="168" t="s">
        <v>562</v>
      </c>
      <c r="H681">
        <v>104303.36093830156</v>
      </c>
    </row>
    <row r="682" spans="1:8" x14ac:dyDescent="0.3">
      <c r="A682">
        <v>63</v>
      </c>
      <c r="B682" s="168" t="s">
        <v>94</v>
      </c>
      <c r="C682" s="168" t="s">
        <v>95</v>
      </c>
      <c r="D682">
        <v>348.4</v>
      </c>
      <c r="E682">
        <v>2021</v>
      </c>
      <c r="F682" s="168" t="s">
        <v>593</v>
      </c>
      <c r="G682" s="168" t="s">
        <v>600</v>
      </c>
      <c r="H682">
        <v>5208.9828632035233</v>
      </c>
    </row>
    <row r="683" spans="1:8" x14ac:dyDescent="0.3">
      <c r="A683">
        <v>63</v>
      </c>
      <c r="B683" s="168" t="s">
        <v>94</v>
      </c>
      <c r="C683" s="168" t="s">
        <v>95</v>
      </c>
      <c r="D683">
        <v>348.4</v>
      </c>
      <c r="E683">
        <v>2021</v>
      </c>
      <c r="F683" s="168" t="s">
        <v>593</v>
      </c>
      <c r="G683" s="168" t="s">
        <v>601</v>
      </c>
      <c r="H683">
        <v>5547.7961966696748</v>
      </c>
    </row>
    <row r="684" spans="1:8" x14ac:dyDescent="0.3">
      <c r="A684">
        <v>63</v>
      </c>
      <c r="B684" s="168" t="s">
        <v>94</v>
      </c>
      <c r="C684" s="168" t="s">
        <v>95</v>
      </c>
      <c r="D684">
        <v>348.4</v>
      </c>
      <c r="E684">
        <v>2021</v>
      </c>
      <c r="F684" s="168" t="s">
        <v>593</v>
      </c>
      <c r="G684" s="168" t="s">
        <v>585</v>
      </c>
      <c r="H684">
        <v>24689.1230175081</v>
      </c>
    </row>
    <row r="685" spans="1:8" x14ac:dyDescent="0.3">
      <c r="A685">
        <v>63</v>
      </c>
      <c r="B685" s="168" t="s">
        <v>94</v>
      </c>
      <c r="C685" s="168" t="s">
        <v>95</v>
      </c>
      <c r="D685">
        <v>348.4</v>
      </c>
      <c r="E685">
        <v>2021</v>
      </c>
      <c r="F685" s="168" t="s">
        <v>593</v>
      </c>
      <c r="G685" s="168" t="s">
        <v>586</v>
      </c>
      <c r="H685">
        <v>10066.927083886379</v>
      </c>
    </row>
    <row r="686" spans="1:8" x14ac:dyDescent="0.3">
      <c r="A686">
        <v>64</v>
      </c>
      <c r="B686" s="168" t="s">
        <v>81</v>
      </c>
      <c r="C686" s="168" t="s">
        <v>96</v>
      </c>
      <c r="D686">
        <v>60.7</v>
      </c>
      <c r="E686">
        <v>2021</v>
      </c>
      <c r="F686" s="168" t="s">
        <v>592</v>
      </c>
      <c r="G686" s="168" t="s">
        <v>550</v>
      </c>
      <c r="H686">
        <v>0</v>
      </c>
    </row>
    <row r="687" spans="1:8" x14ac:dyDescent="0.3">
      <c r="A687">
        <v>64</v>
      </c>
      <c r="B687" s="168" t="s">
        <v>81</v>
      </c>
      <c r="C687" s="168" t="s">
        <v>96</v>
      </c>
      <c r="D687">
        <v>60.7</v>
      </c>
      <c r="E687">
        <v>2021</v>
      </c>
      <c r="F687" s="168" t="s">
        <v>592</v>
      </c>
      <c r="G687" s="168" t="s">
        <v>551</v>
      </c>
      <c r="H687">
        <v>76.061046032784432</v>
      </c>
    </row>
    <row r="688" spans="1:8" x14ac:dyDescent="0.3">
      <c r="A688">
        <v>64</v>
      </c>
      <c r="B688" s="168" t="s">
        <v>81</v>
      </c>
      <c r="C688" s="168" t="s">
        <v>96</v>
      </c>
      <c r="D688">
        <v>60.7</v>
      </c>
      <c r="E688">
        <v>2021</v>
      </c>
      <c r="F688" s="168" t="s">
        <v>592</v>
      </c>
      <c r="G688" s="168" t="s">
        <v>554</v>
      </c>
      <c r="H688">
        <v>40.998706936397006</v>
      </c>
    </row>
    <row r="689" spans="1:8" x14ac:dyDescent="0.3">
      <c r="A689">
        <v>64</v>
      </c>
      <c r="B689" s="168" t="s">
        <v>81</v>
      </c>
      <c r="C689" s="168" t="s">
        <v>96</v>
      </c>
      <c r="D689">
        <v>60.7</v>
      </c>
      <c r="E689">
        <v>2021</v>
      </c>
      <c r="F689" s="168" t="s">
        <v>592</v>
      </c>
      <c r="G689" s="168" t="s">
        <v>555</v>
      </c>
      <c r="H689">
        <v>30.749030202297757</v>
      </c>
    </row>
    <row r="690" spans="1:8" x14ac:dyDescent="0.3">
      <c r="A690">
        <v>64</v>
      </c>
      <c r="B690" s="168" t="s">
        <v>81</v>
      </c>
      <c r="C690" s="168" t="s">
        <v>96</v>
      </c>
      <c r="D690">
        <v>60.7</v>
      </c>
      <c r="E690">
        <v>2021</v>
      </c>
      <c r="F690" s="168" t="s">
        <v>592</v>
      </c>
      <c r="G690" s="168" t="s">
        <v>561</v>
      </c>
      <c r="H690">
        <v>9907.6621741360832</v>
      </c>
    </row>
    <row r="691" spans="1:8" x14ac:dyDescent="0.3">
      <c r="A691">
        <v>64</v>
      </c>
      <c r="B691" s="168" t="s">
        <v>81</v>
      </c>
      <c r="C691" s="168" t="s">
        <v>96</v>
      </c>
      <c r="D691">
        <v>60.7</v>
      </c>
      <c r="E691">
        <v>2021</v>
      </c>
      <c r="F691" s="168" t="s">
        <v>592</v>
      </c>
      <c r="G691" s="168" t="s">
        <v>562</v>
      </c>
      <c r="H691">
        <v>18172.256053257479</v>
      </c>
    </row>
    <row r="692" spans="1:8" x14ac:dyDescent="0.3">
      <c r="A692">
        <v>64</v>
      </c>
      <c r="B692" s="168" t="s">
        <v>81</v>
      </c>
      <c r="C692" s="168" t="s">
        <v>96</v>
      </c>
      <c r="D692">
        <v>60.7</v>
      </c>
      <c r="E692">
        <v>2021</v>
      </c>
      <c r="F692" s="168" t="s">
        <v>592</v>
      </c>
      <c r="G692" s="168" t="s">
        <v>571</v>
      </c>
      <c r="H692">
        <v>0</v>
      </c>
    </row>
    <row r="693" spans="1:8" x14ac:dyDescent="0.3">
      <c r="A693">
        <v>64</v>
      </c>
      <c r="B693" s="168" t="s">
        <v>81</v>
      </c>
      <c r="C693" s="168" t="s">
        <v>96</v>
      </c>
      <c r="D693">
        <v>60.7</v>
      </c>
      <c r="E693">
        <v>2021</v>
      </c>
      <c r="F693" s="168" t="s">
        <v>592</v>
      </c>
      <c r="G693" s="168" t="s">
        <v>572</v>
      </c>
      <c r="H693">
        <v>150731.70731707316</v>
      </c>
    </row>
    <row r="694" spans="1:8" x14ac:dyDescent="0.3">
      <c r="A694">
        <v>64</v>
      </c>
      <c r="B694" s="168" t="s">
        <v>81</v>
      </c>
      <c r="C694" s="168" t="s">
        <v>96</v>
      </c>
      <c r="D694">
        <v>60.7</v>
      </c>
      <c r="E694">
        <v>2021</v>
      </c>
      <c r="F694" s="168" t="s">
        <v>592</v>
      </c>
      <c r="G694" s="168" t="s">
        <v>585</v>
      </c>
      <c r="H694">
        <v>2010.1537740655308</v>
      </c>
    </row>
    <row r="695" spans="1:8" x14ac:dyDescent="0.3">
      <c r="A695">
        <v>64</v>
      </c>
      <c r="B695" s="168" t="s">
        <v>81</v>
      </c>
      <c r="C695" s="168" t="s">
        <v>96</v>
      </c>
      <c r="D695">
        <v>60.7</v>
      </c>
      <c r="E695">
        <v>2021</v>
      </c>
      <c r="F695" s="168" t="s">
        <v>592</v>
      </c>
      <c r="G695" s="168" t="s">
        <v>586</v>
      </c>
      <c r="H695">
        <v>1288.8435959641595</v>
      </c>
    </row>
    <row r="696" spans="1:8" x14ac:dyDescent="0.3">
      <c r="A696">
        <v>65</v>
      </c>
      <c r="B696" s="168" t="s">
        <v>73</v>
      </c>
      <c r="C696" s="168" t="s">
        <v>97</v>
      </c>
      <c r="D696">
        <v>358.3</v>
      </c>
      <c r="E696">
        <v>2021</v>
      </c>
      <c r="F696" s="168" t="s">
        <v>592</v>
      </c>
      <c r="G696" s="168" t="s">
        <v>550</v>
      </c>
      <c r="H696">
        <v>0</v>
      </c>
    </row>
    <row r="697" spans="1:8" x14ac:dyDescent="0.3">
      <c r="A697">
        <v>65</v>
      </c>
      <c r="B697" s="168" t="s">
        <v>73</v>
      </c>
      <c r="C697" s="168" t="s">
        <v>97</v>
      </c>
      <c r="D697">
        <v>358.3</v>
      </c>
      <c r="E697">
        <v>2021</v>
      </c>
      <c r="F697" s="168" t="s">
        <v>592</v>
      </c>
      <c r="G697" s="168" t="s">
        <v>551</v>
      </c>
      <c r="H697">
        <v>448.97319264492029</v>
      </c>
    </row>
    <row r="698" spans="1:8" x14ac:dyDescent="0.3">
      <c r="A698">
        <v>65</v>
      </c>
      <c r="B698" s="168" t="s">
        <v>73</v>
      </c>
      <c r="C698" s="168" t="s">
        <v>97</v>
      </c>
      <c r="D698">
        <v>358.3</v>
      </c>
      <c r="E698">
        <v>2021</v>
      </c>
      <c r="F698" s="168" t="s">
        <v>592</v>
      </c>
      <c r="G698" s="168" t="s">
        <v>554</v>
      </c>
      <c r="H698">
        <v>242.00719432143407</v>
      </c>
    </row>
    <row r="699" spans="1:8" x14ac:dyDescent="0.3">
      <c r="A699">
        <v>65</v>
      </c>
      <c r="B699" s="168" t="s">
        <v>73</v>
      </c>
      <c r="C699" s="168" t="s">
        <v>97</v>
      </c>
      <c r="D699">
        <v>358.3</v>
      </c>
      <c r="E699">
        <v>2021</v>
      </c>
      <c r="F699" s="168" t="s">
        <v>592</v>
      </c>
      <c r="G699" s="168" t="s">
        <v>555</v>
      </c>
      <c r="H699">
        <v>181.50539574107555</v>
      </c>
    </row>
    <row r="700" spans="1:8" x14ac:dyDescent="0.3">
      <c r="A700">
        <v>65</v>
      </c>
      <c r="B700" s="168" t="s">
        <v>73</v>
      </c>
      <c r="C700" s="168" t="s">
        <v>97</v>
      </c>
      <c r="D700">
        <v>358.3</v>
      </c>
      <c r="E700">
        <v>2021</v>
      </c>
      <c r="F700" s="168" t="s">
        <v>592</v>
      </c>
      <c r="G700" s="168" t="s">
        <v>595</v>
      </c>
      <c r="H700">
        <v>0</v>
      </c>
    </row>
    <row r="701" spans="1:8" x14ac:dyDescent="0.3">
      <c r="A701">
        <v>65</v>
      </c>
      <c r="B701" s="168" t="s">
        <v>73</v>
      </c>
      <c r="C701" s="168" t="s">
        <v>97</v>
      </c>
      <c r="D701">
        <v>358.3</v>
      </c>
      <c r="E701">
        <v>2021</v>
      </c>
      <c r="F701" s="168" t="s">
        <v>592</v>
      </c>
      <c r="G701" s="168" t="s">
        <v>560</v>
      </c>
      <c r="H701">
        <v>6545.454545454545</v>
      </c>
    </row>
    <row r="702" spans="1:8" x14ac:dyDescent="0.3">
      <c r="A702">
        <v>65</v>
      </c>
      <c r="B702" s="168" t="s">
        <v>73</v>
      </c>
      <c r="C702" s="168" t="s">
        <v>97</v>
      </c>
      <c r="D702">
        <v>358.3</v>
      </c>
      <c r="E702">
        <v>2021</v>
      </c>
      <c r="F702" s="168" t="s">
        <v>592</v>
      </c>
      <c r="G702" s="168" t="s">
        <v>561</v>
      </c>
      <c r="H702">
        <v>58482.954810427655</v>
      </c>
    </row>
    <row r="703" spans="1:8" x14ac:dyDescent="0.3">
      <c r="A703">
        <v>65</v>
      </c>
      <c r="B703" s="168" t="s">
        <v>73</v>
      </c>
      <c r="C703" s="168" t="s">
        <v>97</v>
      </c>
      <c r="D703">
        <v>358.3</v>
      </c>
      <c r="E703">
        <v>2021</v>
      </c>
      <c r="F703" s="168" t="s">
        <v>592</v>
      </c>
      <c r="G703" s="168" t="s">
        <v>562</v>
      </c>
      <c r="H703">
        <v>107267.20500629579</v>
      </c>
    </row>
    <row r="704" spans="1:8" x14ac:dyDescent="0.3">
      <c r="A704">
        <v>65</v>
      </c>
      <c r="B704" s="168" t="s">
        <v>73</v>
      </c>
      <c r="C704" s="168" t="s">
        <v>97</v>
      </c>
      <c r="D704">
        <v>358.3</v>
      </c>
      <c r="E704">
        <v>2021</v>
      </c>
      <c r="F704" s="168" t="s">
        <v>592</v>
      </c>
      <c r="G704" s="168" t="s">
        <v>600</v>
      </c>
      <c r="H704">
        <v>5356.9993108089056</v>
      </c>
    </row>
    <row r="705" spans="1:8" x14ac:dyDescent="0.3">
      <c r="A705">
        <v>65</v>
      </c>
      <c r="B705" s="168" t="s">
        <v>73</v>
      </c>
      <c r="C705" s="168" t="s">
        <v>97</v>
      </c>
      <c r="D705">
        <v>358.3</v>
      </c>
      <c r="E705">
        <v>2021</v>
      </c>
      <c r="F705" s="168" t="s">
        <v>592</v>
      </c>
      <c r="G705" s="168" t="s">
        <v>601</v>
      </c>
      <c r="H705">
        <v>5705.4402332570171</v>
      </c>
    </row>
    <row r="706" spans="1:8" x14ac:dyDescent="0.3">
      <c r="A706">
        <v>65</v>
      </c>
      <c r="B706" s="168" t="s">
        <v>73</v>
      </c>
      <c r="C706" s="168" t="s">
        <v>97</v>
      </c>
      <c r="D706">
        <v>358.3</v>
      </c>
      <c r="E706">
        <v>2021</v>
      </c>
      <c r="F706" s="168" t="s">
        <v>592</v>
      </c>
      <c r="G706" s="168" t="s">
        <v>585</v>
      </c>
      <c r="H706">
        <v>13525.142590809075</v>
      </c>
    </row>
    <row r="707" spans="1:8" x14ac:dyDescent="0.3">
      <c r="A707">
        <v>65</v>
      </c>
      <c r="B707" s="168" t="s">
        <v>73</v>
      </c>
      <c r="C707" s="168" t="s">
        <v>97</v>
      </c>
      <c r="D707">
        <v>358.3</v>
      </c>
      <c r="E707">
        <v>2021</v>
      </c>
      <c r="F707" s="168" t="s">
        <v>592</v>
      </c>
      <c r="G707" s="168" t="s">
        <v>586</v>
      </c>
      <c r="H707">
        <v>2745.1981728715978</v>
      </c>
    </row>
    <row r="708" spans="1:8" x14ac:dyDescent="0.3">
      <c r="A708">
        <v>66</v>
      </c>
      <c r="B708" s="168" t="s">
        <v>98</v>
      </c>
      <c r="C708" s="168" t="s">
        <v>99</v>
      </c>
      <c r="D708">
        <v>196.6</v>
      </c>
      <c r="E708">
        <v>2021</v>
      </c>
      <c r="F708" s="168" t="s">
        <v>592</v>
      </c>
      <c r="G708" s="168" t="s">
        <v>550</v>
      </c>
      <c r="H708">
        <v>0</v>
      </c>
    </row>
    <row r="709" spans="1:8" x14ac:dyDescent="0.3">
      <c r="A709">
        <v>66</v>
      </c>
      <c r="B709" s="168" t="s">
        <v>98</v>
      </c>
      <c r="C709" s="168" t="s">
        <v>99</v>
      </c>
      <c r="D709">
        <v>196.6</v>
      </c>
      <c r="E709">
        <v>2021</v>
      </c>
      <c r="F709" s="168" t="s">
        <v>592</v>
      </c>
      <c r="G709" s="168" t="s">
        <v>551</v>
      </c>
      <c r="H709">
        <v>246.35258072562468</v>
      </c>
    </row>
    <row r="710" spans="1:8" x14ac:dyDescent="0.3">
      <c r="A710">
        <v>66</v>
      </c>
      <c r="B710" s="168" t="s">
        <v>98</v>
      </c>
      <c r="C710" s="168" t="s">
        <v>99</v>
      </c>
      <c r="D710">
        <v>196.6</v>
      </c>
      <c r="E710">
        <v>2021</v>
      </c>
      <c r="F710" s="168" t="s">
        <v>592</v>
      </c>
      <c r="G710" s="168" t="s">
        <v>554</v>
      </c>
      <c r="H710">
        <v>132.78988111524961</v>
      </c>
    </row>
    <row r="711" spans="1:8" x14ac:dyDescent="0.3">
      <c r="A711">
        <v>66</v>
      </c>
      <c r="B711" s="168" t="s">
        <v>98</v>
      </c>
      <c r="C711" s="168" t="s">
        <v>99</v>
      </c>
      <c r="D711">
        <v>196.6</v>
      </c>
      <c r="E711">
        <v>2021</v>
      </c>
      <c r="F711" s="168" t="s">
        <v>592</v>
      </c>
      <c r="G711" s="168" t="s">
        <v>555</v>
      </c>
      <c r="H711">
        <v>99.59241083643721</v>
      </c>
    </row>
    <row r="712" spans="1:8" x14ac:dyDescent="0.3">
      <c r="A712">
        <v>67</v>
      </c>
      <c r="B712" s="168" t="s">
        <v>81</v>
      </c>
      <c r="C712" s="168" t="s">
        <v>100</v>
      </c>
      <c r="D712">
        <v>54.4</v>
      </c>
      <c r="E712">
        <v>2021</v>
      </c>
      <c r="F712" s="168" t="s">
        <v>592</v>
      </c>
      <c r="G712" s="168" t="s">
        <v>550</v>
      </c>
      <c r="H712">
        <v>0</v>
      </c>
    </row>
    <row r="713" spans="1:8" x14ac:dyDescent="0.3">
      <c r="A713">
        <v>67</v>
      </c>
      <c r="B713" s="168" t="s">
        <v>81</v>
      </c>
      <c r="C713" s="168" t="s">
        <v>100</v>
      </c>
      <c r="D713">
        <v>54.4</v>
      </c>
      <c r="E713">
        <v>2021</v>
      </c>
      <c r="F713" s="168" t="s">
        <v>592</v>
      </c>
      <c r="G713" s="168" t="s">
        <v>551</v>
      </c>
      <c r="H713">
        <v>68.166736477487191</v>
      </c>
    </row>
    <row r="714" spans="1:8" x14ac:dyDescent="0.3">
      <c r="A714">
        <v>67</v>
      </c>
      <c r="B714" s="168" t="s">
        <v>81</v>
      </c>
      <c r="C714" s="168" t="s">
        <v>100</v>
      </c>
      <c r="D714">
        <v>54.4</v>
      </c>
      <c r="E714">
        <v>2021</v>
      </c>
      <c r="F714" s="168" t="s">
        <v>592</v>
      </c>
      <c r="G714" s="168" t="s">
        <v>554</v>
      </c>
      <c r="H714">
        <v>36.743486941350859</v>
      </c>
    </row>
    <row r="715" spans="1:8" x14ac:dyDescent="0.3">
      <c r="A715">
        <v>67</v>
      </c>
      <c r="B715" s="168" t="s">
        <v>81</v>
      </c>
      <c r="C715" s="168" t="s">
        <v>100</v>
      </c>
      <c r="D715">
        <v>54.4</v>
      </c>
      <c r="E715">
        <v>2021</v>
      </c>
      <c r="F715" s="168" t="s">
        <v>592</v>
      </c>
      <c r="G715" s="168" t="s">
        <v>555</v>
      </c>
      <c r="H715">
        <v>27.557615206013146</v>
      </c>
    </row>
    <row r="716" spans="1:8" x14ac:dyDescent="0.3">
      <c r="A716">
        <v>68</v>
      </c>
      <c r="B716" s="168" t="s">
        <v>101</v>
      </c>
      <c r="C716" s="168" t="s">
        <v>102</v>
      </c>
      <c r="D716">
        <v>217</v>
      </c>
      <c r="E716">
        <v>2021</v>
      </c>
      <c r="F716" s="168" t="s">
        <v>593</v>
      </c>
      <c r="G716" s="168" t="s">
        <v>550</v>
      </c>
      <c r="H716">
        <v>0</v>
      </c>
    </row>
    <row r="717" spans="1:8" x14ac:dyDescent="0.3">
      <c r="A717">
        <v>68</v>
      </c>
      <c r="B717" s="168" t="s">
        <v>101</v>
      </c>
      <c r="C717" s="168" t="s">
        <v>102</v>
      </c>
      <c r="D717">
        <v>217</v>
      </c>
      <c r="E717">
        <v>2021</v>
      </c>
      <c r="F717" s="168" t="s">
        <v>593</v>
      </c>
      <c r="G717" s="168" t="s">
        <v>551</v>
      </c>
      <c r="H717">
        <v>271.91510690468237</v>
      </c>
    </row>
    <row r="718" spans="1:8" x14ac:dyDescent="0.3">
      <c r="A718">
        <v>68</v>
      </c>
      <c r="B718" s="168" t="s">
        <v>101</v>
      </c>
      <c r="C718" s="168" t="s">
        <v>102</v>
      </c>
      <c r="D718">
        <v>217</v>
      </c>
      <c r="E718">
        <v>2021</v>
      </c>
      <c r="F718" s="168" t="s">
        <v>593</v>
      </c>
      <c r="G718" s="168" t="s">
        <v>554</v>
      </c>
      <c r="H718">
        <v>146.56868871825617</v>
      </c>
    </row>
    <row r="719" spans="1:8" x14ac:dyDescent="0.3">
      <c r="A719">
        <v>68</v>
      </c>
      <c r="B719" s="168" t="s">
        <v>101</v>
      </c>
      <c r="C719" s="168" t="s">
        <v>102</v>
      </c>
      <c r="D719">
        <v>217</v>
      </c>
      <c r="E719">
        <v>2021</v>
      </c>
      <c r="F719" s="168" t="s">
        <v>593</v>
      </c>
      <c r="G719" s="168" t="s">
        <v>555</v>
      </c>
      <c r="H719">
        <v>109.92651653869213</v>
      </c>
    </row>
    <row r="720" spans="1:8" x14ac:dyDescent="0.3">
      <c r="A720">
        <v>68</v>
      </c>
      <c r="B720" s="168" t="s">
        <v>101</v>
      </c>
      <c r="C720" s="168" t="s">
        <v>102</v>
      </c>
      <c r="D720">
        <v>217</v>
      </c>
      <c r="E720">
        <v>2021</v>
      </c>
      <c r="F720" s="168" t="s">
        <v>593</v>
      </c>
      <c r="G720" s="168" t="s">
        <v>600</v>
      </c>
      <c r="H720">
        <v>815.13754158540451</v>
      </c>
    </row>
    <row r="721" spans="1:8" x14ac:dyDescent="0.3">
      <c r="A721">
        <v>68</v>
      </c>
      <c r="B721" s="168" t="s">
        <v>101</v>
      </c>
      <c r="C721" s="168" t="s">
        <v>102</v>
      </c>
      <c r="D721">
        <v>217</v>
      </c>
      <c r="E721">
        <v>2021</v>
      </c>
      <c r="F721" s="168" t="s">
        <v>593</v>
      </c>
      <c r="G721" s="168" t="s">
        <v>601</v>
      </c>
      <c r="H721">
        <v>815.13754158540451</v>
      </c>
    </row>
    <row r="722" spans="1:8" x14ac:dyDescent="0.3">
      <c r="A722">
        <v>69</v>
      </c>
      <c r="B722" s="168" t="s">
        <v>291</v>
      </c>
      <c r="C722" s="168" t="s">
        <v>103</v>
      </c>
      <c r="D722">
        <v>482.8</v>
      </c>
      <c r="E722">
        <v>2021</v>
      </c>
      <c r="F722" s="168" t="s">
        <v>593</v>
      </c>
      <c r="G722" s="168" t="s">
        <v>549</v>
      </c>
      <c r="H722">
        <v>2589041.4</v>
      </c>
    </row>
    <row r="723" spans="1:8" x14ac:dyDescent="0.3">
      <c r="A723">
        <v>69</v>
      </c>
      <c r="B723" s="168" t="s">
        <v>291</v>
      </c>
      <c r="C723" s="168" t="s">
        <v>103</v>
      </c>
      <c r="D723">
        <v>482.8</v>
      </c>
      <c r="E723">
        <v>2021</v>
      </c>
      <c r="F723" s="168" t="s">
        <v>593</v>
      </c>
      <c r="G723" s="168" t="s">
        <v>551</v>
      </c>
      <c r="H723">
        <v>33853.54</v>
      </c>
    </row>
    <row r="724" spans="1:8" x14ac:dyDescent="0.3">
      <c r="A724">
        <v>69</v>
      </c>
      <c r="B724" s="168" t="s">
        <v>291</v>
      </c>
      <c r="C724" s="168" t="s">
        <v>103</v>
      </c>
      <c r="D724">
        <v>482.8</v>
      </c>
      <c r="E724">
        <v>2021</v>
      </c>
      <c r="F724" s="168" t="s">
        <v>593</v>
      </c>
      <c r="G724" s="168" t="s">
        <v>599</v>
      </c>
      <c r="H724">
        <v>894112</v>
      </c>
    </row>
    <row r="725" spans="1:8" x14ac:dyDescent="0.3">
      <c r="A725">
        <v>69</v>
      </c>
      <c r="B725" s="168" t="s">
        <v>291</v>
      </c>
      <c r="C725" s="168" t="s">
        <v>103</v>
      </c>
      <c r="D725">
        <v>482.8</v>
      </c>
      <c r="E725">
        <v>2021</v>
      </c>
      <c r="F725" s="168" t="s">
        <v>593</v>
      </c>
      <c r="G725" s="168" t="s">
        <v>554</v>
      </c>
      <c r="H725">
        <v>965.5</v>
      </c>
    </row>
    <row r="726" spans="1:8" x14ac:dyDescent="0.3">
      <c r="A726">
        <v>69</v>
      </c>
      <c r="B726" s="168" t="s">
        <v>291</v>
      </c>
      <c r="C726" s="168" t="s">
        <v>103</v>
      </c>
      <c r="D726">
        <v>482.8</v>
      </c>
      <c r="E726">
        <v>2021</v>
      </c>
      <c r="F726" s="168" t="s">
        <v>593</v>
      </c>
      <c r="G726" s="168" t="s">
        <v>555</v>
      </c>
      <c r="H726">
        <v>965.5</v>
      </c>
    </row>
    <row r="727" spans="1:8" x14ac:dyDescent="0.3">
      <c r="A727">
        <v>69</v>
      </c>
      <c r="B727" s="168" t="s">
        <v>291</v>
      </c>
      <c r="C727" s="168" t="s">
        <v>103</v>
      </c>
      <c r="D727">
        <v>482.8</v>
      </c>
      <c r="E727">
        <v>2021</v>
      </c>
      <c r="F727" s="168" t="s">
        <v>593</v>
      </c>
      <c r="G727" s="168" t="s">
        <v>595</v>
      </c>
      <c r="H727">
        <v>0</v>
      </c>
    </row>
    <row r="728" spans="1:8" x14ac:dyDescent="0.3">
      <c r="A728">
        <v>69</v>
      </c>
      <c r="B728" s="168" t="s">
        <v>291</v>
      </c>
      <c r="C728" s="168" t="s">
        <v>103</v>
      </c>
      <c r="D728">
        <v>482.8</v>
      </c>
      <c r="E728">
        <v>2021</v>
      </c>
      <c r="F728" s="168" t="s">
        <v>593</v>
      </c>
      <c r="G728" s="168" t="s">
        <v>560</v>
      </c>
      <c r="H728">
        <v>3272.7272727272725</v>
      </c>
    </row>
    <row r="729" spans="1:8" x14ac:dyDescent="0.3">
      <c r="A729">
        <v>69</v>
      </c>
      <c r="B729" s="168" t="s">
        <v>291</v>
      </c>
      <c r="C729" s="168" t="s">
        <v>103</v>
      </c>
      <c r="D729">
        <v>482.8</v>
      </c>
      <c r="E729">
        <v>2021</v>
      </c>
      <c r="F729" s="168" t="s">
        <v>593</v>
      </c>
      <c r="G729" s="168" t="s">
        <v>600</v>
      </c>
      <c r="H729">
        <v>7218.4182731190049</v>
      </c>
    </row>
    <row r="730" spans="1:8" x14ac:dyDescent="0.3">
      <c r="A730">
        <v>69</v>
      </c>
      <c r="B730" s="168" t="s">
        <v>291</v>
      </c>
      <c r="C730" s="168" t="s">
        <v>103</v>
      </c>
      <c r="D730">
        <v>482.8</v>
      </c>
      <c r="E730">
        <v>2021</v>
      </c>
      <c r="F730" s="168" t="s">
        <v>593</v>
      </c>
      <c r="G730" s="168" t="s">
        <v>601</v>
      </c>
      <c r="H730">
        <v>7687.9334206432814</v>
      </c>
    </row>
    <row r="731" spans="1:8" x14ac:dyDescent="0.3">
      <c r="A731">
        <v>69</v>
      </c>
      <c r="B731" s="168" t="s">
        <v>291</v>
      </c>
      <c r="C731" s="168" t="s">
        <v>103</v>
      </c>
      <c r="D731">
        <v>482.8</v>
      </c>
      <c r="E731">
        <v>2021</v>
      </c>
      <c r="F731" s="168" t="s">
        <v>593</v>
      </c>
      <c r="G731" s="168" t="s">
        <v>578</v>
      </c>
      <c r="H731">
        <v>0</v>
      </c>
    </row>
    <row r="732" spans="1:8" x14ac:dyDescent="0.3">
      <c r="A732">
        <v>69</v>
      </c>
      <c r="B732" s="168" t="s">
        <v>291</v>
      </c>
      <c r="C732" s="168" t="s">
        <v>103</v>
      </c>
      <c r="D732">
        <v>482.8</v>
      </c>
      <c r="E732">
        <v>2021</v>
      </c>
      <c r="F732" s="168" t="s">
        <v>593</v>
      </c>
      <c r="G732" s="168" t="s">
        <v>585</v>
      </c>
      <c r="H732">
        <v>18224.780471232545</v>
      </c>
    </row>
    <row r="733" spans="1:8" x14ac:dyDescent="0.3">
      <c r="A733">
        <v>69</v>
      </c>
      <c r="B733" s="168" t="s">
        <v>291</v>
      </c>
      <c r="C733" s="168" t="s">
        <v>103</v>
      </c>
      <c r="D733">
        <v>482.8</v>
      </c>
      <c r="E733">
        <v>2021</v>
      </c>
      <c r="F733" s="168" t="s">
        <v>593</v>
      </c>
      <c r="G733" s="168" t="s">
        <v>586</v>
      </c>
      <c r="H733">
        <v>3699.0836669338746</v>
      </c>
    </row>
    <row r="734" spans="1:8" x14ac:dyDescent="0.3">
      <c r="A734">
        <v>70</v>
      </c>
      <c r="B734" s="168" t="s">
        <v>104</v>
      </c>
      <c r="C734" s="168" t="s">
        <v>105</v>
      </c>
      <c r="D734">
        <v>11351</v>
      </c>
      <c r="E734">
        <v>2021</v>
      </c>
      <c r="F734" s="168" t="s">
        <v>591</v>
      </c>
      <c r="G734" s="168" t="s">
        <v>548</v>
      </c>
      <c r="H734">
        <v>1812328.73</v>
      </c>
    </row>
    <row r="735" spans="1:8" x14ac:dyDescent="0.3">
      <c r="A735">
        <v>70</v>
      </c>
      <c r="B735" s="168" t="s">
        <v>104</v>
      </c>
      <c r="C735" s="168" t="s">
        <v>105</v>
      </c>
      <c r="D735">
        <v>11351</v>
      </c>
      <c r="E735">
        <v>2021</v>
      </c>
      <c r="F735" s="168" t="s">
        <v>591</v>
      </c>
      <c r="G735" s="168" t="s">
        <v>549</v>
      </c>
      <c r="H735">
        <v>776712.31</v>
      </c>
    </row>
    <row r="736" spans="1:8" x14ac:dyDescent="0.3">
      <c r="A736">
        <v>70</v>
      </c>
      <c r="B736" s="168" t="s">
        <v>104</v>
      </c>
      <c r="C736" s="168" t="s">
        <v>105</v>
      </c>
      <c r="D736">
        <v>11351</v>
      </c>
      <c r="E736">
        <v>2021</v>
      </c>
      <c r="F736" s="168" t="s">
        <v>591</v>
      </c>
      <c r="G736" s="168" t="s">
        <v>550</v>
      </c>
      <c r="H736">
        <v>642027.11</v>
      </c>
    </row>
    <row r="737" spans="1:8" x14ac:dyDescent="0.3">
      <c r="A737">
        <v>70</v>
      </c>
      <c r="B737" s="168" t="s">
        <v>104</v>
      </c>
      <c r="C737" s="168" t="s">
        <v>105</v>
      </c>
      <c r="D737">
        <v>11351</v>
      </c>
      <c r="E737">
        <v>2021</v>
      </c>
      <c r="F737" s="168" t="s">
        <v>591</v>
      </c>
      <c r="G737" s="168" t="s">
        <v>551</v>
      </c>
      <c r="H737">
        <v>275154.46999999997</v>
      </c>
    </row>
    <row r="738" spans="1:8" x14ac:dyDescent="0.3">
      <c r="A738">
        <v>70</v>
      </c>
      <c r="B738" s="168" t="s">
        <v>104</v>
      </c>
      <c r="C738" s="168" t="s">
        <v>105</v>
      </c>
      <c r="D738">
        <v>11351</v>
      </c>
      <c r="E738">
        <v>2021</v>
      </c>
      <c r="F738" s="168" t="s">
        <v>591</v>
      </c>
      <c r="G738" s="168" t="s">
        <v>598</v>
      </c>
      <c r="H738">
        <v>1032940.9999999999</v>
      </c>
    </row>
    <row r="739" spans="1:8" x14ac:dyDescent="0.3">
      <c r="A739">
        <v>70</v>
      </c>
      <c r="B739" s="168" t="s">
        <v>104</v>
      </c>
      <c r="C739" s="168" t="s">
        <v>105</v>
      </c>
      <c r="D739">
        <v>11351</v>
      </c>
      <c r="E739">
        <v>2021</v>
      </c>
      <c r="F739" s="168" t="s">
        <v>591</v>
      </c>
      <c r="G739" s="168" t="s">
        <v>599</v>
      </c>
      <c r="H739">
        <v>442689</v>
      </c>
    </row>
    <row r="740" spans="1:8" x14ac:dyDescent="0.3">
      <c r="A740">
        <v>70</v>
      </c>
      <c r="B740" s="168" t="s">
        <v>104</v>
      </c>
      <c r="C740" s="168" t="s">
        <v>105</v>
      </c>
      <c r="D740">
        <v>11351</v>
      </c>
      <c r="E740">
        <v>2021</v>
      </c>
      <c r="F740" s="168" t="s">
        <v>591</v>
      </c>
      <c r="G740" s="168" t="s">
        <v>556</v>
      </c>
      <c r="H740">
        <v>0</v>
      </c>
    </row>
    <row r="741" spans="1:8" x14ac:dyDescent="0.3">
      <c r="A741">
        <v>70</v>
      </c>
      <c r="B741" s="168" t="s">
        <v>104</v>
      </c>
      <c r="C741" s="168" t="s">
        <v>105</v>
      </c>
      <c r="D741">
        <v>11351</v>
      </c>
      <c r="E741">
        <v>2021</v>
      </c>
      <c r="F741" s="168" t="s">
        <v>591</v>
      </c>
      <c r="G741" s="168" t="s">
        <v>557</v>
      </c>
      <c r="H741">
        <v>226129.2134831461</v>
      </c>
    </row>
    <row r="742" spans="1:8" x14ac:dyDescent="0.3">
      <c r="A742">
        <v>70</v>
      </c>
      <c r="B742" s="168" t="s">
        <v>104</v>
      </c>
      <c r="C742" s="168" t="s">
        <v>105</v>
      </c>
      <c r="D742">
        <v>11351</v>
      </c>
      <c r="E742">
        <v>2021</v>
      </c>
      <c r="F742" s="168" t="s">
        <v>591</v>
      </c>
      <c r="G742" s="168" t="s">
        <v>595</v>
      </c>
      <c r="H742">
        <v>0</v>
      </c>
    </row>
    <row r="743" spans="1:8" x14ac:dyDescent="0.3">
      <c r="A743">
        <v>70</v>
      </c>
      <c r="B743" s="168" t="s">
        <v>104</v>
      </c>
      <c r="C743" s="168" t="s">
        <v>105</v>
      </c>
      <c r="D743">
        <v>11351</v>
      </c>
      <c r="E743">
        <v>2021</v>
      </c>
      <c r="F743" s="168" t="s">
        <v>591</v>
      </c>
      <c r="G743" s="168" t="s">
        <v>560</v>
      </c>
      <c r="H743">
        <v>6545.454545454545</v>
      </c>
    </row>
    <row r="744" spans="1:8" x14ac:dyDescent="0.3">
      <c r="A744">
        <v>70</v>
      </c>
      <c r="B744" s="168" t="s">
        <v>104</v>
      </c>
      <c r="C744" s="168" t="s">
        <v>105</v>
      </c>
      <c r="D744">
        <v>11351</v>
      </c>
      <c r="E744">
        <v>2021</v>
      </c>
      <c r="F744" s="168" t="s">
        <v>591</v>
      </c>
      <c r="G744" s="168" t="s">
        <v>563</v>
      </c>
      <c r="H744">
        <v>43931.185486393493</v>
      </c>
    </row>
    <row r="745" spans="1:8" x14ac:dyDescent="0.3">
      <c r="A745">
        <v>70</v>
      </c>
      <c r="B745" s="168" t="s">
        <v>104</v>
      </c>
      <c r="C745" s="168" t="s">
        <v>105</v>
      </c>
      <c r="D745">
        <v>11351</v>
      </c>
      <c r="E745">
        <v>2021</v>
      </c>
      <c r="F745" s="168" t="s">
        <v>591</v>
      </c>
      <c r="G745" s="168" t="s">
        <v>564</v>
      </c>
      <c r="H745">
        <v>18827.650922740071</v>
      </c>
    </row>
    <row r="746" spans="1:8" x14ac:dyDescent="0.3">
      <c r="A746">
        <v>70</v>
      </c>
      <c r="B746" s="168" t="s">
        <v>104</v>
      </c>
      <c r="C746" s="168" t="s">
        <v>105</v>
      </c>
      <c r="D746">
        <v>11351</v>
      </c>
      <c r="E746">
        <v>2021</v>
      </c>
      <c r="F746" s="168" t="s">
        <v>591</v>
      </c>
      <c r="G746" s="168" t="s">
        <v>565</v>
      </c>
      <c r="H746">
        <v>276442.30769230769</v>
      </c>
    </row>
    <row r="747" spans="1:8" x14ac:dyDescent="0.3">
      <c r="A747">
        <v>70</v>
      </c>
      <c r="B747" s="168" t="s">
        <v>104</v>
      </c>
      <c r="C747" s="168" t="s">
        <v>105</v>
      </c>
      <c r="D747">
        <v>11351</v>
      </c>
      <c r="E747">
        <v>2021</v>
      </c>
      <c r="F747" s="168" t="s">
        <v>591</v>
      </c>
      <c r="G747" s="168" t="s">
        <v>566</v>
      </c>
      <c r="H747">
        <v>213062.3475</v>
      </c>
    </row>
    <row r="748" spans="1:8" x14ac:dyDescent="0.3">
      <c r="A748">
        <v>70</v>
      </c>
      <c r="B748" s="168" t="s">
        <v>104</v>
      </c>
      <c r="C748" s="168" t="s">
        <v>105</v>
      </c>
      <c r="D748">
        <v>11351</v>
      </c>
      <c r="E748">
        <v>2021</v>
      </c>
      <c r="F748" s="168" t="s">
        <v>591</v>
      </c>
      <c r="G748" s="168" t="s">
        <v>571</v>
      </c>
      <c r="H748">
        <v>0</v>
      </c>
    </row>
    <row r="749" spans="1:8" x14ac:dyDescent="0.3">
      <c r="A749">
        <v>70</v>
      </c>
      <c r="B749" s="168" t="s">
        <v>104</v>
      </c>
      <c r="C749" s="168" t="s">
        <v>105</v>
      </c>
      <c r="D749">
        <v>11351</v>
      </c>
      <c r="E749">
        <v>2021</v>
      </c>
      <c r="F749" s="168" t="s">
        <v>591</v>
      </c>
      <c r="G749" s="168" t="s">
        <v>572</v>
      </c>
      <c r="H749">
        <v>7536.5853658536589</v>
      </c>
    </row>
    <row r="750" spans="1:8" x14ac:dyDescent="0.3">
      <c r="A750">
        <v>70</v>
      </c>
      <c r="B750" s="168" t="s">
        <v>104</v>
      </c>
      <c r="C750" s="168" t="s">
        <v>105</v>
      </c>
      <c r="D750">
        <v>11351</v>
      </c>
      <c r="E750">
        <v>2021</v>
      </c>
      <c r="F750" s="168" t="s">
        <v>591</v>
      </c>
      <c r="G750" s="168" t="s">
        <v>600</v>
      </c>
      <c r="H750">
        <v>1368121.048</v>
      </c>
    </row>
    <row r="751" spans="1:8" x14ac:dyDescent="0.3">
      <c r="A751">
        <v>70</v>
      </c>
      <c r="B751" s="168" t="s">
        <v>104</v>
      </c>
      <c r="C751" s="168" t="s">
        <v>105</v>
      </c>
      <c r="D751">
        <v>11351</v>
      </c>
      <c r="E751">
        <v>2021</v>
      </c>
      <c r="F751" s="168" t="s">
        <v>591</v>
      </c>
      <c r="G751" s="168" t="s">
        <v>601</v>
      </c>
      <c r="H751">
        <v>586337.59199999995</v>
      </c>
    </row>
    <row r="752" spans="1:8" x14ac:dyDescent="0.3">
      <c r="A752">
        <v>70</v>
      </c>
      <c r="B752" s="168" t="s">
        <v>104</v>
      </c>
      <c r="C752" s="168" t="s">
        <v>105</v>
      </c>
      <c r="D752">
        <v>11351</v>
      </c>
      <c r="E752">
        <v>2021</v>
      </c>
      <c r="F752" s="168" t="s">
        <v>591</v>
      </c>
      <c r="G752" s="168" t="s">
        <v>575</v>
      </c>
      <c r="H752">
        <v>0</v>
      </c>
    </row>
    <row r="753" spans="1:8" x14ac:dyDescent="0.3">
      <c r="A753">
        <v>70</v>
      </c>
      <c r="B753" s="168" t="s">
        <v>104</v>
      </c>
      <c r="C753" s="168" t="s">
        <v>105</v>
      </c>
      <c r="D753">
        <v>11351</v>
      </c>
      <c r="E753">
        <v>2021</v>
      </c>
      <c r="F753" s="168" t="s">
        <v>591</v>
      </c>
      <c r="G753" s="168" t="s">
        <v>576</v>
      </c>
      <c r="H753">
        <v>47442.429417768071</v>
      </c>
    </row>
    <row r="754" spans="1:8" x14ac:dyDescent="0.3">
      <c r="A754">
        <v>70</v>
      </c>
      <c r="B754" s="168" t="s">
        <v>104</v>
      </c>
      <c r="C754" s="168" t="s">
        <v>105</v>
      </c>
      <c r="D754">
        <v>11351</v>
      </c>
      <c r="E754">
        <v>2021</v>
      </c>
      <c r="F754" s="168" t="s">
        <v>591</v>
      </c>
      <c r="G754" s="168" t="s">
        <v>585</v>
      </c>
      <c r="H754">
        <v>428478.63117017527</v>
      </c>
    </row>
    <row r="755" spans="1:8" x14ac:dyDescent="0.3">
      <c r="A755">
        <v>70</v>
      </c>
      <c r="B755" s="168" t="s">
        <v>104</v>
      </c>
      <c r="C755" s="168" t="s">
        <v>105</v>
      </c>
      <c r="D755">
        <v>11351</v>
      </c>
      <c r="E755">
        <v>2021</v>
      </c>
      <c r="F755" s="168" t="s">
        <v>591</v>
      </c>
      <c r="G755" s="168" t="s">
        <v>586</v>
      </c>
      <c r="H755">
        <v>86968.307173501264</v>
      </c>
    </row>
    <row r="756" spans="1:8" x14ac:dyDescent="0.3">
      <c r="A756">
        <v>71</v>
      </c>
      <c r="B756" s="168" t="s">
        <v>106</v>
      </c>
      <c r="C756" s="168" t="s">
        <v>107</v>
      </c>
      <c r="D756">
        <v>8800.7000000000007</v>
      </c>
      <c r="E756">
        <v>2021</v>
      </c>
      <c r="F756" s="168" t="s">
        <v>591</v>
      </c>
      <c r="G756" s="168" t="s">
        <v>595</v>
      </c>
      <c r="H756">
        <v>0</v>
      </c>
    </row>
    <row r="757" spans="1:8" x14ac:dyDescent="0.3">
      <c r="A757">
        <v>71</v>
      </c>
      <c r="B757" s="168" t="s">
        <v>106</v>
      </c>
      <c r="C757" s="168" t="s">
        <v>107</v>
      </c>
      <c r="D757">
        <v>8800.7000000000007</v>
      </c>
      <c r="E757">
        <v>2021</v>
      </c>
      <c r="F757" s="168" t="s">
        <v>591</v>
      </c>
      <c r="G757" s="168" t="s">
        <v>560</v>
      </c>
      <c r="H757">
        <v>6545.454545454545</v>
      </c>
    </row>
    <row r="758" spans="1:8" x14ac:dyDescent="0.3">
      <c r="A758">
        <v>72</v>
      </c>
      <c r="B758" s="168" t="s">
        <v>108</v>
      </c>
      <c r="C758" s="168" t="s">
        <v>107</v>
      </c>
      <c r="D758">
        <v>6435.4</v>
      </c>
      <c r="E758">
        <v>2021</v>
      </c>
      <c r="F758" s="168" t="s">
        <v>591</v>
      </c>
      <c r="G758" s="168" t="s">
        <v>548</v>
      </c>
      <c r="H758">
        <v>3624657.46</v>
      </c>
    </row>
    <row r="759" spans="1:8" x14ac:dyDescent="0.3">
      <c r="A759">
        <v>72</v>
      </c>
      <c r="B759" s="168" t="s">
        <v>108</v>
      </c>
      <c r="C759" s="168" t="s">
        <v>107</v>
      </c>
      <c r="D759">
        <v>6435.4</v>
      </c>
      <c r="E759">
        <v>2021</v>
      </c>
      <c r="F759" s="168" t="s">
        <v>591</v>
      </c>
      <c r="G759" s="168" t="s">
        <v>549</v>
      </c>
      <c r="H759">
        <v>1553424.62</v>
      </c>
    </row>
    <row r="760" spans="1:8" x14ac:dyDescent="0.3">
      <c r="A760">
        <v>72</v>
      </c>
      <c r="B760" s="168" t="s">
        <v>108</v>
      </c>
      <c r="C760" s="168" t="s">
        <v>107</v>
      </c>
      <c r="D760">
        <v>6435.4</v>
      </c>
      <c r="E760">
        <v>2021</v>
      </c>
      <c r="F760" s="168" t="s">
        <v>591</v>
      </c>
      <c r="G760" s="168" t="s">
        <v>550</v>
      </c>
      <c r="H760">
        <v>479353.14279999997</v>
      </c>
    </row>
    <row r="761" spans="1:8" x14ac:dyDescent="0.3">
      <c r="A761">
        <v>72</v>
      </c>
      <c r="B761" s="168" t="s">
        <v>108</v>
      </c>
      <c r="C761" s="168" t="s">
        <v>107</v>
      </c>
      <c r="D761">
        <v>6435.4</v>
      </c>
      <c r="E761">
        <v>2021</v>
      </c>
      <c r="F761" s="168" t="s">
        <v>591</v>
      </c>
      <c r="G761" s="168" t="s">
        <v>551</v>
      </c>
      <c r="H761">
        <v>205437.06</v>
      </c>
    </row>
    <row r="762" spans="1:8" x14ac:dyDescent="0.3">
      <c r="A762">
        <v>72</v>
      </c>
      <c r="B762" s="168" t="s">
        <v>108</v>
      </c>
      <c r="C762" s="168" t="s">
        <v>107</v>
      </c>
      <c r="D762">
        <v>6435.4</v>
      </c>
      <c r="E762">
        <v>2021</v>
      </c>
      <c r="F762" s="168" t="s">
        <v>591</v>
      </c>
      <c r="G762" s="168" t="s">
        <v>598</v>
      </c>
      <c r="H762">
        <v>585621.39999999991</v>
      </c>
    </row>
    <row r="763" spans="1:8" x14ac:dyDescent="0.3">
      <c r="A763">
        <v>72</v>
      </c>
      <c r="B763" s="168" t="s">
        <v>108</v>
      </c>
      <c r="C763" s="168" t="s">
        <v>107</v>
      </c>
      <c r="D763">
        <v>6435.4</v>
      </c>
      <c r="E763">
        <v>2021</v>
      </c>
      <c r="F763" s="168" t="s">
        <v>591</v>
      </c>
      <c r="G763" s="168" t="s">
        <v>599</v>
      </c>
      <c r="H763">
        <v>250980.59999999998</v>
      </c>
    </row>
    <row r="764" spans="1:8" x14ac:dyDescent="0.3">
      <c r="A764">
        <v>72</v>
      </c>
      <c r="B764" s="168" t="s">
        <v>108</v>
      </c>
      <c r="C764" s="168" t="s">
        <v>107</v>
      </c>
      <c r="D764">
        <v>6435.4</v>
      </c>
      <c r="E764">
        <v>2021</v>
      </c>
      <c r="F764" s="168" t="s">
        <v>591</v>
      </c>
      <c r="G764" s="168" t="s">
        <v>556</v>
      </c>
      <c r="H764">
        <v>0</v>
      </c>
    </row>
    <row r="765" spans="1:8" x14ac:dyDescent="0.3">
      <c r="A765">
        <v>72</v>
      </c>
      <c r="B765" s="168" t="s">
        <v>108</v>
      </c>
      <c r="C765" s="168" t="s">
        <v>107</v>
      </c>
      <c r="D765">
        <v>6435.4</v>
      </c>
      <c r="E765">
        <v>2021</v>
      </c>
      <c r="F765" s="168" t="s">
        <v>591</v>
      </c>
      <c r="G765" s="168" t="s">
        <v>557</v>
      </c>
      <c r="H765">
        <v>10651.685393258427</v>
      </c>
    </row>
    <row r="766" spans="1:8" x14ac:dyDescent="0.3">
      <c r="A766">
        <v>72</v>
      </c>
      <c r="B766" s="168" t="s">
        <v>108</v>
      </c>
      <c r="C766" s="168" t="s">
        <v>107</v>
      </c>
      <c r="D766">
        <v>6435.4</v>
      </c>
      <c r="E766">
        <v>2021</v>
      </c>
      <c r="F766" s="168" t="s">
        <v>591</v>
      </c>
      <c r="G766" s="168" t="s">
        <v>558</v>
      </c>
      <c r="H766">
        <v>0</v>
      </c>
    </row>
    <row r="767" spans="1:8" x14ac:dyDescent="0.3">
      <c r="A767">
        <v>72</v>
      </c>
      <c r="B767" s="168" t="s">
        <v>108</v>
      </c>
      <c r="C767" s="168" t="s">
        <v>107</v>
      </c>
      <c r="D767">
        <v>6435.4</v>
      </c>
      <c r="E767">
        <v>2021</v>
      </c>
      <c r="F767" s="168" t="s">
        <v>591</v>
      </c>
      <c r="G767" s="168" t="s">
        <v>559</v>
      </c>
      <c r="H767">
        <v>79990</v>
      </c>
    </row>
    <row r="768" spans="1:8" x14ac:dyDescent="0.3">
      <c r="A768">
        <v>72</v>
      </c>
      <c r="B768" s="168" t="s">
        <v>108</v>
      </c>
      <c r="C768" s="168" t="s">
        <v>107</v>
      </c>
      <c r="D768">
        <v>6435.4</v>
      </c>
      <c r="E768">
        <v>2021</v>
      </c>
      <c r="F768" s="168" t="s">
        <v>591</v>
      </c>
      <c r="G768" s="168" t="s">
        <v>595</v>
      </c>
      <c r="H768">
        <v>0</v>
      </c>
    </row>
    <row r="769" spans="1:8" x14ac:dyDescent="0.3">
      <c r="A769">
        <v>72</v>
      </c>
      <c r="B769" s="168" t="s">
        <v>108</v>
      </c>
      <c r="C769" s="168" t="s">
        <v>107</v>
      </c>
      <c r="D769">
        <v>6435.4</v>
      </c>
      <c r="E769">
        <v>2021</v>
      </c>
      <c r="F769" s="168" t="s">
        <v>591</v>
      </c>
      <c r="G769" s="168" t="s">
        <v>560</v>
      </c>
      <c r="H769">
        <v>6545.454545454545</v>
      </c>
    </row>
    <row r="770" spans="1:8" x14ac:dyDescent="0.3">
      <c r="A770">
        <v>72</v>
      </c>
      <c r="B770" s="168" t="s">
        <v>108</v>
      </c>
      <c r="C770" s="168" t="s">
        <v>107</v>
      </c>
      <c r="D770">
        <v>6435.4</v>
      </c>
      <c r="E770">
        <v>2021</v>
      </c>
      <c r="F770" s="168" t="s">
        <v>591</v>
      </c>
      <c r="G770" s="168" t="s">
        <v>563</v>
      </c>
      <c r="H770">
        <v>19272.44291523303</v>
      </c>
    </row>
    <row r="771" spans="1:8" x14ac:dyDescent="0.3">
      <c r="A771">
        <v>72</v>
      </c>
      <c r="B771" s="168" t="s">
        <v>108</v>
      </c>
      <c r="C771" s="168" t="s">
        <v>107</v>
      </c>
      <c r="D771">
        <v>6435.4</v>
      </c>
      <c r="E771">
        <v>2021</v>
      </c>
      <c r="F771" s="168" t="s">
        <v>591</v>
      </c>
      <c r="G771" s="168" t="s">
        <v>564</v>
      </c>
      <c r="H771">
        <v>29859.599999999999</v>
      </c>
    </row>
    <row r="772" spans="1:8" x14ac:dyDescent="0.3">
      <c r="A772">
        <v>72</v>
      </c>
      <c r="B772" s="168" t="s">
        <v>108</v>
      </c>
      <c r="C772" s="168" t="s">
        <v>107</v>
      </c>
      <c r="D772">
        <v>6435.4</v>
      </c>
      <c r="E772">
        <v>2021</v>
      </c>
      <c r="F772" s="168" t="s">
        <v>591</v>
      </c>
      <c r="G772" s="168" t="s">
        <v>565</v>
      </c>
      <c r="H772">
        <v>48817.307692307702</v>
      </c>
    </row>
    <row r="773" spans="1:8" x14ac:dyDescent="0.3">
      <c r="A773">
        <v>72</v>
      </c>
      <c r="B773" s="168" t="s">
        <v>108</v>
      </c>
      <c r="C773" s="168" t="s">
        <v>107</v>
      </c>
      <c r="D773">
        <v>6435.4</v>
      </c>
      <c r="E773">
        <v>2021</v>
      </c>
      <c r="F773" s="168" t="s">
        <v>591</v>
      </c>
      <c r="G773" s="168" t="s">
        <v>566</v>
      </c>
      <c r="H773">
        <v>35510.391250000001</v>
      </c>
    </row>
    <row r="774" spans="1:8" x14ac:dyDescent="0.3">
      <c r="A774">
        <v>72</v>
      </c>
      <c r="B774" s="168" t="s">
        <v>108</v>
      </c>
      <c r="C774" s="168" t="s">
        <v>107</v>
      </c>
      <c r="D774">
        <v>6435.4</v>
      </c>
      <c r="E774">
        <v>2021</v>
      </c>
      <c r="F774" s="168" t="s">
        <v>591</v>
      </c>
      <c r="G774" s="168" t="s">
        <v>567</v>
      </c>
      <c r="H774">
        <v>0</v>
      </c>
    </row>
    <row r="775" spans="1:8" x14ac:dyDescent="0.3">
      <c r="A775">
        <v>72</v>
      </c>
      <c r="B775" s="168" t="s">
        <v>108</v>
      </c>
      <c r="C775" s="168" t="s">
        <v>107</v>
      </c>
      <c r="D775">
        <v>6435.4</v>
      </c>
      <c r="E775">
        <v>2021</v>
      </c>
      <c r="F775" s="168" t="s">
        <v>591</v>
      </c>
      <c r="G775" s="168" t="s">
        <v>568</v>
      </c>
      <c r="H775">
        <v>51464.1</v>
      </c>
    </row>
    <row r="776" spans="1:8" x14ac:dyDescent="0.3">
      <c r="A776">
        <v>72</v>
      </c>
      <c r="B776" s="168" t="s">
        <v>108</v>
      </c>
      <c r="C776" s="168" t="s">
        <v>107</v>
      </c>
      <c r="D776">
        <v>6435.4</v>
      </c>
      <c r="E776">
        <v>2021</v>
      </c>
      <c r="F776" s="168" t="s">
        <v>591</v>
      </c>
      <c r="G776" s="168" t="s">
        <v>600</v>
      </c>
      <c r="H776">
        <v>929545.78499999992</v>
      </c>
    </row>
    <row r="777" spans="1:8" x14ac:dyDescent="0.3">
      <c r="A777">
        <v>72</v>
      </c>
      <c r="B777" s="168" t="s">
        <v>108</v>
      </c>
      <c r="C777" s="168" t="s">
        <v>107</v>
      </c>
      <c r="D777">
        <v>6435.4</v>
      </c>
      <c r="E777">
        <v>2021</v>
      </c>
      <c r="F777" s="168" t="s">
        <v>591</v>
      </c>
      <c r="G777" s="168" t="s">
        <v>601</v>
      </c>
      <c r="H777">
        <v>398376.76500000001</v>
      </c>
    </row>
    <row r="778" spans="1:8" x14ac:dyDescent="0.3">
      <c r="A778">
        <v>72</v>
      </c>
      <c r="B778" s="168" t="s">
        <v>108</v>
      </c>
      <c r="C778" s="168" t="s">
        <v>107</v>
      </c>
      <c r="D778">
        <v>6435.4</v>
      </c>
      <c r="E778">
        <v>2021</v>
      </c>
      <c r="F778" s="168" t="s">
        <v>591</v>
      </c>
      <c r="G778" s="168" t="s">
        <v>575</v>
      </c>
      <c r="H778">
        <v>0</v>
      </c>
    </row>
    <row r="779" spans="1:8" x14ac:dyDescent="0.3">
      <c r="A779">
        <v>72</v>
      </c>
      <c r="B779" s="168" t="s">
        <v>108</v>
      </c>
      <c r="C779" s="168" t="s">
        <v>107</v>
      </c>
      <c r="D779">
        <v>6435.4</v>
      </c>
      <c r="E779">
        <v>2021</v>
      </c>
      <c r="F779" s="168" t="s">
        <v>591</v>
      </c>
      <c r="G779" s="168" t="s">
        <v>576</v>
      </c>
      <c r="H779">
        <v>26897.278678099257</v>
      </c>
    </row>
    <row r="780" spans="1:8" x14ac:dyDescent="0.3">
      <c r="A780">
        <v>72</v>
      </c>
      <c r="B780" s="168" t="s">
        <v>108</v>
      </c>
      <c r="C780" s="168" t="s">
        <v>107</v>
      </c>
      <c r="D780">
        <v>6435.4</v>
      </c>
      <c r="E780">
        <v>2021</v>
      </c>
      <c r="F780" s="168" t="s">
        <v>591</v>
      </c>
      <c r="G780" s="168" t="s">
        <v>585</v>
      </c>
      <c r="H780">
        <v>456040.13279813901</v>
      </c>
    </row>
    <row r="781" spans="1:8" x14ac:dyDescent="0.3">
      <c r="A781">
        <v>72</v>
      </c>
      <c r="B781" s="168" t="s">
        <v>108</v>
      </c>
      <c r="C781" s="168" t="s">
        <v>107</v>
      </c>
      <c r="D781">
        <v>6435.4</v>
      </c>
      <c r="E781">
        <v>2021</v>
      </c>
      <c r="F781" s="168" t="s">
        <v>591</v>
      </c>
      <c r="G781" s="168" t="s">
        <v>586</v>
      </c>
      <c r="H781">
        <v>185949.20366143071</v>
      </c>
    </row>
    <row r="782" spans="1:8" x14ac:dyDescent="0.3">
      <c r="A782">
        <v>73</v>
      </c>
      <c r="B782" s="168" t="s">
        <v>109</v>
      </c>
      <c r="C782" s="168" t="s">
        <v>110</v>
      </c>
      <c r="D782">
        <v>6896.7</v>
      </c>
      <c r="E782">
        <v>2021</v>
      </c>
      <c r="F782" s="168" t="s">
        <v>593</v>
      </c>
      <c r="G782" s="168" t="s">
        <v>549</v>
      </c>
      <c r="H782">
        <v>5178082.08</v>
      </c>
    </row>
    <row r="783" spans="1:8" x14ac:dyDescent="0.3">
      <c r="A783">
        <v>73</v>
      </c>
      <c r="B783" s="168" t="s">
        <v>109</v>
      </c>
      <c r="C783" s="168" t="s">
        <v>110</v>
      </c>
      <c r="D783">
        <v>6896.7</v>
      </c>
      <c r="E783">
        <v>2021</v>
      </c>
      <c r="F783" s="168" t="s">
        <v>593</v>
      </c>
      <c r="G783" s="168" t="s">
        <v>551</v>
      </c>
      <c r="H783">
        <v>83532.38</v>
      </c>
    </row>
    <row r="784" spans="1:8" x14ac:dyDescent="0.3">
      <c r="A784">
        <v>73</v>
      </c>
      <c r="B784" s="168" t="s">
        <v>109</v>
      </c>
      <c r="C784" s="168" t="s">
        <v>110</v>
      </c>
      <c r="D784">
        <v>6896.7</v>
      </c>
      <c r="E784">
        <v>2021</v>
      </c>
      <c r="F784" s="168" t="s">
        <v>593</v>
      </c>
      <c r="G784" s="168" t="s">
        <v>554</v>
      </c>
      <c r="H784">
        <v>13793.5</v>
      </c>
    </row>
    <row r="785" spans="1:8" x14ac:dyDescent="0.3">
      <c r="A785">
        <v>73</v>
      </c>
      <c r="B785" s="168" t="s">
        <v>109</v>
      </c>
      <c r="C785" s="168" t="s">
        <v>110</v>
      </c>
      <c r="D785">
        <v>6896.7</v>
      </c>
      <c r="E785">
        <v>2021</v>
      </c>
      <c r="F785" s="168" t="s">
        <v>593</v>
      </c>
      <c r="G785" s="168" t="s">
        <v>555</v>
      </c>
      <c r="H785">
        <v>13793.5</v>
      </c>
    </row>
    <row r="786" spans="1:8" x14ac:dyDescent="0.3">
      <c r="A786">
        <v>73</v>
      </c>
      <c r="B786" s="168" t="s">
        <v>109</v>
      </c>
      <c r="C786" s="168" t="s">
        <v>110</v>
      </c>
      <c r="D786">
        <v>6896.7</v>
      </c>
      <c r="E786">
        <v>2021</v>
      </c>
      <c r="F786" s="168" t="s">
        <v>593</v>
      </c>
      <c r="G786" s="168" t="s">
        <v>556</v>
      </c>
      <c r="H786">
        <v>0</v>
      </c>
    </row>
    <row r="787" spans="1:8" x14ac:dyDescent="0.3">
      <c r="A787">
        <v>73</v>
      </c>
      <c r="B787" s="168" t="s">
        <v>109</v>
      </c>
      <c r="C787" s="168" t="s">
        <v>110</v>
      </c>
      <c r="D787">
        <v>6896.7</v>
      </c>
      <c r="E787">
        <v>2021</v>
      </c>
      <c r="F787" s="168" t="s">
        <v>593</v>
      </c>
      <c r="G787" s="168" t="s">
        <v>557</v>
      </c>
      <c r="H787">
        <v>5325.8426966292136</v>
      </c>
    </row>
    <row r="788" spans="1:8" x14ac:dyDescent="0.3">
      <c r="A788">
        <v>73</v>
      </c>
      <c r="B788" s="168" t="s">
        <v>109</v>
      </c>
      <c r="C788" s="168" t="s">
        <v>110</v>
      </c>
      <c r="D788">
        <v>6896.7</v>
      </c>
      <c r="E788">
        <v>2021</v>
      </c>
      <c r="F788" s="168" t="s">
        <v>593</v>
      </c>
      <c r="G788" s="168" t="s">
        <v>595</v>
      </c>
      <c r="H788">
        <v>0</v>
      </c>
    </row>
    <row r="789" spans="1:8" x14ac:dyDescent="0.3">
      <c r="A789">
        <v>73</v>
      </c>
      <c r="B789" s="168" t="s">
        <v>109</v>
      </c>
      <c r="C789" s="168" t="s">
        <v>110</v>
      </c>
      <c r="D789">
        <v>6896.7</v>
      </c>
      <c r="E789">
        <v>2021</v>
      </c>
      <c r="F789" s="168" t="s">
        <v>593</v>
      </c>
      <c r="G789" s="168" t="s">
        <v>560</v>
      </c>
      <c r="H789">
        <v>6545.454545454545</v>
      </c>
    </row>
    <row r="790" spans="1:8" x14ac:dyDescent="0.3">
      <c r="A790">
        <v>73</v>
      </c>
      <c r="B790" s="168" t="s">
        <v>109</v>
      </c>
      <c r="C790" s="168" t="s">
        <v>110</v>
      </c>
      <c r="D790">
        <v>6896.7</v>
      </c>
      <c r="E790">
        <v>2021</v>
      </c>
      <c r="F790" s="168" t="s">
        <v>593</v>
      </c>
      <c r="G790" s="168" t="s">
        <v>561</v>
      </c>
      <c r="H790">
        <v>76952.529032258055</v>
      </c>
    </row>
    <row r="791" spans="1:8" x14ac:dyDescent="0.3">
      <c r="A791">
        <v>73</v>
      </c>
      <c r="B791" s="168" t="s">
        <v>109</v>
      </c>
      <c r="C791" s="168" t="s">
        <v>110</v>
      </c>
      <c r="D791">
        <v>6896.7</v>
      </c>
      <c r="E791">
        <v>2021</v>
      </c>
      <c r="F791" s="168" t="s">
        <v>593</v>
      </c>
      <c r="G791" s="168" t="s">
        <v>562</v>
      </c>
      <c r="H791">
        <v>0</v>
      </c>
    </row>
    <row r="792" spans="1:8" x14ac:dyDescent="0.3">
      <c r="A792">
        <v>73</v>
      </c>
      <c r="B792" s="168" t="s">
        <v>109</v>
      </c>
      <c r="C792" s="168" t="s">
        <v>110</v>
      </c>
      <c r="D792">
        <v>6896.7</v>
      </c>
      <c r="E792">
        <v>2021</v>
      </c>
      <c r="F792" s="168" t="s">
        <v>593</v>
      </c>
      <c r="G792" s="168" t="s">
        <v>563</v>
      </c>
      <c r="H792">
        <v>0</v>
      </c>
    </row>
    <row r="793" spans="1:8" x14ac:dyDescent="0.3">
      <c r="A793">
        <v>73</v>
      </c>
      <c r="B793" s="168" t="s">
        <v>109</v>
      </c>
      <c r="C793" s="168" t="s">
        <v>110</v>
      </c>
      <c r="D793">
        <v>6896.7</v>
      </c>
      <c r="E793">
        <v>2021</v>
      </c>
      <c r="F793" s="168" t="s">
        <v>593</v>
      </c>
      <c r="G793" s="168" t="s">
        <v>564</v>
      </c>
      <c r="H793">
        <v>8814.1592920353978</v>
      </c>
    </row>
    <row r="794" spans="1:8" x14ac:dyDescent="0.3">
      <c r="A794">
        <v>73</v>
      </c>
      <c r="B794" s="168" t="s">
        <v>109</v>
      </c>
      <c r="C794" s="168" t="s">
        <v>110</v>
      </c>
      <c r="D794">
        <v>6896.7</v>
      </c>
      <c r="E794">
        <v>2021</v>
      </c>
      <c r="F794" s="168" t="s">
        <v>593</v>
      </c>
      <c r="G794" s="168" t="s">
        <v>571</v>
      </c>
      <c r="H794">
        <v>0</v>
      </c>
    </row>
    <row r="795" spans="1:8" x14ac:dyDescent="0.3">
      <c r="A795">
        <v>73</v>
      </c>
      <c r="B795" s="168" t="s">
        <v>109</v>
      </c>
      <c r="C795" s="168" t="s">
        <v>110</v>
      </c>
      <c r="D795">
        <v>6896.7</v>
      </c>
      <c r="E795">
        <v>2021</v>
      </c>
      <c r="F795" s="168" t="s">
        <v>593</v>
      </c>
      <c r="G795" s="168" t="s">
        <v>572</v>
      </c>
      <c r="H795">
        <v>7536.5853658536589</v>
      </c>
    </row>
    <row r="796" spans="1:8" x14ac:dyDescent="0.3">
      <c r="A796">
        <v>73</v>
      </c>
      <c r="B796" s="168" t="s">
        <v>109</v>
      </c>
      <c r="C796" s="168" t="s">
        <v>110</v>
      </c>
      <c r="D796">
        <v>6896.7</v>
      </c>
      <c r="E796">
        <v>2021</v>
      </c>
      <c r="F796" s="168" t="s">
        <v>593</v>
      </c>
      <c r="G796" s="168" t="s">
        <v>600</v>
      </c>
      <c r="H796">
        <v>1044065</v>
      </c>
    </row>
    <row r="797" spans="1:8" x14ac:dyDescent="0.3">
      <c r="A797">
        <v>73</v>
      </c>
      <c r="B797" s="168" t="s">
        <v>109</v>
      </c>
      <c r="C797" s="168" t="s">
        <v>110</v>
      </c>
      <c r="D797">
        <v>6896.7</v>
      </c>
      <c r="E797">
        <v>2021</v>
      </c>
      <c r="F797" s="168" t="s">
        <v>593</v>
      </c>
      <c r="G797" s="168" t="s">
        <v>601</v>
      </c>
      <c r="H797">
        <v>1044065</v>
      </c>
    </row>
    <row r="798" spans="1:8" x14ac:dyDescent="0.3">
      <c r="A798">
        <v>73</v>
      </c>
      <c r="B798" s="168" t="s">
        <v>109</v>
      </c>
      <c r="C798" s="168" t="s">
        <v>110</v>
      </c>
      <c r="D798">
        <v>6896.7</v>
      </c>
      <c r="E798">
        <v>2021</v>
      </c>
      <c r="F798" s="168" t="s">
        <v>593</v>
      </c>
      <c r="G798" s="168" t="s">
        <v>578</v>
      </c>
      <c r="H798">
        <v>4545786</v>
      </c>
    </row>
    <row r="799" spans="1:8" x14ac:dyDescent="0.3">
      <c r="A799">
        <v>73</v>
      </c>
      <c r="B799" s="168" t="s">
        <v>109</v>
      </c>
      <c r="C799" s="168" t="s">
        <v>110</v>
      </c>
      <c r="D799">
        <v>6896.7</v>
      </c>
      <c r="E799">
        <v>2021</v>
      </c>
      <c r="F799" s="168" t="s">
        <v>593</v>
      </c>
      <c r="G799" s="168" t="s">
        <v>585</v>
      </c>
      <c r="H799">
        <v>488729.83557648701</v>
      </c>
    </row>
    <row r="800" spans="1:8" x14ac:dyDescent="0.3">
      <c r="A800">
        <v>73</v>
      </c>
      <c r="B800" s="168" t="s">
        <v>109</v>
      </c>
      <c r="C800" s="168" t="s">
        <v>110</v>
      </c>
      <c r="D800">
        <v>6896.7</v>
      </c>
      <c r="E800">
        <v>2021</v>
      </c>
      <c r="F800" s="168" t="s">
        <v>593</v>
      </c>
      <c r="G800" s="168" t="s">
        <v>586</v>
      </c>
      <c r="H800">
        <v>669901.57999999996</v>
      </c>
    </row>
    <row r="801" spans="1:8" x14ac:dyDescent="0.3">
      <c r="A801">
        <v>75</v>
      </c>
      <c r="B801" s="168" t="s">
        <v>113</v>
      </c>
      <c r="C801" s="168" t="s">
        <v>114</v>
      </c>
      <c r="D801">
        <v>3455.5</v>
      </c>
      <c r="E801">
        <v>2021</v>
      </c>
      <c r="F801" s="168" t="s">
        <v>593</v>
      </c>
      <c r="G801" s="168" t="s">
        <v>549</v>
      </c>
      <c r="H801">
        <v>1294520.52</v>
      </c>
    </row>
    <row r="802" spans="1:8" x14ac:dyDescent="0.3">
      <c r="A802">
        <v>75</v>
      </c>
      <c r="B802" s="168" t="s">
        <v>113</v>
      </c>
      <c r="C802" s="168" t="s">
        <v>114</v>
      </c>
      <c r="D802">
        <v>3455.5</v>
      </c>
      <c r="E802">
        <v>2021</v>
      </c>
      <c r="F802" s="168" t="s">
        <v>593</v>
      </c>
      <c r="G802" s="168" t="s">
        <v>550</v>
      </c>
      <c r="H802">
        <v>0</v>
      </c>
    </row>
    <row r="803" spans="1:8" x14ac:dyDescent="0.3">
      <c r="A803">
        <v>75</v>
      </c>
      <c r="B803" s="168" t="s">
        <v>113</v>
      </c>
      <c r="C803" s="168" t="s">
        <v>114</v>
      </c>
      <c r="D803">
        <v>3455.5</v>
      </c>
      <c r="E803">
        <v>2021</v>
      </c>
      <c r="F803" s="168" t="s">
        <v>593</v>
      </c>
      <c r="G803" s="168" t="s">
        <v>551</v>
      </c>
      <c r="H803">
        <v>8330</v>
      </c>
    </row>
    <row r="804" spans="1:8" x14ac:dyDescent="0.3">
      <c r="A804">
        <v>75</v>
      </c>
      <c r="B804" s="168" t="s">
        <v>113</v>
      </c>
      <c r="C804" s="168" t="s">
        <v>114</v>
      </c>
      <c r="D804">
        <v>3455.5</v>
      </c>
      <c r="E804">
        <v>2021</v>
      </c>
      <c r="F804" s="168" t="s">
        <v>593</v>
      </c>
      <c r="G804" s="168" t="s">
        <v>598</v>
      </c>
      <c r="H804">
        <v>0</v>
      </c>
    </row>
    <row r="805" spans="1:8" x14ac:dyDescent="0.3">
      <c r="A805">
        <v>75</v>
      </c>
      <c r="B805" s="168" t="s">
        <v>113</v>
      </c>
      <c r="C805" s="168" t="s">
        <v>114</v>
      </c>
      <c r="D805">
        <v>3455.5</v>
      </c>
      <c r="E805">
        <v>2021</v>
      </c>
      <c r="F805" s="168" t="s">
        <v>593</v>
      </c>
      <c r="G805" s="168" t="s">
        <v>599</v>
      </c>
      <c r="H805">
        <v>757500</v>
      </c>
    </row>
    <row r="806" spans="1:8" x14ac:dyDescent="0.3">
      <c r="A806">
        <v>75</v>
      </c>
      <c r="B806" s="168" t="s">
        <v>113</v>
      </c>
      <c r="C806" s="168" t="s">
        <v>114</v>
      </c>
      <c r="D806">
        <v>3455.5</v>
      </c>
      <c r="E806">
        <v>2021</v>
      </c>
      <c r="F806" s="168" t="s">
        <v>593</v>
      </c>
      <c r="G806" s="168" t="s">
        <v>554</v>
      </c>
      <c r="H806">
        <v>6911</v>
      </c>
    </row>
    <row r="807" spans="1:8" x14ac:dyDescent="0.3">
      <c r="A807">
        <v>75</v>
      </c>
      <c r="B807" s="168" t="s">
        <v>113</v>
      </c>
      <c r="C807" s="168" t="s">
        <v>114</v>
      </c>
      <c r="D807">
        <v>3455.5</v>
      </c>
      <c r="E807">
        <v>2021</v>
      </c>
      <c r="F807" s="168" t="s">
        <v>593</v>
      </c>
      <c r="G807" s="168" t="s">
        <v>555</v>
      </c>
      <c r="H807">
        <v>6911</v>
      </c>
    </row>
    <row r="808" spans="1:8" x14ac:dyDescent="0.3">
      <c r="A808">
        <v>75</v>
      </c>
      <c r="B808" s="168" t="s">
        <v>113</v>
      </c>
      <c r="C808" s="168" t="s">
        <v>114</v>
      </c>
      <c r="D808">
        <v>3455.5</v>
      </c>
      <c r="E808">
        <v>2021</v>
      </c>
      <c r="F808" s="168" t="s">
        <v>593</v>
      </c>
      <c r="G808" s="168" t="s">
        <v>556</v>
      </c>
      <c r="H808">
        <v>0</v>
      </c>
    </row>
    <row r="809" spans="1:8" x14ac:dyDescent="0.3">
      <c r="A809">
        <v>75</v>
      </c>
      <c r="B809" s="168" t="s">
        <v>113</v>
      </c>
      <c r="C809" s="168" t="s">
        <v>114</v>
      </c>
      <c r="D809">
        <v>3455.5</v>
      </c>
      <c r="E809">
        <v>2021</v>
      </c>
      <c r="F809" s="168" t="s">
        <v>593</v>
      </c>
      <c r="G809" s="168" t="s">
        <v>557</v>
      </c>
      <c r="H809">
        <v>198000</v>
      </c>
    </row>
    <row r="810" spans="1:8" x14ac:dyDescent="0.3">
      <c r="A810">
        <v>75</v>
      </c>
      <c r="B810" s="168" t="s">
        <v>113</v>
      </c>
      <c r="C810" s="168" t="s">
        <v>114</v>
      </c>
      <c r="D810">
        <v>3455.5</v>
      </c>
      <c r="E810">
        <v>2021</v>
      </c>
      <c r="F810" s="168" t="s">
        <v>593</v>
      </c>
      <c r="G810" s="168" t="s">
        <v>595</v>
      </c>
      <c r="H810">
        <v>0</v>
      </c>
    </row>
    <row r="811" spans="1:8" x14ac:dyDescent="0.3">
      <c r="A811">
        <v>75</v>
      </c>
      <c r="B811" s="168" t="s">
        <v>113</v>
      </c>
      <c r="C811" s="168" t="s">
        <v>114</v>
      </c>
      <c r="D811">
        <v>3455.5</v>
      </c>
      <c r="E811">
        <v>2021</v>
      </c>
      <c r="F811" s="168" t="s">
        <v>593</v>
      </c>
      <c r="G811" s="168" t="s">
        <v>560</v>
      </c>
      <c r="H811">
        <v>3272.7272727272725</v>
      </c>
    </row>
    <row r="812" spans="1:8" x14ac:dyDescent="0.3">
      <c r="A812">
        <v>75</v>
      </c>
      <c r="B812" s="168" t="s">
        <v>113</v>
      </c>
      <c r="C812" s="168" t="s">
        <v>114</v>
      </c>
      <c r="D812">
        <v>3455.5</v>
      </c>
      <c r="E812">
        <v>2021</v>
      </c>
      <c r="F812" s="168" t="s">
        <v>593</v>
      </c>
      <c r="G812" s="168" t="s">
        <v>561</v>
      </c>
      <c r="H812">
        <v>76952.529032258055</v>
      </c>
    </row>
    <row r="813" spans="1:8" x14ac:dyDescent="0.3">
      <c r="A813">
        <v>75</v>
      </c>
      <c r="B813" s="168" t="s">
        <v>113</v>
      </c>
      <c r="C813" s="168" t="s">
        <v>114</v>
      </c>
      <c r="D813">
        <v>3455.5</v>
      </c>
      <c r="E813">
        <v>2021</v>
      </c>
      <c r="F813" s="168" t="s">
        <v>593</v>
      </c>
      <c r="G813" s="168" t="s">
        <v>562</v>
      </c>
      <c r="H813">
        <v>0</v>
      </c>
    </row>
    <row r="814" spans="1:8" x14ac:dyDescent="0.3">
      <c r="A814">
        <v>75</v>
      </c>
      <c r="B814" s="168" t="s">
        <v>113</v>
      </c>
      <c r="C814" s="168" t="s">
        <v>114</v>
      </c>
      <c r="D814">
        <v>3455.5</v>
      </c>
      <c r="E814">
        <v>2021</v>
      </c>
      <c r="F814" s="168" t="s">
        <v>593</v>
      </c>
      <c r="G814" s="168" t="s">
        <v>567</v>
      </c>
      <c r="H814">
        <v>0</v>
      </c>
    </row>
    <row r="815" spans="1:8" x14ac:dyDescent="0.3">
      <c r="A815">
        <v>75</v>
      </c>
      <c r="B815" s="168" t="s">
        <v>113</v>
      </c>
      <c r="C815" s="168" t="s">
        <v>114</v>
      </c>
      <c r="D815">
        <v>3455.5</v>
      </c>
      <c r="E815">
        <v>2021</v>
      </c>
      <c r="F815" s="168" t="s">
        <v>593</v>
      </c>
      <c r="G815" s="168" t="s">
        <v>568</v>
      </c>
      <c r="H815">
        <v>1000000</v>
      </c>
    </row>
    <row r="816" spans="1:8" x14ac:dyDescent="0.3">
      <c r="A816">
        <v>75</v>
      </c>
      <c r="B816" s="168" t="s">
        <v>113</v>
      </c>
      <c r="C816" s="168" t="s">
        <v>114</v>
      </c>
      <c r="D816">
        <v>3455.5</v>
      </c>
      <c r="E816">
        <v>2021</v>
      </c>
      <c r="F816" s="168" t="s">
        <v>593</v>
      </c>
      <c r="G816" s="168" t="s">
        <v>600</v>
      </c>
      <c r="H816">
        <v>522032</v>
      </c>
    </row>
    <row r="817" spans="1:8" x14ac:dyDescent="0.3">
      <c r="A817">
        <v>75</v>
      </c>
      <c r="B817" s="168" t="s">
        <v>113</v>
      </c>
      <c r="C817" s="168" t="s">
        <v>114</v>
      </c>
      <c r="D817">
        <v>3455.5</v>
      </c>
      <c r="E817">
        <v>2021</v>
      </c>
      <c r="F817" s="168" t="s">
        <v>593</v>
      </c>
      <c r="G817" s="168" t="s">
        <v>601</v>
      </c>
      <c r="H817">
        <v>522032</v>
      </c>
    </row>
    <row r="818" spans="1:8" x14ac:dyDescent="0.3">
      <c r="A818">
        <v>75</v>
      </c>
      <c r="B818" s="168" t="s">
        <v>113</v>
      </c>
      <c r="C818" s="168" t="s">
        <v>114</v>
      </c>
      <c r="D818">
        <v>3455.5</v>
      </c>
      <c r="E818">
        <v>2021</v>
      </c>
      <c r="F818" s="168" t="s">
        <v>593</v>
      </c>
      <c r="G818" s="168" t="s">
        <v>577</v>
      </c>
      <c r="H818">
        <v>4277661.5999999996</v>
      </c>
    </row>
    <row r="819" spans="1:8" x14ac:dyDescent="0.3">
      <c r="A819">
        <v>75</v>
      </c>
      <c r="B819" s="168" t="s">
        <v>113</v>
      </c>
      <c r="C819" s="168" t="s">
        <v>114</v>
      </c>
      <c r="D819">
        <v>3455.5</v>
      </c>
      <c r="E819">
        <v>2021</v>
      </c>
      <c r="F819" s="168" t="s">
        <v>593</v>
      </c>
      <c r="G819" s="168" t="s">
        <v>578</v>
      </c>
      <c r="H819">
        <v>6522241.5999999996</v>
      </c>
    </row>
    <row r="820" spans="1:8" x14ac:dyDescent="0.3">
      <c r="A820">
        <v>75</v>
      </c>
      <c r="B820" s="168" t="s">
        <v>113</v>
      </c>
      <c r="C820" s="168" t="s">
        <v>114</v>
      </c>
      <c r="D820">
        <v>3455.5</v>
      </c>
      <c r="E820">
        <v>2021</v>
      </c>
      <c r="F820" s="168" t="s">
        <v>593</v>
      </c>
      <c r="G820" s="168" t="s">
        <v>583</v>
      </c>
      <c r="H820">
        <v>0</v>
      </c>
    </row>
    <row r="821" spans="1:8" x14ac:dyDescent="0.3">
      <c r="A821">
        <v>75</v>
      </c>
      <c r="B821" s="168" t="s">
        <v>113</v>
      </c>
      <c r="C821" s="168" t="s">
        <v>114</v>
      </c>
      <c r="D821">
        <v>3455.5</v>
      </c>
      <c r="E821">
        <v>2021</v>
      </c>
      <c r="F821" s="168" t="s">
        <v>593</v>
      </c>
      <c r="G821" s="168" t="s">
        <v>584</v>
      </c>
      <c r="H821">
        <v>1670000</v>
      </c>
    </row>
    <row r="822" spans="1:8" x14ac:dyDescent="0.3">
      <c r="A822">
        <v>75</v>
      </c>
      <c r="B822" s="168" t="s">
        <v>113</v>
      </c>
      <c r="C822" s="168" t="s">
        <v>114</v>
      </c>
      <c r="D822">
        <v>3455.5</v>
      </c>
      <c r="E822">
        <v>2021</v>
      </c>
      <c r="F822" s="168" t="s">
        <v>593</v>
      </c>
      <c r="G822" s="168" t="s">
        <v>585</v>
      </c>
      <c r="H822">
        <v>130438.543741392</v>
      </c>
    </row>
    <row r="823" spans="1:8" x14ac:dyDescent="0.3">
      <c r="A823">
        <v>75</v>
      </c>
      <c r="B823" s="168" t="s">
        <v>113</v>
      </c>
      <c r="C823" s="168" t="s">
        <v>114</v>
      </c>
      <c r="D823">
        <v>3455.5</v>
      </c>
      <c r="E823">
        <v>2021</v>
      </c>
      <c r="F823" s="168" t="s">
        <v>593</v>
      </c>
      <c r="G823" s="168" t="s">
        <v>586</v>
      </c>
      <c r="H823">
        <v>415223</v>
      </c>
    </row>
    <row r="824" spans="1:8" x14ac:dyDescent="0.3">
      <c r="A824">
        <v>76</v>
      </c>
      <c r="B824" s="168" t="s">
        <v>115</v>
      </c>
      <c r="C824" s="168" t="s">
        <v>116</v>
      </c>
      <c r="D824">
        <v>2482.1</v>
      </c>
      <c r="E824">
        <v>2021</v>
      </c>
      <c r="F824" s="168" t="s">
        <v>593</v>
      </c>
      <c r="G824" s="168" t="s">
        <v>549</v>
      </c>
      <c r="H824">
        <v>1294520.52</v>
      </c>
    </row>
    <row r="825" spans="1:8" x14ac:dyDescent="0.3">
      <c r="A825">
        <v>76</v>
      </c>
      <c r="B825" s="168" t="s">
        <v>115</v>
      </c>
      <c r="C825" s="168" t="s">
        <v>116</v>
      </c>
      <c r="D825">
        <v>2482.1</v>
      </c>
      <c r="E825">
        <v>2021</v>
      </c>
      <c r="F825" s="168" t="s">
        <v>593</v>
      </c>
      <c r="G825" s="168" t="s">
        <v>550</v>
      </c>
      <c r="H825">
        <v>0</v>
      </c>
    </row>
    <row r="826" spans="1:8" x14ac:dyDescent="0.3">
      <c r="A826">
        <v>76</v>
      </c>
      <c r="B826" s="168" t="s">
        <v>115</v>
      </c>
      <c r="C826" s="168" t="s">
        <v>116</v>
      </c>
      <c r="D826">
        <v>2482.1</v>
      </c>
      <c r="E826">
        <v>2021</v>
      </c>
      <c r="F826" s="168" t="s">
        <v>593</v>
      </c>
      <c r="G826" s="168" t="s">
        <v>551</v>
      </c>
      <c r="H826">
        <v>8330</v>
      </c>
    </row>
    <row r="827" spans="1:8" x14ac:dyDescent="0.3">
      <c r="A827">
        <v>76</v>
      </c>
      <c r="B827" s="168" t="s">
        <v>115</v>
      </c>
      <c r="C827" s="168" t="s">
        <v>116</v>
      </c>
      <c r="D827">
        <v>2482.1</v>
      </c>
      <c r="E827">
        <v>2021</v>
      </c>
      <c r="F827" s="168" t="s">
        <v>593</v>
      </c>
      <c r="G827" s="168" t="s">
        <v>598</v>
      </c>
      <c r="H827">
        <v>0</v>
      </c>
    </row>
    <row r="828" spans="1:8" x14ac:dyDescent="0.3">
      <c r="A828">
        <v>76</v>
      </c>
      <c r="B828" s="168" t="s">
        <v>115</v>
      </c>
      <c r="C828" s="168" t="s">
        <v>116</v>
      </c>
      <c r="D828">
        <v>2482.1</v>
      </c>
      <c r="E828">
        <v>2021</v>
      </c>
      <c r="F828" s="168" t="s">
        <v>593</v>
      </c>
      <c r="G828" s="168" t="s">
        <v>599</v>
      </c>
      <c r="H828">
        <v>548535</v>
      </c>
    </row>
    <row r="829" spans="1:8" x14ac:dyDescent="0.3">
      <c r="A829">
        <v>76</v>
      </c>
      <c r="B829" s="168" t="s">
        <v>115</v>
      </c>
      <c r="C829" s="168" t="s">
        <v>116</v>
      </c>
      <c r="D829">
        <v>2482.1</v>
      </c>
      <c r="E829">
        <v>2021</v>
      </c>
      <c r="F829" s="168" t="s">
        <v>593</v>
      </c>
      <c r="G829" s="168" t="s">
        <v>554</v>
      </c>
      <c r="H829">
        <v>4964</v>
      </c>
    </row>
    <row r="830" spans="1:8" x14ac:dyDescent="0.3">
      <c r="A830">
        <v>76</v>
      </c>
      <c r="B830" s="168" t="s">
        <v>115</v>
      </c>
      <c r="C830" s="168" t="s">
        <v>116</v>
      </c>
      <c r="D830">
        <v>2482.1</v>
      </c>
      <c r="E830">
        <v>2021</v>
      </c>
      <c r="F830" s="168" t="s">
        <v>593</v>
      </c>
      <c r="G830" s="168" t="s">
        <v>555</v>
      </c>
      <c r="H830">
        <v>4964</v>
      </c>
    </row>
    <row r="831" spans="1:8" x14ac:dyDescent="0.3">
      <c r="A831">
        <v>76</v>
      </c>
      <c r="B831" s="168" t="s">
        <v>115</v>
      </c>
      <c r="C831" s="168" t="s">
        <v>116</v>
      </c>
      <c r="D831">
        <v>2482.1</v>
      </c>
      <c r="E831">
        <v>2021</v>
      </c>
      <c r="F831" s="168" t="s">
        <v>593</v>
      </c>
      <c r="G831" s="168" t="s">
        <v>556</v>
      </c>
      <c r="H831">
        <v>0</v>
      </c>
    </row>
    <row r="832" spans="1:8" x14ac:dyDescent="0.3">
      <c r="A832">
        <v>76</v>
      </c>
      <c r="B832" s="168" t="s">
        <v>115</v>
      </c>
      <c r="C832" s="168" t="s">
        <v>116</v>
      </c>
      <c r="D832">
        <v>2482.1</v>
      </c>
      <c r="E832">
        <v>2021</v>
      </c>
      <c r="F832" s="168" t="s">
        <v>593</v>
      </c>
      <c r="G832" s="168" t="s">
        <v>557</v>
      </c>
      <c r="H832">
        <v>198000</v>
      </c>
    </row>
    <row r="833" spans="1:8" x14ac:dyDescent="0.3">
      <c r="A833">
        <v>76</v>
      </c>
      <c r="B833" s="168" t="s">
        <v>115</v>
      </c>
      <c r="C833" s="168" t="s">
        <v>116</v>
      </c>
      <c r="D833">
        <v>2482.1</v>
      </c>
      <c r="E833">
        <v>2021</v>
      </c>
      <c r="F833" s="168" t="s">
        <v>593</v>
      </c>
      <c r="G833" s="168" t="s">
        <v>595</v>
      </c>
      <c r="H833">
        <v>0</v>
      </c>
    </row>
    <row r="834" spans="1:8" x14ac:dyDescent="0.3">
      <c r="A834">
        <v>76</v>
      </c>
      <c r="B834" s="168" t="s">
        <v>115</v>
      </c>
      <c r="C834" s="168" t="s">
        <v>116</v>
      </c>
      <c r="D834">
        <v>2482.1</v>
      </c>
      <c r="E834">
        <v>2021</v>
      </c>
      <c r="F834" s="168" t="s">
        <v>593</v>
      </c>
      <c r="G834" s="168" t="s">
        <v>560</v>
      </c>
      <c r="H834">
        <v>3272.7272727272725</v>
      </c>
    </row>
    <row r="835" spans="1:8" x14ac:dyDescent="0.3">
      <c r="A835">
        <v>76</v>
      </c>
      <c r="B835" s="168" t="s">
        <v>115</v>
      </c>
      <c r="C835" s="168" t="s">
        <v>116</v>
      </c>
      <c r="D835">
        <v>2482.1</v>
      </c>
      <c r="E835">
        <v>2021</v>
      </c>
      <c r="F835" s="168" t="s">
        <v>593</v>
      </c>
      <c r="G835" s="168" t="s">
        <v>561</v>
      </c>
      <c r="H835">
        <v>76952.529032258055</v>
      </c>
    </row>
    <row r="836" spans="1:8" x14ac:dyDescent="0.3">
      <c r="A836">
        <v>76</v>
      </c>
      <c r="B836" s="168" t="s">
        <v>115</v>
      </c>
      <c r="C836" s="168" t="s">
        <v>116</v>
      </c>
      <c r="D836">
        <v>2482.1</v>
      </c>
      <c r="E836">
        <v>2021</v>
      </c>
      <c r="F836" s="168" t="s">
        <v>593</v>
      </c>
      <c r="G836" s="168" t="s">
        <v>562</v>
      </c>
      <c r="H836">
        <v>0</v>
      </c>
    </row>
    <row r="837" spans="1:8" x14ac:dyDescent="0.3">
      <c r="A837">
        <v>76</v>
      </c>
      <c r="B837" s="168" t="s">
        <v>115</v>
      </c>
      <c r="C837" s="168" t="s">
        <v>116</v>
      </c>
      <c r="D837">
        <v>2482.1</v>
      </c>
      <c r="E837">
        <v>2021</v>
      </c>
      <c r="F837" s="168" t="s">
        <v>593</v>
      </c>
      <c r="G837" s="168" t="s">
        <v>563</v>
      </c>
      <c r="H837">
        <v>0</v>
      </c>
    </row>
    <row r="838" spans="1:8" x14ac:dyDescent="0.3">
      <c r="A838">
        <v>76</v>
      </c>
      <c r="B838" s="168" t="s">
        <v>115</v>
      </c>
      <c r="C838" s="168" t="s">
        <v>116</v>
      </c>
      <c r="D838">
        <v>2482.1</v>
      </c>
      <c r="E838">
        <v>2021</v>
      </c>
      <c r="F838" s="168" t="s">
        <v>593</v>
      </c>
      <c r="G838" s="168" t="s">
        <v>564</v>
      </c>
      <c r="H838">
        <v>66106.194690265489</v>
      </c>
    </row>
    <row r="839" spans="1:8" x14ac:dyDescent="0.3">
      <c r="A839">
        <v>76</v>
      </c>
      <c r="B839" s="168" t="s">
        <v>115</v>
      </c>
      <c r="C839" s="168" t="s">
        <v>116</v>
      </c>
      <c r="D839">
        <v>2482.1</v>
      </c>
      <c r="E839">
        <v>2021</v>
      </c>
      <c r="F839" s="168" t="s">
        <v>593</v>
      </c>
      <c r="G839" s="168" t="s">
        <v>567</v>
      </c>
      <c r="H839">
        <v>0</v>
      </c>
    </row>
    <row r="840" spans="1:8" x14ac:dyDescent="0.3">
      <c r="A840">
        <v>76</v>
      </c>
      <c r="B840" s="168" t="s">
        <v>115</v>
      </c>
      <c r="C840" s="168" t="s">
        <v>116</v>
      </c>
      <c r="D840">
        <v>2482.1</v>
      </c>
      <c r="E840">
        <v>2021</v>
      </c>
      <c r="F840" s="168" t="s">
        <v>593</v>
      </c>
      <c r="G840" s="168" t="s">
        <v>568</v>
      </c>
      <c r="H840">
        <v>247500</v>
      </c>
    </row>
    <row r="841" spans="1:8" x14ac:dyDescent="0.3">
      <c r="A841">
        <v>76</v>
      </c>
      <c r="B841" s="168" t="s">
        <v>115</v>
      </c>
      <c r="C841" s="168" t="s">
        <v>116</v>
      </c>
      <c r="D841">
        <v>2482.1</v>
      </c>
      <c r="E841">
        <v>2021</v>
      </c>
      <c r="F841" s="168" t="s">
        <v>593</v>
      </c>
      <c r="G841" s="168" t="s">
        <v>600</v>
      </c>
      <c r="H841">
        <v>522032</v>
      </c>
    </row>
    <row r="842" spans="1:8" x14ac:dyDescent="0.3">
      <c r="A842">
        <v>76</v>
      </c>
      <c r="B842" s="168" t="s">
        <v>115</v>
      </c>
      <c r="C842" s="168" t="s">
        <v>116</v>
      </c>
      <c r="D842">
        <v>2482.1</v>
      </c>
      <c r="E842">
        <v>2021</v>
      </c>
      <c r="F842" s="168" t="s">
        <v>593</v>
      </c>
      <c r="G842" s="168" t="s">
        <v>601</v>
      </c>
      <c r="H842">
        <v>522032</v>
      </c>
    </row>
    <row r="843" spans="1:8" x14ac:dyDescent="0.3">
      <c r="A843">
        <v>76</v>
      </c>
      <c r="B843" s="168" t="s">
        <v>115</v>
      </c>
      <c r="C843" s="168" t="s">
        <v>116</v>
      </c>
      <c r="D843">
        <v>2482.1</v>
      </c>
      <c r="E843">
        <v>2021</v>
      </c>
      <c r="F843" s="168" t="s">
        <v>593</v>
      </c>
      <c r="G843" s="168" t="s">
        <v>577</v>
      </c>
      <c r="H843">
        <v>0</v>
      </c>
    </row>
    <row r="844" spans="1:8" x14ac:dyDescent="0.3">
      <c r="A844">
        <v>76</v>
      </c>
      <c r="B844" s="168" t="s">
        <v>115</v>
      </c>
      <c r="C844" s="168" t="s">
        <v>116</v>
      </c>
      <c r="D844">
        <v>2482.1</v>
      </c>
      <c r="E844">
        <v>2021</v>
      </c>
      <c r="F844" s="168" t="s">
        <v>593</v>
      </c>
      <c r="G844" s="168" t="s">
        <v>585</v>
      </c>
      <c r="H844">
        <v>93694.547654611219</v>
      </c>
    </row>
    <row r="845" spans="1:8" x14ac:dyDescent="0.3">
      <c r="A845">
        <v>76</v>
      </c>
      <c r="B845" s="168" t="s">
        <v>115</v>
      </c>
      <c r="C845" s="168" t="s">
        <v>116</v>
      </c>
      <c r="D845">
        <v>2482.1</v>
      </c>
      <c r="E845">
        <v>2021</v>
      </c>
      <c r="F845" s="168" t="s">
        <v>593</v>
      </c>
      <c r="G845" s="168" t="s">
        <v>586</v>
      </c>
      <c r="H845">
        <v>415223</v>
      </c>
    </row>
    <row r="846" spans="1:8" x14ac:dyDescent="0.3">
      <c r="A846">
        <v>77</v>
      </c>
      <c r="B846" s="168" t="s">
        <v>117</v>
      </c>
      <c r="C846" s="168" t="s">
        <v>118</v>
      </c>
      <c r="D846">
        <v>404.9</v>
      </c>
      <c r="E846">
        <v>2021</v>
      </c>
      <c r="F846" s="168" t="s">
        <v>593</v>
      </c>
      <c r="G846" s="168" t="s">
        <v>548</v>
      </c>
      <c r="H846">
        <v>54197.279999999999</v>
      </c>
    </row>
    <row r="847" spans="1:8" x14ac:dyDescent="0.3">
      <c r="A847">
        <v>77</v>
      </c>
      <c r="B847" s="168" t="s">
        <v>117</v>
      </c>
      <c r="C847" s="168" t="s">
        <v>118</v>
      </c>
      <c r="D847">
        <v>404.9</v>
      </c>
      <c r="E847">
        <v>2021</v>
      </c>
      <c r="F847" s="168" t="s">
        <v>593</v>
      </c>
      <c r="G847" s="168" t="s">
        <v>549</v>
      </c>
      <c r="H847">
        <v>0</v>
      </c>
    </row>
    <row r="848" spans="1:8" x14ac:dyDescent="0.3">
      <c r="A848">
        <v>77</v>
      </c>
      <c r="B848" s="168" t="s">
        <v>117</v>
      </c>
      <c r="C848" s="168" t="s">
        <v>118</v>
      </c>
      <c r="D848">
        <v>404.9</v>
      </c>
      <c r="E848">
        <v>2021</v>
      </c>
      <c r="F848" s="168" t="s">
        <v>593</v>
      </c>
      <c r="G848" s="168" t="s">
        <v>550</v>
      </c>
      <c r="H848">
        <v>0</v>
      </c>
    </row>
    <row r="849" spans="1:8" x14ac:dyDescent="0.3">
      <c r="A849">
        <v>77</v>
      </c>
      <c r="B849" s="168" t="s">
        <v>117</v>
      </c>
      <c r="C849" s="168" t="s">
        <v>118</v>
      </c>
      <c r="D849">
        <v>404.9</v>
      </c>
      <c r="E849">
        <v>2021</v>
      </c>
      <c r="F849" s="168" t="s">
        <v>593</v>
      </c>
      <c r="G849" s="168" t="s">
        <v>551</v>
      </c>
      <c r="H849">
        <v>507.36602205394416</v>
      </c>
    </row>
    <row r="850" spans="1:8" x14ac:dyDescent="0.3">
      <c r="A850">
        <v>77</v>
      </c>
      <c r="B850" s="168" t="s">
        <v>117</v>
      </c>
      <c r="C850" s="168" t="s">
        <v>118</v>
      </c>
      <c r="D850">
        <v>404.9</v>
      </c>
      <c r="E850">
        <v>2021</v>
      </c>
      <c r="F850" s="168" t="s">
        <v>593</v>
      </c>
      <c r="G850" s="168" t="s">
        <v>575</v>
      </c>
      <c r="H850">
        <v>0</v>
      </c>
    </row>
    <row r="851" spans="1:8" x14ac:dyDescent="0.3">
      <c r="A851">
        <v>77</v>
      </c>
      <c r="B851" s="168" t="s">
        <v>117</v>
      </c>
      <c r="C851" s="168" t="s">
        <v>118</v>
      </c>
      <c r="D851">
        <v>404.9</v>
      </c>
      <c r="E851">
        <v>2021</v>
      </c>
      <c r="F851" s="168" t="s">
        <v>593</v>
      </c>
      <c r="G851" s="168" t="s">
        <v>576</v>
      </c>
      <c r="H851">
        <v>2884.5984934354437</v>
      </c>
    </row>
    <row r="852" spans="1:8" x14ac:dyDescent="0.3">
      <c r="A852">
        <v>78</v>
      </c>
      <c r="B852" s="168" t="s">
        <v>119</v>
      </c>
      <c r="C852" s="168" t="s">
        <v>120</v>
      </c>
      <c r="D852">
        <v>5741.2</v>
      </c>
      <c r="E852">
        <v>2021</v>
      </c>
      <c r="F852" s="168" t="s">
        <v>592</v>
      </c>
      <c r="G852" s="168" t="s">
        <v>550</v>
      </c>
      <c r="H852">
        <v>0</v>
      </c>
    </row>
    <row r="853" spans="1:8" x14ac:dyDescent="0.3">
      <c r="A853">
        <v>78</v>
      </c>
      <c r="B853" s="168" t="s">
        <v>119</v>
      </c>
      <c r="C853" s="168" t="s">
        <v>120</v>
      </c>
      <c r="D853">
        <v>5741.2</v>
      </c>
      <c r="E853">
        <v>2021</v>
      </c>
      <c r="F853" s="168" t="s">
        <v>592</v>
      </c>
      <c r="G853" s="168" t="s">
        <v>551</v>
      </c>
      <c r="H853">
        <v>7194.096828392454</v>
      </c>
    </row>
    <row r="854" spans="1:8" x14ac:dyDescent="0.3">
      <c r="A854">
        <v>78</v>
      </c>
      <c r="B854" s="168" t="s">
        <v>119</v>
      </c>
      <c r="C854" s="168" t="s">
        <v>120</v>
      </c>
      <c r="D854">
        <v>5741.2</v>
      </c>
      <c r="E854">
        <v>2021</v>
      </c>
      <c r="F854" s="168" t="s">
        <v>592</v>
      </c>
      <c r="G854" s="168" t="s">
        <v>554</v>
      </c>
      <c r="H854">
        <v>3877.7887358030061</v>
      </c>
    </row>
    <row r="855" spans="1:8" x14ac:dyDescent="0.3">
      <c r="A855">
        <v>78</v>
      </c>
      <c r="B855" s="168" t="s">
        <v>119</v>
      </c>
      <c r="C855" s="168" t="s">
        <v>120</v>
      </c>
      <c r="D855">
        <v>5741.2</v>
      </c>
      <c r="E855">
        <v>2021</v>
      </c>
      <c r="F855" s="168" t="s">
        <v>592</v>
      </c>
      <c r="G855" s="168" t="s">
        <v>555</v>
      </c>
      <c r="H855">
        <v>2908.3415518522547</v>
      </c>
    </row>
    <row r="856" spans="1:8" x14ac:dyDescent="0.3">
      <c r="A856">
        <v>78</v>
      </c>
      <c r="B856" s="168" t="s">
        <v>119</v>
      </c>
      <c r="C856" s="168" t="s">
        <v>120</v>
      </c>
      <c r="D856">
        <v>5741.2</v>
      </c>
      <c r="E856">
        <v>2021</v>
      </c>
      <c r="F856" s="168" t="s">
        <v>592</v>
      </c>
      <c r="G856" s="168" t="s">
        <v>595</v>
      </c>
      <c r="H856">
        <v>0</v>
      </c>
    </row>
    <row r="857" spans="1:8" x14ac:dyDescent="0.3">
      <c r="A857">
        <v>78</v>
      </c>
      <c r="B857" s="168" t="s">
        <v>119</v>
      </c>
      <c r="C857" s="168" t="s">
        <v>120</v>
      </c>
      <c r="D857">
        <v>5741.2</v>
      </c>
      <c r="E857">
        <v>2021</v>
      </c>
      <c r="F857" s="168" t="s">
        <v>592</v>
      </c>
      <c r="G857" s="168" t="s">
        <v>560</v>
      </c>
      <c r="H857">
        <v>6545.454545454545</v>
      </c>
    </row>
    <row r="858" spans="1:8" x14ac:dyDescent="0.3">
      <c r="A858">
        <v>78</v>
      </c>
      <c r="B858" s="168" t="s">
        <v>119</v>
      </c>
      <c r="C858" s="168" t="s">
        <v>120</v>
      </c>
      <c r="D858">
        <v>5741.2</v>
      </c>
      <c r="E858">
        <v>2021</v>
      </c>
      <c r="F858" s="168" t="s">
        <v>592</v>
      </c>
      <c r="G858" s="168" t="s">
        <v>561</v>
      </c>
      <c r="H858">
        <v>19238.132258064514</v>
      </c>
    </row>
    <row r="859" spans="1:8" x14ac:dyDescent="0.3">
      <c r="A859">
        <v>78</v>
      </c>
      <c r="B859" s="168" t="s">
        <v>119</v>
      </c>
      <c r="C859" s="168" t="s">
        <v>120</v>
      </c>
      <c r="D859">
        <v>5741.2</v>
      </c>
      <c r="E859">
        <v>2021</v>
      </c>
      <c r="F859" s="168" t="s">
        <v>592</v>
      </c>
      <c r="G859" s="168" t="s">
        <v>562</v>
      </c>
      <c r="H859">
        <v>0</v>
      </c>
    </row>
    <row r="860" spans="1:8" x14ac:dyDescent="0.3">
      <c r="A860">
        <v>78</v>
      </c>
      <c r="B860" s="168" t="s">
        <v>119</v>
      </c>
      <c r="C860" s="168" t="s">
        <v>120</v>
      </c>
      <c r="D860">
        <v>5741.2</v>
      </c>
      <c r="E860">
        <v>2021</v>
      </c>
      <c r="F860" s="168" t="s">
        <v>592</v>
      </c>
      <c r="G860" s="168" t="s">
        <v>571</v>
      </c>
      <c r="H860">
        <v>0</v>
      </c>
    </row>
    <row r="861" spans="1:8" x14ac:dyDescent="0.3">
      <c r="A861">
        <v>78</v>
      </c>
      <c r="B861" s="168" t="s">
        <v>119</v>
      </c>
      <c r="C861" s="168" t="s">
        <v>120</v>
      </c>
      <c r="D861">
        <v>5741.2</v>
      </c>
      <c r="E861">
        <v>2021</v>
      </c>
      <c r="F861" s="168" t="s">
        <v>592</v>
      </c>
      <c r="G861" s="168" t="s">
        <v>572</v>
      </c>
      <c r="H861">
        <v>15073.170731707318</v>
      </c>
    </row>
    <row r="862" spans="1:8" x14ac:dyDescent="0.3">
      <c r="A862">
        <v>78</v>
      </c>
      <c r="B862" s="168" t="s">
        <v>119</v>
      </c>
      <c r="C862" s="168" t="s">
        <v>120</v>
      </c>
      <c r="D862">
        <v>5741.2</v>
      </c>
      <c r="E862">
        <v>2021</v>
      </c>
      <c r="F862" s="168" t="s">
        <v>592</v>
      </c>
      <c r="G862" s="168" t="s">
        <v>600</v>
      </c>
      <c r="H862">
        <v>107403.78907200749</v>
      </c>
    </row>
    <row r="863" spans="1:8" x14ac:dyDescent="0.3">
      <c r="A863">
        <v>78</v>
      </c>
      <c r="B863" s="168" t="s">
        <v>119</v>
      </c>
      <c r="C863" s="168" t="s">
        <v>120</v>
      </c>
      <c r="D863">
        <v>5741.2</v>
      </c>
      <c r="E863">
        <v>2021</v>
      </c>
      <c r="F863" s="168" t="s">
        <v>592</v>
      </c>
      <c r="G863" s="168" t="s">
        <v>601</v>
      </c>
      <c r="H863">
        <v>112987.01269455589</v>
      </c>
    </row>
    <row r="864" spans="1:8" x14ac:dyDescent="0.3">
      <c r="A864">
        <v>78</v>
      </c>
      <c r="B864" s="168" t="s">
        <v>119</v>
      </c>
      <c r="C864" s="168" t="s">
        <v>120</v>
      </c>
      <c r="D864">
        <v>5741.2</v>
      </c>
      <c r="E864">
        <v>2021</v>
      </c>
      <c r="F864" s="168" t="s">
        <v>592</v>
      </c>
      <c r="G864" s="168" t="s">
        <v>585</v>
      </c>
      <c r="H864">
        <v>216719.36545451594</v>
      </c>
    </row>
    <row r="865" spans="1:8" x14ac:dyDescent="0.3">
      <c r="A865">
        <v>78</v>
      </c>
      <c r="B865" s="168" t="s">
        <v>119</v>
      </c>
      <c r="C865" s="168" t="s">
        <v>120</v>
      </c>
      <c r="D865">
        <v>5741.2</v>
      </c>
      <c r="E865">
        <v>2021</v>
      </c>
      <c r="F865" s="168" t="s">
        <v>592</v>
      </c>
      <c r="G865" s="168" t="s">
        <v>586</v>
      </c>
      <c r="H865">
        <v>43987.529305303979</v>
      </c>
    </row>
    <row r="866" spans="1:8" x14ac:dyDescent="0.3">
      <c r="A866">
        <v>78</v>
      </c>
      <c r="B866" s="168" t="s">
        <v>119</v>
      </c>
      <c r="C866" s="168" t="s">
        <v>120</v>
      </c>
      <c r="D866">
        <v>5741.2</v>
      </c>
      <c r="E866">
        <v>2021</v>
      </c>
      <c r="F866" s="168" t="s">
        <v>592</v>
      </c>
      <c r="G866" s="168" t="s">
        <v>587</v>
      </c>
      <c r="H866">
        <v>78457.198765190129</v>
      </c>
    </row>
    <row r="867" spans="1:8" x14ac:dyDescent="0.3">
      <c r="A867">
        <v>78</v>
      </c>
      <c r="B867" s="168" t="s">
        <v>119</v>
      </c>
      <c r="C867" s="168" t="s">
        <v>120</v>
      </c>
      <c r="D867">
        <v>5741.2</v>
      </c>
      <c r="E867">
        <v>2021</v>
      </c>
      <c r="F867" s="168" t="s">
        <v>592</v>
      </c>
      <c r="G867" s="168" t="s">
        <v>588</v>
      </c>
      <c r="H867">
        <v>0</v>
      </c>
    </row>
    <row r="868" spans="1:8" x14ac:dyDescent="0.3">
      <c r="A868">
        <v>79</v>
      </c>
      <c r="B868" s="168" t="s">
        <v>121</v>
      </c>
      <c r="C868" s="168" t="s">
        <v>122</v>
      </c>
      <c r="D868">
        <v>9.1999999999999993</v>
      </c>
      <c r="E868">
        <v>2021</v>
      </c>
      <c r="F868" s="168" t="s">
        <v>593</v>
      </c>
      <c r="G868" s="168" t="s">
        <v>550</v>
      </c>
      <c r="H868">
        <v>0</v>
      </c>
    </row>
    <row r="869" spans="1:8" x14ac:dyDescent="0.3">
      <c r="A869">
        <v>79</v>
      </c>
      <c r="B869" s="168" t="s">
        <v>121</v>
      </c>
      <c r="C869" s="168" t="s">
        <v>122</v>
      </c>
      <c r="D869">
        <v>9.1999999999999993</v>
      </c>
      <c r="E869">
        <v>2021</v>
      </c>
      <c r="F869" s="168" t="s">
        <v>593</v>
      </c>
      <c r="G869" s="168" t="s">
        <v>551</v>
      </c>
      <c r="H869">
        <v>11.52819808075151</v>
      </c>
    </row>
    <row r="870" spans="1:8" x14ac:dyDescent="0.3">
      <c r="A870">
        <v>79</v>
      </c>
      <c r="B870" s="168" t="s">
        <v>121</v>
      </c>
      <c r="C870" s="168" t="s">
        <v>122</v>
      </c>
      <c r="D870">
        <v>9.1999999999999993</v>
      </c>
      <c r="E870">
        <v>2021</v>
      </c>
      <c r="F870" s="168" t="s">
        <v>593</v>
      </c>
      <c r="G870" s="168" t="s">
        <v>554</v>
      </c>
      <c r="H870">
        <v>6.213972056257866</v>
      </c>
    </row>
    <row r="871" spans="1:8" x14ac:dyDescent="0.3">
      <c r="A871">
        <v>79</v>
      </c>
      <c r="B871" s="168" t="s">
        <v>121</v>
      </c>
      <c r="C871" s="168" t="s">
        <v>122</v>
      </c>
      <c r="D871">
        <v>9.1999999999999993</v>
      </c>
      <c r="E871">
        <v>2021</v>
      </c>
      <c r="F871" s="168" t="s">
        <v>593</v>
      </c>
      <c r="G871" s="168" t="s">
        <v>555</v>
      </c>
      <c r="H871">
        <v>4.6604790421933995</v>
      </c>
    </row>
    <row r="872" spans="1:8" x14ac:dyDescent="0.3">
      <c r="A872">
        <v>79</v>
      </c>
      <c r="B872" s="168" t="s">
        <v>121</v>
      </c>
      <c r="C872" s="168" t="s">
        <v>122</v>
      </c>
      <c r="D872">
        <v>9.1999999999999993</v>
      </c>
      <c r="E872">
        <v>2021</v>
      </c>
      <c r="F872" s="168" t="s">
        <v>593</v>
      </c>
      <c r="G872" s="168" t="s">
        <v>600</v>
      </c>
      <c r="H872">
        <v>34.558826647860464</v>
      </c>
    </row>
    <row r="873" spans="1:8" x14ac:dyDescent="0.3">
      <c r="A873">
        <v>79</v>
      </c>
      <c r="B873" s="168" t="s">
        <v>121</v>
      </c>
      <c r="C873" s="168" t="s">
        <v>122</v>
      </c>
      <c r="D873">
        <v>9.1999999999999993</v>
      </c>
      <c r="E873">
        <v>2021</v>
      </c>
      <c r="F873" s="168" t="s">
        <v>593</v>
      </c>
      <c r="G873" s="168" t="s">
        <v>601</v>
      </c>
      <c r="H873">
        <v>34.558826647860464</v>
      </c>
    </row>
    <row r="874" spans="1:8" x14ac:dyDescent="0.3">
      <c r="A874">
        <v>80</v>
      </c>
      <c r="B874" s="168" t="s">
        <v>123</v>
      </c>
      <c r="C874" s="168" t="s">
        <v>124</v>
      </c>
      <c r="D874">
        <v>43</v>
      </c>
      <c r="E874">
        <v>2021</v>
      </c>
      <c r="F874" s="168" t="s">
        <v>593</v>
      </c>
      <c r="G874" s="168" t="s">
        <v>550</v>
      </c>
      <c r="H874">
        <v>0</v>
      </c>
    </row>
    <row r="875" spans="1:8" x14ac:dyDescent="0.3">
      <c r="A875">
        <v>80</v>
      </c>
      <c r="B875" s="168" t="s">
        <v>123</v>
      </c>
      <c r="C875" s="168" t="s">
        <v>124</v>
      </c>
      <c r="D875">
        <v>43</v>
      </c>
      <c r="E875">
        <v>2021</v>
      </c>
      <c r="F875" s="168" t="s">
        <v>593</v>
      </c>
      <c r="G875" s="168" t="s">
        <v>551</v>
      </c>
      <c r="H875">
        <v>53.88179537742554</v>
      </c>
    </row>
    <row r="876" spans="1:8" x14ac:dyDescent="0.3">
      <c r="A876">
        <v>80</v>
      </c>
      <c r="B876" s="168" t="s">
        <v>123</v>
      </c>
      <c r="C876" s="168" t="s">
        <v>124</v>
      </c>
      <c r="D876">
        <v>43</v>
      </c>
      <c r="E876">
        <v>2021</v>
      </c>
      <c r="F876" s="168" t="s">
        <v>593</v>
      </c>
      <c r="G876" s="168" t="s">
        <v>554</v>
      </c>
      <c r="H876">
        <v>29.04356504555307</v>
      </c>
    </row>
    <row r="877" spans="1:8" x14ac:dyDescent="0.3">
      <c r="A877">
        <v>80</v>
      </c>
      <c r="B877" s="168" t="s">
        <v>123</v>
      </c>
      <c r="C877" s="168" t="s">
        <v>124</v>
      </c>
      <c r="D877">
        <v>43</v>
      </c>
      <c r="E877">
        <v>2021</v>
      </c>
      <c r="F877" s="168" t="s">
        <v>593</v>
      </c>
      <c r="G877" s="168" t="s">
        <v>555</v>
      </c>
      <c r="H877">
        <v>21.782673784164803</v>
      </c>
    </row>
    <row r="878" spans="1:8" x14ac:dyDescent="0.3">
      <c r="A878">
        <v>80</v>
      </c>
      <c r="B878" s="168" t="s">
        <v>123</v>
      </c>
      <c r="C878" s="168" t="s">
        <v>124</v>
      </c>
      <c r="D878">
        <v>43</v>
      </c>
      <c r="E878">
        <v>2021</v>
      </c>
      <c r="F878" s="168" t="s">
        <v>593</v>
      </c>
      <c r="G878" s="168" t="s">
        <v>600</v>
      </c>
      <c r="H878">
        <v>161.52495063673913</v>
      </c>
    </row>
    <row r="879" spans="1:8" x14ac:dyDescent="0.3">
      <c r="A879">
        <v>80</v>
      </c>
      <c r="B879" s="168" t="s">
        <v>123</v>
      </c>
      <c r="C879" s="168" t="s">
        <v>124</v>
      </c>
      <c r="D879">
        <v>43</v>
      </c>
      <c r="E879">
        <v>2021</v>
      </c>
      <c r="F879" s="168" t="s">
        <v>593</v>
      </c>
      <c r="G879" s="168" t="s">
        <v>601</v>
      </c>
      <c r="H879">
        <v>161.52495063673913</v>
      </c>
    </row>
    <row r="880" spans="1:8" x14ac:dyDescent="0.3">
      <c r="A880">
        <v>81</v>
      </c>
      <c r="B880" s="168" t="s">
        <v>123</v>
      </c>
      <c r="C880" s="168" t="s">
        <v>125</v>
      </c>
      <c r="D880">
        <v>31.6</v>
      </c>
      <c r="E880">
        <v>2021</v>
      </c>
      <c r="F880" s="168" t="s">
        <v>593</v>
      </c>
      <c r="G880" s="168" t="s">
        <v>550</v>
      </c>
      <c r="H880">
        <v>0</v>
      </c>
    </row>
    <row r="881" spans="1:8" x14ac:dyDescent="0.3">
      <c r="A881">
        <v>81</v>
      </c>
      <c r="B881" s="168" t="s">
        <v>123</v>
      </c>
      <c r="C881" s="168" t="s">
        <v>125</v>
      </c>
      <c r="D881">
        <v>31.6</v>
      </c>
      <c r="E881">
        <v>2021</v>
      </c>
      <c r="F881" s="168" t="s">
        <v>593</v>
      </c>
      <c r="G881" s="168" t="s">
        <v>551</v>
      </c>
      <c r="H881">
        <v>39.596854277363889</v>
      </c>
    </row>
    <row r="882" spans="1:8" x14ac:dyDescent="0.3">
      <c r="A882">
        <v>81</v>
      </c>
      <c r="B882" s="168" t="s">
        <v>123</v>
      </c>
      <c r="C882" s="168" t="s">
        <v>125</v>
      </c>
      <c r="D882">
        <v>31.6</v>
      </c>
      <c r="E882">
        <v>2021</v>
      </c>
      <c r="F882" s="168" t="s">
        <v>593</v>
      </c>
      <c r="G882" s="168" t="s">
        <v>554</v>
      </c>
      <c r="H882">
        <v>21.34364314975528</v>
      </c>
    </row>
    <row r="883" spans="1:8" x14ac:dyDescent="0.3">
      <c r="A883">
        <v>81</v>
      </c>
      <c r="B883" s="168" t="s">
        <v>123</v>
      </c>
      <c r="C883" s="168" t="s">
        <v>125</v>
      </c>
      <c r="D883">
        <v>31.6</v>
      </c>
      <c r="E883">
        <v>2021</v>
      </c>
      <c r="F883" s="168" t="s">
        <v>593</v>
      </c>
      <c r="G883" s="168" t="s">
        <v>555</v>
      </c>
      <c r="H883">
        <v>16.00773236231646</v>
      </c>
    </row>
    <row r="884" spans="1:8" x14ac:dyDescent="0.3">
      <c r="A884">
        <v>81</v>
      </c>
      <c r="B884" s="168" t="s">
        <v>123</v>
      </c>
      <c r="C884" s="168" t="s">
        <v>125</v>
      </c>
      <c r="D884">
        <v>31.6</v>
      </c>
      <c r="E884">
        <v>2021</v>
      </c>
      <c r="F884" s="168" t="s">
        <v>593</v>
      </c>
      <c r="G884" s="168" t="s">
        <v>600</v>
      </c>
      <c r="H884">
        <v>118.70205674699901</v>
      </c>
    </row>
    <row r="885" spans="1:8" x14ac:dyDescent="0.3">
      <c r="A885">
        <v>81</v>
      </c>
      <c r="B885" s="168" t="s">
        <v>123</v>
      </c>
      <c r="C885" s="168" t="s">
        <v>125</v>
      </c>
      <c r="D885">
        <v>31.6</v>
      </c>
      <c r="E885">
        <v>2021</v>
      </c>
      <c r="F885" s="168" t="s">
        <v>593</v>
      </c>
      <c r="G885" s="168" t="s">
        <v>601</v>
      </c>
      <c r="H885">
        <v>118.70205674699901</v>
      </c>
    </row>
    <row r="886" spans="1:8" x14ac:dyDescent="0.3">
      <c r="A886">
        <v>82</v>
      </c>
      <c r="B886" s="168" t="s">
        <v>126</v>
      </c>
      <c r="C886" s="168" t="s">
        <v>127</v>
      </c>
      <c r="D886">
        <v>147.5</v>
      </c>
      <c r="E886">
        <v>2021</v>
      </c>
      <c r="F886" s="168" t="s">
        <v>593</v>
      </c>
      <c r="G886" s="168" t="s">
        <v>550</v>
      </c>
      <c r="H886">
        <v>0</v>
      </c>
    </row>
    <row r="887" spans="1:8" x14ac:dyDescent="0.3">
      <c r="A887">
        <v>82</v>
      </c>
      <c r="B887" s="168" t="s">
        <v>126</v>
      </c>
      <c r="C887" s="168" t="s">
        <v>127</v>
      </c>
      <c r="D887">
        <v>147.5</v>
      </c>
      <c r="E887">
        <v>2021</v>
      </c>
      <c r="F887" s="168" t="s">
        <v>593</v>
      </c>
      <c r="G887" s="168" t="s">
        <v>551</v>
      </c>
      <c r="H887">
        <v>184.82708879465739</v>
      </c>
    </row>
    <row r="888" spans="1:8" x14ac:dyDescent="0.3">
      <c r="A888">
        <v>82</v>
      </c>
      <c r="B888" s="168" t="s">
        <v>126</v>
      </c>
      <c r="C888" s="168" t="s">
        <v>127</v>
      </c>
      <c r="D888">
        <v>147.5</v>
      </c>
      <c r="E888">
        <v>2021</v>
      </c>
      <c r="F888" s="168" t="s">
        <v>593</v>
      </c>
      <c r="G888" s="168" t="s">
        <v>554</v>
      </c>
      <c r="H888">
        <v>99.626182423699476</v>
      </c>
    </row>
    <row r="889" spans="1:8" x14ac:dyDescent="0.3">
      <c r="A889">
        <v>82</v>
      </c>
      <c r="B889" s="168" t="s">
        <v>126</v>
      </c>
      <c r="C889" s="168" t="s">
        <v>127</v>
      </c>
      <c r="D889">
        <v>147.5</v>
      </c>
      <c r="E889">
        <v>2021</v>
      </c>
      <c r="F889" s="168" t="s">
        <v>593</v>
      </c>
      <c r="G889" s="168" t="s">
        <v>555</v>
      </c>
      <c r="H889">
        <v>74.7196368177746</v>
      </c>
    </row>
    <row r="890" spans="1:8" x14ac:dyDescent="0.3">
      <c r="A890">
        <v>82</v>
      </c>
      <c r="B890" s="168" t="s">
        <v>126</v>
      </c>
      <c r="C890" s="168" t="s">
        <v>127</v>
      </c>
      <c r="D890">
        <v>147.5</v>
      </c>
      <c r="E890">
        <v>2021</v>
      </c>
      <c r="F890" s="168" t="s">
        <v>593</v>
      </c>
      <c r="G890" s="168" t="s">
        <v>600</v>
      </c>
      <c r="H890">
        <v>554.06814462602381</v>
      </c>
    </row>
    <row r="891" spans="1:8" x14ac:dyDescent="0.3">
      <c r="A891">
        <v>82</v>
      </c>
      <c r="B891" s="168" t="s">
        <v>126</v>
      </c>
      <c r="C891" s="168" t="s">
        <v>127</v>
      </c>
      <c r="D891">
        <v>147.5</v>
      </c>
      <c r="E891">
        <v>2021</v>
      </c>
      <c r="F891" s="168" t="s">
        <v>593</v>
      </c>
      <c r="G891" s="168" t="s">
        <v>601</v>
      </c>
      <c r="H891">
        <v>554.06814462602381</v>
      </c>
    </row>
    <row r="892" spans="1:8" x14ac:dyDescent="0.3">
      <c r="A892">
        <v>83</v>
      </c>
      <c r="B892" s="168" t="s">
        <v>128</v>
      </c>
      <c r="C892" s="168" t="s">
        <v>129</v>
      </c>
      <c r="D892">
        <v>3106.9</v>
      </c>
      <c r="E892">
        <v>2021</v>
      </c>
      <c r="F892" s="168" t="s">
        <v>592</v>
      </c>
      <c r="G892" s="168" t="s">
        <v>550</v>
      </c>
      <c r="H892">
        <v>33656</v>
      </c>
    </row>
    <row r="893" spans="1:8" x14ac:dyDescent="0.3">
      <c r="A893">
        <v>83</v>
      </c>
      <c r="B893" s="168" t="s">
        <v>128</v>
      </c>
      <c r="C893" s="168" t="s">
        <v>129</v>
      </c>
      <c r="D893">
        <v>3106.9</v>
      </c>
      <c r="E893">
        <v>2021</v>
      </c>
      <c r="F893" s="168" t="s">
        <v>592</v>
      </c>
      <c r="G893" s="168" t="s">
        <v>551</v>
      </c>
      <c r="H893">
        <v>53893.147675770313</v>
      </c>
    </row>
    <row r="894" spans="1:8" x14ac:dyDescent="0.3">
      <c r="A894">
        <v>83</v>
      </c>
      <c r="B894" s="168" t="s">
        <v>128</v>
      </c>
      <c r="C894" s="168" t="s">
        <v>129</v>
      </c>
      <c r="D894">
        <v>3106.9</v>
      </c>
      <c r="E894">
        <v>2021</v>
      </c>
      <c r="F894" s="168" t="s">
        <v>592</v>
      </c>
      <c r="G894" s="168" t="s">
        <v>598</v>
      </c>
      <c r="H894">
        <v>0</v>
      </c>
    </row>
    <row r="895" spans="1:8" x14ac:dyDescent="0.3">
      <c r="A895">
        <v>83</v>
      </c>
      <c r="B895" s="168" t="s">
        <v>128</v>
      </c>
      <c r="C895" s="168" t="s">
        <v>129</v>
      </c>
      <c r="D895">
        <v>3106.9</v>
      </c>
      <c r="E895">
        <v>2021</v>
      </c>
      <c r="F895" s="168" t="s">
        <v>592</v>
      </c>
      <c r="G895" s="168" t="s">
        <v>599</v>
      </c>
      <c r="H895">
        <v>259290.32</v>
      </c>
    </row>
    <row r="896" spans="1:8" x14ac:dyDescent="0.3">
      <c r="A896">
        <v>83</v>
      </c>
      <c r="B896" s="168" t="s">
        <v>128</v>
      </c>
      <c r="C896" s="168" t="s">
        <v>129</v>
      </c>
      <c r="D896">
        <v>3106.9</v>
      </c>
      <c r="E896">
        <v>2021</v>
      </c>
      <c r="F896" s="168" t="s">
        <v>592</v>
      </c>
      <c r="G896" s="168" t="s">
        <v>554</v>
      </c>
      <c r="H896">
        <v>2098.4988893029963</v>
      </c>
    </row>
    <row r="897" spans="1:8" x14ac:dyDescent="0.3">
      <c r="A897">
        <v>83</v>
      </c>
      <c r="B897" s="168" t="s">
        <v>128</v>
      </c>
      <c r="C897" s="168" t="s">
        <v>129</v>
      </c>
      <c r="D897">
        <v>3106.9</v>
      </c>
      <c r="E897">
        <v>2021</v>
      </c>
      <c r="F897" s="168" t="s">
        <v>592</v>
      </c>
      <c r="G897" s="168" t="s">
        <v>555</v>
      </c>
      <c r="H897">
        <v>1573.8741669772501</v>
      </c>
    </row>
    <row r="898" spans="1:8" x14ac:dyDescent="0.3">
      <c r="A898">
        <v>83</v>
      </c>
      <c r="B898" s="168" t="s">
        <v>128</v>
      </c>
      <c r="C898" s="168" t="s">
        <v>129</v>
      </c>
      <c r="D898">
        <v>3106.9</v>
      </c>
      <c r="E898">
        <v>2021</v>
      </c>
      <c r="F898" s="168" t="s">
        <v>592</v>
      </c>
      <c r="G898" s="168" t="s">
        <v>556</v>
      </c>
      <c r="H898">
        <v>0</v>
      </c>
    </row>
    <row r="899" spans="1:8" x14ac:dyDescent="0.3">
      <c r="A899">
        <v>83</v>
      </c>
      <c r="B899" s="168" t="s">
        <v>128</v>
      </c>
      <c r="C899" s="168" t="s">
        <v>129</v>
      </c>
      <c r="D899">
        <v>3106.9</v>
      </c>
      <c r="E899">
        <v>2021</v>
      </c>
      <c r="F899" s="168" t="s">
        <v>592</v>
      </c>
      <c r="G899" s="168" t="s">
        <v>557</v>
      </c>
      <c r="H899">
        <v>15977.528089887641</v>
      </c>
    </row>
    <row r="900" spans="1:8" x14ac:dyDescent="0.3">
      <c r="A900">
        <v>83</v>
      </c>
      <c r="B900" s="168" t="s">
        <v>128</v>
      </c>
      <c r="C900" s="168" t="s">
        <v>129</v>
      </c>
      <c r="D900">
        <v>3106.9</v>
      </c>
      <c r="E900">
        <v>2021</v>
      </c>
      <c r="F900" s="168" t="s">
        <v>592</v>
      </c>
      <c r="G900" s="168" t="s">
        <v>595</v>
      </c>
      <c r="H900">
        <v>0</v>
      </c>
    </row>
    <row r="901" spans="1:8" x14ac:dyDescent="0.3">
      <c r="A901">
        <v>83</v>
      </c>
      <c r="B901" s="168" t="s">
        <v>128</v>
      </c>
      <c r="C901" s="168" t="s">
        <v>129</v>
      </c>
      <c r="D901">
        <v>3106.9</v>
      </c>
      <c r="E901">
        <v>2021</v>
      </c>
      <c r="F901" s="168" t="s">
        <v>592</v>
      </c>
      <c r="G901" s="168" t="s">
        <v>560</v>
      </c>
      <c r="H901">
        <v>6545.454545454545</v>
      </c>
    </row>
    <row r="902" spans="1:8" x14ac:dyDescent="0.3">
      <c r="A902">
        <v>83</v>
      </c>
      <c r="B902" s="168" t="s">
        <v>128</v>
      </c>
      <c r="C902" s="168" t="s">
        <v>129</v>
      </c>
      <c r="D902">
        <v>3106.9</v>
      </c>
      <c r="E902">
        <v>2021</v>
      </c>
      <c r="F902" s="168" t="s">
        <v>592</v>
      </c>
      <c r="G902" s="168" t="s">
        <v>561</v>
      </c>
      <c r="H902">
        <v>19238.132258064514</v>
      </c>
    </row>
    <row r="903" spans="1:8" x14ac:dyDescent="0.3">
      <c r="A903">
        <v>83</v>
      </c>
      <c r="B903" s="168" t="s">
        <v>128</v>
      </c>
      <c r="C903" s="168" t="s">
        <v>129</v>
      </c>
      <c r="D903">
        <v>3106.9</v>
      </c>
      <c r="E903">
        <v>2021</v>
      </c>
      <c r="F903" s="168" t="s">
        <v>592</v>
      </c>
      <c r="G903" s="168" t="s">
        <v>562</v>
      </c>
      <c r="H903">
        <v>0</v>
      </c>
    </row>
    <row r="904" spans="1:8" x14ac:dyDescent="0.3">
      <c r="A904">
        <v>83</v>
      </c>
      <c r="B904" s="168" t="s">
        <v>128</v>
      </c>
      <c r="C904" s="168" t="s">
        <v>129</v>
      </c>
      <c r="D904">
        <v>3106.9</v>
      </c>
      <c r="E904">
        <v>2021</v>
      </c>
      <c r="F904" s="168" t="s">
        <v>592</v>
      </c>
      <c r="G904" s="168" t="s">
        <v>563</v>
      </c>
      <c r="H904">
        <v>0</v>
      </c>
    </row>
    <row r="905" spans="1:8" x14ac:dyDescent="0.3">
      <c r="A905">
        <v>83</v>
      </c>
      <c r="B905" s="168" t="s">
        <v>128</v>
      </c>
      <c r="C905" s="168" t="s">
        <v>129</v>
      </c>
      <c r="D905">
        <v>3106.9</v>
      </c>
      <c r="E905">
        <v>2021</v>
      </c>
      <c r="F905" s="168" t="s">
        <v>592</v>
      </c>
      <c r="G905" s="168" t="s">
        <v>564</v>
      </c>
      <c r="H905">
        <v>70513.274336283182</v>
      </c>
    </row>
    <row r="906" spans="1:8" x14ac:dyDescent="0.3">
      <c r="A906">
        <v>83</v>
      </c>
      <c r="B906" s="168" t="s">
        <v>128</v>
      </c>
      <c r="C906" s="168" t="s">
        <v>129</v>
      </c>
      <c r="D906">
        <v>3106.9</v>
      </c>
      <c r="E906">
        <v>2021</v>
      </c>
      <c r="F906" s="168" t="s">
        <v>592</v>
      </c>
      <c r="G906" s="168" t="s">
        <v>565</v>
      </c>
      <c r="H906">
        <v>97634.615384615405</v>
      </c>
    </row>
    <row r="907" spans="1:8" x14ac:dyDescent="0.3">
      <c r="A907">
        <v>83</v>
      </c>
      <c r="B907" s="168" t="s">
        <v>128</v>
      </c>
      <c r="C907" s="168" t="s">
        <v>129</v>
      </c>
      <c r="D907">
        <v>3106.9</v>
      </c>
      <c r="E907">
        <v>2021</v>
      </c>
      <c r="F907" s="168" t="s">
        <v>592</v>
      </c>
      <c r="G907" s="168" t="s">
        <v>566</v>
      </c>
      <c r="H907">
        <v>71020.782500000001</v>
      </c>
    </row>
    <row r="908" spans="1:8" x14ac:dyDescent="0.3">
      <c r="A908">
        <v>83</v>
      </c>
      <c r="B908" s="168" t="s">
        <v>128</v>
      </c>
      <c r="C908" s="168" t="s">
        <v>129</v>
      </c>
      <c r="D908">
        <v>3106.9</v>
      </c>
      <c r="E908">
        <v>2021</v>
      </c>
      <c r="F908" s="168" t="s">
        <v>592</v>
      </c>
      <c r="G908" s="168" t="s">
        <v>571</v>
      </c>
      <c r="H908">
        <v>0</v>
      </c>
    </row>
    <row r="909" spans="1:8" x14ac:dyDescent="0.3">
      <c r="A909">
        <v>83</v>
      </c>
      <c r="B909" s="168" t="s">
        <v>128</v>
      </c>
      <c r="C909" s="168" t="s">
        <v>129</v>
      </c>
      <c r="D909">
        <v>3106.9</v>
      </c>
      <c r="E909">
        <v>2021</v>
      </c>
      <c r="F909" s="168" t="s">
        <v>592</v>
      </c>
      <c r="G909" s="168" t="s">
        <v>572</v>
      </c>
      <c r="H909">
        <v>7536.5853658536589</v>
      </c>
    </row>
    <row r="910" spans="1:8" x14ac:dyDescent="0.3">
      <c r="A910">
        <v>83</v>
      </c>
      <c r="B910" s="168" t="s">
        <v>128</v>
      </c>
      <c r="C910" s="168" t="s">
        <v>129</v>
      </c>
      <c r="D910">
        <v>3106.9</v>
      </c>
      <c r="E910">
        <v>2021</v>
      </c>
      <c r="F910" s="168" t="s">
        <v>592</v>
      </c>
      <c r="G910" s="168" t="s">
        <v>600</v>
      </c>
      <c r="H910">
        <v>58122.488724973897</v>
      </c>
    </row>
    <row r="911" spans="1:8" x14ac:dyDescent="0.3">
      <c r="A911">
        <v>83</v>
      </c>
      <c r="B911" s="168" t="s">
        <v>128</v>
      </c>
      <c r="C911" s="168" t="s">
        <v>129</v>
      </c>
      <c r="D911">
        <v>3106.9</v>
      </c>
      <c r="E911">
        <v>2021</v>
      </c>
      <c r="F911" s="168" t="s">
        <v>592</v>
      </c>
      <c r="G911" s="168" t="s">
        <v>601</v>
      </c>
      <c r="H911">
        <v>61143.898442958896</v>
      </c>
    </row>
    <row r="912" spans="1:8" x14ac:dyDescent="0.3">
      <c r="A912">
        <v>83</v>
      </c>
      <c r="B912" s="168" t="s">
        <v>128</v>
      </c>
      <c r="C912" s="168" t="s">
        <v>129</v>
      </c>
      <c r="D912">
        <v>3106.9</v>
      </c>
      <c r="E912">
        <v>2021</v>
      </c>
      <c r="F912" s="168" t="s">
        <v>592</v>
      </c>
      <c r="G912" s="168" t="s">
        <v>585</v>
      </c>
      <c r="H912">
        <v>220168.30167363898</v>
      </c>
    </row>
    <row r="913" spans="1:8" x14ac:dyDescent="0.3">
      <c r="A913">
        <v>83</v>
      </c>
      <c r="B913" s="168" t="s">
        <v>128</v>
      </c>
      <c r="C913" s="168" t="s">
        <v>129</v>
      </c>
      <c r="D913">
        <v>3106.9</v>
      </c>
      <c r="E913">
        <v>2021</v>
      </c>
      <c r="F913" s="168" t="s">
        <v>592</v>
      </c>
      <c r="G913" s="168" t="s">
        <v>586</v>
      </c>
      <c r="H913">
        <v>89773.064744335803</v>
      </c>
    </row>
    <row r="914" spans="1:8" x14ac:dyDescent="0.3">
      <c r="A914">
        <v>83</v>
      </c>
      <c r="B914" s="168" t="s">
        <v>128</v>
      </c>
      <c r="C914" s="168" t="s">
        <v>129</v>
      </c>
      <c r="D914">
        <v>3106.9</v>
      </c>
      <c r="E914">
        <v>2021</v>
      </c>
      <c r="F914" s="168" t="s">
        <v>592</v>
      </c>
      <c r="G914" s="168" t="s">
        <v>587</v>
      </c>
      <c r="H914">
        <v>28213.045859466878</v>
      </c>
    </row>
    <row r="915" spans="1:8" x14ac:dyDescent="0.3">
      <c r="A915">
        <v>83</v>
      </c>
      <c r="B915" s="168" t="s">
        <v>128</v>
      </c>
      <c r="C915" s="168" t="s">
        <v>129</v>
      </c>
      <c r="D915">
        <v>3106.9</v>
      </c>
      <c r="E915">
        <v>2021</v>
      </c>
      <c r="F915" s="168" t="s">
        <v>592</v>
      </c>
      <c r="G915" s="168" t="s">
        <v>588</v>
      </c>
      <c r="H915">
        <v>0</v>
      </c>
    </row>
    <row r="916" spans="1:8" x14ac:dyDescent="0.3">
      <c r="A916">
        <v>84</v>
      </c>
      <c r="B916" s="168" t="s">
        <v>130</v>
      </c>
      <c r="C916" s="168" t="s">
        <v>131</v>
      </c>
      <c r="D916">
        <v>18213.3</v>
      </c>
      <c r="E916">
        <v>2021</v>
      </c>
      <c r="F916" s="168" t="s">
        <v>592</v>
      </c>
      <c r="G916" s="168" t="s">
        <v>550</v>
      </c>
      <c r="H916">
        <v>0</v>
      </c>
    </row>
    <row r="917" spans="1:8" x14ac:dyDescent="0.3">
      <c r="A917">
        <v>84</v>
      </c>
      <c r="B917" s="168" t="s">
        <v>130</v>
      </c>
      <c r="C917" s="168" t="s">
        <v>131</v>
      </c>
      <c r="D917">
        <v>18213.3</v>
      </c>
      <c r="E917">
        <v>2021</v>
      </c>
      <c r="F917" s="168" t="s">
        <v>592</v>
      </c>
      <c r="G917" s="168" t="s">
        <v>551</v>
      </c>
      <c r="H917">
        <v>22822.448924364293</v>
      </c>
    </row>
    <row r="918" spans="1:8" x14ac:dyDescent="0.3">
      <c r="A918">
        <v>84</v>
      </c>
      <c r="B918" s="168" t="s">
        <v>130</v>
      </c>
      <c r="C918" s="168" t="s">
        <v>131</v>
      </c>
      <c r="D918">
        <v>18213.3</v>
      </c>
      <c r="E918">
        <v>2021</v>
      </c>
      <c r="F918" s="168" t="s">
        <v>592</v>
      </c>
      <c r="G918" s="168" t="s">
        <v>554</v>
      </c>
      <c r="H918">
        <v>12301.841005678411</v>
      </c>
    </row>
    <row r="919" spans="1:8" x14ac:dyDescent="0.3">
      <c r="A919">
        <v>84</v>
      </c>
      <c r="B919" s="168" t="s">
        <v>130</v>
      </c>
      <c r="C919" s="168" t="s">
        <v>131</v>
      </c>
      <c r="D919">
        <v>18213.3</v>
      </c>
      <c r="E919">
        <v>2021</v>
      </c>
      <c r="F919" s="168" t="s">
        <v>592</v>
      </c>
      <c r="G919" s="168" t="s">
        <v>555</v>
      </c>
      <c r="H919">
        <v>9226.3807542588074</v>
      </c>
    </row>
    <row r="920" spans="1:8" x14ac:dyDescent="0.3">
      <c r="A920">
        <v>84</v>
      </c>
      <c r="B920" s="168" t="s">
        <v>130</v>
      </c>
      <c r="C920" s="168" t="s">
        <v>131</v>
      </c>
      <c r="D920">
        <v>18213.3</v>
      </c>
      <c r="E920">
        <v>2021</v>
      </c>
      <c r="F920" s="168" t="s">
        <v>592</v>
      </c>
      <c r="G920" s="168" t="s">
        <v>556</v>
      </c>
      <c r="H920">
        <v>0</v>
      </c>
    </row>
    <row r="921" spans="1:8" x14ac:dyDescent="0.3">
      <c r="A921">
        <v>84</v>
      </c>
      <c r="B921" s="168" t="s">
        <v>130</v>
      </c>
      <c r="C921" s="168" t="s">
        <v>131</v>
      </c>
      <c r="D921">
        <v>18213.3</v>
      </c>
      <c r="E921">
        <v>2021</v>
      </c>
      <c r="F921" s="168" t="s">
        <v>592</v>
      </c>
      <c r="G921" s="168" t="s">
        <v>557</v>
      </c>
      <c r="H921">
        <v>21303.370786516854</v>
      </c>
    </row>
    <row r="922" spans="1:8" x14ac:dyDescent="0.3">
      <c r="A922">
        <v>84</v>
      </c>
      <c r="B922" s="168" t="s">
        <v>130</v>
      </c>
      <c r="C922" s="168" t="s">
        <v>131</v>
      </c>
      <c r="D922">
        <v>18213.3</v>
      </c>
      <c r="E922">
        <v>2021</v>
      </c>
      <c r="F922" s="168" t="s">
        <v>592</v>
      </c>
      <c r="G922" s="168" t="s">
        <v>595</v>
      </c>
      <c r="H922">
        <v>0</v>
      </c>
    </row>
    <row r="923" spans="1:8" x14ac:dyDescent="0.3">
      <c r="A923">
        <v>84</v>
      </c>
      <c r="B923" s="168" t="s">
        <v>130</v>
      </c>
      <c r="C923" s="168" t="s">
        <v>131</v>
      </c>
      <c r="D923">
        <v>18213.3</v>
      </c>
      <c r="E923">
        <v>2021</v>
      </c>
      <c r="F923" s="168" t="s">
        <v>592</v>
      </c>
      <c r="G923" s="168" t="s">
        <v>560</v>
      </c>
      <c r="H923">
        <v>13090.90909090909</v>
      </c>
    </row>
    <row r="924" spans="1:8" x14ac:dyDescent="0.3">
      <c r="A924">
        <v>84</v>
      </c>
      <c r="B924" s="168" t="s">
        <v>130</v>
      </c>
      <c r="C924" s="168" t="s">
        <v>131</v>
      </c>
      <c r="D924">
        <v>18213.3</v>
      </c>
      <c r="E924">
        <v>2021</v>
      </c>
      <c r="F924" s="168" t="s">
        <v>592</v>
      </c>
      <c r="G924" s="168" t="s">
        <v>563</v>
      </c>
      <c r="H924">
        <v>0</v>
      </c>
    </row>
    <row r="925" spans="1:8" x14ac:dyDescent="0.3">
      <c r="A925">
        <v>84</v>
      </c>
      <c r="B925" s="168" t="s">
        <v>130</v>
      </c>
      <c r="C925" s="168" t="s">
        <v>131</v>
      </c>
      <c r="D925">
        <v>18213.3</v>
      </c>
      <c r="E925">
        <v>2021</v>
      </c>
      <c r="F925" s="168" t="s">
        <v>592</v>
      </c>
      <c r="G925" s="168" t="s">
        <v>564</v>
      </c>
      <c r="H925">
        <v>79327.433628318584</v>
      </c>
    </row>
    <row r="926" spans="1:8" x14ac:dyDescent="0.3">
      <c r="A926">
        <v>84</v>
      </c>
      <c r="B926" s="168" t="s">
        <v>130</v>
      </c>
      <c r="C926" s="168" t="s">
        <v>131</v>
      </c>
      <c r="D926">
        <v>18213.3</v>
      </c>
      <c r="E926">
        <v>2021</v>
      </c>
      <c r="F926" s="168" t="s">
        <v>592</v>
      </c>
      <c r="G926" s="168" t="s">
        <v>565</v>
      </c>
      <c r="H926">
        <v>227625</v>
      </c>
    </row>
    <row r="927" spans="1:8" x14ac:dyDescent="0.3">
      <c r="A927">
        <v>84</v>
      </c>
      <c r="B927" s="168" t="s">
        <v>130</v>
      </c>
      <c r="C927" s="168" t="s">
        <v>131</v>
      </c>
      <c r="D927">
        <v>18213.3</v>
      </c>
      <c r="E927">
        <v>2021</v>
      </c>
      <c r="F927" s="168" t="s">
        <v>592</v>
      </c>
      <c r="G927" s="168" t="s">
        <v>566</v>
      </c>
      <c r="H927">
        <v>177551.95625000002</v>
      </c>
    </row>
    <row r="928" spans="1:8" x14ac:dyDescent="0.3">
      <c r="A928">
        <v>84</v>
      </c>
      <c r="B928" s="168" t="s">
        <v>130</v>
      </c>
      <c r="C928" s="168" t="s">
        <v>131</v>
      </c>
      <c r="D928">
        <v>18213.3</v>
      </c>
      <c r="E928">
        <v>2021</v>
      </c>
      <c r="F928" s="168" t="s">
        <v>592</v>
      </c>
      <c r="G928" s="168" t="s">
        <v>571</v>
      </c>
      <c r="H928">
        <v>0</v>
      </c>
    </row>
    <row r="929" spans="1:8" x14ac:dyDescent="0.3">
      <c r="A929">
        <v>84</v>
      </c>
      <c r="B929" s="168" t="s">
        <v>130</v>
      </c>
      <c r="C929" s="168" t="s">
        <v>131</v>
      </c>
      <c r="D929">
        <v>18213.3</v>
      </c>
      <c r="E929">
        <v>2021</v>
      </c>
      <c r="F929" s="168" t="s">
        <v>592</v>
      </c>
      <c r="G929" s="168" t="s">
        <v>572</v>
      </c>
      <c r="H929">
        <v>7536.5853658536589</v>
      </c>
    </row>
    <row r="930" spans="1:8" x14ac:dyDescent="0.3">
      <c r="A930">
        <v>84</v>
      </c>
      <c r="B930" s="168" t="s">
        <v>130</v>
      </c>
      <c r="C930" s="168" t="s">
        <v>131</v>
      </c>
      <c r="D930">
        <v>18213.3</v>
      </c>
      <c r="E930">
        <v>2021</v>
      </c>
      <c r="F930" s="168" t="s">
        <v>592</v>
      </c>
      <c r="G930" s="168" t="s">
        <v>600</v>
      </c>
      <c r="H930">
        <v>340726.22997024941</v>
      </c>
    </row>
    <row r="931" spans="1:8" x14ac:dyDescent="0.3">
      <c r="A931">
        <v>84</v>
      </c>
      <c r="B931" s="168" t="s">
        <v>130</v>
      </c>
      <c r="C931" s="168" t="s">
        <v>131</v>
      </c>
      <c r="D931">
        <v>18213.3</v>
      </c>
      <c r="E931">
        <v>2021</v>
      </c>
      <c r="F931" s="168" t="s">
        <v>592</v>
      </c>
      <c r="G931" s="168" t="s">
        <v>601</v>
      </c>
      <c r="H931">
        <v>358438.36799096939</v>
      </c>
    </row>
    <row r="932" spans="1:8" x14ac:dyDescent="0.3">
      <c r="A932">
        <v>84</v>
      </c>
      <c r="B932" s="168" t="s">
        <v>130</v>
      </c>
      <c r="C932" s="168" t="s">
        <v>131</v>
      </c>
      <c r="D932">
        <v>18213.3</v>
      </c>
      <c r="E932">
        <v>2021</v>
      </c>
      <c r="F932" s="168" t="s">
        <v>592</v>
      </c>
      <c r="G932" s="168" t="s">
        <v>577</v>
      </c>
      <c r="H932">
        <v>0</v>
      </c>
    </row>
    <row r="933" spans="1:8" x14ac:dyDescent="0.3">
      <c r="A933">
        <v>84</v>
      </c>
      <c r="B933" s="168" t="s">
        <v>130</v>
      </c>
      <c r="C933" s="168" t="s">
        <v>131</v>
      </c>
      <c r="D933">
        <v>18213.3</v>
      </c>
      <c r="E933">
        <v>2021</v>
      </c>
      <c r="F933" s="168" t="s">
        <v>592</v>
      </c>
      <c r="G933" s="168" t="s">
        <v>585</v>
      </c>
      <c r="H933">
        <v>687517.38640575798</v>
      </c>
    </row>
    <row r="934" spans="1:8" x14ac:dyDescent="0.3">
      <c r="A934">
        <v>84</v>
      </c>
      <c r="B934" s="168" t="s">
        <v>130</v>
      </c>
      <c r="C934" s="168" t="s">
        <v>131</v>
      </c>
      <c r="D934">
        <v>18213.3</v>
      </c>
      <c r="E934">
        <v>2021</v>
      </c>
      <c r="F934" s="168" t="s">
        <v>592</v>
      </c>
      <c r="G934" s="168" t="s">
        <v>586</v>
      </c>
      <c r="H934">
        <v>139545.40296389101</v>
      </c>
    </row>
    <row r="935" spans="1:8" x14ac:dyDescent="0.3">
      <c r="A935">
        <v>85</v>
      </c>
      <c r="B935" s="168" t="s">
        <v>132</v>
      </c>
      <c r="C935" s="168" t="s">
        <v>133</v>
      </c>
      <c r="D935">
        <v>14009.5</v>
      </c>
      <c r="E935">
        <v>2021</v>
      </c>
      <c r="F935" s="168" t="s">
        <v>591</v>
      </c>
      <c r="G935" s="168" t="s">
        <v>548</v>
      </c>
      <c r="H935">
        <v>1812328.73</v>
      </c>
    </row>
    <row r="936" spans="1:8" x14ac:dyDescent="0.3">
      <c r="A936">
        <v>85</v>
      </c>
      <c r="B936" s="168" t="s">
        <v>132</v>
      </c>
      <c r="C936" s="168" t="s">
        <v>133</v>
      </c>
      <c r="D936">
        <v>14009.5</v>
      </c>
      <c r="E936">
        <v>2021</v>
      </c>
      <c r="F936" s="168" t="s">
        <v>591</v>
      </c>
      <c r="G936" s="168" t="s">
        <v>549</v>
      </c>
      <c r="H936">
        <v>776712.31</v>
      </c>
    </row>
    <row r="937" spans="1:8" x14ac:dyDescent="0.3">
      <c r="A937">
        <v>85</v>
      </c>
      <c r="B937" s="168" t="s">
        <v>132</v>
      </c>
      <c r="C937" s="168" t="s">
        <v>133</v>
      </c>
      <c r="D937">
        <v>14009.5</v>
      </c>
      <c r="E937">
        <v>2021</v>
      </c>
      <c r="F937" s="168" t="s">
        <v>591</v>
      </c>
      <c r="G937" s="168" t="s">
        <v>550</v>
      </c>
      <c r="H937">
        <v>738801.87</v>
      </c>
    </row>
    <row r="938" spans="1:8" x14ac:dyDescent="0.3">
      <c r="A938">
        <v>85</v>
      </c>
      <c r="B938" s="168" t="s">
        <v>132</v>
      </c>
      <c r="C938" s="168" t="s">
        <v>133</v>
      </c>
      <c r="D938">
        <v>14009.5</v>
      </c>
      <c r="E938">
        <v>2021</v>
      </c>
      <c r="F938" s="168" t="s">
        <v>591</v>
      </c>
      <c r="G938" s="168" t="s">
        <v>551</v>
      </c>
      <c r="H938">
        <v>316629.37358400004</v>
      </c>
    </row>
    <row r="939" spans="1:8" x14ac:dyDescent="0.3">
      <c r="A939">
        <v>85</v>
      </c>
      <c r="B939" s="168" t="s">
        <v>132</v>
      </c>
      <c r="C939" s="168" t="s">
        <v>133</v>
      </c>
      <c r="D939">
        <v>14009.5</v>
      </c>
      <c r="E939">
        <v>2021</v>
      </c>
      <c r="F939" s="168" t="s">
        <v>591</v>
      </c>
      <c r="G939" s="168" t="s">
        <v>598</v>
      </c>
      <c r="H939">
        <v>1274864.5</v>
      </c>
    </row>
    <row r="940" spans="1:8" x14ac:dyDescent="0.3">
      <c r="A940">
        <v>85</v>
      </c>
      <c r="B940" s="168" t="s">
        <v>132</v>
      </c>
      <c r="C940" s="168" t="s">
        <v>133</v>
      </c>
      <c r="D940">
        <v>14009.5</v>
      </c>
      <c r="E940">
        <v>2021</v>
      </c>
      <c r="F940" s="168" t="s">
        <v>591</v>
      </c>
      <c r="G940" s="168" t="s">
        <v>599</v>
      </c>
      <c r="H940">
        <v>546370.5</v>
      </c>
    </row>
    <row r="941" spans="1:8" x14ac:dyDescent="0.3">
      <c r="A941">
        <v>85</v>
      </c>
      <c r="B941" s="168" t="s">
        <v>132</v>
      </c>
      <c r="C941" s="168" t="s">
        <v>133</v>
      </c>
      <c r="D941">
        <v>14009.5</v>
      </c>
      <c r="E941">
        <v>2021</v>
      </c>
      <c r="F941" s="168" t="s">
        <v>591</v>
      </c>
      <c r="G941" s="168" t="s">
        <v>595</v>
      </c>
      <c r="H941">
        <v>0</v>
      </c>
    </row>
    <row r="942" spans="1:8" x14ac:dyDescent="0.3">
      <c r="A942">
        <v>85</v>
      </c>
      <c r="B942" s="168" t="s">
        <v>132</v>
      </c>
      <c r="C942" s="168" t="s">
        <v>133</v>
      </c>
      <c r="D942">
        <v>14009.5</v>
      </c>
      <c r="E942">
        <v>2021</v>
      </c>
      <c r="F942" s="168" t="s">
        <v>591</v>
      </c>
      <c r="G942" s="168" t="s">
        <v>560</v>
      </c>
      <c r="H942">
        <v>13090.90909090909</v>
      </c>
    </row>
    <row r="943" spans="1:8" x14ac:dyDescent="0.3">
      <c r="A943">
        <v>85</v>
      </c>
      <c r="B943" s="168" t="s">
        <v>132</v>
      </c>
      <c r="C943" s="168" t="s">
        <v>133</v>
      </c>
      <c r="D943">
        <v>14009.5</v>
      </c>
      <c r="E943">
        <v>2021</v>
      </c>
      <c r="F943" s="168" t="s">
        <v>591</v>
      </c>
      <c r="G943" s="168" t="s">
        <v>565</v>
      </c>
      <c r="H943">
        <v>319210.2</v>
      </c>
    </row>
    <row r="944" spans="1:8" x14ac:dyDescent="0.3">
      <c r="A944">
        <v>85</v>
      </c>
      <c r="B944" s="168" t="s">
        <v>132</v>
      </c>
      <c r="C944" s="168" t="s">
        <v>133</v>
      </c>
      <c r="D944">
        <v>14009.5</v>
      </c>
      <c r="E944">
        <v>2021</v>
      </c>
      <c r="F944" s="168" t="s">
        <v>591</v>
      </c>
      <c r="G944" s="168" t="s">
        <v>566</v>
      </c>
      <c r="H944">
        <v>111535.67999999999</v>
      </c>
    </row>
    <row r="945" spans="1:8" x14ac:dyDescent="0.3">
      <c r="A945">
        <v>85</v>
      </c>
      <c r="B945" s="168" t="s">
        <v>132</v>
      </c>
      <c r="C945" s="168" t="s">
        <v>133</v>
      </c>
      <c r="D945">
        <v>14009.5</v>
      </c>
      <c r="E945">
        <v>2021</v>
      </c>
      <c r="F945" s="168" t="s">
        <v>591</v>
      </c>
      <c r="G945" s="168" t="s">
        <v>600</v>
      </c>
      <c r="H945">
        <v>1601535.6839999999</v>
      </c>
    </row>
    <row r="946" spans="1:8" x14ac:dyDescent="0.3">
      <c r="A946">
        <v>85</v>
      </c>
      <c r="B946" s="168" t="s">
        <v>132</v>
      </c>
      <c r="C946" s="168" t="s">
        <v>133</v>
      </c>
      <c r="D946">
        <v>14009.5</v>
      </c>
      <c r="E946">
        <v>2021</v>
      </c>
      <c r="F946" s="168" t="s">
        <v>591</v>
      </c>
      <c r="G946" s="168" t="s">
        <v>601</v>
      </c>
      <c r="H946">
        <v>686372.43599999999</v>
      </c>
    </row>
    <row r="947" spans="1:8" x14ac:dyDescent="0.3">
      <c r="A947">
        <v>85</v>
      </c>
      <c r="B947" s="168" t="s">
        <v>132</v>
      </c>
      <c r="C947" s="168" t="s">
        <v>133</v>
      </c>
      <c r="D947">
        <v>14009.5</v>
      </c>
      <c r="E947">
        <v>2021</v>
      </c>
      <c r="F947" s="168" t="s">
        <v>591</v>
      </c>
      <c r="G947" s="168" t="s">
        <v>575</v>
      </c>
      <c r="H947">
        <v>0</v>
      </c>
    </row>
    <row r="948" spans="1:8" x14ac:dyDescent="0.3">
      <c r="A948">
        <v>85</v>
      </c>
      <c r="B948" s="168" t="s">
        <v>132</v>
      </c>
      <c r="C948" s="168" t="s">
        <v>133</v>
      </c>
      <c r="D948">
        <v>14009.5</v>
      </c>
      <c r="E948">
        <v>2021</v>
      </c>
      <c r="F948" s="168" t="s">
        <v>591</v>
      </c>
      <c r="G948" s="168" t="s">
        <v>576</v>
      </c>
      <c r="H948">
        <v>58553.846791315467</v>
      </c>
    </row>
    <row r="949" spans="1:8" x14ac:dyDescent="0.3">
      <c r="A949">
        <v>85</v>
      </c>
      <c r="B949" s="168" t="s">
        <v>132</v>
      </c>
      <c r="C949" s="168" t="s">
        <v>133</v>
      </c>
      <c r="D949">
        <v>14009.5</v>
      </c>
      <c r="E949">
        <v>2021</v>
      </c>
      <c r="F949" s="168" t="s">
        <v>591</v>
      </c>
      <c r="G949" s="168" t="s">
        <v>579</v>
      </c>
      <c r="H949">
        <v>0</v>
      </c>
    </row>
    <row r="950" spans="1:8" x14ac:dyDescent="0.3">
      <c r="A950">
        <v>85</v>
      </c>
      <c r="B950" s="168" t="s">
        <v>132</v>
      </c>
      <c r="C950" s="168" t="s">
        <v>133</v>
      </c>
      <c r="D950">
        <v>14009.5</v>
      </c>
      <c r="E950">
        <v>2021</v>
      </c>
      <c r="F950" s="168" t="s">
        <v>591</v>
      </c>
      <c r="G950" s="168" t="s">
        <v>580</v>
      </c>
      <c r="H950">
        <v>492000</v>
      </c>
    </row>
    <row r="951" spans="1:8" x14ac:dyDescent="0.3">
      <c r="A951">
        <v>85</v>
      </c>
      <c r="B951" s="168" t="s">
        <v>132</v>
      </c>
      <c r="C951" s="168" t="s">
        <v>133</v>
      </c>
      <c r="D951">
        <v>14009.5</v>
      </c>
      <c r="E951">
        <v>2021</v>
      </c>
      <c r="F951" s="168" t="s">
        <v>591</v>
      </c>
      <c r="G951" s="168" t="s">
        <v>585</v>
      </c>
      <c r="H951">
        <v>992773.44693966699</v>
      </c>
    </row>
    <row r="952" spans="1:8" x14ac:dyDescent="0.3">
      <c r="A952">
        <v>85</v>
      </c>
      <c r="B952" s="168" t="s">
        <v>132</v>
      </c>
      <c r="C952" s="168" t="s">
        <v>133</v>
      </c>
      <c r="D952">
        <v>14009.5</v>
      </c>
      <c r="E952">
        <v>2021</v>
      </c>
      <c r="F952" s="168" t="s">
        <v>591</v>
      </c>
      <c r="G952" s="168" t="s">
        <v>586</v>
      </c>
      <c r="H952">
        <v>404800.84667539096</v>
      </c>
    </row>
    <row r="953" spans="1:8" x14ac:dyDescent="0.3">
      <c r="A953">
        <v>86</v>
      </c>
      <c r="B953" s="168" t="s">
        <v>134</v>
      </c>
      <c r="C953" s="168" t="s">
        <v>135</v>
      </c>
      <c r="D953">
        <v>11408</v>
      </c>
      <c r="E953">
        <v>2021</v>
      </c>
      <c r="F953" s="168" t="s">
        <v>591</v>
      </c>
      <c r="G953" s="168" t="s">
        <v>548</v>
      </c>
      <c r="H953">
        <v>1812328.73</v>
      </c>
    </row>
    <row r="954" spans="1:8" x14ac:dyDescent="0.3">
      <c r="A954">
        <v>86</v>
      </c>
      <c r="B954" s="168" t="s">
        <v>134</v>
      </c>
      <c r="C954" s="168" t="s">
        <v>135</v>
      </c>
      <c r="D954">
        <v>11408</v>
      </c>
      <c r="E954">
        <v>2021</v>
      </c>
      <c r="F954" s="168" t="s">
        <v>591</v>
      </c>
      <c r="G954" s="168" t="s">
        <v>549</v>
      </c>
      <c r="H954">
        <v>776712.31</v>
      </c>
    </row>
    <row r="955" spans="1:8" x14ac:dyDescent="0.3">
      <c r="A955">
        <v>86</v>
      </c>
      <c r="B955" s="168" t="s">
        <v>134</v>
      </c>
      <c r="C955" s="168" t="s">
        <v>135</v>
      </c>
      <c r="D955">
        <v>11408</v>
      </c>
      <c r="E955">
        <v>2021</v>
      </c>
      <c r="F955" s="168" t="s">
        <v>591</v>
      </c>
      <c r="G955" s="168" t="s">
        <v>550</v>
      </c>
      <c r="H955">
        <v>866172.34</v>
      </c>
    </row>
    <row r="956" spans="1:8" x14ac:dyDescent="0.3">
      <c r="A956">
        <v>86</v>
      </c>
      <c r="B956" s="168" t="s">
        <v>134</v>
      </c>
      <c r="C956" s="168" t="s">
        <v>135</v>
      </c>
      <c r="D956">
        <v>11408</v>
      </c>
      <c r="E956">
        <v>2021</v>
      </c>
      <c r="F956" s="168" t="s">
        <v>591</v>
      </c>
      <c r="G956" s="168" t="s">
        <v>551</v>
      </c>
      <c r="H956">
        <v>371216.72</v>
      </c>
    </row>
    <row r="957" spans="1:8" x14ac:dyDescent="0.3">
      <c r="A957">
        <v>86</v>
      </c>
      <c r="B957" s="168" t="s">
        <v>134</v>
      </c>
      <c r="C957" s="168" t="s">
        <v>135</v>
      </c>
      <c r="D957">
        <v>11408</v>
      </c>
      <c r="E957">
        <v>2021</v>
      </c>
      <c r="F957" s="168" t="s">
        <v>591</v>
      </c>
      <c r="G957" s="168" t="s">
        <v>598</v>
      </c>
      <c r="H957">
        <v>1038127.9999999999</v>
      </c>
    </row>
    <row r="958" spans="1:8" x14ac:dyDescent="0.3">
      <c r="A958">
        <v>86</v>
      </c>
      <c r="B958" s="168" t="s">
        <v>134</v>
      </c>
      <c r="C958" s="168" t="s">
        <v>135</v>
      </c>
      <c r="D958">
        <v>11408</v>
      </c>
      <c r="E958">
        <v>2021</v>
      </c>
      <c r="F958" s="168" t="s">
        <v>591</v>
      </c>
      <c r="G958" s="168" t="s">
        <v>599</v>
      </c>
      <c r="H958">
        <v>947732.51</v>
      </c>
    </row>
    <row r="959" spans="1:8" x14ac:dyDescent="0.3">
      <c r="A959">
        <v>86</v>
      </c>
      <c r="B959" s="168" t="s">
        <v>134</v>
      </c>
      <c r="C959" s="168" t="s">
        <v>135</v>
      </c>
      <c r="D959">
        <v>11408</v>
      </c>
      <c r="E959">
        <v>2021</v>
      </c>
      <c r="F959" s="168" t="s">
        <v>591</v>
      </c>
      <c r="G959" s="168" t="s">
        <v>556</v>
      </c>
      <c r="H959">
        <v>0</v>
      </c>
    </row>
    <row r="960" spans="1:8" x14ac:dyDescent="0.3">
      <c r="A960">
        <v>86</v>
      </c>
      <c r="B960" s="168" t="s">
        <v>134</v>
      </c>
      <c r="C960" s="168" t="s">
        <v>135</v>
      </c>
      <c r="D960">
        <v>11408</v>
      </c>
      <c r="E960">
        <v>2021</v>
      </c>
      <c r="F960" s="168" t="s">
        <v>591</v>
      </c>
      <c r="G960" s="168" t="s">
        <v>557</v>
      </c>
      <c r="H960">
        <v>35205.839999999997</v>
      </c>
    </row>
    <row r="961" spans="1:8" x14ac:dyDescent="0.3">
      <c r="A961">
        <v>86</v>
      </c>
      <c r="B961" s="168" t="s">
        <v>134</v>
      </c>
      <c r="C961" s="168" t="s">
        <v>135</v>
      </c>
      <c r="D961">
        <v>11408</v>
      </c>
      <c r="E961">
        <v>2021</v>
      </c>
      <c r="F961" s="168" t="s">
        <v>591</v>
      </c>
      <c r="G961" s="168" t="s">
        <v>595</v>
      </c>
      <c r="H961">
        <v>0</v>
      </c>
    </row>
    <row r="962" spans="1:8" x14ac:dyDescent="0.3">
      <c r="A962">
        <v>86</v>
      </c>
      <c r="B962" s="168" t="s">
        <v>134</v>
      </c>
      <c r="C962" s="168" t="s">
        <v>135</v>
      </c>
      <c r="D962">
        <v>11408</v>
      </c>
      <c r="E962">
        <v>2021</v>
      </c>
      <c r="F962" s="168" t="s">
        <v>591</v>
      </c>
      <c r="G962" s="168" t="s">
        <v>560</v>
      </c>
      <c r="H962">
        <v>9818.181818181818</v>
      </c>
    </row>
    <row r="963" spans="1:8" x14ac:dyDescent="0.3">
      <c r="A963">
        <v>86</v>
      </c>
      <c r="B963" s="168" t="s">
        <v>134</v>
      </c>
      <c r="C963" s="168" t="s">
        <v>135</v>
      </c>
      <c r="D963">
        <v>11408</v>
      </c>
      <c r="E963">
        <v>2021</v>
      </c>
      <c r="F963" s="168" t="s">
        <v>591</v>
      </c>
      <c r="G963" s="168" t="s">
        <v>565</v>
      </c>
      <c r="H963">
        <v>333321.2</v>
      </c>
    </row>
    <row r="964" spans="1:8" x14ac:dyDescent="0.3">
      <c r="A964">
        <v>86</v>
      </c>
      <c r="B964" s="168" t="s">
        <v>134</v>
      </c>
      <c r="C964" s="168" t="s">
        <v>135</v>
      </c>
      <c r="D964">
        <v>11408</v>
      </c>
      <c r="E964">
        <v>2021</v>
      </c>
      <c r="F964" s="168" t="s">
        <v>591</v>
      </c>
      <c r="G964" s="168" t="s">
        <v>566</v>
      </c>
      <c r="H964">
        <v>116754.43999999999</v>
      </c>
    </row>
    <row r="965" spans="1:8" x14ac:dyDescent="0.3">
      <c r="A965">
        <v>86</v>
      </c>
      <c r="B965" s="168" t="s">
        <v>134</v>
      </c>
      <c r="C965" s="168" t="s">
        <v>135</v>
      </c>
      <c r="D965">
        <v>11408</v>
      </c>
      <c r="E965">
        <v>2021</v>
      </c>
      <c r="F965" s="168" t="s">
        <v>591</v>
      </c>
      <c r="G965" s="168" t="s">
        <v>571</v>
      </c>
      <c r="H965">
        <v>0</v>
      </c>
    </row>
    <row r="966" spans="1:8" x14ac:dyDescent="0.3">
      <c r="A966">
        <v>86</v>
      </c>
      <c r="B966" s="168" t="s">
        <v>134</v>
      </c>
      <c r="C966" s="168" t="s">
        <v>135</v>
      </c>
      <c r="D966">
        <v>11408</v>
      </c>
      <c r="E966">
        <v>2021</v>
      </c>
      <c r="F966" s="168" t="s">
        <v>591</v>
      </c>
      <c r="G966" s="168" t="s">
        <v>572</v>
      </c>
      <c r="H966">
        <v>7536.5853658536589</v>
      </c>
    </row>
    <row r="967" spans="1:8" x14ac:dyDescent="0.3">
      <c r="A967">
        <v>86</v>
      </c>
      <c r="B967" s="168" t="s">
        <v>134</v>
      </c>
      <c r="C967" s="168" t="s">
        <v>135</v>
      </c>
      <c r="D967">
        <v>11408</v>
      </c>
      <c r="E967">
        <v>2021</v>
      </c>
      <c r="F967" s="168" t="s">
        <v>591</v>
      </c>
      <c r="G967" s="168" t="s">
        <v>600</v>
      </c>
      <c r="H967">
        <v>1481325.3699999999</v>
      </c>
    </row>
    <row r="968" spans="1:8" x14ac:dyDescent="0.3">
      <c r="A968">
        <v>86</v>
      </c>
      <c r="B968" s="168" t="s">
        <v>134</v>
      </c>
      <c r="C968" s="168" t="s">
        <v>135</v>
      </c>
      <c r="D968">
        <v>11408</v>
      </c>
      <c r="E968">
        <v>2021</v>
      </c>
      <c r="F968" s="168" t="s">
        <v>591</v>
      </c>
      <c r="G968" s="168" t="s">
        <v>601</v>
      </c>
      <c r="H968">
        <v>634853.73</v>
      </c>
    </row>
    <row r="969" spans="1:8" x14ac:dyDescent="0.3">
      <c r="A969">
        <v>86</v>
      </c>
      <c r="B969" s="168" t="s">
        <v>134</v>
      </c>
      <c r="C969" s="168" t="s">
        <v>135</v>
      </c>
      <c r="D969">
        <v>11408</v>
      </c>
      <c r="E969">
        <v>2021</v>
      </c>
      <c r="F969" s="168" t="s">
        <v>591</v>
      </c>
      <c r="G969" s="168" t="s">
        <v>575</v>
      </c>
      <c r="H969">
        <v>0</v>
      </c>
    </row>
    <row r="970" spans="1:8" x14ac:dyDescent="0.3">
      <c r="A970">
        <v>86</v>
      </c>
      <c r="B970" s="168" t="s">
        <v>134</v>
      </c>
      <c r="C970" s="168" t="s">
        <v>135</v>
      </c>
      <c r="D970">
        <v>11408</v>
      </c>
      <c r="E970">
        <v>2021</v>
      </c>
      <c r="F970" s="168" t="s">
        <v>591</v>
      </c>
      <c r="G970" s="168" t="s">
        <v>576</v>
      </c>
      <c r="H970">
        <v>47680.665562320341</v>
      </c>
    </row>
    <row r="971" spans="1:8" x14ac:dyDescent="0.3">
      <c r="A971">
        <v>86</v>
      </c>
      <c r="B971" s="168" t="s">
        <v>134</v>
      </c>
      <c r="C971" s="168" t="s">
        <v>135</v>
      </c>
      <c r="D971">
        <v>11408</v>
      </c>
      <c r="E971">
        <v>2021</v>
      </c>
      <c r="F971" s="168" t="s">
        <v>591</v>
      </c>
      <c r="G971" s="168" t="s">
        <v>577</v>
      </c>
      <c r="H971">
        <v>0</v>
      </c>
    </row>
    <row r="972" spans="1:8" x14ac:dyDescent="0.3">
      <c r="A972">
        <v>86</v>
      </c>
      <c r="B972" s="168" t="s">
        <v>134</v>
      </c>
      <c r="C972" s="168" t="s">
        <v>135</v>
      </c>
      <c r="D972">
        <v>11408</v>
      </c>
      <c r="E972">
        <v>2021</v>
      </c>
      <c r="F972" s="168" t="s">
        <v>591</v>
      </c>
      <c r="G972" s="168" t="s">
        <v>585</v>
      </c>
      <c r="H972">
        <v>808419.96378798096</v>
      </c>
    </row>
    <row r="973" spans="1:8" x14ac:dyDescent="0.3">
      <c r="A973">
        <v>86</v>
      </c>
      <c r="B973" s="168" t="s">
        <v>134</v>
      </c>
      <c r="C973" s="168" t="s">
        <v>135</v>
      </c>
      <c r="D973">
        <v>11408</v>
      </c>
      <c r="E973">
        <v>2021</v>
      </c>
      <c r="F973" s="168" t="s">
        <v>591</v>
      </c>
      <c r="G973" s="168" t="s">
        <v>586</v>
      </c>
      <c r="H973">
        <v>329631.1830452804</v>
      </c>
    </row>
    <row r="974" spans="1:8" x14ac:dyDescent="0.3">
      <c r="A974">
        <v>88</v>
      </c>
      <c r="B974" s="168" t="s">
        <v>138</v>
      </c>
      <c r="C974" s="168" t="s">
        <v>139</v>
      </c>
      <c r="D974">
        <v>7858.3</v>
      </c>
      <c r="E974">
        <v>2021</v>
      </c>
      <c r="F974" s="168" t="s">
        <v>591</v>
      </c>
      <c r="G974" s="168" t="s">
        <v>548</v>
      </c>
      <c r="H974">
        <v>1812328.73</v>
      </c>
    </row>
    <row r="975" spans="1:8" x14ac:dyDescent="0.3">
      <c r="A975">
        <v>88</v>
      </c>
      <c r="B975" s="168" t="s">
        <v>138</v>
      </c>
      <c r="C975" s="168" t="s">
        <v>139</v>
      </c>
      <c r="D975">
        <v>7858.3</v>
      </c>
      <c r="E975">
        <v>2021</v>
      </c>
      <c r="F975" s="168" t="s">
        <v>591</v>
      </c>
      <c r="G975" s="168" t="s">
        <v>549</v>
      </c>
      <c r="H975">
        <v>776712.31</v>
      </c>
    </row>
    <row r="976" spans="1:8" x14ac:dyDescent="0.3">
      <c r="A976">
        <v>88</v>
      </c>
      <c r="B976" s="168" t="s">
        <v>138</v>
      </c>
      <c r="C976" s="168" t="s">
        <v>139</v>
      </c>
      <c r="D976">
        <v>7858.3</v>
      </c>
      <c r="E976">
        <v>2021</v>
      </c>
      <c r="F976" s="168" t="s">
        <v>591</v>
      </c>
      <c r="G976" s="168" t="s">
        <v>550</v>
      </c>
      <c r="H976">
        <v>681570.02</v>
      </c>
    </row>
    <row r="977" spans="1:8" x14ac:dyDescent="0.3">
      <c r="A977">
        <v>88</v>
      </c>
      <c r="B977" s="168" t="s">
        <v>138</v>
      </c>
      <c r="C977" s="168" t="s">
        <v>139</v>
      </c>
      <c r="D977">
        <v>7858.3</v>
      </c>
      <c r="E977">
        <v>2021</v>
      </c>
      <c r="F977" s="168" t="s">
        <v>591</v>
      </c>
      <c r="G977" s="168" t="s">
        <v>551</v>
      </c>
      <c r="H977">
        <v>292101.44</v>
      </c>
    </row>
    <row r="978" spans="1:8" x14ac:dyDescent="0.3">
      <c r="A978">
        <v>88</v>
      </c>
      <c r="B978" s="168" t="s">
        <v>138</v>
      </c>
      <c r="C978" s="168" t="s">
        <v>139</v>
      </c>
      <c r="D978">
        <v>7858.3</v>
      </c>
      <c r="E978">
        <v>2021</v>
      </c>
      <c r="F978" s="168" t="s">
        <v>591</v>
      </c>
      <c r="G978" s="168" t="s">
        <v>598</v>
      </c>
      <c r="H978">
        <v>715105.29999999993</v>
      </c>
    </row>
    <row r="979" spans="1:8" x14ac:dyDescent="0.3">
      <c r="A979">
        <v>88</v>
      </c>
      <c r="B979" s="168" t="s">
        <v>138</v>
      </c>
      <c r="C979" s="168" t="s">
        <v>139</v>
      </c>
      <c r="D979">
        <v>7858.3</v>
      </c>
      <c r="E979">
        <v>2021</v>
      </c>
      <c r="F979" s="168" t="s">
        <v>591</v>
      </c>
      <c r="G979" s="168" t="s">
        <v>599</v>
      </c>
      <c r="H979">
        <v>306473.7</v>
      </c>
    </row>
    <row r="980" spans="1:8" x14ac:dyDescent="0.3">
      <c r="A980">
        <v>88</v>
      </c>
      <c r="B980" s="168" t="s">
        <v>138</v>
      </c>
      <c r="C980" s="168" t="s">
        <v>139</v>
      </c>
      <c r="D980">
        <v>7858.3</v>
      </c>
      <c r="E980">
        <v>2021</v>
      </c>
      <c r="F980" s="168" t="s">
        <v>591</v>
      </c>
      <c r="G980" s="168" t="s">
        <v>556</v>
      </c>
      <c r="H980">
        <v>0</v>
      </c>
    </row>
    <row r="981" spans="1:8" x14ac:dyDescent="0.3">
      <c r="A981">
        <v>88</v>
      </c>
      <c r="B981" s="168" t="s">
        <v>138</v>
      </c>
      <c r="C981" s="168" t="s">
        <v>139</v>
      </c>
      <c r="D981">
        <v>7858.3</v>
      </c>
      <c r="E981">
        <v>2021</v>
      </c>
      <c r="F981" s="168" t="s">
        <v>591</v>
      </c>
      <c r="G981" s="168" t="s">
        <v>557</v>
      </c>
      <c r="H981">
        <v>37280.898876404492</v>
      </c>
    </row>
    <row r="982" spans="1:8" x14ac:dyDescent="0.3">
      <c r="A982">
        <v>88</v>
      </c>
      <c r="B982" s="168" t="s">
        <v>138</v>
      </c>
      <c r="C982" s="168" t="s">
        <v>139</v>
      </c>
      <c r="D982">
        <v>7858.3</v>
      </c>
      <c r="E982">
        <v>2021</v>
      </c>
      <c r="F982" s="168" t="s">
        <v>591</v>
      </c>
      <c r="G982" s="168" t="s">
        <v>595</v>
      </c>
      <c r="H982">
        <v>0</v>
      </c>
    </row>
    <row r="983" spans="1:8" x14ac:dyDescent="0.3">
      <c r="A983">
        <v>88</v>
      </c>
      <c r="B983" s="168" t="s">
        <v>138</v>
      </c>
      <c r="C983" s="168" t="s">
        <v>139</v>
      </c>
      <c r="D983">
        <v>7858.3</v>
      </c>
      <c r="E983">
        <v>2021</v>
      </c>
      <c r="F983" s="168" t="s">
        <v>591</v>
      </c>
      <c r="G983" s="168" t="s">
        <v>560</v>
      </c>
      <c r="H983">
        <v>9818.181818181818</v>
      </c>
    </row>
    <row r="984" spans="1:8" x14ac:dyDescent="0.3">
      <c r="A984">
        <v>88</v>
      </c>
      <c r="B984" s="168" t="s">
        <v>138</v>
      </c>
      <c r="C984" s="168" t="s">
        <v>139</v>
      </c>
      <c r="D984">
        <v>7858.3</v>
      </c>
      <c r="E984">
        <v>2021</v>
      </c>
      <c r="F984" s="168" t="s">
        <v>591</v>
      </c>
      <c r="G984" s="168" t="s">
        <v>565</v>
      </c>
      <c r="H984">
        <v>311517</v>
      </c>
    </row>
    <row r="985" spans="1:8" x14ac:dyDescent="0.3">
      <c r="A985">
        <v>88</v>
      </c>
      <c r="B985" s="168" t="s">
        <v>138</v>
      </c>
      <c r="C985" s="168" t="s">
        <v>139</v>
      </c>
      <c r="D985">
        <v>7858.3</v>
      </c>
      <c r="E985">
        <v>2021</v>
      </c>
      <c r="F985" s="168" t="s">
        <v>591</v>
      </c>
      <c r="G985" s="168" t="s">
        <v>566</v>
      </c>
      <c r="H985">
        <v>108184.87999999999</v>
      </c>
    </row>
    <row r="986" spans="1:8" x14ac:dyDescent="0.3">
      <c r="A986">
        <v>88</v>
      </c>
      <c r="B986" s="168" t="s">
        <v>138</v>
      </c>
      <c r="C986" s="168" t="s">
        <v>139</v>
      </c>
      <c r="D986">
        <v>7858.3</v>
      </c>
      <c r="E986">
        <v>2021</v>
      </c>
      <c r="F986" s="168" t="s">
        <v>591</v>
      </c>
      <c r="G986" s="168" t="s">
        <v>600</v>
      </c>
      <c r="H986">
        <v>999455.48499999987</v>
      </c>
    </row>
    <row r="987" spans="1:8" x14ac:dyDescent="0.3">
      <c r="A987">
        <v>88</v>
      </c>
      <c r="B987" s="168" t="s">
        <v>138</v>
      </c>
      <c r="C987" s="168" t="s">
        <v>139</v>
      </c>
      <c r="D987">
        <v>7858.3</v>
      </c>
      <c r="E987">
        <v>2021</v>
      </c>
      <c r="F987" s="168" t="s">
        <v>591</v>
      </c>
      <c r="G987" s="168" t="s">
        <v>601</v>
      </c>
      <c r="H987">
        <v>546107</v>
      </c>
    </row>
    <row r="988" spans="1:8" x14ac:dyDescent="0.3">
      <c r="A988">
        <v>88</v>
      </c>
      <c r="B988" s="168" t="s">
        <v>138</v>
      </c>
      <c r="C988" s="168" t="s">
        <v>139</v>
      </c>
      <c r="D988">
        <v>7858.3</v>
      </c>
      <c r="E988">
        <v>2021</v>
      </c>
      <c r="F988" s="168" t="s">
        <v>591</v>
      </c>
      <c r="G988" s="168" t="s">
        <v>575</v>
      </c>
      <c r="H988">
        <v>0</v>
      </c>
    </row>
    <row r="989" spans="1:8" x14ac:dyDescent="0.3">
      <c r="A989">
        <v>88</v>
      </c>
      <c r="B989" s="168" t="s">
        <v>138</v>
      </c>
      <c r="C989" s="168" t="s">
        <v>139</v>
      </c>
      <c r="D989">
        <v>7858.3</v>
      </c>
      <c r="E989">
        <v>2021</v>
      </c>
      <c r="F989" s="168" t="s">
        <v>591</v>
      </c>
      <c r="G989" s="168" t="s">
        <v>576</v>
      </c>
      <c r="H989">
        <v>32844.405170790844</v>
      </c>
    </row>
    <row r="990" spans="1:8" x14ac:dyDescent="0.3">
      <c r="A990">
        <v>88</v>
      </c>
      <c r="B990" s="168" t="s">
        <v>138</v>
      </c>
      <c r="C990" s="168" t="s">
        <v>139</v>
      </c>
      <c r="D990">
        <v>7858.3</v>
      </c>
      <c r="E990">
        <v>2021</v>
      </c>
      <c r="F990" s="168" t="s">
        <v>591</v>
      </c>
      <c r="G990" s="168" t="s">
        <v>585</v>
      </c>
      <c r="H990">
        <v>296635.85827897</v>
      </c>
    </row>
    <row r="991" spans="1:8" x14ac:dyDescent="0.3">
      <c r="A991">
        <v>88</v>
      </c>
      <c r="B991" s="168" t="s">
        <v>138</v>
      </c>
      <c r="C991" s="168" t="s">
        <v>139</v>
      </c>
      <c r="D991">
        <v>7858.3</v>
      </c>
      <c r="E991">
        <v>2021</v>
      </c>
      <c r="F991" s="168" t="s">
        <v>591</v>
      </c>
      <c r="G991" s="168" t="s">
        <v>586</v>
      </c>
      <c r="H991">
        <v>60208.179742888293</v>
      </c>
    </row>
    <row r="992" spans="1:8" x14ac:dyDescent="0.3">
      <c r="A992">
        <v>89</v>
      </c>
      <c r="B992" s="168" t="s">
        <v>140</v>
      </c>
      <c r="C992" s="168" t="s">
        <v>141</v>
      </c>
      <c r="D992">
        <v>7847.8</v>
      </c>
      <c r="E992">
        <v>2021</v>
      </c>
      <c r="F992" s="168" t="s">
        <v>591</v>
      </c>
      <c r="G992" s="168" t="s">
        <v>548</v>
      </c>
      <c r="H992">
        <v>1812328.73</v>
      </c>
    </row>
    <row r="993" spans="1:8" x14ac:dyDescent="0.3">
      <c r="A993">
        <v>89</v>
      </c>
      <c r="B993" s="168" t="s">
        <v>140</v>
      </c>
      <c r="C993" s="168" t="s">
        <v>141</v>
      </c>
      <c r="D993">
        <v>7847.8</v>
      </c>
      <c r="E993">
        <v>2021</v>
      </c>
      <c r="F993" s="168" t="s">
        <v>591</v>
      </c>
      <c r="G993" s="168" t="s">
        <v>549</v>
      </c>
      <c r="H993">
        <v>776712.31</v>
      </c>
    </row>
    <row r="994" spans="1:8" x14ac:dyDescent="0.3">
      <c r="A994">
        <v>89</v>
      </c>
      <c r="B994" s="168" t="s">
        <v>140</v>
      </c>
      <c r="C994" s="168" t="s">
        <v>141</v>
      </c>
      <c r="D994">
        <v>7847.8</v>
      </c>
      <c r="E994">
        <v>2021</v>
      </c>
      <c r="F994" s="168" t="s">
        <v>591</v>
      </c>
      <c r="G994" s="168" t="s">
        <v>550</v>
      </c>
      <c r="H994">
        <v>681570.02</v>
      </c>
    </row>
    <row r="995" spans="1:8" x14ac:dyDescent="0.3">
      <c r="A995">
        <v>89</v>
      </c>
      <c r="B995" s="168" t="s">
        <v>140</v>
      </c>
      <c r="C995" s="168" t="s">
        <v>141</v>
      </c>
      <c r="D995">
        <v>7847.8</v>
      </c>
      <c r="E995">
        <v>2021</v>
      </c>
      <c r="F995" s="168" t="s">
        <v>591</v>
      </c>
      <c r="G995" s="168" t="s">
        <v>551</v>
      </c>
      <c r="H995">
        <v>292101.44</v>
      </c>
    </row>
    <row r="996" spans="1:8" x14ac:dyDescent="0.3">
      <c r="A996">
        <v>89</v>
      </c>
      <c r="B996" s="168" t="s">
        <v>140</v>
      </c>
      <c r="C996" s="168" t="s">
        <v>141</v>
      </c>
      <c r="D996">
        <v>7847.8</v>
      </c>
      <c r="E996">
        <v>2021</v>
      </c>
      <c r="F996" s="168" t="s">
        <v>591</v>
      </c>
      <c r="G996" s="168" t="s">
        <v>598</v>
      </c>
      <c r="H996">
        <v>707243.6</v>
      </c>
    </row>
    <row r="997" spans="1:8" x14ac:dyDescent="0.3">
      <c r="A997">
        <v>89</v>
      </c>
      <c r="B997" s="168" t="s">
        <v>140</v>
      </c>
      <c r="C997" s="168" t="s">
        <v>141</v>
      </c>
      <c r="D997">
        <v>7847.8</v>
      </c>
      <c r="E997">
        <v>2021</v>
      </c>
      <c r="F997" s="168" t="s">
        <v>591</v>
      </c>
      <c r="G997" s="168" t="s">
        <v>599</v>
      </c>
      <c r="H997">
        <v>278955.8</v>
      </c>
    </row>
    <row r="998" spans="1:8" x14ac:dyDescent="0.3">
      <c r="A998">
        <v>89</v>
      </c>
      <c r="B998" s="168" t="s">
        <v>140</v>
      </c>
      <c r="C998" s="168" t="s">
        <v>141</v>
      </c>
      <c r="D998">
        <v>7847.8</v>
      </c>
      <c r="E998">
        <v>2021</v>
      </c>
      <c r="F998" s="168" t="s">
        <v>591</v>
      </c>
      <c r="G998" s="168" t="s">
        <v>556</v>
      </c>
      <c r="H998">
        <v>0</v>
      </c>
    </row>
    <row r="999" spans="1:8" x14ac:dyDescent="0.3">
      <c r="A999">
        <v>89</v>
      </c>
      <c r="B999" s="168" t="s">
        <v>140</v>
      </c>
      <c r="C999" s="168" t="s">
        <v>141</v>
      </c>
      <c r="D999">
        <v>7847.8</v>
      </c>
      <c r="E999">
        <v>2021</v>
      </c>
      <c r="F999" s="168" t="s">
        <v>591</v>
      </c>
      <c r="G999" s="168" t="s">
        <v>557</v>
      </c>
      <c r="H999">
        <v>37280.898876404492</v>
      </c>
    </row>
    <row r="1000" spans="1:8" x14ac:dyDescent="0.3">
      <c r="A1000">
        <v>89</v>
      </c>
      <c r="B1000" s="168" t="s">
        <v>140</v>
      </c>
      <c r="C1000" s="168" t="s">
        <v>141</v>
      </c>
      <c r="D1000">
        <v>7847.8</v>
      </c>
      <c r="E1000">
        <v>2021</v>
      </c>
      <c r="F1000" s="168" t="s">
        <v>591</v>
      </c>
      <c r="G1000" s="168" t="s">
        <v>595</v>
      </c>
      <c r="H1000">
        <v>0</v>
      </c>
    </row>
    <row r="1001" spans="1:8" x14ac:dyDescent="0.3">
      <c r="A1001">
        <v>89</v>
      </c>
      <c r="B1001" s="168" t="s">
        <v>140</v>
      </c>
      <c r="C1001" s="168" t="s">
        <v>141</v>
      </c>
      <c r="D1001">
        <v>7847.8</v>
      </c>
      <c r="E1001">
        <v>2021</v>
      </c>
      <c r="F1001" s="168" t="s">
        <v>591</v>
      </c>
      <c r="G1001" s="168" t="s">
        <v>560</v>
      </c>
      <c r="H1001">
        <v>9818.181818181818</v>
      </c>
    </row>
    <row r="1002" spans="1:8" x14ac:dyDescent="0.3">
      <c r="A1002">
        <v>89</v>
      </c>
      <c r="B1002" s="168" t="s">
        <v>140</v>
      </c>
      <c r="C1002" s="168" t="s">
        <v>141</v>
      </c>
      <c r="D1002">
        <v>7847.8</v>
      </c>
      <c r="E1002">
        <v>2021</v>
      </c>
      <c r="F1002" s="168" t="s">
        <v>591</v>
      </c>
      <c r="G1002" s="168" t="s">
        <v>565</v>
      </c>
      <c r="H1002">
        <v>311517</v>
      </c>
    </row>
    <row r="1003" spans="1:8" x14ac:dyDescent="0.3">
      <c r="A1003">
        <v>89</v>
      </c>
      <c r="B1003" s="168" t="s">
        <v>140</v>
      </c>
      <c r="C1003" s="168" t="s">
        <v>141</v>
      </c>
      <c r="D1003">
        <v>7847.8</v>
      </c>
      <c r="E1003">
        <v>2021</v>
      </c>
      <c r="F1003" s="168" t="s">
        <v>591</v>
      </c>
      <c r="G1003" s="168" t="s">
        <v>566</v>
      </c>
      <c r="H1003">
        <v>198184.88</v>
      </c>
    </row>
    <row r="1004" spans="1:8" x14ac:dyDescent="0.3">
      <c r="A1004">
        <v>89</v>
      </c>
      <c r="B1004" s="168" t="s">
        <v>140</v>
      </c>
      <c r="C1004" s="168" t="s">
        <v>141</v>
      </c>
      <c r="D1004">
        <v>7847.8</v>
      </c>
      <c r="E1004">
        <v>2021</v>
      </c>
      <c r="F1004" s="168" t="s">
        <v>591</v>
      </c>
      <c r="G1004" s="168" t="s">
        <v>600</v>
      </c>
      <c r="H1004">
        <v>1052576.9169999999</v>
      </c>
    </row>
    <row r="1005" spans="1:8" x14ac:dyDescent="0.3">
      <c r="A1005">
        <v>89</v>
      </c>
      <c r="B1005" s="168" t="s">
        <v>140</v>
      </c>
      <c r="C1005" s="168" t="s">
        <v>141</v>
      </c>
      <c r="D1005">
        <v>7847.8</v>
      </c>
      <c r="E1005">
        <v>2021</v>
      </c>
      <c r="F1005" s="168" t="s">
        <v>591</v>
      </c>
      <c r="G1005" s="168" t="s">
        <v>601</v>
      </c>
      <c r="H1005">
        <v>545844</v>
      </c>
    </row>
    <row r="1006" spans="1:8" x14ac:dyDescent="0.3">
      <c r="A1006">
        <v>89</v>
      </c>
      <c r="B1006" s="168" t="s">
        <v>140</v>
      </c>
      <c r="C1006" s="168" t="s">
        <v>141</v>
      </c>
      <c r="D1006">
        <v>7847.8</v>
      </c>
      <c r="E1006">
        <v>2021</v>
      </c>
      <c r="F1006" s="168" t="s">
        <v>591</v>
      </c>
      <c r="G1006" s="168" t="s">
        <v>575</v>
      </c>
      <c r="H1006">
        <v>0</v>
      </c>
    </row>
    <row r="1007" spans="1:8" x14ac:dyDescent="0.3">
      <c r="A1007">
        <v>89</v>
      </c>
      <c r="B1007" s="168" t="s">
        <v>140</v>
      </c>
      <c r="C1007" s="168" t="s">
        <v>141</v>
      </c>
      <c r="D1007">
        <v>7847.8</v>
      </c>
      <c r="E1007">
        <v>2021</v>
      </c>
      <c r="F1007" s="168" t="s">
        <v>591</v>
      </c>
      <c r="G1007" s="168" t="s">
        <v>576</v>
      </c>
      <c r="H1007">
        <v>32800.519565215422</v>
      </c>
    </row>
    <row r="1008" spans="1:8" x14ac:dyDescent="0.3">
      <c r="A1008">
        <v>89</v>
      </c>
      <c r="B1008" s="168" t="s">
        <v>140</v>
      </c>
      <c r="C1008" s="168" t="s">
        <v>141</v>
      </c>
      <c r="D1008">
        <v>7847.8</v>
      </c>
      <c r="E1008">
        <v>2021</v>
      </c>
      <c r="F1008" s="168" t="s">
        <v>591</v>
      </c>
      <c r="G1008" s="168" t="s">
        <v>585</v>
      </c>
      <c r="H1008">
        <v>296239.50327700662</v>
      </c>
    </row>
    <row r="1009" spans="1:8" x14ac:dyDescent="0.3">
      <c r="A1009">
        <v>89</v>
      </c>
      <c r="B1009" s="168" t="s">
        <v>140</v>
      </c>
      <c r="C1009" s="168" t="s">
        <v>141</v>
      </c>
      <c r="D1009">
        <v>7847.8</v>
      </c>
      <c r="E1009">
        <v>2021</v>
      </c>
      <c r="F1009" s="168" t="s">
        <v>591</v>
      </c>
      <c r="G1009" s="168" t="s">
        <v>586</v>
      </c>
      <c r="H1009">
        <v>60127.731568690273</v>
      </c>
    </row>
    <row r="1010" spans="1:8" x14ac:dyDescent="0.3">
      <c r="A1010">
        <v>90</v>
      </c>
      <c r="B1010" s="168" t="s">
        <v>142</v>
      </c>
      <c r="C1010" s="168" t="s">
        <v>143</v>
      </c>
      <c r="D1010">
        <v>1453.6</v>
      </c>
      <c r="E1010">
        <v>2021</v>
      </c>
      <c r="F1010" s="168" t="s">
        <v>592</v>
      </c>
      <c r="G1010" s="168" t="s">
        <v>556</v>
      </c>
      <c r="H1010">
        <v>0</v>
      </c>
    </row>
    <row r="1011" spans="1:8" x14ac:dyDescent="0.3">
      <c r="A1011">
        <v>90</v>
      </c>
      <c r="B1011" s="168" t="s">
        <v>142</v>
      </c>
      <c r="C1011" s="168" t="s">
        <v>143</v>
      </c>
      <c r="D1011">
        <v>1453.6</v>
      </c>
      <c r="E1011">
        <v>2021</v>
      </c>
      <c r="F1011" s="168" t="s">
        <v>592</v>
      </c>
      <c r="G1011" s="168" t="s">
        <v>557</v>
      </c>
      <c r="H1011">
        <v>10651.685393258427</v>
      </c>
    </row>
    <row r="1012" spans="1:8" x14ac:dyDescent="0.3">
      <c r="A1012">
        <v>90</v>
      </c>
      <c r="B1012" s="168" t="s">
        <v>142</v>
      </c>
      <c r="C1012" s="168" t="s">
        <v>143</v>
      </c>
      <c r="D1012">
        <v>1453.6</v>
      </c>
      <c r="E1012">
        <v>2021</v>
      </c>
      <c r="F1012" s="168" t="s">
        <v>592</v>
      </c>
      <c r="G1012" s="168" t="s">
        <v>595</v>
      </c>
      <c r="H1012">
        <v>0</v>
      </c>
    </row>
    <row r="1013" spans="1:8" x14ac:dyDescent="0.3">
      <c r="A1013">
        <v>90</v>
      </c>
      <c r="B1013" s="168" t="s">
        <v>142</v>
      </c>
      <c r="C1013" s="168" t="s">
        <v>143</v>
      </c>
      <c r="D1013">
        <v>1453.6</v>
      </c>
      <c r="E1013">
        <v>2021</v>
      </c>
      <c r="F1013" s="168" t="s">
        <v>592</v>
      </c>
      <c r="G1013" s="168" t="s">
        <v>560</v>
      </c>
      <c r="H1013">
        <v>13090.90909090909</v>
      </c>
    </row>
    <row r="1014" spans="1:8" x14ac:dyDescent="0.3">
      <c r="A1014">
        <v>90</v>
      </c>
      <c r="B1014" s="168" t="s">
        <v>142</v>
      </c>
      <c r="C1014" s="168" t="s">
        <v>143</v>
      </c>
      <c r="D1014">
        <v>1453.6</v>
      </c>
      <c r="E1014">
        <v>2021</v>
      </c>
      <c r="F1014" s="168" t="s">
        <v>592</v>
      </c>
      <c r="G1014" s="168" t="s">
        <v>600</v>
      </c>
      <c r="H1014">
        <v>21733.00083224065</v>
      </c>
    </row>
    <row r="1015" spans="1:8" x14ac:dyDescent="0.3">
      <c r="A1015">
        <v>90</v>
      </c>
      <c r="B1015" s="168" t="s">
        <v>142</v>
      </c>
      <c r="C1015" s="168" t="s">
        <v>143</v>
      </c>
      <c r="D1015">
        <v>1453.6</v>
      </c>
      <c r="E1015">
        <v>2021</v>
      </c>
      <c r="F1015" s="168" t="s">
        <v>592</v>
      </c>
      <c r="G1015" s="168" t="s">
        <v>601</v>
      </c>
      <c r="H1015">
        <v>23146.603190238344</v>
      </c>
    </row>
    <row r="1016" spans="1:8" x14ac:dyDescent="0.3">
      <c r="A1016">
        <v>90</v>
      </c>
      <c r="B1016" s="168" t="s">
        <v>142</v>
      </c>
      <c r="C1016" s="168" t="s">
        <v>143</v>
      </c>
      <c r="D1016">
        <v>1453.6</v>
      </c>
      <c r="E1016">
        <v>2021</v>
      </c>
      <c r="F1016" s="168" t="s">
        <v>592</v>
      </c>
      <c r="G1016" s="168" t="s">
        <v>578</v>
      </c>
      <c r="H1016">
        <v>599994</v>
      </c>
    </row>
    <row r="1017" spans="1:8" x14ac:dyDescent="0.3">
      <c r="A1017">
        <v>90</v>
      </c>
      <c r="B1017" s="168" t="s">
        <v>142</v>
      </c>
      <c r="C1017" s="168" t="s">
        <v>143</v>
      </c>
      <c r="D1017">
        <v>1453.6</v>
      </c>
      <c r="E1017">
        <v>2021</v>
      </c>
      <c r="F1017" s="168" t="s">
        <v>592</v>
      </c>
      <c r="G1017" s="168" t="s">
        <v>585</v>
      </c>
      <c r="H1017">
        <v>54870.631509908097</v>
      </c>
    </row>
    <row r="1018" spans="1:8" x14ac:dyDescent="0.3">
      <c r="A1018">
        <v>90</v>
      </c>
      <c r="B1018" s="168" t="s">
        <v>142</v>
      </c>
      <c r="C1018" s="168" t="s">
        <v>143</v>
      </c>
      <c r="D1018">
        <v>1453.6</v>
      </c>
      <c r="E1018">
        <v>2021</v>
      </c>
      <c r="F1018" s="168" t="s">
        <v>592</v>
      </c>
      <c r="G1018" s="168" t="s">
        <v>586</v>
      </c>
      <c r="H1018">
        <v>11137.092001356836</v>
      </c>
    </row>
    <row r="1019" spans="1:8" x14ac:dyDescent="0.3">
      <c r="A1019">
        <v>91</v>
      </c>
      <c r="B1019" s="168" t="s">
        <v>144</v>
      </c>
      <c r="C1019" s="168" t="s">
        <v>145</v>
      </c>
      <c r="D1019">
        <v>6172.3</v>
      </c>
      <c r="E1019">
        <v>2021</v>
      </c>
      <c r="F1019" s="168" t="s">
        <v>592</v>
      </c>
      <c r="G1019" s="168" t="s">
        <v>549</v>
      </c>
      <c r="H1019">
        <v>2589041.04</v>
      </c>
    </row>
    <row r="1020" spans="1:8" x14ac:dyDescent="0.3">
      <c r="A1020">
        <v>91</v>
      </c>
      <c r="B1020" s="168" t="s">
        <v>144</v>
      </c>
      <c r="C1020" s="168" t="s">
        <v>145</v>
      </c>
      <c r="D1020">
        <v>6172.3</v>
      </c>
      <c r="E1020">
        <v>2021</v>
      </c>
      <c r="F1020" s="168" t="s">
        <v>592</v>
      </c>
      <c r="G1020" s="168" t="s">
        <v>550</v>
      </c>
      <c r="H1020">
        <v>0</v>
      </c>
    </row>
    <row r="1021" spans="1:8" x14ac:dyDescent="0.3">
      <c r="A1021">
        <v>91</v>
      </c>
      <c r="B1021" s="168" t="s">
        <v>144</v>
      </c>
      <c r="C1021" s="168" t="s">
        <v>145</v>
      </c>
      <c r="D1021">
        <v>6172.3</v>
      </c>
      <c r="E1021">
        <v>2021</v>
      </c>
      <c r="F1021" s="168" t="s">
        <v>592</v>
      </c>
      <c r="G1021" s="168" t="s">
        <v>551</v>
      </c>
      <c r="H1021">
        <v>363300</v>
      </c>
    </row>
    <row r="1022" spans="1:8" x14ac:dyDescent="0.3">
      <c r="A1022">
        <v>91</v>
      </c>
      <c r="B1022" s="168" t="s">
        <v>144</v>
      </c>
      <c r="C1022" s="168" t="s">
        <v>145</v>
      </c>
      <c r="D1022">
        <v>6172.3</v>
      </c>
      <c r="E1022">
        <v>2021</v>
      </c>
      <c r="F1022" s="168" t="s">
        <v>592</v>
      </c>
      <c r="G1022" s="168" t="s">
        <v>598</v>
      </c>
      <c r="H1022">
        <v>0</v>
      </c>
    </row>
    <row r="1023" spans="1:8" x14ac:dyDescent="0.3">
      <c r="A1023">
        <v>91</v>
      </c>
      <c r="B1023" s="168" t="s">
        <v>144</v>
      </c>
      <c r="C1023" s="168" t="s">
        <v>145</v>
      </c>
      <c r="D1023">
        <v>6172.3</v>
      </c>
      <c r="E1023">
        <v>2021</v>
      </c>
      <c r="F1023" s="168" t="s">
        <v>592</v>
      </c>
      <c r="G1023" s="168" t="s">
        <v>599</v>
      </c>
      <c r="H1023">
        <v>1211554.3799999999</v>
      </c>
    </row>
    <row r="1024" spans="1:8" x14ac:dyDescent="0.3">
      <c r="A1024">
        <v>91</v>
      </c>
      <c r="B1024" s="168" t="s">
        <v>144</v>
      </c>
      <c r="C1024" s="168" t="s">
        <v>145</v>
      </c>
      <c r="D1024">
        <v>6172.3</v>
      </c>
      <c r="E1024">
        <v>2021</v>
      </c>
      <c r="F1024" s="168" t="s">
        <v>592</v>
      </c>
      <c r="G1024" s="168" t="s">
        <v>554</v>
      </c>
      <c r="H1024">
        <v>0</v>
      </c>
    </row>
    <row r="1025" spans="1:8" x14ac:dyDescent="0.3">
      <c r="A1025">
        <v>91</v>
      </c>
      <c r="B1025" s="168" t="s">
        <v>144</v>
      </c>
      <c r="C1025" s="168" t="s">
        <v>145</v>
      </c>
      <c r="D1025">
        <v>6172.3</v>
      </c>
      <c r="E1025">
        <v>2021</v>
      </c>
      <c r="F1025" s="168" t="s">
        <v>592</v>
      </c>
      <c r="G1025" s="168" t="s">
        <v>555</v>
      </c>
      <c r="H1025">
        <v>84400</v>
      </c>
    </row>
    <row r="1026" spans="1:8" x14ac:dyDescent="0.3">
      <c r="A1026">
        <v>91</v>
      </c>
      <c r="B1026" s="168" t="s">
        <v>144</v>
      </c>
      <c r="C1026" s="168" t="s">
        <v>145</v>
      </c>
      <c r="D1026">
        <v>6172.3</v>
      </c>
      <c r="E1026">
        <v>2021</v>
      </c>
      <c r="F1026" s="168" t="s">
        <v>592</v>
      </c>
      <c r="G1026" s="168" t="s">
        <v>556</v>
      </c>
      <c r="H1026">
        <v>0</v>
      </c>
    </row>
    <row r="1027" spans="1:8" x14ac:dyDescent="0.3">
      <c r="A1027">
        <v>91</v>
      </c>
      <c r="B1027" s="168" t="s">
        <v>144</v>
      </c>
      <c r="C1027" s="168" t="s">
        <v>145</v>
      </c>
      <c r="D1027">
        <v>6172.3</v>
      </c>
      <c r="E1027">
        <v>2021</v>
      </c>
      <c r="F1027" s="168" t="s">
        <v>592</v>
      </c>
      <c r="G1027" s="168" t="s">
        <v>557</v>
      </c>
      <c r="H1027">
        <v>149000</v>
      </c>
    </row>
    <row r="1028" spans="1:8" x14ac:dyDescent="0.3">
      <c r="A1028">
        <v>91</v>
      </c>
      <c r="B1028" s="168" t="s">
        <v>144</v>
      </c>
      <c r="C1028" s="168" t="s">
        <v>145</v>
      </c>
      <c r="D1028">
        <v>6172.3</v>
      </c>
      <c r="E1028">
        <v>2021</v>
      </c>
      <c r="F1028" s="168" t="s">
        <v>592</v>
      </c>
      <c r="G1028" s="168" t="s">
        <v>558</v>
      </c>
      <c r="H1028">
        <v>0</v>
      </c>
    </row>
    <row r="1029" spans="1:8" x14ac:dyDescent="0.3">
      <c r="A1029">
        <v>91</v>
      </c>
      <c r="B1029" s="168" t="s">
        <v>144</v>
      </c>
      <c r="C1029" s="168" t="s">
        <v>145</v>
      </c>
      <c r="D1029">
        <v>6172.3</v>
      </c>
      <c r="E1029">
        <v>2021</v>
      </c>
      <c r="F1029" s="168" t="s">
        <v>592</v>
      </c>
      <c r="G1029" s="168" t="s">
        <v>559</v>
      </c>
      <c r="H1029">
        <v>269000</v>
      </c>
    </row>
    <row r="1030" spans="1:8" x14ac:dyDescent="0.3">
      <c r="A1030">
        <v>91</v>
      </c>
      <c r="B1030" s="168" t="s">
        <v>144</v>
      </c>
      <c r="C1030" s="168" t="s">
        <v>145</v>
      </c>
      <c r="D1030">
        <v>6172.3</v>
      </c>
      <c r="E1030">
        <v>2021</v>
      </c>
      <c r="F1030" s="168" t="s">
        <v>592</v>
      </c>
      <c r="G1030" s="168" t="s">
        <v>595</v>
      </c>
      <c r="H1030">
        <v>0</v>
      </c>
    </row>
    <row r="1031" spans="1:8" x14ac:dyDescent="0.3">
      <c r="A1031">
        <v>91</v>
      </c>
      <c r="B1031" s="168" t="s">
        <v>144</v>
      </c>
      <c r="C1031" s="168" t="s">
        <v>145</v>
      </c>
      <c r="D1031">
        <v>6172.3</v>
      </c>
      <c r="E1031">
        <v>2021</v>
      </c>
      <c r="F1031" s="168" t="s">
        <v>592</v>
      </c>
      <c r="G1031" s="168" t="s">
        <v>560</v>
      </c>
      <c r="H1031">
        <v>342500</v>
      </c>
    </row>
    <row r="1032" spans="1:8" x14ac:dyDescent="0.3">
      <c r="A1032">
        <v>91</v>
      </c>
      <c r="B1032" s="168" t="s">
        <v>144</v>
      </c>
      <c r="C1032" s="168" t="s">
        <v>145</v>
      </c>
      <c r="D1032">
        <v>6172.3</v>
      </c>
      <c r="E1032">
        <v>2021</v>
      </c>
      <c r="F1032" s="168" t="s">
        <v>592</v>
      </c>
      <c r="G1032" s="168" t="s">
        <v>561</v>
      </c>
      <c r="H1032">
        <v>0</v>
      </c>
    </row>
    <row r="1033" spans="1:8" x14ac:dyDescent="0.3">
      <c r="A1033">
        <v>91</v>
      </c>
      <c r="B1033" s="168" t="s">
        <v>144</v>
      </c>
      <c r="C1033" s="168" t="s">
        <v>145</v>
      </c>
      <c r="D1033">
        <v>6172.3</v>
      </c>
      <c r="E1033">
        <v>2021</v>
      </c>
      <c r="F1033" s="168" t="s">
        <v>592</v>
      </c>
      <c r="G1033" s="168" t="s">
        <v>562</v>
      </c>
      <c r="H1033">
        <v>32400</v>
      </c>
    </row>
    <row r="1034" spans="1:8" x14ac:dyDescent="0.3">
      <c r="A1034">
        <v>91</v>
      </c>
      <c r="B1034" s="168" t="s">
        <v>144</v>
      </c>
      <c r="C1034" s="168" t="s">
        <v>145</v>
      </c>
      <c r="D1034">
        <v>6172.3</v>
      </c>
      <c r="E1034">
        <v>2021</v>
      </c>
      <c r="F1034" s="168" t="s">
        <v>592</v>
      </c>
      <c r="G1034" s="168" t="s">
        <v>563</v>
      </c>
      <c r="H1034">
        <v>0</v>
      </c>
    </row>
    <row r="1035" spans="1:8" x14ac:dyDescent="0.3">
      <c r="A1035">
        <v>91</v>
      </c>
      <c r="B1035" s="168" t="s">
        <v>144</v>
      </c>
      <c r="C1035" s="168" t="s">
        <v>145</v>
      </c>
      <c r="D1035">
        <v>6172.3</v>
      </c>
      <c r="E1035">
        <v>2021</v>
      </c>
      <c r="F1035" s="168" t="s">
        <v>592</v>
      </c>
      <c r="G1035" s="168" t="s">
        <v>566</v>
      </c>
      <c r="H1035">
        <v>103938.2</v>
      </c>
    </row>
    <row r="1036" spans="1:8" x14ac:dyDescent="0.3">
      <c r="A1036">
        <v>91</v>
      </c>
      <c r="B1036" s="168" t="s">
        <v>144</v>
      </c>
      <c r="C1036" s="168" t="s">
        <v>145</v>
      </c>
      <c r="D1036">
        <v>6172.3</v>
      </c>
      <c r="E1036">
        <v>2021</v>
      </c>
      <c r="F1036" s="168" t="s">
        <v>592</v>
      </c>
      <c r="G1036" s="168" t="s">
        <v>575</v>
      </c>
      <c r="H1036">
        <v>0</v>
      </c>
    </row>
    <row r="1037" spans="1:8" x14ac:dyDescent="0.3">
      <c r="A1037">
        <v>91</v>
      </c>
      <c r="B1037" s="168" t="s">
        <v>144</v>
      </c>
      <c r="C1037" s="168" t="s">
        <v>145</v>
      </c>
      <c r="D1037">
        <v>6172.3</v>
      </c>
      <c r="E1037">
        <v>2021</v>
      </c>
      <c r="F1037" s="168" t="s">
        <v>592</v>
      </c>
      <c r="G1037" s="168" t="s">
        <v>583</v>
      </c>
      <c r="H1037">
        <v>0</v>
      </c>
    </row>
    <row r="1038" spans="1:8" x14ac:dyDescent="0.3">
      <c r="A1038">
        <v>91</v>
      </c>
      <c r="B1038" s="168" t="s">
        <v>144</v>
      </c>
      <c r="C1038" s="168" t="s">
        <v>145</v>
      </c>
      <c r="D1038">
        <v>6172.3</v>
      </c>
      <c r="E1038">
        <v>2021</v>
      </c>
      <c r="F1038" s="168" t="s">
        <v>592</v>
      </c>
      <c r="G1038" s="168" t="s">
        <v>584</v>
      </c>
      <c r="H1038">
        <v>299500</v>
      </c>
    </row>
    <row r="1039" spans="1:8" x14ac:dyDescent="0.3">
      <c r="A1039">
        <v>91</v>
      </c>
      <c r="B1039" s="168" t="s">
        <v>144</v>
      </c>
      <c r="C1039" s="168" t="s">
        <v>145</v>
      </c>
      <c r="D1039">
        <v>6172.3</v>
      </c>
      <c r="E1039">
        <v>2021</v>
      </c>
      <c r="F1039" s="168" t="s">
        <v>592</v>
      </c>
      <c r="G1039" s="168" t="s">
        <v>585</v>
      </c>
      <c r="H1039">
        <v>0</v>
      </c>
    </row>
    <row r="1040" spans="1:8" x14ac:dyDescent="0.3">
      <c r="A1040">
        <v>91</v>
      </c>
      <c r="B1040" s="168" t="s">
        <v>144</v>
      </c>
      <c r="C1040" s="168" t="s">
        <v>145</v>
      </c>
      <c r="D1040">
        <v>6172.3</v>
      </c>
      <c r="E1040">
        <v>2021</v>
      </c>
      <c r="F1040" s="168" t="s">
        <v>592</v>
      </c>
      <c r="G1040" s="168" t="s">
        <v>586</v>
      </c>
      <c r="H1040">
        <v>323931.59999999998</v>
      </c>
    </row>
    <row r="1041" spans="1:8" x14ac:dyDescent="0.3">
      <c r="A1041">
        <v>91</v>
      </c>
      <c r="B1041" s="168" t="s">
        <v>144</v>
      </c>
      <c r="C1041" s="168" t="s">
        <v>145</v>
      </c>
      <c r="D1041">
        <v>6172.3</v>
      </c>
      <c r="E1041">
        <v>2021</v>
      </c>
      <c r="F1041" s="168" t="s">
        <v>592</v>
      </c>
      <c r="G1041" s="168" t="s">
        <v>603</v>
      </c>
      <c r="H1041">
        <v>267936</v>
      </c>
    </row>
    <row r="1042" spans="1:8" x14ac:dyDescent="0.3">
      <c r="A1042">
        <v>92</v>
      </c>
      <c r="B1042" s="168" t="s">
        <v>146</v>
      </c>
      <c r="C1042" s="168" t="s">
        <v>147</v>
      </c>
      <c r="D1042">
        <v>57815.38</v>
      </c>
      <c r="E1042">
        <v>2021</v>
      </c>
      <c r="F1042" s="168" t="s">
        <v>592</v>
      </c>
      <c r="G1042" s="168" t="s">
        <v>548</v>
      </c>
      <c r="H1042">
        <v>7534109</v>
      </c>
    </row>
    <row r="1043" spans="1:8" x14ac:dyDescent="0.3">
      <c r="A1043">
        <v>92</v>
      </c>
      <c r="B1043" s="168" t="s">
        <v>146</v>
      </c>
      <c r="C1043" s="168" t="s">
        <v>147</v>
      </c>
      <c r="D1043">
        <v>57815.38</v>
      </c>
      <c r="E1043">
        <v>2021</v>
      </c>
      <c r="F1043" s="168" t="s">
        <v>592</v>
      </c>
      <c r="G1043" s="168" t="s">
        <v>550</v>
      </c>
      <c r="H1043">
        <v>133200</v>
      </c>
    </row>
    <row r="1044" spans="1:8" x14ac:dyDescent="0.3">
      <c r="A1044">
        <v>92</v>
      </c>
      <c r="B1044" s="168" t="s">
        <v>146</v>
      </c>
      <c r="C1044" s="168" t="s">
        <v>147</v>
      </c>
      <c r="D1044">
        <v>57815.38</v>
      </c>
      <c r="E1044">
        <v>2021</v>
      </c>
      <c r="F1044" s="168" t="s">
        <v>592</v>
      </c>
      <c r="G1044" s="168" t="s">
        <v>551</v>
      </c>
      <c r="H1044">
        <v>0</v>
      </c>
    </row>
    <row r="1045" spans="1:8" x14ac:dyDescent="0.3">
      <c r="A1045">
        <v>92</v>
      </c>
      <c r="B1045" s="168" t="s">
        <v>146</v>
      </c>
      <c r="C1045" s="168" t="s">
        <v>147</v>
      </c>
      <c r="D1045">
        <v>57815.38</v>
      </c>
      <c r="E1045">
        <v>2021</v>
      </c>
      <c r="F1045" s="168" t="s">
        <v>592</v>
      </c>
      <c r="G1045" s="168" t="s">
        <v>598</v>
      </c>
      <c r="H1045">
        <v>113573.5977947661</v>
      </c>
    </row>
    <row r="1046" spans="1:8" x14ac:dyDescent="0.3">
      <c r="A1046">
        <v>92</v>
      </c>
      <c r="B1046" s="168" t="s">
        <v>146</v>
      </c>
      <c r="C1046" s="168" t="s">
        <v>147</v>
      </c>
      <c r="D1046">
        <v>57815.38</v>
      </c>
      <c r="E1046">
        <v>2021</v>
      </c>
      <c r="F1046" s="168" t="s">
        <v>592</v>
      </c>
      <c r="G1046" s="168" t="s">
        <v>599</v>
      </c>
      <c r="H1046">
        <v>0</v>
      </c>
    </row>
    <row r="1047" spans="1:8" x14ac:dyDescent="0.3">
      <c r="A1047">
        <v>92</v>
      </c>
      <c r="B1047" s="168" t="s">
        <v>146</v>
      </c>
      <c r="C1047" s="168" t="s">
        <v>147</v>
      </c>
      <c r="D1047">
        <v>57815.38</v>
      </c>
      <c r="E1047">
        <v>2021</v>
      </c>
      <c r="F1047" s="168" t="s">
        <v>592</v>
      </c>
      <c r="G1047" s="168" t="s">
        <v>554</v>
      </c>
      <c r="H1047">
        <v>24282</v>
      </c>
    </row>
    <row r="1048" spans="1:8" x14ac:dyDescent="0.3">
      <c r="A1048">
        <v>92</v>
      </c>
      <c r="B1048" s="168" t="s">
        <v>146</v>
      </c>
      <c r="C1048" s="168" t="s">
        <v>147</v>
      </c>
      <c r="D1048">
        <v>57815.38</v>
      </c>
      <c r="E1048">
        <v>2021</v>
      </c>
      <c r="F1048" s="168" t="s">
        <v>592</v>
      </c>
      <c r="G1048" s="168" t="s">
        <v>556</v>
      </c>
      <c r="H1048">
        <v>0</v>
      </c>
    </row>
    <row r="1049" spans="1:8" x14ac:dyDescent="0.3">
      <c r="A1049">
        <v>92</v>
      </c>
      <c r="B1049" s="168" t="s">
        <v>146</v>
      </c>
      <c r="C1049" s="168" t="s">
        <v>147</v>
      </c>
      <c r="D1049">
        <v>57815.38</v>
      </c>
      <c r="E1049">
        <v>2021</v>
      </c>
      <c r="F1049" s="168" t="s">
        <v>592</v>
      </c>
      <c r="G1049" s="168" t="s">
        <v>557</v>
      </c>
      <c r="H1049">
        <v>5325.8426966292136</v>
      </c>
    </row>
    <row r="1050" spans="1:8" x14ac:dyDescent="0.3">
      <c r="A1050">
        <v>92</v>
      </c>
      <c r="B1050" s="168" t="s">
        <v>146</v>
      </c>
      <c r="C1050" s="168" t="s">
        <v>147</v>
      </c>
      <c r="D1050">
        <v>57815.38</v>
      </c>
      <c r="E1050">
        <v>2021</v>
      </c>
      <c r="F1050" s="168" t="s">
        <v>592</v>
      </c>
      <c r="G1050" s="168" t="s">
        <v>595</v>
      </c>
      <c r="H1050">
        <v>0</v>
      </c>
    </row>
    <row r="1051" spans="1:8" x14ac:dyDescent="0.3">
      <c r="A1051">
        <v>92</v>
      </c>
      <c r="B1051" s="168" t="s">
        <v>146</v>
      </c>
      <c r="C1051" s="168" t="s">
        <v>147</v>
      </c>
      <c r="D1051">
        <v>57815.38</v>
      </c>
      <c r="E1051">
        <v>2021</v>
      </c>
      <c r="F1051" s="168" t="s">
        <v>592</v>
      </c>
      <c r="G1051" s="168" t="s">
        <v>560</v>
      </c>
      <c r="H1051">
        <v>6545.454545454545</v>
      </c>
    </row>
    <row r="1052" spans="1:8" x14ac:dyDescent="0.3">
      <c r="A1052">
        <v>92</v>
      </c>
      <c r="B1052" s="168" t="s">
        <v>146</v>
      </c>
      <c r="C1052" s="168" t="s">
        <v>147</v>
      </c>
      <c r="D1052">
        <v>57815.38</v>
      </c>
      <c r="E1052">
        <v>2021</v>
      </c>
      <c r="F1052" s="168" t="s">
        <v>592</v>
      </c>
      <c r="G1052" s="168" t="s">
        <v>561</v>
      </c>
      <c r="H1052">
        <v>266266</v>
      </c>
    </row>
    <row r="1053" spans="1:8" x14ac:dyDescent="0.3">
      <c r="A1053">
        <v>92</v>
      </c>
      <c r="B1053" s="168" t="s">
        <v>146</v>
      </c>
      <c r="C1053" s="168" t="s">
        <v>147</v>
      </c>
      <c r="D1053">
        <v>57815.38</v>
      </c>
      <c r="E1053">
        <v>2021</v>
      </c>
      <c r="F1053" s="168" t="s">
        <v>592</v>
      </c>
      <c r="G1053" s="168" t="s">
        <v>575</v>
      </c>
      <c r="H1053">
        <v>0</v>
      </c>
    </row>
    <row r="1054" spans="1:8" x14ac:dyDescent="0.3">
      <c r="A1054">
        <v>92</v>
      </c>
      <c r="B1054" s="168" t="s">
        <v>146</v>
      </c>
      <c r="C1054" s="168" t="s">
        <v>147</v>
      </c>
      <c r="D1054">
        <v>57815.38</v>
      </c>
      <c r="E1054">
        <v>2021</v>
      </c>
      <c r="F1054" s="168" t="s">
        <v>592</v>
      </c>
      <c r="G1054" s="168" t="s">
        <v>583</v>
      </c>
      <c r="H1054">
        <v>0</v>
      </c>
    </row>
    <row r="1055" spans="1:8" x14ac:dyDescent="0.3">
      <c r="A1055">
        <v>92</v>
      </c>
      <c r="B1055" s="168" t="s">
        <v>146</v>
      </c>
      <c r="C1055" s="168" t="s">
        <v>147</v>
      </c>
      <c r="D1055">
        <v>57815.38</v>
      </c>
      <c r="E1055">
        <v>2021</v>
      </c>
      <c r="F1055" s="168" t="s">
        <v>592</v>
      </c>
      <c r="G1055" s="168" t="s">
        <v>584</v>
      </c>
      <c r="H1055">
        <v>177172.69675494215</v>
      </c>
    </row>
    <row r="1056" spans="1:8" x14ac:dyDescent="0.3">
      <c r="A1056">
        <v>92</v>
      </c>
      <c r="B1056" s="168" t="s">
        <v>146</v>
      </c>
      <c r="C1056" s="168" t="s">
        <v>147</v>
      </c>
      <c r="D1056">
        <v>57815.38</v>
      </c>
      <c r="E1056">
        <v>2021</v>
      </c>
      <c r="F1056" s="168" t="s">
        <v>592</v>
      </c>
      <c r="G1056" s="168" t="s">
        <v>585</v>
      </c>
      <c r="H1056">
        <v>405898.6</v>
      </c>
    </row>
    <row r="1057" spans="1:8" x14ac:dyDescent="0.3">
      <c r="A1057">
        <v>92</v>
      </c>
      <c r="B1057" s="168" t="s">
        <v>146</v>
      </c>
      <c r="C1057" s="168" t="s">
        <v>147</v>
      </c>
      <c r="D1057">
        <v>57815.38</v>
      </c>
      <c r="E1057">
        <v>2021</v>
      </c>
      <c r="F1057" s="168" t="s">
        <v>592</v>
      </c>
      <c r="G1057" s="168" t="s">
        <v>586</v>
      </c>
      <c r="H1057">
        <v>1227594.4359346679</v>
      </c>
    </row>
    <row r="1058" spans="1:8" x14ac:dyDescent="0.3">
      <c r="A1058">
        <v>92</v>
      </c>
      <c r="B1058" s="168" t="s">
        <v>146</v>
      </c>
      <c r="C1058" s="168" t="s">
        <v>147</v>
      </c>
      <c r="D1058">
        <v>57815.38</v>
      </c>
      <c r="E1058">
        <v>2021</v>
      </c>
      <c r="F1058" s="168" t="s">
        <v>592</v>
      </c>
      <c r="G1058" s="168" t="s">
        <v>603</v>
      </c>
      <c r="H1058">
        <v>78500</v>
      </c>
    </row>
    <row r="1059" spans="1:8" x14ac:dyDescent="0.3">
      <c r="A1059">
        <v>93</v>
      </c>
      <c r="B1059" s="168" t="s">
        <v>148</v>
      </c>
      <c r="C1059" s="168" t="s">
        <v>149</v>
      </c>
      <c r="D1059">
        <v>1556.1</v>
      </c>
      <c r="E1059">
        <v>2021</v>
      </c>
      <c r="F1059" s="168" t="s">
        <v>592</v>
      </c>
      <c r="G1059" s="168" t="s">
        <v>548</v>
      </c>
      <c r="H1059">
        <v>330293.3</v>
      </c>
    </row>
    <row r="1060" spans="1:8" x14ac:dyDescent="0.3">
      <c r="A1060">
        <v>93</v>
      </c>
      <c r="B1060" s="168" t="s">
        <v>148</v>
      </c>
      <c r="C1060" s="168" t="s">
        <v>149</v>
      </c>
      <c r="D1060">
        <v>1556.1</v>
      </c>
      <c r="E1060">
        <v>2021</v>
      </c>
      <c r="F1060" s="168" t="s">
        <v>592</v>
      </c>
      <c r="G1060" s="168" t="s">
        <v>550</v>
      </c>
      <c r="H1060">
        <v>62248</v>
      </c>
    </row>
    <row r="1061" spans="1:8" x14ac:dyDescent="0.3">
      <c r="A1061">
        <v>93</v>
      </c>
      <c r="B1061" s="168" t="s">
        <v>148</v>
      </c>
      <c r="C1061" s="168" t="s">
        <v>149</v>
      </c>
      <c r="D1061">
        <v>1556.1</v>
      </c>
      <c r="E1061">
        <v>2021</v>
      </c>
      <c r="F1061" s="168" t="s">
        <v>592</v>
      </c>
      <c r="G1061" s="168" t="s">
        <v>551</v>
      </c>
      <c r="H1061">
        <v>0</v>
      </c>
    </row>
    <row r="1062" spans="1:8" x14ac:dyDescent="0.3">
      <c r="A1062">
        <v>93</v>
      </c>
      <c r="B1062" s="168" t="s">
        <v>148</v>
      </c>
      <c r="C1062" s="168" t="s">
        <v>149</v>
      </c>
      <c r="D1062">
        <v>1556.1</v>
      </c>
      <c r="E1062">
        <v>2021</v>
      </c>
      <c r="F1062" s="168" t="s">
        <v>592</v>
      </c>
      <c r="G1062" s="168" t="s">
        <v>598</v>
      </c>
      <c r="H1062">
        <v>43926.402205233891</v>
      </c>
    </row>
    <row r="1063" spans="1:8" x14ac:dyDescent="0.3">
      <c r="A1063">
        <v>93</v>
      </c>
      <c r="B1063" s="168" t="s">
        <v>148</v>
      </c>
      <c r="C1063" s="168" t="s">
        <v>149</v>
      </c>
      <c r="D1063">
        <v>1556.1</v>
      </c>
      <c r="E1063">
        <v>2021</v>
      </c>
      <c r="F1063" s="168" t="s">
        <v>592</v>
      </c>
      <c r="G1063" s="168" t="s">
        <v>599</v>
      </c>
      <c r="H1063">
        <v>0</v>
      </c>
    </row>
    <row r="1064" spans="1:8" x14ac:dyDescent="0.3">
      <c r="A1064">
        <v>93</v>
      </c>
      <c r="B1064" s="168" t="s">
        <v>148</v>
      </c>
      <c r="C1064" s="168" t="s">
        <v>149</v>
      </c>
      <c r="D1064">
        <v>1556.1</v>
      </c>
      <c r="E1064">
        <v>2021</v>
      </c>
      <c r="F1064" s="168" t="s">
        <v>592</v>
      </c>
      <c r="G1064" s="168" t="s">
        <v>554</v>
      </c>
      <c r="H1064">
        <v>10974</v>
      </c>
    </row>
    <row r="1065" spans="1:8" x14ac:dyDescent="0.3">
      <c r="A1065">
        <v>93</v>
      </c>
      <c r="B1065" s="168" t="s">
        <v>148</v>
      </c>
      <c r="C1065" s="168" t="s">
        <v>149</v>
      </c>
      <c r="D1065">
        <v>1556.1</v>
      </c>
      <c r="E1065">
        <v>2021</v>
      </c>
      <c r="F1065" s="168" t="s">
        <v>592</v>
      </c>
      <c r="G1065" s="168" t="s">
        <v>556</v>
      </c>
      <c r="H1065">
        <v>0</v>
      </c>
    </row>
    <row r="1066" spans="1:8" x14ac:dyDescent="0.3">
      <c r="A1066">
        <v>93</v>
      </c>
      <c r="B1066" s="168" t="s">
        <v>148</v>
      </c>
      <c r="C1066" s="168" t="s">
        <v>149</v>
      </c>
      <c r="D1066">
        <v>1556.1</v>
      </c>
      <c r="E1066">
        <v>2021</v>
      </c>
      <c r="F1066" s="168" t="s">
        <v>592</v>
      </c>
      <c r="G1066" s="168" t="s">
        <v>557</v>
      </c>
      <c r="H1066">
        <v>5325.8426966292136</v>
      </c>
    </row>
    <row r="1067" spans="1:8" x14ac:dyDescent="0.3">
      <c r="A1067">
        <v>93</v>
      </c>
      <c r="B1067" s="168" t="s">
        <v>148</v>
      </c>
      <c r="C1067" s="168" t="s">
        <v>149</v>
      </c>
      <c r="D1067">
        <v>1556.1</v>
      </c>
      <c r="E1067">
        <v>2021</v>
      </c>
      <c r="F1067" s="168" t="s">
        <v>592</v>
      </c>
      <c r="G1067" s="168" t="s">
        <v>595</v>
      </c>
      <c r="H1067">
        <v>0</v>
      </c>
    </row>
    <row r="1068" spans="1:8" x14ac:dyDescent="0.3">
      <c r="A1068">
        <v>93</v>
      </c>
      <c r="B1068" s="168" t="s">
        <v>148</v>
      </c>
      <c r="C1068" s="168" t="s">
        <v>149</v>
      </c>
      <c r="D1068">
        <v>1556.1</v>
      </c>
      <c r="E1068">
        <v>2021</v>
      </c>
      <c r="F1068" s="168" t="s">
        <v>592</v>
      </c>
      <c r="G1068" s="168" t="s">
        <v>560</v>
      </c>
      <c r="H1068">
        <v>6545.454545454545</v>
      </c>
    </row>
    <row r="1069" spans="1:8" x14ac:dyDescent="0.3">
      <c r="A1069">
        <v>93</v>
      </c>
      <c r="B1069" s="168" t="s">
        <v>148</v>
      </c>
      <c r="C1069" s="168" t="s">
        <v>149</v>
      </c>
      <c r="D1069">
        <v>1556.1</v>
      </c>
      <c r="E1069">
        <v>2021</v>
      </c>
      <c r="F1069" s="168" t="s">
        <v>592</v>
      </c>
      <c r="G1069" s="168" t="s">
        <v>561</v>
      </c>
      <c r="H1069">
        <v>88484</v>
      </c>
    </row>
    <row r="1070" spans="1:8" x14ac:dyDescent="0.3">
      <c r="A1070">
        <v>93</v>
      </c>
      <c r="B1070" s="168" t="s">
        <v>148</v>
      </c>
      <c r="C1070" s="168" t="s">
        <v>149</v>
      </c>
      <c r="D1070">
        <v>1556.1</v>
      </c>
      <c r="E1070">
        <v>2021</v>
      </c>
      <c r="F1070" s="168" t="s">
        <v>592</v>
      </c>
      <c r="G1070" s="168" t="s">
        <v>569</v>
      </c>
      <c r="H1070">
        <v>288000</v>
      </c>
    </row>
    <row r="1071" spans="1:8" x14ac:dyDescent="0.3">
      <c r="A1071">
        <v>93</v>
      </c>
      <c r="B1071" s="168" t="s">
        <v>148</v>
      </c>
      <c r="C1071" s="168" t="s">
        <v>149</v>
      </c>
      <c r="D1071">
        <v>1556.1</v>
      </c>
      <c r="E1071">
        <v>2021</v>
      </c>
      <c r="F1071" s="168" t="s">
        <v>592</v>
      </c>
      <c r="G1071" s="168" t="s">
        <v>570</v>
      </c>
      <c r="H1071">
        <v>0</v>
      </c>
    </row>
    <row r="1072" spans="1:8" x14ac:dyDescent="0.3">
      <c r="A1072">
        <v>93</v>
      </c>
      <c r="B1072" s="168" t="s">
        <v>148</v>
      </c>
      <c r="C1072" s="168" t="s">
        <v>149</v>
      </c>
      <c r="D1072">
        <v>1556.1</v>
      </c>
      <c r="E1072">
        <v>2021</v>
      </c>
      <c r="F1072" s="168" t="s">
        <v>592</v>
      </c>
      <c r="G1072" s="168" t="s">
        <v>600</v>
      </c>
      <c r="H1072">
        <v>25000</v>
      </c>
    </row>
    <row r="1073" spans="1:8" x14ac:dyDescent="0.3">
      <c r="A1073">
        <v>93</v>
      </c>
      <c r="B1073" s="168" t="s">
        <v>148</v>
      </c>
      <c r="C1073" s="168" t="s">
        <v>149</v>
      </c>
      <c r="D1073">
        <v>1556.1</v>
      </c>
      <c r="E1073">
        <v>2021</v>
      </c>
      <c r="F1073" s="168" t="s">
        <v>592</v>
      </c>
      <c r="G1073" s="168" t="s">
        <v>601</v>
      </c>
      <c r="H1073">
        <v>25000</v>
      </c>
    </row>
    <row r="1074" spans="1:8" x14ac:dyDescent="0.3">
      <c r="A1074">
        <v>93</v>
      </c>
      <c r="B1074" s="168" t="s">
        <v>148</v>
      </c>
      <c r="C1074" s="168" t="s">
        <v>149</v>
      </c>
      <c r="D1074">
        <v>1556.1</v>
      </c>
      <c r="E1074">
        <v>2021</v>
      </c>
      <c r="F1074" s="168" t="s">
        <v>592</v>
      </c>
      <c r="G1074" s="168" t="s">
        <v>575</v>
      </c>
      <c r="H1074">
        <v>0</v>
      </c>
    </row>
    <row r="1075" spans="1:8" x14ac:dyDescent="0.3">
      <c r="A1075">
        <v>93</v>
      </c>
      <c r="B1075" s="168" t="s">
        <v>148</v>
      </c>
      <c r="C1075" s="168" t="s">
        <v>149</v>
      </c>
      <c r="D1075">
        <v>1556.1</v>
      </c>
      <c r="E1075">
        <v>2021</v>
      </c>
      <c r="F1075" s="168" t="s">
        <v>592</v>
      </c>
      <c r="G1075" s="168" t="s">
        <v>577</v>
      </c>
      <c r="H1075">
        <v>6864140</v>
      </c>
    </row>
    <row r="1076" spans="1:8" x14ac:dyDescent="0.3">
      <c r="A1076">
        <v>93</v>
      </c>
      <c r="B1076" s="168" t="s">
        <v>148</v>
      </c>
      <c r="C1076" s="168" t="s">
        <v>149</v>
      </c>
      <c r="D1076">
        <v>1556.1</v>
      </c>
      <c r="E1076">
        <v>2021</v>
      </c>
      <c r="F1076" s="168" t="s">
        <v>592</v>
      </c>
      <c r="G1076" s="168" t="s">
        <v>583</v>
      </c>
      <c r="H1076">
        <v>0</v>
      </c>
    </row>
    <row r="1077" spans="1:8" x14ac:dyDescent="0.3">
      <c r="A1077">
        <v>93</v>
      </c>
      <c r="B1077" s="168" t="s">
        <v>148</v>
      </c>
      <c r="C1077" s="168" t="s">
        <v>149</v>
      </c>
      <c r="D1077">
        <v>1556.1</v>
      </c>
      <c r="E1077">
        <v>2021</v>
      </c>
      <c r="F1077" s="168" t="s">
        <v>592</v>
      </c>
      <c r="G1077" s="168" t="s">
        <v>584</v>
      </c>
      <c r="H1077">
        <v>22827.303245057814</v>
      </c>
    </row>
    <row r="1078" spans="1:8" x14ac:dyDescent="0.3">
      <c r="A1078">
        <v>93</v>
      </c>
      <c r="B1078" s="168" t="s">
        <v>148</v>
      </c>
      <c r="C1078" s="168" t="s">
        <v>149</v>
      </c>
      <c r="D1078">
        <v>1556.1</v>
      </c>
      <c r="E1078">
        <v>2021</v>
      </c>
      <c r="F1078" s="168" t="s">
        <v>592</v>
      </c>
      <c r="G1078" s="168" t="s">
        <v>585</v>
      </c>
      <c r="H1078">
        <v>312625</v>
      </c>
    </row>
    <row r="1079" spans="1:8" x14ac:dyDescent="0.3">
      <c r="A1079">
        <v>93</v>
      </c>
      <c r="B1079" s="168" t="s">
        <v>148</v>
      </c>
      <c r="C1079" s="168" t="s">
        <v>149</v>
      </c>
      <c r="D1079">
        <v>1556.1</v>
      </c>
      <c r="E1079">
        <v>2021</v>
      </c>
      <c r="F1079" s="168" t="s">
        <v>592</v>
      </c>
      <c r="G1079" s="168" t="s">
        <v>586</v>
      </c>
      <c r="H1079">
        <v>91346.4</v>
      </c>
    </row>
    <row r="1080" spans="1:8" x14ac:dyDescent="0.3">
      <c r="A1080">
        <v>93</v>
      </c>
      <c r="B1080" s="168" t="s">
        <v>148</v>
      </c>
      <c r="C1080" s="168" t="s">
        <v>149</v>
      </c>
      <c r="D1080">
        <v>1556.1</v>
      </c>
      <c r="E1080">
        <v>2021</v>
      </c>
      <c r="F1080" s="168" t="s">
        <v>592</v>
      </c>
      <c r="G1080" s="168" t="s">
        <v>603</v>
      </c>
      <c r="H1080">
        <v>78500</v>
      </c>
    </row>
    <row r="1081" spans="1:8" x14ac:dyDescent="0.3">
      <c r="A1081">
        <v>94</v>
      </c>
      <c r="B1081" s="168" t="s">
        <v>150</v>
      </c>
      <c r="C1081" s="168" t="s">
        <v>151</v>
      </c>
      <c r="D1081">
        <v>2615.5</v>
      </c>
      <c r="E1081">
        <v>2021</v>
      </c>
      <c r="F1081" s="168" t="s">
        <v>592</v>
      </c>
      <c r="G1081" s="168" t="s">
        <v>548</v>
      </c>
      <c r="H1081">
        <v>13445205.199999999</v>
      </c>
    </row>
    <row r="1082" spans="1:8" x14ac:dyDescent="0.3">
      <c r="A1082">
        <v>94</v>
      </c>
      <c r="B1082" s="168" t="s">
        <v>150</v>
      </c>
      <c r="C1082" s="168" t="s">
        <v>151</v>
      </c>
      <c r="D1082">
        <v>2615.5</v>
      </c>
      <c r="E1082">
        <v>2021</v>
      </c>
      <c r="F1082" s="168" t="s">
        <v>592</v>
      </c>
      <c r="G1082" s="168" t="s">
        <v>549</v>
      </c>
      <c r="H1082">
        <v>1970835.3</v>
      </c>
    </row>
    <row r="1083" spans="1:8" x14ac:dyDescent="0.3">
      <c r="A1083">
        <v>94</v>
      </c>
      <c r="B1083" s="168" t="s">
        <v>150</v>
      </c>
      <c r="C1083" s="168" t="s">
        <v>151</v>
      </c>
      <c r="D1083">
        <v>2615.5</v>
      </c>
      <c r="E1083">
        <v>2021</v>
      </c>
      <c r="F1083" s="168" t="s">
        <v>592</v>
      </c>
      <c r="G1083" s="168" t="s">
        <v>550</v>
      </c>
      <c r="H1083">
        <v>579860</v>
      </c>
    </row>
    <row r="1084" spans="1:8" x14ac:dyDescent="0.3">
      <c r="A1084">
        <v>94</v>
      </c>
      <c r="B1084" s="168" t="s">
        <v>150</v>
      </c>
      <c r="C1084" s="168" t="s">
        <v>151</v>
      </c>
      <c r="D1084">
        <v>2615.5</v>
      </c>
      <c r="E1084">
        <v>2021</v>
      </c>
      <c r="F1084" s="168" t="s">
        <v>592</v>
      </c>
      <c r="G1084" s="168" t="s">
        <v>551</v>
      </c>
      <c r="H1084">
        <v>30163</v>
      </c>
    </row>
    <row r="1085" spans="1:8" x14ac:dyDescent="0.3">
      <c r="A1085">
        <v>94</v>
      </c>
      <c r="B1085" s="168" t="s">
        <v>150</v>
      </c>
      <c r="C1085" s="168" t="s">
        <v>151</v>
      </c>
      <c r="D1085">
        <v>2615.5</v>
      </c>
      <c r="E1085">
        <v>2021</v>
      </c>
      <c r="F1085" s="168" t="s">
        <v>592</v>
      </c>
      <c r="G1085" s="168" t="s">
        <v>598</v>
      </c>
      <c r="H1085">
        <v>150323.47</v>
      </c>
    </row>
    <row r="1086" spans="1:8" x14ac:dyDescent="0.3">
      <c r="A1086">
        <v>94</v>
      </c>
      <c r="B1086" s="168" t="s">
        <v>150</v>
      </c>
      <c r="C1086" s="168" t="s">
        <v>151</v>
      </c>
      <c r="D1086">
        <v>2615.5</v>
      </c>
      <c r="E1086">
        <v>2021</v>
      </c>
      <c r="F1086" s="168" t="s">
        <v>592</v>
      </c>
      <c r="G1086" s="168" t="s">
        <v>599</v>
      </c>
      <c r="H1086">
        <v>226579</v>
      </c>
    </row>
    <row r="1087" spans="1:8" x14ac:dyDescent="0.3">
      <c r="A1087">
        <v>94</v>
      </c>
      <c r="B1087" s="168" t="s">
        <v>150</v>
      </c>
      <c r="C1087" s="168" t="s">
        <v>151</v>
      </c>
      <c r="D1087">
        <v>2615.5</v>
      </c>
      <c r="E1087">
        <v>2021</v>
      </c>
      <c r="F1087" s="168" t="s">
        <v>592</v>
      </c>
      <c r="G1087" s="168" t="s">
        <v>555</v>
      </c>
      <c r="H1087">
        <v>384655.45</v>
      </c>
    </row>
    <row r="1088" spans="1:8" x14ac:dyDescent="0.3">
      <c r="A1088">
        <v>94</v>
      </c>
      <c r="B1088" s="168" t="s">
        <v>150</v>
      </c>
      <c r="C1088" s="168" t="s">
        <v>151</v>
      </c>
      <c r="D1088">
        <v>2615.5</v>
      </c>
      <c r="E1088">
        <v>2021</v>
      </c>
      <c r="F1088" s="168" t="s">
        <v>592</v>
      </c>
      <c r="G1088" s="168" t="s">
        <v>559</v>
      </c>
      <c r="H1088">
        <v>88000</v>
      </c>
    </row>
    <row r="1089" spans="1:8" x14ac:dyDescent="0.3">
      <c r="A1089">
        <v>94</v>
      </c>
      <c r="B1089" s="168" t="s">
        <v>150</v>
      </c>
      <c r="C1089" s="168" t="s">
        <v>151</v>
      </c>
      <c r="D1089">
        <v>2615.5</v>
      </c>
      <c r="E1089">
        <v>2021</v>
      </c>
      <c r="F1089" s="168" t="s">
        <v>592</v>
      </c>
      <c r="G1089" s="168" t="s">
        <v>595</v>
      </c>
      <c r="H1089">
        <v>0</v>
      </c>
    </row>
    <row r="1090" spans="1:8" x14ac:dyDescent="0.3">
      <c r="A1090">
        <v>94</v>
      </c>
      <c r="B1090" s="168" t="s">
        <v>150</v>
      </c>
      <c r="C1090" s="168" t="s">
        <v>151</v>
      </c>
      <c r="D1090">
        <v>2615.5</v>
      </c>
      <c r="E1090">
        <v>2021</v>
      </c>
      <c r="F1090" s="168" t="s">
        <v>592</v>
      </c>
      <c r="G1090" s="168" t="s">
        <v>561</v>
      </c>
      <c r="H1090">
        <v>430392.75</v>
      </c>
    </row>
    <row r="1091" spans="1:8" x14ac:dyDescent="0.3">
      <c r="A1091">
        <v>94</v>
      </c>
      <c r="B1091" s="168" t="s">
        <v>150</v>
      </c>
      <c r="C1091" s="168" t="s">
        <v>151</v>
      </c>
      <c r="D1091">
        <v>2615.5</v>
      </c>
      <c r="E1091">
        <v>2021</v>
      </c>
      <c r="F1091" s="168" t="s">
        <v>592</v>
      </c>
      <c r="G1091" s="168" t="s">
        <v>562</v>
      </c>
      <c r="H1091">
        <v>1069607.25</v>
      </c>
    </row>
    <row r="1092" spans="1:8" x14ac:dyDescent="0.3">
      <c r="A1092">
        <v>94</v>
      </c>
      <c r="B1092" s="168" t="s">
        <v>150</v>
      </c>
      <c r="C1092" s="168" t="s">
        <v>151</v>
      </c>
      <c r="D1092">
        <v>2615.5</v>
      </c>
      <c r="E1092">
        <v>2021</v>
      </c>
      <c r="F1092" s="168" t="s">
        <v>592</v>
      </c>
      <c r="G1092" s="168" t="s">
        <v>567</v>
      </c>
      <c r="H1092">
        <v>153000</v>
      </c>
    </row>
    <row r="1093" spans="1:8" x14ac:dyDescent="0.3">
      <c r="A1093">
        <v>94</v>
      </c>
      <c r="B1093" s="168" t="s">
        <v>150</v>
      </c>
      <c r="C1093" s="168" t="s">
        <v>151</v>
      </c>
      <c r="D1093">
        <v>2615.5</v>
      </c>
      <c r="E1093">
        <v>2021</v>
      </c>
      <c r="F1093" s="168" t="s">
        <v>592</v>
      </c>
      <c r="G1093" s="168" t="s">
        <v>600</v>
      </c>
      <c r="H1093">
        <v>140000</v>
      </c>
    </row>
    <row r="1094" spans="1:8" x14ac:dyDescent="0.3">
      <c r="A1094">
        <v>94</v>
      </c>
      <c r="B1094" s="168" t="s">
        <v>150</v>
      </c>
      <c r="C1094" s="168" t="s">
        <v>151</v>
      </c>
      <c r="D1094">
        <v>2615.5</v>
      </c>
      <c r="E1094">
        <v>2021</v>
      </c>
      <c r="F1094" s="168" t="s">
        <v>592</v>
      </c>
      <c r="G1094" s="168" t="s">
        <v>601</v>
      </c>
      <c r="H1094">
        <v>527739.38</v>
      </c>
    </row>
    <row r="1095" spans="1:8" x14ac:dyDescent="0.3">
      <c r="A1095">
        <v>94</v>
      </c>
      <c r="B1095" s="168" t="s">
        <v>150</v>
      </c>
      <c r="C1095" s="168" t="s">
        <v>151</v>
      </c>
      <c r="D1095">
        <v>2615.5</v>
      </c>
      <c r="E1095">
        <v>2021</v>
      </c>
      <c r="F1095" s="168" t="s">
        <v>592</v>
      </c>
      <c r="G1095" s="168" t="s">
        <v>575</v>
      </c>
      <c r="H1095">
        <v>0</v>
      </c>
    </row>
    <row r="1096" spans="1:8" x14ac:dyDescent="0.3">
      <c r="A1096">
        <v>94</v>
      </c>
      <c r="B1096" s="168" t="s">
        <v>150</v>
      </c>
      <c r="C1096" s="168" t="s">
        <v>151</v>
      </c>
      <c r="D1096">
        <v>2615.5</v>
      </c>
      <c r="E1096">
        <v>2021</v>
      </c>
      <c r="F1096" s="168" t="s">
        <v>592</v>
      </c>
      <c r="G1096" s="168" t="s">
        <v>576</v>
      </c>
      <c r="H1096">
        <v>27237</v>
      </c>
    </row>
    <row r="1097" spans="1:8" x14ac:dyDescent="0.3">
      <c r="A1097">
        <v>94</v>
      </c>
      <c r="B1097" s="168" t="s">
        <v>150</v>
      </c>
      <c r="C1097" s="168" t="s">
        <v>151</v>
      </c>
      <c r="D1097">
        <v>2615.5</v>
      </c>
      <c r="E1097">
        <v>2021</v>
      </c>
      <c r="F1097" s="168" t="s">
        <v>592</v>
      </c>
      <c r="G1097" s="168" t="s">
        <v>578</v>
      </c>
      <c r="H1097">
        <v>7298464.2800000003</v>
      </c>
    </row>
    <row r="1098" spans="1:8" x14ac:dyDescent="0.3">
      <c r="A1098">
        <v>94</v>
      </c>
      <c r="B1098" s="168" t="s">
        <v>150</v>
      </c>
      <c r="C1098" s="168" t="s">
        <v>151</v>
      </c>
      <c r="D1098">
        <v>2615.5</v>
      </c>
      <c r="E1098">
        <v>2021</v>
      </c>
      <c r="F1098" s="168" t="s">
        <v>592</v>
      </c>
      <c r="G1098" s="168" t="s">
        <v>585</v>
      </c>
      <c r="H1098">
        <v>256838.69</v>
      </c>
    </row>
    <row r="1099" spans="1:8" x14ac:dyDescent="0.3">
      <c r="A1099">
        <v>94</v>
      </c>
      <c r="B1099" s="168" t="s">
        <v>150</v>
      </c>
      <c r="C1099" s="168" t="s">
        <v>151</v>
      </c>
      <c r="D1099">
        <v>2615.5</v>
      </c>
      <c r="E1099">
        <v>2021</v>
      </c>
      <c r="F1099" s="168" t="s">
        <v>592</v>
      </c>
      <c r="G1099" s="168" t="s">
        <v>586</v>
      </c>
      <c r="H1099">
        <v>3415258.97</v>
      </c>
    </row>
    <row r="1100" spans="1:8" x14ac:dyDescent="0.3">
      <c r="A1100">
        <v>94</v>
      </c>
      <c r="B1100" s="168" t="s">
        <v>150</v>
      </c>
      <c r="C1100" s="168" t="s">
        <v>151</v>
      </c>
      <c r="D1100">
        <v>2615.5</v>
      </c>
      <c r="E1100">
        <v>2021</v>
      </c>
      <c r="F1100" s="168" t="s">
        <v>592</v>
      </c>
      <c r="G1100" s="168" t="s">
        <v>588</v>
      </c>
      <c r="H1100">
        <v>0</v>
      </c>
    </row>
    <row r="1101" spans="1:8" x14ac:dyDescent="0.3">
      <c r="A1101">
        <v>94</v>
      </c>
      <c r="B1101" s="168" t="s">
        <v>150</v>
      </c>
      <c r="C1101" s="168" t="s">
        <v>151</v>
      </c>
      <c r="D1101">
        <v>2615.5</v>
      </c>
      <c r="E1101">
        <v>2021</v>
      </c>
      <c r="F1101" s="168" t="s">
        <v>592</v>
      </c>
      <c r="G1101" s="168" t="s">
        <v>602</v>
      </c>
      <c r="H1101">
        <v>119000</v>
      </c>
    </row>
    <row r="1102" spans="1:8" x14ac:dyDescent="0.3">
      <c r="A1102">
        <v>94</v>
      </c>
      <c r="B1102" s="168" t="s">
        <v>150</v>
      </c>
      <c r="C1102" s="168" t="s">
        <v>151</v>
      </c>
      <c r="D1102">
        <v>2615.5</v>
      </c>
      <c r="E1102">
        <v>2021</v>
      </c>
      <c r="F1102" s="168" t="s">
        <v>592</v>
      </c>
      <c r="G1102" s="168" t="s">
        <v>603</v>
      </c>
      <c r="H1102">
        <v>78894</v>
      </c>
    </row>
    <row r="1103" spans="1:8" x14ac:dyDescent="0.3">
      <c r="A1103">
        <v>94</v>
      </c>
      <c r="B1103" s="168" t="s">
        <v>150</v>
      </c>
      <c r="C1103" s="168" t="s">
        <v>151</v>
      </c>
      <c r="D1103">
        <v>2615.5</v>
      </c>
      <c r="E1103">
        <v>2021</v>
      </c>
      <c r="F1103" s="168" t="s">
        <v>592</v>
      </c>
      <c r="G1103" s="168" t="s">
        <v>604</v>
      </c>
      <c r="H1103">
        <v>190000</v>
      </c>
    </row>
    <row r="1104" spans="1:8" x14ac:dyDescent="0.3">
      <c r="A1104">
        <v>95</v>
      </c>
      <c r="B1104" s="168" t="s">
        <v>152</v>
      </c>
      <c r="C1104" s="168" t="s">
        <v>153</v>
      </c>
      <c r="D1104">
        <v>22228.9</v>
      </c>
      <c r="E1104">
        <v>2021</v>
      </c>
      <c r="F1104" s="168" t="s">
        <v>592</v>
      </c>
      <c r="G1104" s="168" t="s">
        <v>548</v>
      </c>
      <c r="H1104">
        <v>15534246.24</v>
      </c>
    </row>
    <row r="1105" spans="1:8" x14ac:dyDescent="0.3">
      <c r="A1105">
        <v>95</v>
      </c>
      <c r="B1105" s="168" t="s">
        <v>152</v>
      </c>
      <c r="C1105" s="168" t="s">
        <v>153</v>
      </c>
      <c r="D1105">
        <v>22228.9</v>
      </c>
      <c r="E1105">
        <v>2021</v>
      </c>
      <c r="F1105" s="168" t="s">
        <v>592</v>
      </c>
      <c r="G1105" s="168" t="s">
        <v>550</v>
      </c>
      <c r="H1105">
        <v>115098.98</v>
      </c>
    </row>
    <row r="1106" spans="1:8" x14ac:dyDescent="0.3">
      <c r="A1106">
        <v>95</v>
      </c>
      <c r="B1106" s="168" t="s">
        <v>152</v>
      </c>
      <c r="C1106" s="168" t="s">
        <v>153</v>
      </c>
      <c r="D1106">
        <v>22228.9</v>
      </c>
      <c r="E1106">
        <v>2021</v>
      </c>
      <c r="F1106" s="168" t="s">
        <v>592</v>
      </c>
      <c r="G1106" s="168" t="s">
        <v>551</v>
      </c>
      <c r="H1106">
        <v>46778.14</v>
      </c>
    </row>
    <row r="1107" spans="1:8" x14ac:dyDescent="0.3">
      <c r="A1107">
        <v>95</v>
      </c>
      <c r="B1107" s="168" t="s">
        <v>152</v>
      </c>
      <c r="C1107" s="168" t="s">
        <v>153</v>
      </c>
      <c r="D1107">
        <v>22228.9</v>
      </c>
      <c r="E1107">
        <v>2021</v>
      </c>
      <c r="F1107" s="168" t="s">
        <v>592</v>
      </c>
      <c r="G1107" s="168" t="s">
        <v>598</v>
      </c>
      <c r="H1107">
        <v>5124440.68</v>
      </c>
    </row>
    <row r="1108" spans="1:8" x14ac:dyDescent="0.3">
      <c r="A1108">
        <v>95</v>
      </c>
      <c r="B1108" s="168" t="s">
        <v>152</v>
      </c>
      <c r="C1108" s="168" t="s">
        <v>153</v>
      </c>
      <c r="D1108">
        <v>22228.9</v>
      </c>
      <c r="E1108">
        <v>2021</v>
      </c>
      <c r="F1108" s="168" t="s">
        <v>592</v>
      </c>
      <c r="G1108" s="168" t="s">
        <v>599</v>
      </c>
      <c r="H1108">
        <v>1189591.3200000003</v>
      </c>
    </row>
    <row r="1109" spans="1:8" x14ac:dyDescent="0.3">
      <c r="A1109">
        <v>95</v>
      </c>
      <c r="B1109" s="168" t="s">
        <v>152</v>
      </c>
      <c r="C1109" s="168" t="s">
        <v>153</v>
      </c>
      <c r="D1109">
        <v>22228.9</v>
      </c>
      <c r="E1109">
        <v>2021</v>
      </c>
      <c r="F1109" s="168" t="s">
        <v>592</v>
      </c>
      <c r="G1109" s="168" t="s">
        <v>554</v>
      </c>
      <c r="H1109">
        <v>0</v>
      </c>
    </row>
    <row r="1110" spans="1:8" x14ac:dyDescent="0.3">
      <c r="A1110">
        <v>95</v>
      </c>
      <c r="B1110" s="168" t="s">
        <v>152</v>
      </c>
      <c r="C1110" s="168" t="s">
        <v>153</v>
      </c>
      <c r="D1110">
        <v>22228.9</v>
      </c>
      <c r="E1110">
        <v>2021</v>
      </c>
      <c r="F1110" s="168" t="s">
        <v>592</v>
      </c>
      <c r="G1110" s="168" t="s">
        <v>595</v>
      </c>
      <c r="H1110">
        <v>0</v>
      </c>
    </row>
    <row r="1111" spans="1:8" x14ac:dyDescent="0.3">
      <c r="A1111">
        <v>95</v>
      </c>
      <c r="B1111" s="168" t="s">
        <v>152</v>
      </c>
      <c r="C1111" s="168" t="s">
        <v>153</v>
      </c>
      <c r="D1111">
        <v>22228.9</v>
      </c>
      <c r="E1111">
        <v>2021</v>
      </c>
      <c r="F1111" s="168" t="s">
        <v>592</v>
      </c>
      <c r="G1111" s="168" t="s">
        <v>560</v>
      </c>
      <c r="H1111">
        <v>32727.272727272728</v>
      </c>
    </row>
    <row r="1112" spans="1:8" x14ac:dyDescent="0.3">
      <c r="A1112">
        <v>95</v>
      </c>
      <c r="B1112" s="168" t="s">
        <v>152</v>
      </c>
      <c r="C1112" s="168" t="s">
        <v>153</v>
      </c>
      <c r="D1112">
        <v>22228.9</v>
      </c>
      <c r="E1112">
        <v>2021</v>
      </c>
      <c r="F1112" s="168" t="s">
        <v>592</v>
      </c>
      <c r="G1112" s="168" t="s">
        <v>563</v>
      </c>
      <c r="H1112">
        <v>0</v>
      </c>
    </row>
    <row r="1113" spans="1:8" x14ac:dyDescent="0.3">
      <c r="A1113">
        <v>95</v>
      </c>
      <c r="B1113" s="168" t="s">
        <v>152</v>
      </c>
      <c r="C1113" s="168" t="s">
        <v>153</v>
      </c>
      <c r="D1113">
        <v>22228.9</v>
      </c>
      <c r="E1113">
        <v>2021</v>
      </c>
      <c r="F1113" s="168" t="s">
        <v>592</v>
      </c>
      <c r="G1113" s="168" t="s">
        <v>564</v>
      </c>
      <c r="H1113">
        <v>354974.56912338495</v>
      </c>
    </row>
    <row r="1114" spans="1:8" x14ac:dyDescent="0.3">
      <c r="A1114">
        <v>95</v>
      </c>
      <c r="B1114" s="168" t="s">
        <v>152</v>
      </c>
      <c r="C1114" s="168" t="s">
        <v>153</v>
      </c>
      <c r="D1114">
        <v>22228.9</v>
      </c>
      <c r="E1114">
        <v>2021</v>
      </c>
      <c r="F1114" s="168" t="s">
        <v>592</v>
      </c>
      <c r="G1114" s="168" t="s">
        <v>565</v>
      </c>
      <c r="H1114">
        <v>0</v>
      </c>
    </row>
    <row r="1115" spans="1:8" x14ac:dyDescent="0.3">
      <c r="A1115">
        <v>95</v>
      </c>
      <c r="B1115" s="168" t="s">
        <v>152</v>
      </c>
      <c r="C1115" s="168" t="s">
        <v>153</v>
      </c>
      <c r="D1115">
        <v>22228.9</v>
      </c>
      <c r="E1115">
        <v>2021</v>
      </c>
      <c r="F1115" s="168" t="s">
        <v>592</v>
      </c>
      <c r="G1115" s="168" t="s">
        <v>566</v>
      </c>
      <c r="H1115">
        <v>415752.78</v>
      </c>
    </row>
    <row r="1116" spans="1:8" x14ac:dyDescent="0.3">
      <c r="A1116">
        <v>95</v>
      </c>
      <c r="B1116" s="168" t="s">
        <v>152</v>
      </c>
      <c r="C1116" s="168" t="s">
        <v>153</v>
      </c>
      <c r="D1116">
        <v>22228.9</v>
      </c>
      <c r="E1116">
        <v>2021</v>
      </c>
      <c r="F1116" s="168" t="s">
        <v>592</v>
      </c>
      <c r="G1116" s="168" t="s">
        <v>571</v>
      </c>
      <c r="H1116">
        <v>0</v>
      </c>
    </row>
    <row r="1117" spans="1:8" x14ac:dyDescent="0.3">
      <c r="A1117">
        <v>95</v>
      </c>
      <c r="B1117" s="168" t="s">
        <v>152</v>
      </c>
      <c r="C1117" s="168" t="s">
        <v>153</v>
      </c>
      <c r="D1117">
        <v>22228.9</v>
      </c>
      <c r="E1117">
        <v>2021</v>
      </c>
      <c r="F1117" s="168" t="s">
        <v>592</v>
      </c>
      <c r="G1117" s="168" t="s">
        <v>572</v>
      </c>
      <c r="H1117">
        <v>7536.5853658536589</v>
      </c>
    </row>
    <row r="1118" spans="1:8" x14ac:dyDescent="0.3">
      <c r="A1118">
        <v>95</v>
      </c>
      <c r="B1118" s="168" t="s">
        <v>152</v>
      </c>
      <c r="C1118" s="168" t="s">
        <v>153</v>
      </c>
      <c r="D1118">
        <v>22228.9</v>
      </c>
      <c r="E1118">
        <v>2021</v>
      </c>
      <c r="F1118" s="168" t="s">
        <v>592</v>
      </c>
      <c r="G1118" s="168" t="s">
        <v>600</v>
      </c>
      <c r="H1118">
        <v>3600012</v>
      </c>
    </row>
    <row r="1119" spans="1:8" x14ac:dyDescent="0.3">
      <c r="A1119">
        <v>95</v>
      </c>
      <c r="B1119" s="168" t="s">
        <v>152</v>
      </c>
      <c r="C1119" s="168" t="s">
        <v>153</v>
      </c>
      <c r="D1119">
        <v>22228.9</v>
      </c>
      <c r="E1119">
        <v>2021</v>
      </c>
      <c r="F1119" s="168" t="s">
        <v>592</v>
      </c>
      <c r="G1119" s="168" t="s">
        <v>601</v>
      </c>
      <c r="H1119">
        <v>1124687.1400000001</v>
      </c>
    </row>
    <row r="1120" spans="1:8" x14ac:dyDescent="0.3">
      <c r="A1120">
        <v>95</v>
      </c>
      <c r="B1120" s="168" t="s">
        <v>152</v>
      </c>
      <c r="C1120" s="168" t="s">
        <v>153</v>
      </c>
      <c r="D1120">
        <v>22228.9</v>
      </c>
      <c r="E1120">
        <v>2021</v>
      </c>
      <c r="F1120" s="168" t="s">
        <v>592</v>
      </c>
      <c r="G1120" s="168" t="s">
        <v>575</v>
      </c>
      <c r="H1120">
        <v>0</v>
      </c>
    </row>
    <row r="1121" spans="1:8" x14ac:dyDescent="0.3">
      <c r="A1121">
        <v>95</v>
      </c>
      <c r="B1121" s="168" t="s">
        <v>152</v>
      </c>
      <c r="C1121" s="168" t="s">
        <v>153</v>
      </c>
      <c r="D1121">
        <v>22228.9</v>
      </c>
      <c r="E1121">
        <v>2021</v>
      </c>
      <c r="F1121" s="168" t="s">
        <v>592</v>
      </c>
      <c r="G1121" s="168" t="s">
        <v>576</v>
      </c>
      <c r="H1121">
        <v>92907.49883575234</v>
      </c>
    </row>
    <row r="1122" spans="1:8" x14ac:dyDescent="0.3">
      <c r="A1122">
        <v>95</v>
      </c>
      <c r="B1122" s="168" t="s">
        <v>152</v>
      </c>
      <c r="C1122" s="168" t="s">
        <v>153</v>
      </c>
      <c r="D1122">
        <v>22228.9</v>
      </c>
      <c r="E1122">
        <v>2021</v>
      </c>
      <c r="F1122" s="168" t="s">
        <v>592</v>
      </c>
      <c r="G1122" s="168" t="s">
        <v>577</v>
      </c>
      <c r="H1122">
        <v>0</v>
      </c>
    </row>
    <row r="1123" spans="1:8" x14ac:dyDescent="0.3">
      <c r="A1123">
        <v>95</v>
      </c>
      <c r="B1123" s="168" t="s">
        <v>152</v>
      </c>
      <c r="C1123" s="168" t="s">
        <v>153</v>
      </c>
      <c r="D1123">
        <v>22228.9</v>
      </c>
      <c r="E1123">
        <v>2021</v>
      </c>
      <c r="F1123" s="168" t="s">
        <v>592</v>
      </c>
      <c r="G1123" s="168" t="s">
        <v>578</v>
      </c>
      <c r="H1123">
        <v>910711.2</v>
      </c>
    </row>
    <row r="1124" spans="1:8" x14ac:dyDescent="0.3">
      <c r="A1124">
        <v>95</v>
      </c>
      <c r="B1124" s="168" t="s">
        <v>152</v>
      </c>
      <c r="C1124" s="168" t="s">
        <v>153</v>
      </c>
      <c r="D1124">
        <v>22228.9</v>
      </c>
      <c r="E1124">
        <v>2021</v>
      </c>
      <c r="F1124" s="168" t="s">
        <v>592</v>
      </c>
      <c r="G1124" s="168" t="s">
        <v>585</v>
      </c>
      <c r="H1124">
        <v>0</v>
      </c>
    </row>
    <row r="1125" spans="1:8" x14ac:dyDescent="0.3">
      <c r="A1125">
        <v>95</v>
      </c>
      <c r="B1125" s="168" t="s">
        <v>152</v>
      </c>
      <c r="C1125" s="168" t="s">
        <v>153</v>
      </c>
      <c r="D1125">
        <v>22228.9</v>
      </c>
      <c r="E1125">
        <v>2021</v>
      </c>
      <c r="F1125" s="168" t="s">
        <v>592</v>
      </c>
      <c r="G1125" s="168" t="s">
        <v>586</v>
      </c>
      <c r="H1125">
        <v>2780651.5710701784</v>
      </c>
    </row>
    <row r="1126" spans="1:8" x14ac:dyDescent="0.3">
      <c r="A1126">
        <v>96</v>
      </c>
      <c r="B1126" s="168" t="s">
        <v>154</v>
      </c>
      <c r="C1126" s="168" t="s">
        <v>155</v>
      </c>
      <c r="D1126">
        <v>481.3</v>
      </c>
      <c r="E1126">
        <v>2021</v>
      </c>
      <c r="F1126" s="168" t="s">
        <v>593</v>
      </c>
      <c r="G1126" s="168" t="s">
        <v>554</v>
      </c>
      <c r="H1126">
        <v>0</v>
      </c>
    </row>
    <row r="1127" spans="1:8" x14ac:dyDescent="0.3">
      <c r="A1127">
        <v>96</v>
      </c>
      <c r="B1127" s="168" t="s">
        <v>154</v>
      </c>
      <c r="C1127" s="168" t="s">
        <v>155</v>
      </c>
      <c r="D1127">
        <v>481.3</v>
      </c>
      <c r="E1127">
        <v>2021</v>
      </c>
      <c r="F1127" s="168" t="s">
        <v>593</v>
      </c>
      <c r="G1127" s="168" t="s">
        <v>600</v>
      </c>
      <c r="H1127">
        <v>65457</v>
      </c>
    </row>
    <row r="1128" spans="1:8" x14ac:dyDescent="0.3">
      <c r="A1128">
        <v>96</v>
      </c>
      <c r="B1128" s="168" t="s">
        <v>154</v>
      </c>
      <c r="C1128" s="168" t="s">
        <v>155</v>
      </c>
      <c r="D1128">
        <v>481.3</v>
      </c>
      <c r="E1128">
        <v>2021</v>
      </c>
      <c r="F1128" s="168" t="s">
        <v>593</v>
      </c>
      <c r="G1128" s="168" t="s">
        <v>586</v>
      </c>
      <c r="H1128">
        <v>66884.399999999994</v>
      </c>
    </row>
    <row r="1129" spans="1:8" x14ac:dyDescent="0.3">
      <c r="A1129">
        <v>97</v>
      </c>
      <c r="B1129" s="168" t="s">
        <v>156</v>
      </c>
      <c r="C1129" s="168" t="s">
        <v>157</v>
      </c>
      <c r="D1129">
        <v>140.9</v>
      </c>
      <c r="E1129">
        <v>2021</v>
      </c>
      <c r="F1129" s="168" t="s">
        <v>593</v>
      </c>
      <c r="G1129" s="168" t="s">
        <v>554</v>
      </c>
      <c r="H1129">
        <v>0</v>
      </c>
    </row>
    <row r="1130" spans="1:8" x14ac:dyDescent="0.3">
      <c r="A1130">
        <v>97</v>
      </c>
      <c r="B1130" s="168" t="s">
        <v>156</v>
      </c>
      <c r="C1130" s="168" t="s">
        <v>157</v>
      </c>
      <c r="D1130">
        <v>140.9</v>
      </c>
      <c r="E1130">
        <v>2021</v>
      </c>
      <c r="F1130" s="168" t="s">
        <v>593</v>
      </c>
      <c r="G1130" s="168" t="s">
        <v>600</v>
      </c>
      <c r="H1130">
        <v>19162</v>
      </c>
    </row>
    <row r="1131" spans="1:8" x14ac:dyDescent="0.3">
      <c r="A1131">
        <v>98</v>
      </c>
      <c r="B1131" s="168" t="s">
        <v>158</v>
      </c>
      <c r="C1131" s="168" t="s">
        <v>159</v>
      </c>
      <c r="D1131">
        <v>7998.2</v>
      </c>
      <c r="E1131">
        <v>2021</v>
      </c>
      <c r="F1131" s="168" t="s">
        <v>592</v>
      </c>
      <c r="G1131" s="168" t="s">
        <v>548</v>
      </c>
      <c r="H1131">
        <v>0</v>
      </c>
    </row>
    <row r="1132" spans="1:8" x14ac:dyDescent="0.3">
      <c r="A1132">
        <v>98</v>
      </c>
      <c r="B1132" s="168" t="s">
        <v>158</v>
      </c>
      <c r="C1132" s="168" t="s">
        <v>159</v>
      </c>
      <c r="D1132">
        <v>7998.2</v>
      </c>
      <c r="E1132">
        <v>2021</v>
      </c>
      <c r="F1132" s="168" t="s">
        <v>592</v>
      </c>
      <c r="G1132" s="168" t="s">
        <v>550</v>
      </c>
      <c r="H1132">
        <v>26387.665000000001</v>
      </c>
    </row>
    <row r="1133" spans="1:8" x14ac:dyDescent="0.3">
      <c r="A1133">
        <v>98</v>
      </c>
      <c r="B1133" s="168" t="s">
        <v>158</v>
      </c>
      <c r="C1133" s="168" t="s">
        <v>159</v>
      </c>
      <c r="D1133">
        <v>7998.2</v>
      </c>
      <c r="E1133">
        <v>2021</v>
      </c>
      <c r="F1133" s="168" t="s">
        <v>592</v>
      </c>
      <c r="G1133" s="168" t="s">
        <v>551</v>
      </c>
      <c r="H1133">
        <v>11309</v>
      </c>
    </row>
    <row r="1134" spans="1:8" x14ac:dyDescent="0.3">
      <c r="A1134">
        <v>98</v>
      </c>
      <c r="B1134" s="168" t="s">
        <v>158</v>
      </c>
      <c r="C1134" s="168" t="s">
        <v>159</v>
      </c>
      <c r="D1134">
        <v>7998.2</v>
      </c>
      <c r="E1134">
        <v>2021</v>
      </c>
      <c r="F1134" s="168" t="s">
        <v>592</v>
      </c>
      <c r="G1134" s="168" t="s">
        <v>599</v>
      </c>
      <c r="H1134">
        <v>2312512</v>
      </c>
    </row>
    <row r="1135" spans="1:8" x14ac:dyDescent="0.3">
      <c r="A1135">
        <v>98</v>
      </c>
      <c r="B1135" s="168" t="s">
        <v>158</v>
      </c>
      <c r="C1135" s="168" t="s">
        <v>159</v>
      </c>
      <c r="D1135">
        <v>7998.2</v>
      </c>
      <c r="E1135">
        <v>2021</v>
      </c>
      <c r="F1135" s="168" t="s">
        <v>592</v>
      </c>
      <c r="G1135" s="168" t="s">
        <v>554</v>
      </c>
      <c r="H1135">
        <v>15996.5</v>
      </c>
    </row>
    <row r="1136" spans="1:8" x14ac:dyDescent="0.3">
      <c r="A1136">
        <v>98</v>
      </c>
      <c r="B1136" s="168" t="s">
        <v>158</v>
      </c>
      <c r="C1136" s="168" t="s">
        <v>159</v>
      </c>
      <c r="D1136">
        <v>7998.2</v>
      </c>
      <c r="E1136">
        <v>2021</v>
      </c>
      <c r="F1136" s="168" t="s">
        <v>592</v>
      </c>
      <c r="G1136" s="168" t="s">
        <v>555</v>
      </c>
      <c r="H1136">
        <v>15996.5</v>
      </c>
    </row>
    <row r="1137" spans="1:8" x14ac:dyDescent="0.3">
      <c r="A1137">
        <v>98</v>
      </c>
      <c r="B1137" s="168" t="s">
        <v>158</v>
      </c>
      <c r="C1137" s="168" t="s">
        <v>159</v>
      </c>
      <c r="D1137">
        <v>7998.2</v>
      </c>
      <c r="E1137">
        <v>2021</v>
      </c>
      <c r="F1137" s="168" t="s">
        <v>592</v>
      </c>
      <c r="G1137" s="168" t="s">
        <v>563</v>
      </c>
      <c r="H1137">
        <v>0</v>
      </c>
    </row>
    <row r="1138" spans="1:8" x14ac:dyDescent="0.3">
      <c r="A1138">
        <v>98</v>
      </c>
      <c r="B1138" s="168" t="s">
        <v>158</v>
      </c>
      <c r="C1138" s="168" t="s">
        <v>159</v>
      </c>
      <c r="D1138">
        <v>7998.2</v>
      </c>
      <c r="E1138">
        <v>2021</v>
      </c>
      <c r="F1138" s="168" t="s">
        <v>592</v>
      </c>
      <c r="G1138" s="168" t="s">
        <v>564</v>
      </c>
      <c r="H1138">
        <v>127723.71096917335</v>
      </c>
    </row>
    <row r="1139" spans="1:8" x14ac:dyDescent="0.3">
      <c r="A1139">
        <v>98</v>
      </c>
      <c r="B1139" s="168" t="s">
        <v>158</v>
      </c>
      <c r="C1139" s="168" t="s">
        <v>159</v>
      </c>
      <c r="D1139">
        <v>7998.2</v>
      </c>
      <c r="E1139">
        <v>2021</v>
      </c>
      <c r="F1139" s="168" t="s">
        <v>592</v>
      </c>
      <c r="G1139" s="168" t="s">
        <v>600</v>
      </c>
      <c r="H1139">
        <v>1262066</v>
      </c>
    </row>
    <row r="1140" spans="1:8" x14ac:dyDescent="0.3">
      <c r="A1140">
        <v>98</v>
      </c>
      <c r="B1140" s="168" t="s">
        <v>158</v>
      </c>
      <c r="C1140" s="168" t="s">
        <v>159</v>
      </c>
      <c r="D1140">
        <v>7998.2</v>
      </c>
      <c r="E1140">
        <v>2021</v>
      </c>
      <c r="F1140" s="168" t="s">
        <v>592</v>
      </c>
      <c r="G1140" s="168" t="s">
        <v>601</v>
      </c>
      <c r="H1140">
        <v>442983.88912349701</v>
      </c>
    </row>
    <row r="1141" spans="1:8" x14ac:dyDescent="0.3">
      <c r="A1141">
        <v>98</v>
      </c>
      <c r="B1141" s="168" t="s">
        <v>158</v>
      </c>
      <c r="C1141" s="168" t="s">
        <v>159</v>
      </c>
      <c r="D1141">
        <v>7998.2</v>
      </c>
      <c r="E1141">
        <v>2021</v>
      </c>
      <c r="F1141" s="168" t="s">
        <v>592</v>
      </c>
      <c r="G1141" s="168" t="s">
        <v>578</v>
      </c>
      <c r="H1141">
        <v>145323</v>
      </c>
    </row>
    <row r="1142" spans="1:8" x14ac:dyDescent="0.3">
      <c r="A1142">
        <v>98</v>
      </c>
      <c r="B1142" s="168" t="s">
        <v>158</v>
      </c>
      <c r="C1142" s="168" t="s">
        <v>159</v>
      </c>
      <c r="D1142">
        <v>7998.2</v>
      </c>
      <c r="E1142">
        <v>2021</v>
      </c>
      <c r="F1142" s="168" t="s">
        <v>592</v>
      </c>
      <c r="G1142" s="168" t="s">
        <v>585</v>
      </c>
      <c r="H1142">
        <v>202542</v>
      </c>
    </row>
    <row r="1143" spans="1:8" x14ac:dyDescent="0.3">
      <c r="A1143">
        <v>98</v>
      </c>
      <c r="B1143" s="168" t="s">
        <v>158</v>
      </c>
      <c r="C1143" s="168" t="s">
        <v>159</v>
      </c>
      <c r="D1143">
        <v>7998.2</v>
      </c>
      <c r="E1143">
        <v>2021</v>
      </c>
      <c r="F1143" s="168" t="s">
        <v>592</v>
      </c>
      <c r="G1143" s="168" t="s">
        <v>586</v>
      </c>
      <c r="H1143">
        <v>266548.8</v>
      </c>
    </row>
    <row r="1144" spans="1:8" x14ac:dyDescent="0.3">
      <c r="A1144">
        <v>99</v>
      </c>
      <c r="B1144" s="168" t="s">
        <v>158</v>
      </c>
      <c r="C1144" s="168" t="s">
        <v>160</v>
      </c>
      <c r="D1144">
        <v>4101.8999999999996</v>
      </c>
      <c r="E1144">
        <v>2021</v>
      </c>
      <c r="F1144" s="168" t="s">
        <v>592</v>
      </c>
      <c r="G1144" s="168" t="s">
        <v>548</v>
      </c>
      <c r="H1144">
        <v>0</v>
      </c>
    </row>
    <row r="1145" spans="1:8" x14ac:dyDescent="0.3">
      <c r="A1145">
        <v>99</v>
      </c>
      <c r="B1145" s="168" t="s">
        <v>158</v>
      </c>
      <c r="C1145" s="168" t="s">
        <v>160</v>
      </c>
      <c r="D1145">
        <v>4101.8999999999996</v>
      </c>
      <c r="E1145">
        <v>2021</v>
      </c>
      <c r="F1145" s="168" t="s">
        <v>592</v>
      </c>
      <c r="G1145" s="168" t="s">
        <v>550</v>
      </c>
      <c r="H1145">
        <v>26387.67</v>
      </c>
    </row>
    <row r="1146" spans="1:8" x14ac:dyDescent="0.3">
      <c r="A1146">
        <v>99</v>
      </c>
      <c r="B1146" s="168" t="s">
        <v>158</v>
      </c>
      <c r="C1146" s="168" t="s">
        <v>160</v>
      </c>
      <c r="D1146">
        <v>4101.8999999999996</v>
      </c>
      <c r="E1146">
        <v>2021</v>
      </c>
      <c r="F1146" s="168" t="s">
        <v>592</v>
      </c>
      <c r="G1146" s="168" t="s">
        <v>551</v>
      </c>
      <c r="H1146">
        <v>11309</v>
      </c>
    </row>
    <row r="1147" spans="1:8" x14ac:dyDescent="0.3">
      <c r="A1147">
        <v>99</v>
      </c>
      <c r="B1147" s="168" t="s">
        <v>158</v>
      </c>
      <c r="C1147" s="168" t="s">
        <v>160</v>
      </c>
      <c r="D1147">
        <v>4101.8999999999996</v>
      </c>
      <c r="E1147">
        <v>2021</v>
      </c>
      <c r="F1147" s="168" t="s">
        <v>592</v>
      </c>
      <c r="G1147" s="168" t="s">
        <v>599</v>
      </c>
      <c r="H1147">
        <v>1256615</v>
      </c>
    </row>
    <row r="1148" spans="1:8" x14ac:dyDescent="0.3">
      <c r="A1148">
        <v>99</v>
      </c>
      <c r="B1148" s="168" t="s">
        <v>158</v>
      </c>
      <c r="C1148" s="168" t="s">
        <v>160</v>
      </c>
      <c r="D1148">
        <v>4101.8999999999996</v>
      </c>
      <c r="E1148">
        <v>2021</v>
      </c>
      <c r="F1148" s="168" t="s">
        <v>592</v>
      </c>
      <c r="G1148" s="168" t="s">
        <v>554</v>
      </c>
      <c r="H1148">
        <v>8204</v>
      </c>
    </row>
    <row r="1149" spans="1:8" x14ac:dyDescent="0.3">
      <c r="A1149">
        <v>99</v>
      </c>
      <c r="B1149" s="168" t="s">
        <v>158</v>
      </c>
      <c r="C1149" s="168" t="s">
        <v>160</v>
      </c>
      <c r="D1149">
        <v>4101.8999999999996</v>
      </c>
      <c r="E1149">
        <v>2021</v>
      </c>
      <c r="F1149" s="168" t="s">
        <v>592</v>
      </c>
      <c r="G1149" s="168" t="s">
        <v>555</v>
      </c>
      <c r="H1149">
        <v>8204</v>
      </c>
    </row>
    <row r="1150" spans="1:8" x14ac:dyDescent="0.3">
      <c r="A1150">
        <v>99</v>
      </c>
      <c r="B1150" s="168" t="s">
        <v>158</v>
      </c>
      <c r="C1150" s="168" t="s">
        <v>160</v>
      </c>
      <c r="D1150">
        <v>4101.8999999999996</v>
      </c>
      <c r="E1150">
        <v>2021</v>
      </c>
      <c r="F1150" s="168" t="s">
        <v>592</v>
      </c>
      <c r="G1150" s="168" t="s">
        <v>563</v>
      </c>
      <c r="H1150">
        <v>0</v>
      </c>
    </row>
    <row r="1151" spans="1:8" x14ac:dyDescent="0.3">
      <c r="A1151">
        <v>99</v>
      </c>
      <c r="B1151" s="168" t="s">
        <v>158</v>
      </c>
      <c r="C1151" s="168" t="s">
        <v>160</v>
      </c>
      <c r="D1151">
        <v>4101.8999999999996</v>
      </c>
      <c r="E1151">
        <v>2021</v>
      </c>
      <c r="F1151" s="168" t="s">
        <v>592</v>
      </c>
      <c r="G1151" s="168" t="s">
        <v>564</v>
      </c>
      <c r="H1151">
        <v>65503.474534826855</v>
      </c>
    </row>
    <row r="1152" spans="1:8" x14ac:dyDescent="0.3">
      <c r="A1152">
        <v>99</v>
      </c>
      <c r="B1152" s="168" t="s">
        <v>158</v>
      </c>
      <c r="C1152" s="168" t="s">
        <v>160</v>
      </c>
      <c r="D1152">
        <v>4101.8999999999996</v>
      </c>
      <c r="E1152">
        <v>2021</v>
      </c>
      <c r="F1152" s="168" t="s">
        <v>592</v>
      </c>
      <c r="G1152" s="168" t="s">
        <v>600</v>
      </c>
      <c r="H1152">
        <v>700042</v>
      </c>
    </row>
    <row r="1153" spans="1:8" x14ac:dyDescent="0.3">
      <c r="A1153">
        <v>99</v>
      </c>
      <c r="B1153" s="168" t="s">
        <v>158</v>
      </c>
      <c r="C1153" s="168" t="s">
        <v>160</v>
      </c>
      <c r="D1153">
        <v>4101.8999999999996</v>
      </c>
      <c r="E1153">
        <v>2021</v>
      </c>
      <c r="F1153" s="168" t="s">
        <v>592</v>
      </c>
      <c r="G1153" s="168" t="s">
        <v>601</v>
      </c>
      <c r="H1153">
        <v>279973.668162296</v>
      </c>
    </row>
    <row r="1154" spans="1:8" x14ac:dyDescent="0.3">
      <c r="A1154">
        <v>99</v>
      </c>
      <c r="B1154" s="168" t="s">
        <v>158</v>
      </c>
      <c r="C1154" s="168" t="s">
        <v>160</v>
      </c>
      <c r="D1154">
        <v>4101.8999999999996</v>
      </c>
      <c r="E1154">
        <v>2021</v>
      </c>
      <c r="F1154" s="168" t="s">
        <v>592</v>
      </c>
      <c r="G1154" s="168" t="s">
        <v>578</v>
      </c>
      <c r="H1154">
        <v>145323</v>
      </c>
    </row>
    <row r="1155" spans="1:8" x14ac:dyDescent="0.3">
      <c r="A1155">
        <v>99</v>
      </c>
      <c r="B1155" s="168" t="s">
        <v>158</v>
      </c>
      <c r="C1155" s="168" t="s">
        <v>160</v>
      </c>
      <c r="D1155">
        <v>4101.8999999999996</v>
      </c>
      <c r="E1155">
        <v>2021</v>
      </c>
      <c r="F1155" s="168" t="s">
        <v>592</v>
      </c>
      <c r="G1155" s="168" t="s">
        <v>585</v>
      </c>
      <c r="H1155">
        <v>0</v>
      </c>
    </row>
    <row r="1156" spans="1:8" x14ac:dyDescent="0.3">
      <c r="A1156">
        <v>100</v>
      </c>
      <c r="B1156" s="168" t="s">
        <v>161</v>
      </c>
      <c r="C1156" s="168" t="s">
        <v>162</v>
      </c>
      <c r="D1156">
        <v>489.2</v>
      </c>
      <c r="E1156">
        <v>2021</v>
      </c>
      <c r="F1156" s="168" t="s">
        <v>593</v>
      </c>
      <c r="G1156" s="168" t="s">
        <v>554</v>
      </c>
      <c r="H1156">
        <v>0</v>
      </c>
    </row>
    <row r="1157" spans="1:8" x14ac:dyDescent="0.3">
      <c r="A1157">
        <v>100</v>
      </c>
      <c r="B1157" s="168" t="s">
        <v>161</v>
      </c>
      <c r="C1157" s="168" t="s">
        <v>162</v>
      </c>
      <c r="D1157">
        <v>489.2</v>
      </c>
      <c r="E1157">
        <v>2021</v>
      </c>
      <c r="F1157" s="168" t="s">
        <v>593</v>
      </c>
      <c r="G1157" s="168" t="s">
        <v>600</v>
      </c>
      <c r="H1157">
        <v>66531</v>
      </c>
    </row>
    <row r="1158" spans="1:8" x14ac:dyDescent="0.3">
      <c r="A1158">
        <v>100</v>
      </c>
      <c r="B1158" s="168" t="s">
        <v>161</v>
      </c>
      <c r="C1158" s="168" t="s">
        <v>162</v>
      </c>
      <c r="D1158">
        <v>489.2</v>
      </c>
      <c r="E1158">
        <v>2021</v>
      </c>
      <c r="F1158" s="168" t="s">
        <v>593</v>
      </c>
      <c r="G1158" s="168" t="s">
        <v>586</v>
      </c>
      <c r="H1158">
        <v>33643.199999999997</v>
      </c>
    </row>
    <row r="1159" spans="1:8" x14ac:dyDescent="0.3">
      <c r="A1159">
        <v>101</v>
      </c>
      <c r="B1159" s="168" t="s">
        <v>163</v>
      </c>
      <c r="C1159" s="168" t="s">
        <v>164</v>
      </c>
      <c r="D1159">
        <v>482.4</v>
      </c>
      <c r="E1159">
        <v>2021</v>
      </c>
      <c r="F1159" s="168" t="s">
        <v>593</v>
      </c>
      <c r="G1159" s="168" t="s">
        <v>554</v>
      </c>
      <c r="H1159">
        <v>0</v>
      </c>
    </row>
    <row r="1160" spans="1:8" x14ac:dyDescent="0.3">
      <c r="A1160">
        <v>101</v>
      </c>
      <c r="B1160" s="168" t="s">
        <v>163</v>
      </c>
      <c r="C1160" s="168" t="s">
        <v>164</v>
      </c>
      <c r="D1160">
        <v>482.4</v>
      </c>
      <c r="E1160">
        <v>2021</v>
      </c>
      <c r="F1160" s="168" t="s">
        <v>593</v>
      </c>
      <c r="G1160" s="168" t="s">
        <v>600</v>
      </c>
      <c r="H1160">
        <v>65606</v>
      </c>
    </row>
    <row r="1161" spans="1:8" x14ac:dyDescent="0.3">
      <c r="A1161">
        <v>101</v>
      </c>
      <c r="B1161" s="168" t="s">
        <v>163</v>
      </c>
      <c r="C1161" s="168" t="s">
        <v>164</v>
      </c>
      <c r="D1161">
        <v>482.4</v>
      </c>
      <c r="E1161">
        <v>2021</v>
      </c>
      <c r="F1161" s="168" t="s">
        <v>593</v>
      </c>
      <c r="G1161" s="168" t="s">
        <v>586</v>
      </c>
      <c r="H1161">
        <v>33241.199999999997</v>
      </c>
    </row>
    <row r="1162" spans="1:8" x14ac:dyDescent="0.3">
      <c r="A1162">
        <v>102</v>
      </c>
      <c r="B1162" s="168" t="s">
        <v>165</v>
      </c>
      <c r="C1162" s="168" t="s">
        <v>166</v>
      </c>
      <c r="D1162">
        <v>10231.5</v>
      </c>
      <c r="E1162">
        <v>2021</v>
      </c>
      <c r="F1162" s="168" t="s">
        <v>592</v>
      </c>
      <c r="G1162" s="168" t="s">
        <v>548</v>
      </c>
      <c r="H1162">
        <v>0</v>
      </c>
    </row>
    <row r="1163" spans="1:8" x14ac:dyDescent="0.3">
      <c r="A1163">
        <v>102</v>
      </c>
      <c r="B1163" s="168" t="s">
        <v>165</v>
      </c>
      <c r="C1163" s="168" t="s">
        <v>166</v>
      </c>
      <c r="D1163">
        <v>10231.5</v>
      </c>
      <c r="E1163">
        <v>2021</v>
      </c>
      <c r="F1163" s="168" t="s">
        <v>592</v>
      </c>
      <c r="G1163" s="168" t="s">
        <v>550</v>
      </c>
      <c r="H1163">
        <v>82586.399999999994</v>
      </c>
    </row>
    <row r="1164" spans="1:8" x14ac:dyDescent="0.3">
      <c r="A1164">
        <v>102</v>
      </c>
      <c r="B1164" s="168" t="s">
        <v>165</v>
      </c>
      <c r="C1164" s="168" t="s">
        <v>166</v>
      </c>
      <c r="D1164">
        <v>10231.5</v>
      </c>
      <c r="E1164">
        <v>2021</v>
      </c>
      <c r="F1164" s="168" t="s">
        <v>592</v>
      </c>
      <c r="G1164" s="168" t="s">
        <v>551</v>
      </c>
      <c r="H1164">
        <v>35394.17</v>
      </c>
    </row>
    <row r="1165" spans="1:8" x14ac:dyDescent="0.3">
      <c r="A1165">
        <v>102</v>
      </c>
      <c r="B1165" s="168" t="s">
        <v>165</v>
      </c>
      <c r="C1165" s="168" t="s">
        <v>166</v>
      </c>
      <c r="D1165">
        <v>10231.5</v>
      </c>
      <c r="E1165">
        <v>2021</v>
      </c>
      <c r="F1165" s="168" t="s">
        <v>592</v>
      </c>
      <c r="G1165" s="168" t="s">
        <v>599</v>
      </c>
      <c r="H1165">
        <v>2772737</v>
      </c>
    </row>
    <row r="1166" spans="1:8" x14ac:dyDescent="0.3">
      <c r="A1166">
        <v>102</v>
      </c>
      <c r="B1166" s="168" t="s">
        <v>165</v>
      </c>
      <c r="C1166" s="168" t="s">
        <v>166</v>
      </c>
      <c r="D1166">
        <v>10231.5</v>
      </c>
      <c r="E1166">
        <v>2021</v>
      </c>
      <c r="F1166" s="168" t="s">
        <v>592</v>
      </c>
      <c r="G1166" s="168" t="s">
        <v>563</v>
      </c>
      <c r="H1166">
        <v>0</v>
      </c>
    </row>
    <row r="1167" spans="1:8" x14ac:dyDescent="0.3">
      <c r="A1167">
        <v>102</v>
      </c>
      <c r="B1167" s="168" t="s">
        <v>165</v>
      </c>
      <c r="C1167" s="168" t="s">
        <v>166</v>
      </c>
      <c r="D1167">
        <v>10231.5</v>
      </c>
      <c r="E1167">
        <v>2021</v>
      </c>
      <c r="F1167" s="168" t="s">
        <v>592</v>
      </c>
      <c r="G1167" s="168" t="s">
        <v>564</v>
      </c>
      <c r="H1167">
        <v>163387.40576393402</v>
      </c>
    </row>
    <row r="1168" spans="1:8" x14ac:dyDescent="0.3">
      <c r="A1168">
        <v>102</v>
      </c>
      <c r="B1168" s="168" t="s">
        <v>165</v>
      </c>
      <c r="C1168" s="168" t="s">
        <v>166</v>
      </c>
      <c r="D1168">
        <v>10231.5</v>
      </c>
      <c r="E1168">
        <v>2021</v>
      </c>
      <c r="F1168" s="168" t="s">
        <v>592</v>
      </c>
      <c r="G1168" s="168" t="s">
        <v>571</v>
      </c>
      <c r="H1168">
        <v>0</v>
      </c>
    </row>
    <row r="1169" spans="1:8" x14ac:dyDescent="0.3">
      <c r="A1169">
        <v>102</v>
      </c>
      <c r="B1169" s="168" t="s">
        <v>165</v>
      </c>
      <c r="C1169" s="168" t="s">
        <v>166</v>
      </c>
      <c r="D1169">
        <v>10231.5</v>
      </c>
      <c r="E1169">
        <v>2021</v>
      </c>
      <c r="F1169" s="168" t="s">
        <v>592</v>
      </c>
      <c r="G1169" s="168" t="s">
        <v>572</v>
      </c>
      <c r="H1169">
        <v>7536.5853658536589</v>
      </c>
    </row>
    <row r="1170" spans="1:8" x14ac:dyDescent="0.3">
      <c r="A1170">
        <v>102</v>
      </c>
      <c r="B1170" s="168" t="s">
        <v>165</v>
      </c>
      <c r="C1170" s="168" t="s">
        <v>166</v>
      </c>
      <c r="D1170">
        <v>10231.5</v>
      </c>
      <c r="E1170">
        <v>2021</v>
      </c>
      <c r="F1170" s="168" t="s">
        <v>592</v>
      </c>
      <c r="G1170" s="168" t="s">
        <v>600</v>
      </c>
      <c r="H1170">
        <v>1639861</v>
      </c>
    </row>
    <row r="1171" spans="1:8" x14ac:dyDescent="0.3">
      <c r="A1171">
        <v>102</v>
      </c>
      <c r="B1171" s="168" t="s">
        <v>165</v>
      </c>
      <c r="C1171" s="168" t="s">
        <v>166</v>
      </c>
      <c r="D1171">
        <v>10231.5</v>
      </c>
      <c r="E1171">
        <v>2021</v>
      </c>
      <c r="F1171" s="168" t="s">
        <v>592</v>
      </c>
      <c r="G1171" s="168" t="s">
        <v>601</v>
      </c>
      <c r="H1171">
        <v>592070.16409530398</v>
      </c>
    </row>
    <row r="1172" spans="1:8" x14ac:dyDescent="0.3">
      <c r="A1172">
        <v>102</v>
      </c>
      <c r="B1172" s="168" t="s">
        <v>165</v>
      </c>
      <c r="C1172" s="168" t="s">
        <v>166</v>
      </c>
      <c r="D1172">
        <v>10231.5</v>
      </c>
      <c r="E1172">
        <v>2021</v>
      </c>
      <c r="F1172" s="168" t="s">
        <v>592</v>
      </c>
      <c r="G1172" s="168" t="s">
        <v>577</v>
      </c>
      <c r="H1172">
        <v>17354248.030000001</v>
      </c>
    </row>
    <row r="1173" spans="1:8" x14ac:dyDescent="0.3">
      <c r="A1173">
        <v>102</v>
      </c>
      <c r="B1173" s="168" t="s">
        <v>165</v>
      </c>
      <c r="C1173" s="168" t="s">
        <v>166</v>
      </c>
      <c r="D1173">
        <v>10231.5</v>
      </c>
      <c r="E1173">
        <v>2021</v>
      </c>
      <c r="F1173" s="168" t="s">
        <v>592</v>
      </c>
      <c r="G1173" s="168" t="s">
        <v>578</v>
      </c>
      <c r="H1173">
        <v>145323</v>
      </c>
    </row>
    <row r="1174" spans="1:8" x14ac:dyDescent="0.3">
      <c r="A1174">
        <v>102</v>
      </c>
      <c r="B1174" s="168" t="s">
        <v>165</v>
      </c>
      <c r="C1174" s="168" t="s">
        <v>166</v>
      </c>
      <c r="D1174">
        <v>10231.5</v>
      </c>
      <c r="E1174">
        <v>2021</v>
      </c>
      <c r="F1174" s="168" t="s">
        <v>592</v>
      </c>
      <c r="G1174" s="168" t="s">
        <v>585</v>
      </c>
      <c r="H1174">
        <v>0</v>
      </c>
    </row>
    <row r="1175" spans="1:8" x14ac:dyDescent="0.3">
      <c r="A1175">
        <v>102</v>
      </c>
      <c r="B1175" s="168" t="s">
        <v>165</v>
      </c>
      <c r="C1175" s="168" t="s">
        <v>166</v>
      </c>
      <c r="D1175">
        <v>10231.5</v>
      </c>
      <c r="E1175">
        <v>2021</v>
      </c>
      <c r="F1175" s="168" t="s">
        <v>592</v>
      </c>
      <c r="G1175" s="168" t="s">
        <v>586</v>
      </c>
      <c r="H1175">
        <v>1266425.1698934832</v>
      </c>
    </row>
    <row r="1176" spans="1:8" x14ac:dyDescent="0.3">
      <c r="A1176">
        <v>103</v>
      </c>
      <c r="B1176" s="168" t="s">
        <v>167</v>
      </c>
      <c r="C1176" s="168" t="s">
        <v>168</v>
      </c>
      <c r="D1176">
        <v>2674.6</v>
      </c>
      <c r="E1176">
        <v>2021</v>
      </c>
      <c r="F1176" s="168" t="s">
        <v>592</v>
      </c>
      <c r="G1176" s="168" t="s">
        <v>548</v>
      </c>
      <c r="H1176">
        <v>0</v>
      </c>
    </row>
    <row r="1177" spans="1:8" x14ac:dyDescent="0.3">
      <c r="A1177">
        <v>103</v>
      </c>
      <c r="B1177" s="168" t="s">
        <v>167</v>
      </c>
      <c r="C1177" s="168" t="s">
        <v>168</v>
      </c>
      <c r="D1177">
        <v>2674.6</v>
      </c>
      <c r="E1177">
        <v>2021</v>
      </c>
      <c r="F1177" s="168" t="s">
        <v>592</v>
      </c>
      <c r="G1177" s="168" t="s">
        <v>550</v>
      </c>
      <c r="H1177">
        <v>82586.399999999994</v>
      </c>
    </row>
    <row r="1178" spans="1:8" x14ac:dyDescent="0.3">
      <c r="A1178">
        <v>103</v>
      </c>
      <c r="B1178" s="168" t="s">
        <v>167</v>
      </c>
      <c r="C1178" s="168" t="s">
        <v>168</v>
      </c>
      <c r="D1178">
        <v>2674.6</v>
      </c>
      <c r="E1178">
        <v>2021</v>
      </c>
      <c r="F1178" s="168" t="s">
        <v>592</v>
      </c>
      <c r="G1178" s="168" t="s">
        <v>551</v>
      </c>
      <c r="H1178">
        <v>35394.17</v>
      </c>
    </row>
    <row r="1179" spans="1:8" x14ac:dyDescent="0.3">
      <c r="A1179">
        <v>103</v>
      </c>
      <c r="B1179" s="168" t="s">
        <v>167</v>
      </c>
      <c r="C1179" s="168" t="s">
        <v>168</v>
      </c>
      <c r="D1179">
        <v>2674.6</v>
      </c>
      <c r="E1179">
        <v>2021</v>
      </c>
      <c r="F1179" s="168" t="s">
        <v>592</v>
      </c>
      <c r="G1179" s="168" t="s">
        <v>599</v>
      </c>
      <c r="H1179">
        <v>735206</v>
      </c>
    </row>
    <row r="1180" spans="1:8" x14ac:dyDescent="0.3">
      <c r="A1180">
        <v>103</v>
      </c>
      <c r="B1180" s="168" t="s">
        <v>167</v>
      </c>
      <c r="C1180" s="168" t="s">
        <v>168</v>
      </c>
      <c r="D1180">
        <v>2674.6</v>
      </c>
      <c r="E1180">
        <v>2021</v>
      </c>
      <c r="F1180" s="168" t="s">
        <v>592</v>
      </c>
      <c r="G1180" s="168" t="s">
        <v>563</v>
      </c>
      <c r="H1180">
        <v>0</v>
      </c>
    </row>
    <row r="1181" spans="1:8" x14ac:dyDescent="0.3">
      <c r="A1181">
        <v>103</v>
      </c>
      <c r="B1181" s="168" t="s">
        <v>167</v>
      </c>
      <c r="C1181" s="168" t="s">
        <v>168</v>
      </c>
      <c r="D1181">
        <v>2674.6</v>
      </c>
      <c r="E1181">
        <v>2021</v>
      </c>
      <c r="F1181" s="168" t="s">
        <v>592</v>
      </c>
      <c r="G1181" s="168" t="s">
        <v>564</v>
      </c>
      <c r="H1181">
        <v>42710.839608680835</v>
      </c>
    </row>
    <row r="1182" spans="1:8" x14ac:dyDescent="0.3">
      <c r="A1182">
        <v>103</v>
      </c>
      <c r="B1182" s="168" t="s">
        <v>167</v>
      </c>
      <c r="C1182" s="168" t="s">
        <v>168</v>
      </c>
      <c r="D1182">
        <v>2674.6</v>
      </c>
      <c r="E1182">
        <v>2021</v>
      </c>
      <c r="F1182" s="168" t="s">
        <v>592</v>
      </c>
      <c r="G1182" s="168" t="s">
        <v>600</v>
      </c>
      <c r="H1182">
        <v>421605</v>
      </c>
    </row>
    <row r="1183" spans="1:8" x14ac:dyDescent="0.3">
      <c r="A1183">
        <v>103</v>
      </c>
      <c r="B1183" s="168" t="s">
        <v>167</v>
      </c>
      <c r="C1183" s="168" t="s">
        <v>168</v>
      </c>
      <c r="D1183">
        <v>2674.6</v>
      </c>
      <c r="E1183">
        <v>2021</v>
      </c>
      <c r="F1183" s="168" t="s">
        <v>592</v>
      </c>
      <c r="G1183" s="168" t="s">
        <v>601</v>
      </c>
      <c r="H1183">
        <v>147703.27861890249</v>
      </c>
    </row>
    <row r="1184" spans="1:8" x14ac:dyDescent="0.3">
      <c r="A1184">
        <v>103</v>
      </c>
      <c r="B1184" s="168" t="s">
        <v>167</v>
      </c>
      <c r="C1184" s="168" t="s">
        <v>168</v>
      </c>
      <c r="D1184">
        <v>2674.6</v>
      </c>
      <c r="E1184">
        <v>2021</v>
      </c>
      <c r="F1184" s="168" t="s">
        <v>592</v>
      </c>
      <c r="G1184" s="168" t="s">
        <v>578</v>
      </c>
      <c r="H1184">
        <v>145323</v>
      </c>
    </row>
    <row r="1185" spans="1:8" x14ac:dyDescent="0.3">
      <c r="A1185">
        <v>103</v>
      </c>
      <c r="B1185" s="168" t="s">
        <v>167</v>
      </c>
      <c r="C1185" s="168" t="s">
        <v>168</v>
      </c>
      <c r="D1185">
        <v>2674.6</v>
      </c>
      <c r="E1185">
        <v>2021</v>
      </c>
      <c r="F1185" s="168" t="s">
        <v>592</v>
      </c>
      <c r="G1185" s="168" t="s">
        <v>585</v>
      </c>
      <c r="H1185">
        <v>0</v>
      </c>
    </row>
    <row r="1186" spans="1:8" x14ac:dyDescent="0.3">
      <c r="A1186">
        <v>103</v>
      </c>
      <c r="B1186" s="168" t="s">
        <v>167</v>
      </c>
      <c r="C1186" s="168" t="s">
        <v>168</v>
      </c>
      <c r="D1186">
        <v>2674.6</v>
      </c>
      <c r="E1186">
        <v>2021</v>
      </c>
      <c r="F1186" s="168" t="s">
        <v>592</v>
      </c>
      <c r="G1186" s="168" t="s">
        <v>586</v>
      </c>
      <c r="H1186">
        <v>331054.17186112673</v>
      </c>
    </row>
    <row r="1187" spans="1:8" x14ac:dyDescent="0.3">
      <c r="A1187">
        <v>104</v>
      </c>
      <c r="B1187" s="168" t="s">
        <v>169</v>
      </c>
      <c r="C1187" s="168" t="s">
        <v>170</v>
      </c>
      <c r="D1187">
        <v>3021.3</v>
      </c>
      <c r="E1187">
        <v>2021</v>
      </c>
      <c r="F1187" s="168" t="s">
        <v>591</v>
      </c>
      <c r="G1187" s="168" t="s">
        <v>551</v>
      </c>
      <c r="H1187">
        <v>44836.19</v>
      </c>
    </row>
    <row r="1188" spans="1:8" x14ac:dyDescent="0.3">
      <c r="A1188">
        <v>104</v>
      </c>
      <c r="B1188" s="168" t="s">
        <v>169</v>
      </c>
      <c r="C1188" s="168" t="s">
        <v>170</v>
      </c>
      <c r="D1188">
        <v>3021.3</v>
      </c>
      <c r="E1188">
        <v>2021</v>
      </c>
      <c r="F1188" s="168" t="s">
        <v>591</v>
      </c>
      <c r="G1188" s="168" t="s">
        <v>599</v>
      </c>
      <c r="H1188">
        <v>95882.04</v>
      </c>
    </row>
    <row r="1189" spans="1:8" x14ac:dyDescent="0.3">
      <c r="A1189">
        <v>104</v>
      </c>
      <c r="B1189" s="168" t="s">
        <v>169</v>
      </c>
      <c r="C1189" s="168" t="s">
        <v>170</v>
      </c>
      <c r="D1189">
        <v>3021.3</v>
      </c>
      <c r="E1189">
        <v>2021</v>
      </c>
      <c r="F1189" s="168" t="s">
        <v>591</v>
      </c>
      <c r="G1189" s="168" t="s">
        <v>600</v>
      </c>
      <c r="H1189">
        <v>1110897</v>
      </c>
    </row>
    <row r="1190" spans="1:8" x14ac:dyDescent="0.3">
      <c r="A1190">
        <v>104</v>
      </c>
      <c r="B1190" s="168" t="s">
        <v>169</v>
      </c>
      <c r="C1190" s="168" t="s">
        <v>170</v>
      </c>
      <c r="D1190">
        <v>3021.3</v>
      </c>
      <c r="E1190">
        <v>2021</v>
      </c>
      <c r="F1190" s="168" t="s">
        <v>591</v>
      </c>
      <c r="G1190" s="168" t="s">
        <v>601</v>
      </c>
      <c r="H1190">
        <v>700000</v>
      </c>
    </row>
    <row r="1191" spans="1:8" x14ac:dyDescent="0.3">
      <c r="A1191">
        <v>105</v>
      </c>
      <c r="B1191" s="168" t="s">
        <v>171</v>
      </c>
      <c r="C1191" s="168" t="s">
        <v>172</v>
      </c>
      <c r="D1191">
        <v>1759.2</v>
      </c>
      <c r="E1191">
        <v>2021</v>
      </c>
      <c r="F1191" s="168" t="s">
        <v>593</v>
      </c>
      <c r="G1191" s="168" t="s">
        <v>600</v>
      </c>
      <c r="H1191">
        <v>239251</v>
      </c>
    </row>
    <row r="1192" spans="1:8" x14ac:dyDescent="0.3">
      <c r="A1192">
        <v>106</v>
      </c>
      <c r="B1192" s="168" t="s">
        <v>173</v>
      </c>
      <c r="C1192" s="168" t="s">
        <v>174</v>
      </c>
      <c r="D1192">
        <v>110.3</v>
      </c>
      <c r="E1192">
        <v>2021</v>
      </c>
      <c r="F1192" s="168" t="s">
        <v>593</v>
      </c>
      <c r="G1192" s="168" t="s">
        <v>600</v>
      </c>
      <c r="H1192">
        <v>15001</v>
      </c>
    </row>
    <row r="1193" spans="1:8" x14ac:dyDescent="0.3">
      <c r="A1193">
        <v>107</v>
      </c>
      <c r="B1193" s="168" t="s">
        <v>175</v>
      </c>
      <c r="C1193" s="168" t="s">
        <v>176</v>
      </c>
      <c r="D1193">
        <v>3989.9</v>
      </c>
      <c r="E1193">
        <v>2021</v>
      </c>
      <c r="F1193" s="168" t="s">
        <v>591</v>
      </c>
      <c r="G1193" s="168" t="s">
        <v>550</v>
      </c>
      <c r="H1193">
        <v>17042.03</v>
      </c>
    </row>
    <row r="1194" spans="1:8" x14ac:dyDescent="0.3">
      <c r="A1194">
        <v>107</v>
      </c>
      <c r="B1194" s="168" t="s">
        <v>175</v>
      </c>
      <c r="C1194" s="168" t="s">
        <v>176</v>
      </c>
      <c r="D1194">
        <v>3989.9</v>
      </c>
      <c r="E1194">
        <v>2021</v>
      </c>
      <c r="F1194" s="168" t="s">
        <v>591</v>
      </c>
      <c r="G1194" s="168" t="s">
        <v>551</v>
      </c>
      <c r="H1194">
        <v>7303.73</v>
      </c>
    </row>
    <row r="1195" spans="1:8" x14ac:dyDescent="0.3">
      <c r="A1195">
        <v>108</v>
      </c>
      <c r="B1195" s="168" t="s">
        <v>177</v>
      </c>
      <c r="C1195" s="168" t="s">
        <v>178</v>
      </c>
      <c r="D1195">
        <v>1762.7</v>
      </c>
      <c r="E1195">
        <v>2021</v>
      </c>
      <c r="F1195" s="168" t="s">
        <v>593</v>
      </c>
      <c r="G1195" s="168" t="s">
        <v>578</v>
      </c>
      <c r="H1195">
        <v>7499994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109"/>
  <sheetViews>
    <sheetView zoomScale="10" zoomScaleNormal="10" workbookViewId="0">
      <pane ySplit="1" topLeftCell="A2" activePane="bottomLeft" state="frozen"/>
      <selection pane="bottomLeft" sqref="A1:AZ109"/>
    </sheetView>
  </sheetViews>
  <sheetFormatPr defaultColWidth="9.109375" defaultRowHeight="18" x14ac:dyDescent="0.3"/>
  <cols>
    <col min="1" max="1" width="11.109375" style="32" customWidth="1"/>
    <col min="2" max="2" width="38.44140625" style="21" customWidth="1"/>
    <col min="3" max="3" width="49.5546875" style="21" customWidth="1"/>
    <col min="4" max="4" width="23.6640625" style="21" customWidth="1"/>
    <col min="5" max="6" width="25.33203125" style="21" customWidth="1"/>
    <col min="7" max="7" width="55.5546875" style="21" customWidth="1"/>
    <col min="8" max="8" width="58.88671875" style="21" customWidth="1"/>
    <col min="9" max="9" width="30" style="21" customWidth="1"/>
    <col min="10" max="10" width="33.33203125" style="21" customWidth="1"/>
    <col min="11" max="11" width="55.5546875" style="21" customWidth="1"/>
    <col min="12" max="12" width="58.88671875" style="21" customWidth="1"/>
    <col min="13" max="13" width="43.33203125" style="21" customWidth="1"/>
    <col min="14" max="14" width="46.6640625" style="21" customWidth="1"/>
    <col min="15" max="15" width="57.77734375" style="21" customWidth="1"/>
    <col min="16" max="16" width="61.109375" style="21" customWidth="1"/>
    <col min="17" max="17" width="34.44140625" style="21" customWidth="1"/>
    <col min="18" max="18" width="37.77734375" style="21" customWidth="1"/>
    <col min="19" max="19" width="161.109375" style="21" customWidth="1"/>
    <col min="20" max="20" width="164.44140625" style="21" customWidth="1"/>
    <col min="21" max="21" width="53.33203125" style="21" customWidth="1"/>
    <col min="22" max="22" width="56.6640625" style="21" customWidth="1"/>
    <col min="23" max="23" width="122.21875" style="21" customWidth="1"/>
    <col min="24" max="24" width="125.5546875" style="21" customWidth="1"/>
    <col min="25" max="25" width="26.6640625" style="21" customWidth="1"/>
    <col min="26" max="26" width="30" style="21" customWidth="1"/>
    <col min="27" max="27" width="51.109375" style="21" customWidth="1"/>
    <col min="28" max="28" width="54.44140625" style="21" customWidth="1"/>
    <col min="29" max="29" width="53.33203125" style="21" customWidth="1"/>
    <col min="30" max="30" width="56.6640625" style="21" customWidth="1"/>
    <col min="31" max="31" width="41.109375" style="21" customWidth="1"/>
    <col min="32" max="32" width="44.44140625" style="21" customWidth="1"/>
    <col min="33" max="33" width="54.44140625" style="21" customWidth="1"/>
    <col min="34" max="34" width="57.77734375" style="21" customWidth="1"/>
    <col min="35" max="35" width="76.6640625" style="21" customWidth="1"/>
    <col min="36" max="36" width="80" style="21" customWidth="1"/>
    <col min="37" max="37" width="22.21875" style="21" customWidth="1"/>
    <col min="38" max="38" width="26.109375" style="21" customWidth="1"/>
    <col min="39" max="39" width="67.77734375" style="21" customWidth="1"/>
    <col min="40" max="40" width="71.109375" style="21" customWidth="1"/>
    <col min="41" max="41" width="64.44140625" style="21" customWidth="1"/>
    <col min="42" max="42" width="67.77734375" style="21" customWidth="1"/>
    <col min="43" max="43" width="87.77734375" style="21" customWidth="1"/>
    <col min="44" max="44" width="91.109375" style="21" customWidth="1"/>
    <col min="45" max="45" width="35.5546875" style="21" customWidth="1"/>
    <col min="46" max="46" width="38.88671875" style="21" customWidth="1"/>
    <col min="47" max="47" width="42.21875" style="21" customWidth="1"/>
    <col min="48" max="48" width="45.5546875" style="21" customWidth="1"/>
    <col min="49" max="49" width="54.44140625" style="21" customWidth="1"/>
    <col min="50" max="50" width="57.77734375" style="21" customWidth="1"/>
    <col min="51" max="51" width="26.6640625" style="21" customWidth="1"/>
    <col min="52" max="52" width="30" style="21" customWidth="1"/>
    <col min="53" max="16384" width="9.109375" style="21"/>
  </cols>
  <sheetData>
    <row r="1" spans="1:52" ht="18.75" customHeight="1" x14ac:dyDescent="0.3">
      <c r="A1" s="172" t="s">
        <v>0</v>
      </c>
      <c r="B1" s="173" t="s">
        <v>1</v>
      </c>
      <c r="C1" s="173" t="s">
        <v>2</v>
      </c>
      <c r="D1" s="173" t="s">
        <v>3</v>
      </c>
      <c r="E1" s="173" t="s">
        <v>589</v>
      </c>
      <c r="F1" s="173" t="s">
        <v>594</v>
      </c>
      <c r="G1" s="174" t="s">
        <v>548</v>
      </c>
      <c r="H1" s="174" t="s">
        <v>549</v>
      </c>
      <c r="I1" s="174" t="s">
        <v>550</v>
      </c>
      <c r="J1" s="174" t="s">
        <v>551</v>
      </c>
      <c r="K1" s="174" t="s">
        <v>598</v>
      </c>
      <c r="L1" s="174" t="s">
        <v>599</v>
      </c>
      <c r="M1" s="174" t="s">
        <v>554</v>
      </c>
      <c r="N1" s="174" t="s">
        <v>555</v>
      </c>
      <c r="O1" s="174" t="s">
        <v>556</v>
      </c>
      <c r="P1" s="174" t="s">
        <v>557</v>
      </c>
      <c r="Q1" s="174" t="s">
        <v>558</v>
      </c>
      <c r="R1" s="174" t="s">
        <v>559</v>
      </c>
      <c r="S1" s="174" t="s">
        <v>595</v>
      </c>
      <c r="T1" s="174" t="s">
        <v>560</v>
      </c>
      <c r="U1" s="174" t="s">
        <v>561</v>
      </c>
      <c r="V1" s="174" t="s">
        <v>562</v>
      </c>
      <c r="W1" s="174" t="s">
        <v>563</v>
      </c>
      <c r="X1" s="174" t="s">
        <v>564</v>
      </c>
      <c r="Y1" s="174" t="s">
        <v>565</v>
      </c>
      <c r="Z1" s="174" t="s">
        <v>566</v>
      </c>
      <c r="AA1" s="174" t="s">
        <v>567</v>
      </c>
      <c r="AB1" s="174" t="s">
        <v>568</v>
      </c>
      <c r="AC1" s="174" t="s">
        <v>569</v>
      </c>
      <c r="AD1" s="174" t="s">
        <v>570</v>
      </c>
      <c r="AE1" s="174" t="s">
        <v>571</v>
      </c>
      <c r="AF1" s="174" t="s">
        <v>572</v>
      </c>
      <c r="AG1" s="174" t="s">
        <v>600</v>
      </c>
      <c r="AH1" s="174" t="s">
        <v>601</v>
      </c>
      <c r="AI1" s="174" t="s">
        <v>575</v>
      </c>
      <c r="AJ1" s="174" t="s">
        <v>576</v>
      </c>
      <c r="AK1" s="174" t="s">
        <v>577</v>
      </c>
      <c r="AL1" s="174" t="s">
        <v>578</v>
      </c>
      <c r="AM1" s="174" t="s">
        <v>579</v>
      </c>
      <c r="AN1" s="174" t="s">
        <v>580</v>
      </c>
      <c r="AO1" s="174" t="s">
        <v>581</v>
      </c>
      <c r="AP1" s="174" t="s">
        <v>582</v>
      </c>
      <c r="AQ1" s="174" t="s">
        <v>583</v>
      </c>
      <c r="AR1" s="174" t="s">
        <v>584</v>
      </c>
      <c r="AS1" s="174" t="s">
        <v>585</v>
      </c>
      <c r="AT1" s="174" t="s">
        <v>586</v>
      </c>
      <c r="AU1" s="174" t="s">
        <v>587</v>
      </c>
      <c r="AV1" s="174" t="s">
        <v>588</v>
      </c>
      <c r="AW1" s="174" t="s">
        <v>602</v>
      </c>
      <c r="AX1" s="174" t="s">
        <v>603</v>
      </c>
      <c r="AY1" s="174" t="s">
        <v>604</v>
      </c>
      <c r="AZ1" s="175" t="s">
        <v>605</v>
      </c>
    </row>
    <row r="2" spans="1:52" ht="37.5" customHeight="1" x14ac:dyDescent="0.3">
      <c r="A2" s="169">
        <v>1</v>
      </c>
      <c r="B2" s="18" t="s">
        <v>4</v>
      </c>
      <c r="C2" s="18" t="s">
        <v>5</v>
      </c>
      <c r="D2" s="18">
        <v>896.1</v>
      </c>
      <c r="E2" s="24">
        <v>2021</v>
      </c>
      <c r="F2" s="24" t="s">
        <v>590</v>
      </c>
      <c r="G2" s="18">
        <v>0</v>
      </c>
      <c r="H2" s="18">
        <v>535097.6291738305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13"/>
    </row>
    <row r="3" spans="1:52" ht="37.5" customHeight="1" x14ac:dyDescent="0.3">
      <c r="A3" s="169">
        <v>2</v>
      </c>
      <c r="B3" s="18" t="s">
        <v>6</v>
      </c>
      <c r="C3" s="18" t="s">
        <v>5</v>
      </c>
      <c r="D3" s="18">
        <v>189</v>
      </c>
      <c r="E3" s="24">
        <v>2021</v>
      </c>
      <c r="F3" s="24" t="s">
        <v>590</v>
      </c>
      <c r="G3" s="18">
        <v>0</v>
      </c>
      <c r="H3" s="18">
        <v>112859.5602207945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13"/>
    </row>
    <row r="4" spans="1:52" ht="37.5" customHeight="1" x14ac:dyDescent="0.3">
      <c r="A4" s="169">
        <v>3</v>
      </c>
      <c r="B4" s="18" t="s">
        <v>7</v>
      </c>
      <c r="C4" s="18" t="s">
        <v>5</v>
      </c>
      <c r="D4" s="18">
        <v>20</v>
      </c>
      <c r="E4" s="24">
        <v>2021</v>
      </c>
      <c r="F4" s="24" t="s">
        <v>590</v>
      </c>
      <c r="G4" s="18">
        <v>0</v>
      </c>
      <c r="H4" s="18">
        <v>11942.81060537508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13"/>
    </row>
    <row r="5" spans="1:52" ht="37.5" customHeight="1" x14ac:dyDescent="0.3">
      <c r="A5" s="169">
        <v>4</v>
      </c>
      <c r="B5" s="18" t="s">
        <v>8</v>
      </c>
      <c r="C5" s="18" t="s">
        <v>5</v>
      </c>
      <c r="D5" s="18">
        <v>243</v>
      </c>
      <c r="E5" s="24">
        <v>2021</v>
      </c>
      <c r="F5" s="24" t="s">
        <v>590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>
        <v>0</v>
      </c>
      <c r="T5" s="18">
        <v>6545.454545454545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>
        <v>0</v>
      </c>
      <c r="AJ5" s="18">
        <v>1015.6383004596636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13"/>
    </row>
    <row r="6" spans="1:52" ht="56.25" customHeight="1" x14ac:dyDescent="0.3">
      <c r="A6" s="169">
        <v>5</v>
      </c>
      <c r="B6" s="18" t="s">
        <v>9</v>
      </c>
      <c r="C6" s="18" t="s">
        <v>10</v>
      </c>
      <c r="D6" s="18">
        <v>7098.7</v>
      </c>
      <c r="E6" s="24">
        <v>2021</v>
      </c>
      <c r="F6" s="24" t="s">
        <v>590</v>
      </c>
      <c r="G6" s="18"/>
      <c r="H6" s="18"/>
      <c r="I6" s="18">
        <v>0</v>
      </c>
      <c r="J6" s="18">
        <v>13594.866730341048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>
        <v>0</v>
      </c>
      <c r="AJ6" s="18">
        <v>2969.0865668145902</v>
      </c>
      <c r="AK6" s="18"/>
      <c r="AL6" s="18"/>
      <c r="AM6" s="18"/>
      <c r="AN6" s="18"/>
      <c r="AO6" s="18"/>
      <c r="AP6" s="18"/>
      <c r="AQ6" s="18"/>
      <c r="AR6" s="18"/>
      <c r="AS6" s="18">
        <v>235082.01970278387</v>
      </c>
      <c r="AT6" s="18">
        <v>150726.75510166027</v>
      </c>
      <c r="AU6" s="18"/>
      <c r="AV6" s="18"/>
      <c r="AW6" s="18"/>
      <c r="AX6" s="18"/>
      <c r="AY6" s="18"/>
      <c r="AZ6" s="113"/>
    </row>
    <row r="7" spans="1:52" ht="37.5" customHeight="1" x14ac:dyDescent="0.3">
      <c r="A7" s="169">
        <v>6</v>
      </c>
      <c r="B7" s="18" t="s">
        <v>11</v>
      </c>
      <c r="C7" s="18" t="s">
        <v>12</v>
      </c>
      <c r="D7" s="18">
        <v>1070.3</v>
      </c>
      <c r="E7" s="24">
        <v>2021</v>
      </c>
      <c r="F7" s="24" t="s">
        <v>590</v>
      </c>
      <c r="G7" s="18"/>
      <c r="H7" s="18"/>
      <c r="I7" s="18">
        <v>0</v>
      </c>
      <c r="J7" s="18">
        <v>2049.7535973465597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>
        <v>0</v>
      </c>
      <c r="AJ7" s="18">
        <v>447.66131157277471</v>
      </c>
      <c r="AK7" s="18"/>
      <c r="AL7" s="18"/>
      <c r="AM7" s="18"/>
      <c r="AN7" s="18"/>
      <c r="AO7" s="18"/>
      <c r="AP7" s="18"/>
      <c r="AQ7" s="18"/>
      <c r="AR7" s="18"/>
      <c r="AS7" s="18">
        <v>35444.276513712313</v>
      </c>
      <c r="AT7" s="18">
        <v>22725.688645147278</v>
      </c>
      <c r="AU7" s="18"/>
      <c r="AV7" s="18"/>
      <c r="AW7" s="18"/>
      <c r="AX7" s="18"/>
      <c r="AY7" s="18"/>
      <c r="AZ7" s="113"/>
    </row>
    <row r="8" spans="1:52" ht="37.5" customHeight="1" x14ac:dyDescent="0.3">
      <c r="A8" s="169">
        <v>7</v>
      </c>
      <c r="B8" s="18" t="s">
        <v>13</v>
      </c>
      <c r="C8" s="18" t="s">
        <v>12</v>
      </c>
      <c r="D8" s="18">
        <v>1076.9000000000001</v>
      </c>
      <c r="E8" s="24">
        <v>2021</v>
      </c>
      <c r="F8" s="24" t="s">
        <v>590</v>
      </c>
      <c r="G8" s="18"/>
      <c r="H8" s="18"/>
      <c r="I8" s="18">
        <v>0</v>
      </c>
      <c r="J8" s="18">
        <v>2062.3933934247507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>
        <v>0</v>
      </c>
      <c r="AJ8" s="18">
        <v>450.42181298021222</v>
      </c>
      <c r="AK8" s="18"/>
      <c r="AL8" s="18"/>
      <c r="AM8" s="18"/>
      <c r="AN8" s="18"/>
      <c r="AO8" s="18"/>
      <c r="AP8" s="18"/>
      <c r="AQ8" s="18"/>
      <c r="AR8" s="18"/>
      <c r="AS8" s="18">
        <v>35662.843480908901</v>
      </c>
      <c r="AT8" s="18">
        <v>22865.826499074192</v>
      </c>
      <c r="AU8" s="18"/>
      <c r="AV8" s="18"/>
      <c r="AW8" s="18"/>
      <c r="AX8" s="18"/>
      <c r="AY8" s="18"/>
      <c r="AZ8" s="113"/>
    </row>
    <row r="9" spans="1:52" s="25" customFormat="1" ht="37.5" customHeight="1" x14ac:dyDescent="0.3">
      <c r="A9" s="170">
        <v>8</v>
      </c>
      <c r="B9" s="17" t="s">
        <v>14</v>
      </c>
      <c r="C9" s="17" t="s">
        <v>12</v>
      </c>
      <c r="D9" s="17">
        <v>1909.4</v>
      </c>
      <c r="E9" s="24">
        <v>2021</v>
      </c>
      <c r="F9" s="24" t="s">
        <v>590</v>
      </c>
      <c r="G9" s="17"/>
      <c r="H9" s="17"/>
      <c r="I9" s="17">
        <v>0</v>
      </c>
      <c r="J9" s="17">
        <v>3656.7313078328712</v>
      </c>
      <c r="K9" s="17">
        <f>(137477+110745)*0.7</f>
        <v>173755.4</v>
      </c>
      <c r="L9" s="17">
        <f>(137477+110745)*0.3</f>
        <v>74466.599999999991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>
        <v>0</v>
      </c>
      <c r="AJ9" s="17">
        <v>798.62142232743736</v>
      </c>
      <c r="AK9" s="17"/>
      <c r="AL9" s="17"/>
      <c r="AM9" s="17"/>
      <c r="AN9" s="17"/>
      <c r="AO9" s="17"/>
      <c r="AP9" s="17"/>
      <c r="AQ9" s="17"/>
      <c r="AR9" s="17"/>
      <c r="AS9" s="17">
        <v>63232.085934114075</v>
      </c>
      <c r="AT9" s="17">
        <v>40542.30580121855</v>
      </c>
      <c r="AU9" s="17"/>
      <c r="AV9" s="17"/>
      <c r="AW9" s="17"/>
      <c r="AX9" s="17"/>
      <c r="AY9" s="17"/>
      <c r="AZ9" s="171"/>
    </row>
    <row r="10" spans="1:52" ht="56.25" customHeight="1" x14ac:dyDescent="0.3">
      <c r="A10" s="169">
        <v>9</v>
      </c>
      <c r="B10" s="18" t="s">
        <v>15</v>
      </c>
      <c r="C10" s="18" t="s">
        <v>10</v>
      </c>
      <c r="D10" s="18">
        <v>161.19999999999999</v>
      </c>
      <c r="E10" s="24">
        <v>2021</v>
      </c>
      <c r="F10" s="24" t="s">
        <v>590</v>
      </c>
      <c r="G10" s="18"/>
      <c r="H10" s="18"/>
      <c r="I10" s="18">
        <v>0</v>
      </c>
      <c r="J10" s="18">
        <v>308.71744360671346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>
        <v>0</v>
      </c>
      <c r="AJ10" s="18">
        <v>67.423155587714916</v>
      </c>
      <c r="AK10" s="18"/>
      <c r="AL10" s="18"/>
      <c r="AM10" s="18"/>
      <c r="AN10" s="18"/>
      <c r="AO10" s="18"/>
      <c r="AP10" s="18"/>
      <c r="AQ10" s="18"/>
      <c r="AR10" s="18"/>
      <c r="AS10" s="18">
        <v>5338.3325927407495</v>
      </c>
      <c r="AT10" s="18">
        <v>3422.7609171239287</v>
      </c>
      <c r="AU10" s="18"/>
      <c r="AV10" s="18"/>
      <c r="AW10" s="18"/>
      <c r="AX10" s="18"/>
      <c r="AY10" s="18"/>
      <c r="AZ10" s="113"/>
    </row>
    <row r="11" spans="1:52" ht="56.25" customHeight="1" x14ac:dyDescent="0.3">
      <c r="A11" s="169">
        <v>10</v>
      </c>
      <c r="B11" s="18" t="s">
        <v>16</v>
      </c>
      <c r="C11" s="18" t="s">
        <v>10</v>
      </c>
      <c r="D11" s="18">
        <v>32.200000000000003</v>
      </c>
      <c r="E11" s="24">
        <v>2021</v>
      </c>
      <c r="F11" s="24" t="s">
        <v>590</v>
      </c>
      <c r="G11" s="18"/>
      <c r="H11" s="18"/>
      <c r="I11" s="18">
        <v>0</v>
      </c>
      <c r="J11" s="18">
        <v>61.666883896626395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>
        <v>0</v>
      </c>
      <c r="AJ11" s="18">
        <v>13.46790080598276</v>
      </c>
      <c r="AK11" s="18"/>
      <c r="AL11" s="18"/>
      <c r="AM11" s="18"/>
      <c r="AN11" s="18"/>
      <c r="AO11" s="18"/>
      <c r="AP11" s="18"/>
      <c r="AQ11" s="18"/>
      <c r="AR11" s="18"/>
      <c r="AS11" s="18">
        <v>1066.3418702621102</v>
      </c>
      <c r="AT11" s="18">
        <v>683.70286309795608</v>
      </c>
      <c r="AU11" s="18"/>
      <c r="AV11" s="18"/>
      <c r="AW11" s="18"/>
      <c r="AX11" s="18"/>
      <c r="AY11" s="18"/>
      <c r="AZ11" s="113"/>
    </row>
    <row r="12" spans="1:52" ht="37.5" customHeight="1" x14ac:dyDescent="0.3">
      <c r="A12" s="169">
        <v>11</v>
      </c>
      <c r="B12" s="18" t="s">
        <v>17</v>
      </c>
      <c r="C12" s="18" t="s">
        <v>12</v>
      </c>
      <c r="D12" s="18">
        <v>67.099999999999994</v>
      </c>
      <c r="E12" s="24">
        <v>2021</v>
      </c>
      <c r="F12" s="24" t="s">
        <v>590</v>
      </c>
      <c r="G12" s="18"/>
      <c r="H12" s="18"/>
      <c r="I12" s="18">
        <v>0</v>
      </c>
      <c r="J12" s="18">
        <v>128.50459346160343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>
        <v>0</v>
      </c>
      <c r="AJ12" s="18">
        <v>28.06509764228084</v>
      </c>
      <c r="AK12" s="18"/>
      <c r="AL12" s="18"/>
      <c r="AM12" s="18"/>
      <c r="AN12" s="18"/>
      <c r="AO12" s="18"/>
      <c r="AP12" s="18"/>
      <c r="AQ12" s="18"/>
      <c r="AR12" s="18"/>
      <c r="AS12" s="18">
        <v>2222.0974998319125</v>
      </c>
      <c r="AT12" s="18">
        <v>1424.7348482569207</v>
      </c>
      <c r="AU12" s="18"/>
      <c r="AV12" s="18"/>
      <c r="AW12" s="18"/>
      <c r="AX12" s="18"/>
      <c r="AY12" s="18"/>
      <c r="AZ12" s="113"/>
    </row>
    <row r="13" spans="1:52" ht="37.5" customHeight="1" x14ac:dyDescent="0.3">
      <c r="A13" s="169">
        <v>12</v>
      </c>
      <c r="B13" s="18" t="s">
        <v>18</v>
      </c>
      <c r="C13" s="18" t="s">
        <v>12</v>
      </c>
      <c r="D13" s="18">
        <v>43.9</v>
      </c>
      <c r="E13" s="24">
        <v>2021</v>
      </c>
      <c r="F13" s="24" t="s">
        <v>590</v>
      </c>
      <c r="G13" s="18"/>
      <c r="H13" s="18"/>
      <c r="I13" s="18">
        <v>0</v>
      </c>
      <c r="J13" s="18">
        <v>84.07379512614591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>
        <v>0</v>
      </c>
      <c r="AJ13" s="18">
        <v>18.361516937349165</v>
      </c>
      <c r="AK13" s="18"/>
      <c r="AL13" s="18"/>
      <c r="AM13" s="18"/>
      <c r="AN13" s="18"/>
      <c r="AO13" s="18"/>
      <c r="AP13" s="18"/>
      <c r="AQ13" s="18"/>
      <c r="AR13" s="18"/>
      <c r="AS13" s="18">
        <v>1453.8014939287775</v>
      </c>
      <c r="AT13" s="18">
        <v>932.12905869566066</v>
      </c>
      <c r="AU13" s="18"/>
      <c r="AV13" s="18"/>
      <c r="AW13" s="18"/>
      <c r="AX13" s="18"/>
      <c r="AY13" s="18"/>
      <c r="AZ13" s="113"/>
    </row>
    <row r="14" spans="1:52" ht="56.25" customHeight="1" x14ac:dyDescent="0.3">
      <c r="A14" s="169">
        <v>13</v>
      </c>
      <c r="B14" s="18" t="s">
        <v>19</v>
      </c>
      <c r="C14" s="18" t="s">
        <v>10</v>
      </c>
      <c r="D14" s="18">
        <v>93.8</v>
      </c>
      <c r="E14" s="24">
        <v>2021</v>
      </c>
      <c r="F14" s="24" t="s">
        <v>590</v>
      </c>
      <c r="G14" s="18"/>
      <c r="H14" s="18"/>
      <c r="I14" s="18">
        <v>0</v>
      </c>
      <c r="J14" s="18">
        <v>179.63831395973773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0</v>
      </c>
      <c r="AD14" s="18">
        <f>187200+90000</f>
        <v>277200</v>
      </c>
      <c r="AE14" s="18"/>
      <c r="AF14" s="18"/>
      <c r="AG14" s="18"/>
      <c r="AH14" s="18"/>
      <c r="AI14" s="18">
        <v>0</v>
      </c>
      <c r="AJ14" s="18">
        <v>39.232580608732384</v>
      </c>
      <c r="AK14" s="18"/>
      <c r="AL14" s="18"/>
      <c r="AM14" s="18"/>
      <c r="AN14" s="18"/>
      <c r="AO14" s="18"/>
      <c r="AP14" s="18"/>
      <c r="AQ14" s="18"/>
      <c r="AR14" s="18"/>
      <c r="AS14" s="18">
        <v>3106.3002307635384</v>
      </c>
      <c r="AT14" s="18">
        <v>1991.656166415785</v>
      </c>
      <c r="AU14" s="18"/>
      <c r="AV14" s="18"/>
      <c r="AW14" s="18"/>
      <c r="AX14" s="18"/>
      <c r="AY14" s="18"/>
      <c r="AZ14" s="113"/>
    </row>
    <row r="15" spans="1:52" ht="56.25" customHeight="1" x14ac:dyDescent="0.3">
      <c r="A15" s="169">
        <v>14</v>
      </c>
      <c r="B15" s="18" t="s">
        <v>20</v>
      </c>
      <c r="C15" s="18" t="s">
        <v>10</v>
      </c>
      <c r="D15" s="18">
        <v>53.7</v>
      </c>
      <c r="E15" s="24">
        <v>2021</v>
      </c>
      <c r="F15" s="24" t="s">
        <v>590</v>
      </c>
      <c r="G15" s="18"/>
      <c r="H15" s="18"/>
      <c r="I15" s="18">
        <v>0</v>
      </c>
      <c r="J15" s="18">
        <v>102.84197718164091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>
        <v>0</v>
      </c>
      <c r="AJ15" s="18">
        <v>22.460443269604788</v>
      </c>
      <c r="AK15" s="18"/>
      <c r="AL15" s="18"/>
      <c r="AM15" s="18"/>
      <c r="AN15" s="18"/>
      <c r="AO15" s="18"/>
      <c r="AP15" s="18"/>
      <c r="AQ15" s="18"/>
      <c r="AR15" s="18"/>
      <c r="AS15" s="18">
        <v>1778.3403240085502</v>
      </c>
      <c r="AT15" s="18">
        <v>1140.2125387689516</v>
      </c>
      <c r="AU15" s="18"/>
      <c r="AV15" s="18"/>
      <c r="AW15" s="18"/>
      <c r="AX15" s="18"/>
      <c r="AY15" s="18"/>
      <c r="AZ15" s="113"/>
    </row>
    <row r="16" spans="1:52" ht="37.5" customHeight="1" x14ac:dyDescent="0.3">
      <c r="A16" s="169">
        <v>15</v>
      </c>
      <c r="B16" s="18" t="s">
        <v>21</v>
      </c>
      <c r="C16" s="18" t="s">
        <v>12</v>
      </c>
      <c r="D16" s="18">
        <v>454.3</v>
      </c>
      <c r="E16" s="24">
        <v>2021</v>
      </c>
      <c r="F16" s="24" t="s">
        <v>590</v>
      </c>
      <c r="G16" s="18"/>
      <c r="H16" s="18"/>
      <c r="I16" s="18">
        <v>0</v>
      </c>
      <c r="J16" s="18">
        <v>870.03929671544631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>
        <v>0</v>
      </c>
      <c r="AJ16" s="18">
        <v>190.01451354527848</v>
      </c>
      <c r="AK16" s="18"/>
      <c r="AL16" s="18"/>
      <c r="AM16" s="18"/>
      <c r="AN16" s="18"/>
      <c r="AO16" s="18"/>
      <c r="AP16" s="18"/>
      <c r="AQ16" s="18"/>
      <c r="AR16" s="18"/>
      <c r="AS16" s="18">
        <v>15044.692908698033</v>
      </c>
      <c r="AT16" s="18">
        <v>9646.1556119689885</v>
      </c>
      <c r="AU16" s="18"/>
      <c r="AV16" s="18"/>
      <c r="AW16" s="18"/>
      <c r="AX16" s="18"/>
      <c r="AY16" s="18"/>
      <c r="AZ16" s="113"/>
    </row>
    <row r="17" spans="1:52" ht="56.25" customHeight="1" x14ac:dyDescent="0.3">
      <c r="A17" s="169">
        <v>16</v>
      </c>
      <c r="B17" s="18" t="s">
        <v>22</v>
      </c>
      <c r="C17" s="18" t="s">
        <v>10</v>
      </c>
      <c r="D17" s="18">
        <v>91</v>
      </c>
      <c r="E17" s="24">
        <v>2021</v>
      </c>
      <c r="F17" s="24" t="s">
        <v>590</v>
      </c>
      <c r="G17" s="18"/>
      <c r="H17" s="18"/>
      <c r="I17" s="18">
        <v>0</v>
      </c>
      <c r="J17" s="18">
        <v>174.27597622959632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>
        <v>0</v>
      </c>
      <c r="AJ17" s="18">
        <v>38.061458799516487</v>
      </c>
      <c r="AK17" s="18"/>
      <c r="AL17" s="18"/>
      <c r="AM17" s="18"/>
      <c r="AN17" s="18"/>
      <c r="AO17" s="18"/>
      <c r="AP17" s="18"/>
      <c r="AQ17" s="18"/>
      <c r="AR17" s="18"/>
      <c r="AS17" s="18">
        <v>3013.5748507407461</v>
      </c>
      <c r="AT17" s="18">
        <v>1932.2037435377019</v>
      </c>
      <c r="AU17" s="18"/>
      <c r="AV17" s="18"/>
      <c r="AW17" s="18"/>
      <c r="AX17" s="18"/>
      <c r="AY17" s="18"/>
      <c r="AZ17" s="113"/>
    </row>
    <row r="18" spans="1:52" ht="37.5" customHeight="1" x14ac:dyDescent="0.3">
      <c r="A18" s="169">
        <v>17</v>
      </c>
      <c r="B18" s="18" t="s">
        <v>23</v>
      </c>
      <c r="C18" s="18" t="s">
        <v>12</v>
      </c>
      <c r="D18" s="18">
        <v>420.5</v>
      </c>
      <c r="E18" s="24">
        <v>2021</v>
      </c>
      <c r="F18" s="24" t="s">
        <v>590</v>
      </c>
      <c r="G18" s="18"/>
      <c r="H18" s="18"/>
      <c r="I18" s="18">
        <v>0</v>
      </c>
      <c r="J18" s="18">
        <v>805.30821983016756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>
        <v>0</v>
      </c>
      <c r="AD18" s="18">
        <v>30000</v>
      </c>
      <c r="AE18" s="18"/>
      <c r="AF18" s="18"/>
      <c r="AG18" s="18"/>
      <c r="AH18" s="18"/>
      <c r="AI18" s="18">
        <v>0</v>
      </c>
      <c r="AJ18" s="18">
        <v>175.87740027688665</v>
      </c>
      <c r="AK18" s="18"/>
      <c r="AL18" s="18"/>
      <c r="AM18" s="18"/>
      <c r="AN18" s="18"/>
      <c r="AO18" s="18"/>
      <c r="AP18" s="18"/>
      <c r="AQ18" s="18"/>
      <c r="AR18" s="18"/>
      <c r="AS18" s="18">
        <v>13925.365106994328</v>
      </c>
      <c r="AT18" s="18">
        <v>8928.4799357978427</v>
      </c>
      <c r="AU18" s="18"/>
      <c r="AV18" s="18"/>
      <c r="AW18" s="18"/>
      <c r="AX18" s="18"/>
      <c r="AY18" s="18"/>
      <c r="AZ18" s="113"/>
    </row>
    <row r="19" spans="1:52" ht="56.25" customHeight="1" x14ac:dyDescent="0.3">
      <c r="A19" s="169">
        <v>18</v>
      </c>
      <c r="B19" s="18" t="s">
        <v>24</v>
      </c>
      <c r="C19" s="18" t="s">
        <v>10</v>
      </c>
      <c r="D19" s="18">
        <v>9.8000000000000007</v>
      </c>
      <c r="E19" s="24">
        <v>2021</v>
      </c>
      <c r="F19" s="24" t="s">
        <v>590</v>
      </c>
      <c r="G19" s="18"/>
      <c r="H19" s="18"/>
      <c r="I19" s="18">
        <v>0</v>
      </c>
      <c r="J19" s="18">
        <v>18.768182055494989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0</v>
      </c>
      <c r="AF19" s="18">
        <v>15073.170731707318</v>
      </c>
      <c r="AG19" s="18"/>
      <c r="AH19" s="18"/>
      <c r="AI19" s="18">
        <v>0</v>
      </c>
      <c r="AJ19" s="18">
        <v>4.0989263322556226</v>
      </c>
      <c r="AK19" s="18"/>
      <c r="AL19" s="18"/>
      <c r="AM19" s="18"/>
      <c r="AN19" s="18"/>
      <c r="AO19" s="18"/>
      <c r="AP19" s="18"/>
      <c r="AQ19" s="18"/>
      <c r="AR19" s="18"/>
      <c r="AS19" s="18">
        <v>324.53883007977265</v>
      </c>
      <c r="AT19" s="18">
        <v>208.08348007329099</v>
      </c>
      <c r="AU19" s="18"/>
      <c r="AV19" s="18"/>
      <c r="AW19" s="18"/>
      <c r="AX19" s="18"/>
      <c r="AY19" s="18"/>
      <c r="AZ19" s="113"/>
    </row>
    <row r="20" spans="1:52" ht="37.5" customHeight="1" x14ac:dyDescent="0.3">
      <c r="A20" s="169">
        <v>19</v>
      </c>
      <c r="B20" s="18" t="s">
        <v>25</v>
      </c>
      <c r="C20" s="18" t="s">
        <v>26</v>
      </c>
      <c r="D20" s="18">
        <v>441.8</v>
      </c>
      <c r="E20" s="24">
        <v>2021</v>
      </c>
      <c r="F20" s="24" t="s">
        <v>590</v>
      </c>
      <c r="G20" s="18"/>
      <c r="H20" s="18"/>
      <c r="I20" s="18">
        <v>0</v>
      </c>
      <c r="J20" s="18">
        <v>846.10028899160056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>
        <v>0</v>
      </c>
      <c r="AJ20" s="18">
        <v>184.78629118270754</v>
      </c>
      <c r="AK20" s="18"/>
      <c r="AL20" s="18"/>
      <c r="AM20" s="18"/>
      <c r="AN20" s="18"/>
      <c r="AO20" s="18"/>
      <c r="AP20" s="18"/>
      <c r="AQ20" s="18"/>
      <c r="AR20" s="18"/>
      <c r="AS20" s="18">
        <v>14630.740319310567</v>
      </c>
      <c r="AT20" s="18">
        <v>9380.7430098346886</v>
      </c>
      <c r="AU20" s="18"/>
      <c r="AV20" s="18"/>
      <c r="AW20" s="18"/>
      <c r="AX20" s="18"/>
      <c r="AY20" s="18"/>
      <c r="AZ20" s="113"/>
    </row>
    <row r="21" spans="1:52" ht="37.5" customHeight="1" x14ac:dyDescent="0.3">
      <c r="A21" s="169">
        <v>20</v>
      </c>
      <c r="B21" s="18" t="s">
        <v>27</v>
      </c>
      <c r="C21" s="18" t="s">
        <v>28</v>
      </c>
      <c r="D21" s="18">
        <v>4528.3999999999996</v>
      </c>
      <c r="E21" s="24">
        <v>2021</v>
      </c>
      <c r="F21" s="24" t="s">
        <v>592</v>
      </c>
      <c r="G21" s="18">
        <v>73451.22121333034</v>
      </c>
      <c r="H21" s="18">
        <f>22533.046706214+207622.118140006+306421.563099132+7147.77283202323</f>
        <v>543724.50077737519</v>
      </c>
      <c r="I21" s="18">
        <v>25207.001450053856</v>
      </c>
      <c r="J21" s="18">
        <v>27072.319557357841</v>
      </c>
      <c r="K21" s="18">
        <v>0</v>
      </c>
      <c r="L21" s="18">
        <v>2980.1011310491226</v>
      </c>
      <c r="M21" s="18">
        <v>0</v>
      </c>
      <c r="N21" s="18">
        <f>6352.16436541357+5073.98</f>
        <v>11426.144365413569</v>
      </c>
      <c r="O21" s="18">
        <v>0</v>
      </c>
      <c r="P21" s="18">
        <v>41000</v>
      </c>
      <c r="Q21" s="18">
        <v>0</v>
      </c>
      <c r="R21" s="18">
        <v>16000</v>
      </c>
      <c r="S21" s="18">
        <v>0</v>
      </c>
      <c r="T21" s="18">
        <v>6545.454545454545</v>
      </c>
      <c r="U21" s="18">
        <v>20379.761552049386</v>
      </c>
      <c r="V21" s="18">
        <v>2207.8075014720166</v>
      </c>
      <c r="W21" s="18">
        <v>24515.383921320943</v>
      </c>
      <c r="X21" s="18">
        <v>11810.956371103519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>
        <v>0</v>
      </c>
      <c r="AJ21" s="18">
        <f>885+6125</f>
        <v>7010</v>
      </c>
      <c r="AK21" s="18">
        <v>0</v>
      </c>
      <c r="AL21" s="18">
        <v>460983.03281321691</v>
      </c>
      <c r="AM21" s="18"/>
      <c r="AN21" s="18"/>
      <c r="AO21" s="18"/>
      <c r="AP21" s="18"/>
      <c r="AQ21" s="18"/>
      <c r="AR21" s="18"/>
      <c r="AS21" s="18">
        <v>12823.061348737769</v>
      </c>
      <c r="AT21" s="18">
        <v>281466.19660479401</v>
      </c>
      <c r="AU21" s="18">
        <v>50483.343475403446</v>
      </c>
      <c r="AV21" s="18">
        <v>0</v>
      </c>
      <c r="AW21" s="18"/>
      <c r="AX21" s="18"/>
      <c r="AY21" s="18"/>
      <c r="AZ21" s="113"/>
    </row>
    <row r="22" spans="1:52" ht="37.5" customHeight="1" x14ac:dyDescent="0.3">
      <c r="A22" s="169">
        <v>21</v>
      </c>
      <c r="B22" s="18" t="s">
        <v>27</v>
      </c>
      <c r="C22" s="18" t="s">
        <v>29</v>
      </c>
      <c r="D22" s="18">
        <v>4779.7</v>
      </c>
      <c r="E22" s="24">
        <v>2021</v>
      </c>
      <c r="F22" s="24" t="s">
        <v>592</v>
      </c>
      <c r="G22" s="18">
        <v>77527.339023353736</v>
      </c>
      <c r="H22" s="18">
        <f>23783.5004287809+219143.944455831+323426.186985452+7544.43286927424</f>
        <v>573898.06473933824</v>
      </c>
      <c r="I22" s="18">
        <v>26605.844190182495</v>
      </c>
      <c r="J22" s="18">
        <v>28574.676660256002</v>
      </c>
      <c r="K22" s="18"/>
      <c r="L22" s="18"/>
      <c r="M22" s="18">
        <v>0</v>
      </c>
      <c r="N22" s="18">
        <v>6704.6727359259885</v>
      </c>
      <c r="O22" s="18"/>
      <c r="P22" s="18"/>
      <c r="Q22" s="18"/>
      <c r="R22" s="18"/>
      <c r="S22" s="18">
        <v>0</v>
      </c>
      <c r="T22" s="18">
        <v>3272.7272727272725</v>
      </c>
      <c r="U22" s="18">
        <v>21510.720406839158</v>
      </c>
      <c r="V22" s="18">
        <v>2330.3280440742424</v>
      </c>
      <c r="W22" s="18">
        <v>0</v>
      </c>
      <c r="X22" s="18">
        <v>12466.396114955282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>
        <v>0</v>
      </c>
      <c r="AJ22" s="18">
        <f>885+6125</f>
        <v>7010</v>
      </c>
      <c r="AK22" s="18"/>
      <c r="AL22" s="18"/>
      <c r="AM22" s="18"/>
      <c r="AN22" s="18"/>
      <c r="AO22" s="18"/>
      <c r="AP22" s="18"/>
      <c r="AQ22" s="18"/>
      <c r="AR22" s="18"/>
      <c r="AS22" s="18">
        <v>13534.667063104391</v>
      </c>
      <c r="AT22" s="18">
        <v>297085.9420351414</v>
      </c>
      <c r="AU22" s="18">
        <v>53284.876956405322</v>
      </c>
      <c r="AV22" s="18">
        <v>0</v>
      </c>
      <c r="AW22" s="18"/>
      <c r="AX22" s="18"/>
      <c r="AY22" s="18"/>
      <c r="AZ22" s="113"/>
    </row>
    <row r="23" spans="1:52" s="25" customFormat="1" ht="37.5" customHeight="1" x14ac:dyDescent="0.3">
      <c r="A23" s="170">
        <v>22</v>
      </c>
      <c r="B23" s="17" t="s">
        <v>30</v>
      </c>
      <c r="C23" s="17" t="s">
        <v>31</v>
      </c>
      <c r="D23" s="17">
        <v>3918.8</v>
      </c>
      <c r="E23" s="24">
        <v>2021</v>
      </c>
      <c r="F23" s="24" t="s">
        <v>591</v>
      </c>
      <c r="G23" s="46">
        <f>1294518.12*0.7</f>
        <v>906162.68400000001</v>
      </c>
      <c r="H23" s="46">
        <f>1294518.12*0.3</f>
        <v>388355.43600000005</v>
      </c>
      <c r="I23" s="17">
        <v>21813.708436196241</v>
      </c>
      <c r="J23" s="17">
        <v>23427.922860474762</v>
      </c>
      <c r="K23" s="17">
        <v>0</v>
      </c>
      <c r="L23" s="17">
        <v>29031.243490663041</v>
      </c>
      <c r="M23" s="17"/>
      <c r="N23" s="17"/>
      <c r="O23" s="17"/>
      <c r="P23" s="17"/>
      <c r="Q23" s="17"/>
      <c r="R23" s="17"/>
      <c r="S23" s="17">
        <v>0</v>
      </c>
      <c r="T23" s="17">
        <v>6545.454545454545</v>
      </c>
      <c r="U23" s="17"/>
      <c r="V23" s="17"/>
      <c r="W23" s="17">
        <v>0</v>
      </c>
      <c r="X23" s="17">
        <v>10220.999873483011</v>
      </c>
      <c r="Y23" s="17">
        <v>81466.7</v>
      </c>
      <c r="Z23" s="17">
        <v>16293.34</v>
      </c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>
        <v>11096.858231038243</v>
      </c>
      <c r="AT23" s="17">
        <v>243576.03817128943</v>
      </c>
      <c r="AU23" s="17"/>
      <c r="AV23" s="17"/>
      <c r="AW23" s="17"/>
      <c r="AX23" s="17"/>
      <c r="AY23" s="17"/>
      <c r="AZ23" s="171"/>
    </row>
    <row r="24" spans="1:52" ht="37.5" customHeight="1" x14ac:dyDescent="0.3">
      <c r="A24" s="169">
        <v>23</v>
      </c>
      <c r="B24" s="18" t="s">
        <v>32</v>
      </c>
      <c r="C24" s="18" t="s">
        <v>33</v>
      </c>
      <c r="D24" s="18">
        <v>4394.6000000000004</v>
      </c>
      <c r="E24" s="24">
        <v>2021</v>
      </c>
      <c r="F24" s="24" t="s">
        <v>592</v>
      </c>
      <c r="G24" s="18">
        <v>71280.968276676431</v>
      </c>
      <c r="H24" s="18">
        <f>21867.2659339123+201487.536520199+297367.768129018+6936.57859014427</f>
        <v>527659.14917327359</v>
      </c>
      <c r="I24" s="18">
        <v>24462.213711776054</v>
      </c>
      <c r="J24" s="18">
        <v>26272.417526447483</v>
      </c>
      <c r="K24" s="18">
        <v>0</v>
      </c>
      <c r="L24" s="18">
        <v>29471.110816279146</v>
      </c>
      <c r="M24" s="18">
        <v>0</v>
      </c>
      <c r="N24" s="18">
        <f>6164.47785536757+3911.47</f>
        <v>10075.947855367569</v>
      </c>
      <c r="O24" s="18"/>
      <c r="P24" s="18"/>
      <c r="Q24" s="18"/>
      <c r="R24" s="18"/>
      <c r="S24" s="18">
        <v>0</v>
      </c>
      <c r="T24" s="18">
        <v>3272.7272727272725</v>
      </c>
      <c r="U24" s="18"/>
      <c r="V24" s="18"/>
      <c r="W24" s="18">
        <v>0</v>
      </c>
      <c r="X24" s="18">
        <v>11461.97969888957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>
        <v>12444.180152628524</v>
      </c>
      <c r="AT24" s="18">
        <v>273149.7543501961</v>
      </c>
      <c r="AU24" s="18"/>
      <c r="AV24" s="18"/>
      <c r="AW24" s="18"/>
      <c r="AX24" s="18"/>
      <c r="AY24" s="18"/>
      <c r="AZ24" s="113"/>
    </row>
    <row r="25" spans="1:52" ht="37.5" customHeight="1" x14ac:dyDescent="0.3">
      <c r="A25" s="169">
        <v>24</v>
      </c>
      <c r="B25" s="18" t="s">
        <v>34</v>
      </c>
      <c r="C25" s="18" t="s">
        <v>35</v>
      </c>
      <c r="D25" s="18">
        <v>17.5</v>
      </c>
      <c r="E25" s="24">
        <v>2021</v>
      </c>
      <c r="F25" s="24" t="s">
        <v>593</v>
      </c>
      <c r="G25" s="18">
        <v>0</v>
      </c>
      <c r="H25" s="18">
        <f>87.0789500394722+1184.16600879666+27.6225652681756</f>
        <v>1298.8675241043077</v>
      </c>
      <c r="I25" s="18">
        <v>97.412447084167141</v>
      </c>
      <c r="J25" s="18">
        <v>104.62096816839551</v>
      </c>
      <c r="K25" s="18"/>
      <c r="L25" s="18"/>
      <c r="M25" s="18">
        <v>0</v>
      </c>
      <c r="N25" s="18">
        <v>24.547936665210123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13"/>
    </row>
    <row r="26" spans="1:52" ht="37.5" customHeight="1" x14ac:dyDescent="0.3">
      <c r="A26" s="169">
        <v>25</v>
      </c>
      <c r="B26" s="18" t="s">
        <v>21</v>
      </c>
      <c r="C26" s="18" t="s">
        <v>36</v>
      </c>
      <c r="D26" s="18">
        <v>95</v>
      </c>
      <c r="E26" s="24">
        <v>2021</v>
      </c>
      <c r="F26" s="24" t="s">
        <v>593</v>
      </c>
      <c r="G26" s="18">
        <v>0</v>
      </c>
      <c r="H26" s="18">
        <f>472.714300214278+6428.32976203902+149.951068598668</f>
        <v>7050.9951308519667</v>
      </c>
      <c r="I26" s="18">
        <v>528.81042702833588</v>
      </c>
      <c r="J26" s="18">
        <v>567.94239862843267</v>
      </c>
      <c r="K26" s="18"/>
      <c r="L26" s="18"/>
      <c r="M26" s="18">
        <v>0</v>
      </c>
      <c r="N26" s="18">
        <v>133.26022761114066</v>
      </c>
      <c r="O26" s="18"/>
      <c r="P26" s="18"/>
      <c r="Q26" s="18"/>
      <c r="R26" s="18"/>
      <c r="S26" s="18">
        <v>0</v>
      </c>
      <c r="T26" s="18">
        <v>3272.7272727272725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13"/>
    </row>
    <row r="27" spans="1:52" ht="37.5" customHeight="1" x14ac:dyDescent="0.3">
      <c r="A27" s="169">
        <v>26</v>
      </c>
      <c r="B27" s="18" t="s">
        <v>37</v>
      </c>
      <c r="C27" s="18" t="s">
        <v>38</v>
      </c>
      <c r="D27" s="18">
        <v>4151.6000000000004</v>
      </c>
      <c r="E27" s="24">
        <v>2021</v>
      </c>
      <c r="F27" s="24" t="s">
        <v>592</v>
      </c>
      <c r="G27" s="18"/>
      <c r="H27" s="18"/>
      <c r="I27" s="18">
        <v>23109.572303693047</v>
      </c>
      <c r="J27" s="18">
        <v>24819.680654166332</v>
      </c>
      <c r="K27" s="18">
        <v>0</v>
      </c>
      <c r="L27" s="18">
        <v>249914.07811507981</v>
      </c>
      <c r="M27" s="18">
        <v>0</v>
      </c>
      <c r="N27" s="18">
        <v>5823.6122205306483</v>
      </c>
      <c r="O27" s="18"/>
      <c r="P27" s="18"/>
      <c r="Q27" s="18"/>
      <c r="R27" s="18"/>
      <c r="S27" s="18">
        <v>0</v>
      </c>
      <c r="T27" s="18">
        <v>3272.7272727272725</v>
      </c>
      <c r="U27" s="18">
        <v>18683.998334839733</v>
      </c>
      <c r="V27" s="18">
        <v>2024.0998196076375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>
        <v>11756.077531891999</v>
      </c>
      <c r="AT27" s="18">
        <v>258045.90182502937</v>
      </c>
      <c r="AU27" s="18"/>
      <c r="AV27" s="18"/>
      <c r="AW27" s="18"/>
      <c r="AX27" s="18"/>
      <c r="AY27" s="18"/>
      <c r="AZ27" s="113"/>
    </row>
    <row r="28" spans="1:52" ht="37.5" customHeight="1" x14ac:dyDescent="0.3">
      <c r="A28" s="169">
        <v>27</v>
      </c>
      <c r="B28" s="18" t="s">
        <v>39</v>
      </c>
      <c r="C28" s="18" t="s">
        <v>40</v>
      </c>
      <c r="D28" s="18">
        <v>101.1</v>
      </c>
      <c r="E28" s="24">
        <v>2021</v>
      </c>
      <c r="F28" s="24" t="s">
        <v>593</v>
      </c>
      <c r="G28" s="18"/>
      <c r="H28" s="18"/>
      <c r="I28" s="18">
        <v>562.76562286910269</v>
      </c>
      <c r="J28" s="18">
        <v>604.41027896141622</v>
      </c>
      <c r="K28" s="18">
        <v>0</v>
      </c>
      <c r="L28" s="18">
        <v>6085.921884920167</v>
      </c>
      <c r="M28" s="18">
        <v>0</v>
      </c>
      <c r="N28" s="18">
        <v>141.81693696301389</v>
      </c>
      <c r="O28" s="18"/>
      <c r="P28" s="18"/>
      <c r="Q28" s="18"/>
      <c r="R28" s="18"/>
      <c r="S28" s="18">
        <v>0</v>
      </c>
      <c r="T28" s="18">
        <v>3272.7272727272725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>
        <v>286.28467060272692</v>
      </c>
      <c r="AT28" s="18">
        <v>6283.9485197298563</v>
      </c>
      <c r="AU28" s="18"/>
      <c r="AV28" s="18"/>
      <c r="AW28" s="18"/>
      <c r="AX28" s="18"/>
      <c r="AY28" s="18"/>
      <c r="AZ28" s="113"/>
    </row>
    <row r="29" spans="1:52" s="25" customFormat="1" ht="37.5" customHeight="1" x14ac:dyDescent="0.3">
      <c r="A29" s="170">
        <v>28</v>
      </c>
      <c r="B29" s="17" t="s">
        <v>30</v>
      </c>
      <c r="C29" s="17" t="s">
        <v>41</v>
      </c>
      <c r="D29" s="17">
        <v>1239.3</v>
      </c>
      <c r="E29" s="24">
        <v>2021</v>
      </c>
      <c r="F29" s="24" t="s">
        <v>591</v>
      </c>
      <c r="G29" s="46">
        <v>1812328.7279999999</v>
      </c>
      <c r="H29" s="46">
        <v>776712.31200000003</v>
      </c>
      <c r="I29" s="16">
        <v>297588.09999999998</v>
      </c>
      <c r="J29" s="17">
        <v>127537.76</v>
      </c>
      <c r="K29" s="17">
        <f>(89230+71879)*0.7</f>
        <v>112776.29999999999</v>
      </c>
      <c r="L29" s="17">
        <f>(89230+71879)*0.3</f>
        <v>48332.7</v>
      </c>
      <c r="M29" s="17"/>
      <c r="N29" s="17"/>
      <c r="O29" s="17">
        <v>0</v>
      </c>
      <c r="P29" s="17">
        <v>60000</v>
      </c>
      <c r="Q29" s="17"/>
      <c r="R29" s="17"/>
      <c r="S29" s="17">
        <v>0</v>
      </c>
      <c r="T29" s="17">
        <v>3272.7272727272725</v>
      </c>
      <c r="U29" s="17"/>
      <c r="V29" s="17"/>
      <c r="W29" s="17">
        <v>7081.0134501094772</v>
      </c>
      <c r="X29" s="17">
        <v>3034.7200500469189</v>
      </c>
      <c r="Y29" s="17"/>
      <c r="Z29" s="17"/>
      <c r="AA29" s="17"/>
      <c r="AB29" s="17"/>
      <c r="AC29" s="17"/>
      <c r="AD29" s="17"/>
      <c r="AE29" s="17"/>
      <c r="AF29" s="17"/>
      <c r="AG29" s="17">
        <f>(109058*0.7)+(107166.49*0.7)</f>
        <v>151357.14299999998</v>
      </c>
      <c r="AH29" s="17">
        <f>(109058*0.3)+(107166.49*0.3)</f>
        <v>64867.346999999994</v>
      </c>
      <c r="AI29" s="17">
        <v>0</v>
      </c>
      <c r="AJ29" s="17">
        <v>5179.7553323442844</v>
      </c>
      <c r="AK29" s="17"/>
      <c r="AL29" s="17"/>
      <c r="AM29" s="17"/>
      <c r="AN29" s="17"/>
      <c r="AO29" s="17"/>
      <c r="AP29" s="17"/>
      <c r="AQ29" s="17"/>
      <c r="AR29" s="17"/>
      <c r="AS29" s="17">
        <f>46781.2146603117+41040.9155222308</f>
        <v>87822.130182542503</v>
      </c>
      <c r="AT29" s="17">
        <f>9495.18307462956+26314.067026003</f>
        <v>35809.250100632562</v>
      </c>
      <c r="AU29" s="17"/>
      <c r="AV29" s="17"/>
      <c r="AW29" s="17"/>
      <c r="AX29" s="17"/>
      <c r="AY29" s="17"/>
      <c r="AZ29" s="171"/>
    </row>
    <row r="30" spans="1:52" s="25" customFormat="1" ht="37.5" customHeight="1" x14ac:dyDescent="0.3">
      <c r="A30" s="170">
        <v>29</v>
      </c>
      <c r="B30" s="17" t="s">
        <v>27</v>
      </c>
      <c r="C30" s="17" t="s">
        <v>42</v>
      </c>
      <c r="D30" s="17">
        <v>11233.4</v>
      </c>
      <c r="E30" s="24">
        <v>2021</v>
      </c>
      <c r="F30" s="24" t="s">
        <v>592</v>
      </c>
      <c r="G30" s="17">
        <v>182207.16994475399</v>
      </c>
      <c r="H30" s="17">
        <f>515038.932495791+960353.783260417+88243.32+17731.1614104871</f>
        <v>1581367.1971666953</v>
      </c>
      <c r="I30" s="17">
        <v>62529.884747159034</v>
      </c>
      <c r="J30" s="17">
        <v>67157.096218448802</v>
      </c>
      <c r="K30" s="17">
        <v>0</v>
      </c>
      <c r="L30" s="17">
        <f>45000+40643.7408869283</f>
        <v>85643.74088692831</v>
      </c>
      <c r="M30" s="17">
        <v>0</v>
      </c>
      <c r="N30" s="17">
        <f>15757.5309562841+11621.81</f>
        <v>27379.340956284097</v>
      </c>
      <c r="O30" s="17">
        <v>0</v>
      </c>
      <c r="P30" s="17">
        <v>41000</v>
      </c>
      <c r="Q30" s="17"/>
      <c r="R30" s="17"/>
      <c r="S30" s="17">
        <v>0</v>
      </c>
      <c r="T30" s="17">
        <v>6545.454545454545</v>
      </c>
      <c r="U30" s="17">
        <v>50555.165934721219</v>
      </c>
      <c r="V30" s="17">
        <v>5476.8096429281322</v>
      </c>
      <c r="W30" s="17">
        <v>60814.219976540648</v>
      </c>
      <c r="X30" s="17">
        <v>29298.912927116478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>
        <v>0</v>
      </c>
      <c r="AJ30" s="17">
        <f>885+6125</f>
        <v>7010</v>
      </c>
      <c r="AK30" s="17">
        <v>0</v>
      </c>
      <c r="AL30" s="17">
        <v>1143540.0584762811</v>
      </c>
      <c r="AM30" s="17"/>
      <c r="AN30" s="17"/>
      <c r="AO30" s="17"/>
      <c r="AP30" s="17"/>
      <c r="AQ30" s="17"/>
      <c r="AR30" s="17"/>
      <c r="AS30" s="17">
        <v>31809.596624615948</v>
      </c>
      <c r="AT30" s="17">
        <v>698220.64591032011</v>
      </c>
      <c r="AU30" s="17">
        <v>125231.77956819121</v>
      </c>
      <c r="AV30" s="17">
        <v>0</v>
      </c>
      <c r="AW30" s="17"/>
      <c r="AX30" s="17"/>
      <c r="AY30" s="17"/>
      <c r="AZ30" s="171"/>
    </row>
    <row r="31" spans="1:52" s="25" customFormat="1" ht="37.5" customHeight="1" x14ac:dyDescent="0.3">
      <c r="A31" s="170">
        <v>30</v>
      </c>
      <c r="B31" s="17" t="s">
        <v>43</v>
      </c>
      <c r="C31" s="17" t="s">
        <v>44</v>
      </c>
      <c r="D31" s="17">
        <v>235.9</v>
      </c>
      <c r="E31" s="24">
        <v>2021</v>
      </c>
      <c r="F31" s="24" t="s">
        <v>592</v>
      </c>
      <c r="G31" s="17">
        <v>0</v>
      </c>
      <c r="H31" s="17">
        <f>20167.3097611705+372.352179815008</f>
        <v>20539.661940985508</v>
      </c>
      <c r="I31" s="17">
        <v>1313.1197866945731</v>
      </c>
      <c r="J31" s="17">
        <v>1410.2906509099714</v>
      </c>
      <c r="K31" s="17"/>
      <c r="L31" s="17"/>
      <c r="M31" s="17">
        <v>0</v>
      </c>
      <c r="N31" s="17">
        <v>330.90618624703245</v>
      </c>
      <c r="O31" s="17"/>
      <c r="P31" s="17"/>
      <c r="Q31" s="17"/>
      <c r="R31" s="17"/>
      <c r="S31" s="17">
        <v>0</v>
      </c>
      <c r="T31" s="17">
        <v>3272.7272727272725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>
        <v>0</v>
      </c>
      <c r="AJ31" s="17">
        <f>885+6125</f>
        <v>7010</v>
      </c>
      <c r="AK31" s="17">
        <v>0</v>
      </c>
      <c r="AL31" s="17">
        <v>24014.198710502136</v>
      </c>
      <c r="AM31" s="17"/>
      <c r="AN31" s="17"/>
      <c r="AO31" s="17"/>
      <c r="AP31" s="17"/>
      <c r="AQ31" s="17"/>
      <c r="AR31" s="17"/>
      <c r="AS31" s="17">
        <v>667.99756473969614</v>
      </c>
      <c r="AT31" s="17">
        <v>14662.546546036332</v>
      </c>
      <c r="AU31" s="17"/>
      <c r="AV31" s="17"/>
      <c r="AW31" s="17"/>
      <c r="AX31" s="17"/>
      <c r="AY31" s="17"/>
      <c r="AZ31" s="171"/>
    </row>
    <row r="32" spans="1:52" s="25" customFormat="1" ht="37.5" customHeight="1" x14ac:dyDescent="0.3">
      <c r="A32" s="170">
        <v>31</v>
      </c>
      <c r="B32" s="17" t="s">
        <v>45</v>
      </c>
      <c r="C32" s="17" t="s">
        <v>46</v>
      </c>
      <c r="D32" s="17">
        <v>173.4</v>
      </c>
      <c r="E32" s="24">
        <v>2021</v>
      </c>
      <c r="F32" s="24" t="s">
        <v>593</v>
      </c>
      <c r="G32" s="17">
        <v>0</v>
      </c>
      <c r="H32" s="17">
        <f>14824.1268019795+273.700161000095</f>
        <v>15097.826962979596</v>
      </c>
      <c r="I32" s="17">
        <v>965.2181899654048</v>
      </c>
      <c r="J32" s="17">
        <v>1036.6443360228448</v>
      </c>
      <c r="K32" s="17"/>
      <c r="L32" s="17"/>
      <c r="M32" s="17">
        <v>0</v>
      </c>
      <c r="N32" s="17">
        <v>243.23498387128203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1"/>
    </row>
    <row r="33" spans="1:52" s="25" customFormat="1" ht="37.5" customHeight="1" x14ac:dyDescent="0.3">
      <c r="A33" s="170">
        <v>32</v>
      </c>
      <c r="B33" s="17" t="s">
        <v>30</v>
      </c>
      <c r="C33" s="17" t="s">
        <v>47</v>
      </c>
      <c r="D33" s="17">
        <v>1971</v>
      </c>
      <c r="E33" s="24">
        <v>2021</v>
      </c>
      <c r="F33" s="24" t="s">
        <v>591</v>
      </c>
      <c r="G33" s="46">
        <v>1812328.73</v>
      </c>
      <c r="H33" s="46">
        <v>776712.31</v>
      </c>
      <c r="I33" s="17">
        <v>10971.424754451054</v>
      </c>
      <c r="J33" s="17">
        <v>11783.310186280432</v>
      </c>
      <c r="K33" s="17">
        <v>0</v>
      </c>
      <c r="L33" s="17">
        <v>8386.8036750804349</v>
      </c>
      <c r="M33" s="17"/>
      <c r="N33" s="17"/>
      <c r="O33" s="17"/>
      <c r="P33" s="17"/>
      <c r="Q33" s="17"/>
      <c r="R33" s="17"/>
      <c r="S33" s="17">
        <v>0</v>
      </c>
      <c r="T33" s="17">
        <v>6545.454545454545</v>
      </c>
      <c r="U33" s="17">
        <v>8870.3537715505117</v>
      </c>
      <c r="V33" s="17">
        <v>960.95499191797205</v>
      </c>
      <c r="W33" s="17">
        <v>10670.396102138411</v>
      </c>
      <c r="X33" s="17">
        <v>5140.7550144521329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>
        <v>5581.2768126407</v>
      </c>
      <c r="AT33" s="17">
        <v>122509.02603746337</v>
      </c>
      <c r="AU33" s="17"/>
      <c r="AV33" s="17"/>
      <c r="AW33" s="17"/>
      <c r="AX33" s="17"/>
      <c r="AY33" s="17"/>
      <c r="AZ33" s="171"/>
    </row>
    <row r="34" spans="1:52" s="25" customFormat="1" ht="18.75" customHeight="1" x14ac:dyDescent="0.3">
      <c r="A34" s="170">
        <v>33</v>
      </c>
      <c r="B34" s="17" t="s">
        <v>48</v>
      </c>
      <c r="C34" s="17" t="s">
        <v>49</v>
      </c>
      <c r="D34" s="17">
        <v>126.6</v>
      </c>
      <c r="E34" s="24">
        <v>2021</v>
      </c>
      <c r="F34" s="24" t="s">
        <v>593</v>
      </c>
      <c r="G34" s="17">
        <v>0</v>
      </c>
      <c r="H34" s="17">
        <f>10823.1514021373+199.829529311488</f>
        <v>11022.980931448788</v>
      </c>
      <c r="I34" s="17">
        <v>704.70947433460333</v>
      </c>
      <c r="J34" s="17">
        <v>756.85797543536398</v>
      </c>
      <c r="K34" s="17"/>
      <c r="L34" s="17"/>
      <c r="M34" s="17">
        <v>0</v>
      </c>
      <c r="N34" s="17">
        <v>177.58678753232007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1"/>
    </row>
    <row r="35" spans="1:52" s="25" customFormat="1" ht="37.5" customHeight="1" x14ac:dyDescent="0.3">
      <c r="A35" s="170">
        <v>34</v>
      </c>
      <c r="B35" s="17" t="s">
        <v>48</v>
      </c>
      <c r="C35" s="17" t="s">
        <v>50</v>
      </c>
      <c r="D35" s="17">
        <v>71</v>
      </c>
      <c r="E35" s="24">
        <v>2021</v>
      </c>
      <c r="F35" s="24" t="s">
        <v>593</v>
      </c>
      <c r="G35" s="17">
        <v>0</v>
      </c>
      <c r="H35" s="17">
        <f>6069.85584164097+112.068693373741</f>
        <v>6181.9245350147103</v>
      </c>
      <c r="I35" s="17">
        <v>395.21621388433527</v>
      </c>
      <c r="J35" s="17">
        <v>424.46221371177609</v>
      </c>
      <c r="K35" s="17"/>
      <c r="L35" s="17"/>
      <c r="M35" s="17">
        <v>0</v>
      </c>
      <c r="N35" s="17">
        <v>99.594485898852497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1"/>
    </row>
    <row r="36" spans="1:52" s="25" customFormat="1" ht="37.5" customHeight="1" x14ac:dyDescent="0.3">
      <c r="A36" s="170">
        <v>35</v>
      </c>
      <c r="B36" s="17" t="s">
        <v>48</v>
      </c>
      <c r="C36" s="17" t="s">
        <v>51</v>
      </c>
      <c r="D36" s="17">
        <v>34.700000000000003</v>
      </c>
      <c r="E36" s="24">
        <v>2021</v>
      </c>
      <c r="F36" s="24" t="s">
        <v>593</v>
      </c>
      <c r="G36" s="17">
        <v>0</v>
      </c>
      <c r="H36" s="17">
        <f>2966.53517894283+54.7716008460397</f>
        <v>3021.3067797888698</v>
      </c>
      <c r="I36" s="17">
        <v>193.15496650403429</v>
      </c>
      <c r="J36" s="17">
        <v>207.44843402533283</v>
      </c>
      <c r="K36" s="17"/>
      <c r="L36" s="17"/>
      <c r="M36" s="17">
        <v>0</v>
      </c>
      <c r="N36" s="17">
        <v>48.675051559016644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1"/>
    </row>
    <row r="37" spans="1:52" s="25" customFormat="1" ht="37.5" customHeight="1" x14ac:dyDescent="0.3">
      <c r="A37" s="170">
        <v>36</v>
      </c>
      <c r="B37" s="17" t="s">
        <v>48</v>
      </c>
      <c r="C37" s="17" t="s">
        <v>52</v>
      </c>
      <c r="D37" s="17">
        <v>97</v>
      </c>
      <c r="E37" s="24">
        <v>2021</v>
      </c>
      <c r="F37" s="24" t="s">
        <v>593</v>
      </c>
      <c r="G37" s="17">
        <v>0</v>
      </c>
      <c r="H37" s="17">
        <f>8292.61995266442+153.107933200745</f>
        <v>8445.7278858651644</v>
      </c>
      <c r="I37" s="17">
        <v>539.9432781236693</v>
      </c>
      <c r="J37" s="17">
        <v>579.89908070482079</v>
      </c>
      <c r="K37" s="17"/>
      <c r="L37" s="17"/>
      <c r="M37" s="17">
        <v>0</v>
      </c>
      <c r="N37" s="17">
        <v>136.06570608716467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1"/>
    </row>
    <row r="38" spans="1:52" s="25" customFormat="1" ht="37.5" customHeight="1" x14ac:dyDescent="0.3">
      <c r="A38" s="170">
        <v>37</v>
      </c>
      <c r="B38" s="17" t="s">
        <v>294</v>
      </c>
      <c r="C38" s="17" t="s">
        <v>54</v>
      </c>
      <c r="D38" s="17">
        <v>971.9</v>
      </c>
      <c r="E38" s="24">
        <v>2021</v>
      </c>
      <c r="F38" s="24" t="s">
        <v>591</v>
      </c>
      <c r="G38" s="46">
        <v>1812328.7279999999</v>
      </c>
      <c r="H38" s="46">
        <v>776712.31200000003</v>
      </c>
      <c r="I38" s="17"/>
      <c r="J38" s="17"/>
      <c r="K38" s="17">
        <f>(69977+56370)*0.7</f>
        <v>88442.9</v>
      </c>
      <c r="L38" s="17">
        <f>(69977+56370)*0.3</f>
        <v>37904.1</v>
      </c>
      <c r="M38" s="17"/>
      <c r="N38" s="17"/>
      <c r="O38" s="17"/>
      <c r="P38" s="17"/>
      <c r="Q38" s="17"/>
      <c r="R38" s="17"/>
      <c r="S38" s="17">
        <v>0</v>
      </c>
      <c r="T38" s="17">
        <v>3272.7272727272725</v>
      </c>
      <c r="U38" s="17"/>
      <c r="V38" s="17"/>
      <c r="W38" s="17">
        <v>5110.4160150140751</v>
      </c>
      <c r="X38" s="17">
        <v>2190.1782921488893</v>
      </c>
      <c r="Y38" s="17"/>
      <c r="Z38" s="17"/>
      <c r="AA38" s="17"/>
      <c r="AB38" s="17"/>
      <c r="AC38" s="17"/>
      <c r="AD38" s="17"/>
      <c r="AE38" s="17"/>
      <c r="AF38" s="17"/>
      <c r="AG38" s="17">
        <f>(81640*0.7)+(63904.03*0.7)</f>
        <v>101880.821</v>
      </c>
      <c r="AH38" s="17">
        <f>(81640*0.3)+(63904.03*0.3)</f>
        <v>43663.209000000003</v>
      </c>
      <c r="AI38" s="17">
        <v>0</v>
      </c>
      <c r="AJ38" s="17">
        <v>4062.1352436903176</v>
      </c>
      <c r="AK38" s="17"/>
      <c r="AL38" s="17"/>
      <c r="AM38" s="17"/>
      <c r="AN38" s="17"/>
      <c r="AO38" s="17"/>
      <c r="AP38" s="17"/>
      <c r="AQ38" s="17"/>
      <c r="AR38" s="17"/>
      <c r="AS38" s="17">
        <f>36687.3739436431+32185.6417300542</f>
        <v>68873.0156736973</v>
      </c>
      <c r="AT38" s="17">
        <f>7446.43623838656+20636.3606411461</f>
        <v>28082.79687953266</v>
      </c>
      <c r="AU38" s="17"/>
      <c r="AV38" s="17"/>
      <c r="AW38" s="17"/>
      <c r="AX38" s="17"/>
      <c r="AY38" s="17"/>
      <c r="AZ38" s="171"/>
    </row>
    <row r="39" spans="1:52" ht="37.5" customHeight="1" x14ac:dyDescent="0.3">
      <c r="A39" s="169">
        <v>38</v>
      </c>
      <c r="B39" s="18" t="s">
        <v>55</v>
      </c>
      <c r="C39" s="18" t="s">
        <v>56</v>
      </c>
      <c r="D39" s="18">
        <v>637.79999999999995</v>
      </c>
      <c r="E39" s="24">
        <v>2021</v>
      </c>
      <c r="F39" s="24" t="s">
        <v>590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13"/>
    </row>
    <row r="40" spans="1:52" s="25" customFormat="1" ht="37.5" customHeight="1" x14ac:dyDescent="0.3">
      <c r="A40" s="170">
        <v>39</v>
      </c>
      <c r="B40" s="17" t="s">
        <v>57</v>
      </c>
      <c r="C40" s="17" t="s">
        <v>58</v>
      </c>
      <c r="D40" s="17">
        <f>676.6</f>
        <v>676.6</v>
      </c>
      <c r="E40" s="24">
        <v>2021</v>
      </c>
      <c r="F40" s="24" t="s">
        <v>590</v>
      </c>
      <c r="G40" s="46">
        <f>1294520.52*0.7</f>
        <v>906164.36399999994</v>
      </c>
      <c r="H40" s="46">
        <f>1294520.52*0.3</f>
        <v>388356.15600000002</v>
      </c>
      <c r="I40" s="17">
        <v>0</v>
      </c>
      <c r="J40" s="17">
        <v>45871.75</v>
      </c>
      <c r="K40" s="17">
        <f>(48715+39243)*0.7</f>
        <v>61570.6</v>
      </c>
      <c r="L40" s="17">
        <f>(48715+39243)*0.3</f>
        <v>26387.399999999998</v>
      </c>
      <c r="M40" s="17"/>
      <c r="N40" s="17"/>
      <c r="O40" s="17"/>
      <c r="P40" s="17"/>
      <c r="Q40" s="17"/>
      <c r="R40" s="17"/>
      <c r="S40" s="17">
        <v>0</v>
      </c>
      <c r="T40" s="17">
        <v>3272.7272727272725</v>
      </c>
      <c r="U40" s="17"/>
      <c r="V40" s="17"/>
      <c r="W40" s="17">
        <v>1655.3018454801379</v>
      </c>
      <c r="X40" s="17">
        <v>709.41507663434481</v>
      </c>
      <c r="Y40" s="17"/>
      <c r="Z40" s="17"/>
      <c r="AA40" s="17"/>
      <c r="AB40" s="17"/>
      <c r="AC40" s="17"/>
      <c r="AD40" s="17"/>
      <c r="AE40" s="17"/>
      <c r="AF40" s="17"/>
      <c r="AG40" s="17">
        <f>(56834*0.7)+(115507.95*0.7)</f>
        <v>120639.36499999999</v>
      </c>
      <c r="AH40" s="17">
        <f>(56834*0.3)+(115507.95*0.3)</f>
        <v>51702.584999999992</v>
      </c>
      <c r="AI40" s="17">
        <v>0</v>
      </c>
      <c r="AJ40" s="17">
        <v>2827.9048316502403</v>
      </c>
      <c r="AK40" s="17"/>
      <c r="AL40" s="17"/>
      <c r="AM40" s="17"/>
      <c r="AN40" s="17"/>
      <c r="AO40" s="17"/>
      <c r="AP40" s="17"/>
      <c r="AQ40" s="17"/>
      <c r="AR40" s="17"/>
      <c r="AS40" s="17">
        <v>22406.425758364716</v>
      </c>
      <c r="AT40" s="17">
        <v>14366.253328325376</v>
      </c>
      <c r="AU40" s="17"/>
      <c r="AV40" s="17"/>
      <c r="AW40" s="17"/>
      <c r="AX40" s="17"/>
      <c r="AY40" s="17"/>
      <c r="AZ40" s="171"/>
    </row>
    <row r="41" spans="1:52" ht="37.5" customHeight="1" x14ac:dyDescent="0.3">
      <c r="A41" s="169">
        <v>40</v>
      </c>
      <c r="B41" s="18" t="s">
        <v>27</v>
      </c>
      <c r="C41" s="18" t="s">
        <v>59</v>
      </c>
      <c r="D41" s="18">
        <v>16237.4</v>
      </c>
      <c r="E41" s="24">
        <v>2021</v>
      </c>
      <c r="F41" s="24" t="s">
        <v>592</v>
      </c>
      <c r="G41" s="18">
        <v>0</v>
      </c>
      <c r="H41" s="18">
        <f>120247+90298.2+2550000+67116.24</f>
        <v>2827661.4400000004</v>
      </c>
      <c r="I41" s="18"/>
      <c r="J41" s="18"/>
      <c r="K41" s="18">
        <v>0</v>
      </c>
      <c r="L41" s="18">
        <f>898500+5432962.95801644</f>
        <v>6331462.9580164403</v>
      </c>
      <c r="M41" s="18">
        <v>0</v>
      </c>
      <c r="N41" s="18">
        <v>25701.473755173123</v>
      </c>
      <c r="O41" s="18"/>
      <c r="P41" s="18"/>
      <c r="Q41" s="18">
        <v>0</v>
      </c>
      <c r="R41" s="18">
        <v>286599.05660377361</v>
      </c>
      <c r="S41" s="18">
        <v>0</v>
      </c>
      <c r="T41" s="18">
        <f>6545.45454545455+40000</f>
        <v>46545.454545454551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>
        <v>0</v>
      </c>
      <c r="AT41" s="18">
        <v>2749915.0385841941</v>
      </c>
      <c r="AU41" s="18"/>
      <c r="AV41" s="18"/>
      <c r="AW41" s="18"/>
      <c r="AX41" s="18"/>
      <c r="AY41" s="18"/>
      <c r="AZ41" s="113"/>
    </row>
    <row r="42" spans="1:52" ht="37.5" customHeight="1" x14ac:dyDescent="0.3">
      <c r="A42" s="169">
        <v>41</v>
      </c>
      <c r="B42" s="18" t="s">
        <v>60</v>
      </c>
      <c r="C42" s="18" t="s">
        <v>61</v>
      </c>
      <c r="D42" s="18">
        <v>3051</v>
      </c>
      <c r="E42" s="24">
        <v>2021</v>
      </c>
      <c r="F42" s="24" t="s">
        <v>592</v>
      </c>
      <c r="G42" s="18">
        <v>0</v>
      </c>
      <c r="H42" s="18">
        <f>22595+2550000</f>
        <v>2572595</v>
      </c>
      <c r="I42" s="18">
        <v>0</v>
      </c>
      <c r="J42" s="18">
        <v>184260</v>
      </c>
      <c r="K42" s="18">
        <v>0</v>
      </c>
      <c r="L42" s="18">
        <f>586396.181384248+247550.397169464</f>
        <v>833946.578553712</v>
      </c>
      <c r="M42" s="18">
        <v>0</v>
      </c>
      <c r="N42" s="18">
        <v>4799.23596936387</v>
      </c>
      <c r="O42" s="18"/>
      <c r="P42" s="18"/>
      <c r="Q42" s="18">
        <v>0</v>
      </c>
      <c r="R42" s="18">
        <v>36509.433962264156</v>
      </c>
      <c r="S42" s="18"/>
      <c r="T42" s="18"/>
      <c r="U42" s="18"/>
      <c r="V42" s="18"/>
      <c r="W42" s="18">
        <v>0</v>
      </c>
      <c r="X42" s="18">
        <v>36000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>
        <v>0</v>
      </c>
      <c r="AT42" s="18">
        <f>253659.41+516707.772347813</f>
        <v>770367.18234781304</v>
      </c>
      <c r="AU42" s="18"/>
      <c r="AV42" s="18"/>
      <c r="AW42" s="18"/>
      <c r="AX42" s="18"/>
      <c r="AY42" s="18"/>
      <c r="AZ42" s="113"/>
    </row>
    <row r="43" spans="1:52" ht="37.5" customHeight="1" x14ac:dyDescent="0.3">
      <c r="A43" s="169">
        <v>42</v>
      </c>
      <c r="B43" s="18" t="s">
        <v>62</v>
      </c>
      <c r="C43" s="18" t="s">
        <v>63</v>
      </c>
      <c r="D43" s="18">
        <v>1467.1</v>
      </c>
      <c r="E43" s="24">
        <v>2021</v>
      </c>
      <c r="F43" s="24" t="s">
        <v>593</v>
      </c>
      <c r="G43" s="18">
        <v>0</v>
      </c>
      <c r="H43" s="18">
        <f>10865+2550000</f>
        <v>2560865</v>
      </c>
      <c r="I43" s="18"/>
      <c r="J43" s="18"/>
      <c r="K43" s="18"/>
      <c r="L43" s="18"/>
      <c r="M43" s="18"/>
      <c r="N43" s="18"/>
      <c r="O43" s="18"/>
      <c r="P43" s="18"/>
      <c r="Q43" s="18">
        <v>0</v>
      </c>
      <c r="R43" s="18">
        <v>25556.603773584906</v>
      </c>
      <c r="S43" s="18">
        <v>0</v>
      </c>
      <c r="T43" s="18">
        <v>6545.454545454545</v>
      </c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>
        <v>0</v>
      </c>
      <c r="AT43" s="18">
        <f>248721.13+248463.445693699</f>
        <v>497184.57569369901</v>
      </c>
      <c r="AU43" s="18"/>
      <c r="AV43" s="18"/>
      <c r="AW43" s="18"/>
      <c r="AX43" s="18"/>
      <c r="AY43" s="18"/>
      <c r="AZ43" s="113"/>
    </row>
    <row r="44" spans="1:52" ht="37.5" customHeight="1" x14ac:dyDescent="0.3">
      <c r="A44" s="169">
        <v>43</v>
      </c>
      <c r="B44" s="18" t="s">
        <v>64</v>
      </c>
      <c r="C44" s="18" t="s">
        <v>65</v>
      </c>
      <c r="D44" s="18">
        <v>1779.1</v>
      </c>
      <c r="E44" s="24">
        <v>2021</v>
      </c>
      <c r="F44" s="24" t="s">
        <v>592</v>
      </c>
      <c r="G44" s="18">
        <v>0</v>
      </c>
      <c r="H44" s="18">
        <f>13175+637500</f>
        <v>650675</v>
      </c>
      <c r="I44" s="18">
        <v>0</v>
      </c>
      <c r="J44" s="18">
        <v>24900</v>
      </c>
      <c r="K44" s="18">
        <v>0</v>
      </c>
      <c r="L44" s="18">
        <f>193603.818615752+435791.13366536</f>
        <v>629394.95228111197</v>
      </c>
      <c r="M44" s="18">
        <v>0</v>
      </c>
      <c r="N44" s="18">
        <v>2810.6439954307971</v>
      </c>
      <c r="O44" s="18"/>
      <c r="P44" s="18"/>
      <c r="Q44" s="18">
        <v>0</v>
      </c>
      <c r="R44" s="18">
        <v>31033.018867924526</v>
      </c>
      <c r="S44" s="18">
        <v>0</v>
      </c>
      <c r="T44" s="18">
        <f>3272.72727272727+40000+3498</f>
        <v>46770.727272727272</v>
      </c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>
        <v>0</v>
      </c>
      <c r="AT44" s="18">
        <f>224106.810262292+301302.785245491</f>
        <v>525409.595507783</v>
      </c>
      <c r="AU44" s="18"/>
      <c r="AV44" s="18"/>
      <c r="AW44" s="18"/>
      <c r="AX44" s="18"/>
      <c r="AY44" s="18"/>
      <c r="AZ44" s="113"/>
    </row>
    <row r="45" spans="1:52" ht="37.5" customHeight="1" x14ac:dyDescent="0.3">
      <c r="A45" s="169">
        <v>44</v>
      </c>
      <c r="B45" s="18" t="s">
        <v>66</v>
      </c>
      <c r="C45" s="18" t="s">
        <v>67</v>
      </c>
      <c r="D45" s="18">
        <v>561.79999999999995</v>
      </c>
      <c r="E45" s="24">
        <v>2021</v>
      </c>
      <c r="F45" s="24" t="s">
        <v>593</v>
      </c>
      <c r="G45" s="18">
        <v>0</v>
      </c>
      <c r="H45" s="18">
        <f>4160+637500</f>
        <v>641660</v>
      </c>
      <c r="I45" s="18"/>
      <c r="J45" s="18"/>
      <c r="K45" s="18"/>
      <c r="L45" s="18"/>
      <c r="M45" s="18">
        <v>0</v>
      </c>
      <c r="N45" s="18">
        <v>1179.281286867287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>
        <v>0</v>
      </c>
      <c r="AT45" s="18">
        <f>70767.9197377077+95144.6825647333</f>
        <v>165912.60230244102</v>
      </c>
      <c r="AU45" s="18"/>
      <c r="AV45" s="18"/>
      <c r="AW45" s="18"/>
      <c r="AX45" s="18"/>
      <c r="AY45" s="18"/>
      <c r="AZ45" s="113"/>
    </row>
    <row r="46" spans="1:52" s="25" customFormat="1" ht="37.5" customHeight="1" x14ac:dyDescent="0.3">
      <c r="A46" s="170">
        <v>45</v>
      </c>
      <c r="B46" s="17" t="s">
        <v>30</v>
      </c>
      <c r="C46" s="17" t="s">
        <v>68</v>
      </c>
      <c r="D46" s="17">
        <v>4466.7</v>
      </c>
      <c r="E46" s="24">
        <v>2021</v>
      </c>
      <c r="F46" s="24" t="s">
        <v>591</v>
      </c>
      <c r="G46" s="46">
        <f>1294518.12*0.7</f>
        <v>906162.68400000001</v>
      </c>
      <c r="H46" s="46">
        <f>1294518.12*0.3</f>
        <v>388355.43600000005</v>
      </c>
      <c r="I46" s="17"/>
      <c r="J46" s="17"/>
      <c r="K46" s="17">
        <v>0</v>
      </c>
      <c r="L46" s="17">
        <f>359000+860250+1385701.76114874</f>
        <v>2604951.7611487401</v>
      </c>
      <c r="M46" s="17"/>
      <c r="N46" s="17"/>
      <c r="O46" s="17"/>
      <c r="P46" s="17"/>
      <c r="Q46" s="17">
        <v>0</v>
      </c>
      <c r="R46" s="17">
        <v>7301.8867924528295</v>
      </c>
      <c r="S46" s="17">
        <v>0</v>
      </c>
      <c r="T46" s="17">
        <f>6545.45454545455+30000+28604.4</f>
        <v>65149.854545454553</v>
      </c>
      <c r="U46" s="17"/>
      <c r="V46" s="17"/>
      <c r="W46" s="17">
        <v>0</v>
      </c>
      <c r="X46" s="17">
        <v>36000</v>
      </c>
      <c r="Y46" s="17">
        <v>0</v>
      </c>
      <c r="Z46" s="17">
        <f>79585.5+284582.98</f>
        <v>364168.48</v>
      </c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>
        <v>0</v>
      </c>
      <c r="AT46" s="17">
        <f>287818.14+756466.275564069</f>
        <v>1044284.4155640691</v>
      </c>
      <c r="AU46" s="17"/>
      <c r="AV46" s="17"/>
      <c r="AW46" s="17"/>
      <c r="AX46" s="17"/>
      <c r="AY46" s="17"/>
      <c r="AZ46" s="171"/>
    </row>
    <row r="47" spans="1:52" ht="37.5" customHeight="1" x14ac:dyDescent="0.3">
      <c r="A47" s="169">
        <v>46</v>
      </c>
      <c r="B47" s="18" t="s">
        <v>37</v>
      </c>
      <c r="C47" s="18" t="s">
        <v>69</v>
      </c>
      <c r="D47" s="18">
        <v>912.3</v>
      </c>
      <c r="E47" s="24">
        <v>2021</v>
      </c>
      <c r="F47" s="24" t="s">
        <v>592</v>
      </c>
      <c r="G47" s="18">
        <v>173196.60578167695</v>
      </c>
      <c r="H47" s="18">
        <v>73758.511228452247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>
        <v>0</v>
      </c>
      <c r="V47" s="18">
        <v>448541.66666666669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>
        <v>0</v>
      </c>
      <c r="AL47" s="18">
        <v>63764.36056361474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13"/>
    </row>
    <row r="48" spans="1:52" ht="37.5" customHeight="1" x14ac:dyDescent="0.3">
      <c r="A48" s="169">
        <v>47</v>
      </c>
      <c r="B48" s="18" t="s">
        <v>37</v>
      </c>
      <c r="C48" s="18" t="s">
        <v>70</v>
      </c>
      <c r="D48" s="18">
        <v>1610.7</v>
      </c>
      <c r="E48" s="24">
        <v>2021</v>
      </c>
      <c r="F48" s="24" t="s">
        <v>592</v>
      </c>
      <c r="G48" s="18">
        <v>305785.12872141518</v>
      </c>
      <c r="H48" s="18">
        <v>130223.42873579748</v>
      </c>
      <c r="I48" s="18">
        <v>0</v>
      </c>
      <c r="J48" s="18">
        <v>90400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>
        <v>0</v>
      </c>
      <c r="V48" s="18">
        <v>358833.33333333331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>
        <v>0</v>
      </c>
      <c r="AL48" s="18">
        <v>112578.37943638526</v>
      </c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13"/>
    </row>
    <row r="49" spans="1:52" ht="37.5" customHeight="1" x14ac:dyDescent="0.3">
      <c r="A49" s="169">
        <v>48</v>
      </c>
      <c r="B49" s="19" t="s">
        <v>71</v>
      </c>
      <c r="C49" s="19" t="s">
        <v>72</v>
      </c>
      <c r="D49" s="19">
        <v>18956.5</v>
      </c>
      <c r="E49" s="24">
        <v>2021</v>
      </c>
      <c r="F49" s="24" t="s">
        <v>592</v>
      </c>
      <c r="G49" s="18">
        <v>172563.66824289903</v>
      </c>
      <c r="H49" s="18">
        <v>0</v>
      </c>
      <c r="I49" s="18"/>
      <c r="J49" s="18"/>
      <c r="K49" s="18">
        <v>0</v>
      </c>
      <c r="L49" s="18">
        <f>1190250+290000</f>
        <v>1480250</v>
      </c>
      <c r="M49" s="18">
        <v>12803.821878744808</v>
      </c>
      <c r="N49" s="18">
        <f>9602.86640905861+4838.83</f>
        <v>14441.69640905861</v>
      </c>
      <c r="O49" s="18">
        <v>0</v>
      </c>
      <c r="P49" s="18">
        <v>42606.741573033709</v>
      </c>
      <c r="Q49" s="18">
        <v>0</v>
      </c>
      <c r="R49" s="18">
        <v>299000</v>
      </c>
      <c r="S49" s="18">
        <v>0</v>
      </c>
      <c r="T49" s="18">
        <f>298248+13090.9090909091</f>
        <v>311338.90909090912</v>
      </c>
      <c r="U49" s="18">
        <v>452096.1080645161</v>
      </c>
      <c r="V49" s="18">
        <v>0</v>
      </c>
      <c r="W49" s="18">
        <v>0</v>
      </c>
      <c r="X49" s="18">
        <f>214920+127805.309734513</f>
        <v>342725.30973451299</v>
      </c>
      <c r="Y49" s="18">
        <f>22634.6153846154+75000</f>
        <v>97634.615384615405</v>
      </c>
      <c r="Z49" s="18">
        <v>71020.782500000001</v>
      </c>
      <c r="AA49" s="18">
        <v>0</v>
      </c>
      <c r="AB49" s="18">
        <v>101498</v>
      </c>
      <c r="AC49" s="18"/>
      <c r="AD49" s="18"/>
      <c r="AE49" s="18">
        <v>0</v>
      </c>
      <c r="AF49" s="18">
        <v>22609.756097560974</v>
      </c>
      <c r="AG49" s="18">
        <f>283421.594851658+71208.0866684964</f>
        <v>354629.68152015435</v>
      </c>
      <c r="AH49" s="18">
        <f>301856.48278464+71208.0866684964</f>
        <v>373064.56945313641</v>
      </c>
      <c r="AI49" s="18">
        <v>0</v>
      </c>
      <c r="AJ49" s="18">
        <f>79230.2363895622+7928.70377728609</f>
        <v>87158.94016684829</v>
      </c>
      <c r="AK49" s="18">
        <v>0</v>
      </c>
      <c r="AL49" s="18">
        <f>892546.67+295000</f>
        <v>1187546.67</v>
      </c>
      <c r="AM49" s="18"/>
      <c r="AN49" s="18"/>
      <c r="AO49" s="18"/>
      <c r="AP49" s="18"/>
      <c r="AQ49" s="18">
        <v>0</v>
      </c>
      <c r="AR49" s="18">
        <v>59500</v>
      </c>
      <c r="AS49" s="18">
        <f>715571.770925683+627767.380857879</f>
        <v>1343339.1517835618</v>
      </c>
      <c r="AT49" s="18">
        <f>145239.601350936+402503.519388708</f>
        <v>547743.12073964393</v>
      </c>
      <c r="AU49" s="18">
        <v>3052.8092904743239</v>
      </c>
      <c r="AV49" s="18">
        <v>0</v>
      </c>
      <c r="AW49" s="18"/>
      <c r="AX49" s="18"/>
      <c r="AY49" s="18"/>
      <c r="AZ49" s="113"/>
    </row>
    <row r="50" spans="1:52" ht="37.5" customHeight="1" x14ac:dyDescent="0.3">
      <c r="A50" s="169">
        <v>49</v>
      </c>
      <c r="B50" s="19" t="s">
        <v>73</v>
      </c>
      <c r="C50" s="19" t="s">
        <v>74</v>
      </c>
      <c r="D50" s="19">
        <v>2378.5</v>
      </c>
      <c r="E50" s="24">
        <v>2021</v>
      </c>
      <c r="F50" s="24" t="s">
        <v>592</v>
      </c>
      <c r="G50" s="18">
        <v>21651.817841676224</v>
      </c>
      <c r="H50" s="18">
        <v>61304.34782608696</v>
      </c>
      <c r="I50" s="18">
        <v>0</v>
      </c>
      <c r="J50" s="18">
        <v>45200</v>
      </c>
      <c r="K50" s="18"/>
      <c r="L50" s="18"/>
      <c r="M50" s="18">
        <v>1606.5144060662321</v>
      </c>
      <c r="N50" s="18">
        <f>1204.88580454967+3312</f>
        <v>4516.88580454967</v>
      </c>
      <c r="O50" s="18"/>
      <c r="P50" s="18"/>
      <c r="Q50" s="18">
        <v>0</v>
      </c>
      <c r="R50" s="18">
        <v>318000</v>
      </c>
      <c r="S50" s="18">
        <v>0</v>
      </c>
      <c r="T50" s="18">
        <v>6545.454545454545</v>
      </c>
      <c r="U50" s="18">
        <v>388226.92720235052</v>
      </c>
      <c r="V50" s="18">
        <v>712071.02179032797</v>
      </c>
      <c r="W50" s="18"/>
      <c r="X50" s="18"/>
      <c r="Y50" s="18"/>
      <c r="Z50" s="18"/>
      <c r="AA50" s="18">
        <v>0</v>
      </c>
      <c r="AB50" s="18">
        <v>101498</v>
      </c>
      <c r="AC50" s="18"/>
      <c r="AD50" s="18"/>
      <c r="AE50" s="18">
        <v>0</v>
      </c>
      <c r="AF50" s="18">
        <v>7536.5853658536589</v>
      </c>
      <c r="AG50" s="18">
        <v>35561.325316100985</v>
      </c>
      <c r="AH50" s="18">
        <v>37874.377881110282</v>
      </c>
      <c r="AI50" s="18">
        <v>0</v>
      </c>
      <c r="AJ50" s="18">
        <v>994.82615114999976</v>
      </c>
      <c r="AK50" s="18"/>
      <c r="AL50" s="18"/>
      <c r="AM50" s="18"/>
      <c r="AN50" s="18"/>
      <c r="AO50" s="18"/>
      <c r="AP50" s="18"/>
      <c r="AQ50" s="18">
        <v>0</v>
      </c>
      <c r="AR50" s="18">
        <v>10500</v>
      </c>
      <c r="AS50" s="18">
        <f>89783.8449685721+78766.8987086469</f>
        <v>168550.743677219</v>
      </c>
      <c r="AT50" s="18">
        <f>18223.4268885713+50502.7099341146</f>
        <v>68726.136822685905</v>
      </c>
      <c r="AU50" s="18">
        <v>32436.098711289691</v>
      </c>
      <c r="AV50" s="18">
        <v>0</v>
      </c>
      <c r="AW50" s="18"/>
      <c r="AX50" s="18"/>
      <c r="AY50" s="18"/>
      <c r="AZ50" s="113"/>
    </row>
    <row r="51" spans="1:52" ht="37.5" customHeight="1" x14ac:dyDescent="0.3">
      <c r="A51" s="169">
        <v>50</v>
      </c>
      <c r="B51" s="19" t="s">
        <v>75</v>
      </c>
      <c r="C51" s="19" t="s">
        <v>76</v>
      </c>
      <c r="D51" s="19">
        <v>6733.6</v>
      </c>
      <c r="E51" s="24">
        <v>2021</v>
      </c>
      <c r="F51" s="24" t="s">
        <v>592</v>
      </c>
      <c r="G51" s="18">
        <v>1812328.73</v>
      </c>
      <c r="H51" s="18">
        <v>776712.31</v>
      </c>
      <c r="I51" s="18"/>
      <c r="J51" s="18"/>
      <c r="K51" s="18">
        <v>0</v>
      </c>
      <c r="L51" s="18">
        <v>148998.18322167807</v>
      </c>
      <c r="M51" s="18">
        <v>4548.0871997845616</v>
      </c>
      <c r="N51" s="18">
        <v>3411.0653998384214</v>
      </c>
      <c r="O51" s="18">
        <v>0</v>
      </c>
      <c r="P51" s="18">
        <v>15977.528089887641</v>
      </c>
      <c r="Q51" s="18"/>
      <c r="R51" s="18"/>
      <c r="S51" s="18">
        <v>0</v>
      </c>
      <c r="T51" s="18">
        <v>6545.454545454545</v>
      </c>
      <c r="U51" s="18"/>
      <c r="V51" s="18"/>
      <c r="W51" s="18"/>
      <c r="X51" s="18"/>
      <c r="Y51" s="18">
        <f>20576.9230769231+75000</f>
        <v>95576.923076923093</v>
      </c>
      <c r="Z51" s="18">
        <v>71020.782500000001</v>
      </c>
      <c r="AA51" s="18"/>
      <c r="AB51" s="18"/>
      <c r="AC51" s="18"/>
      <c r="AD51" s="18"/>
      <c r="AE51" s="18">
        <v>0</v>
      </c>
      <c r="AF51" s="18">
        <v>22609.756097560974</v>
      </c>
      <c r="AG51" s="18">
        <v>100675.10622177742</v>
      </c>
      <c r="AH51" s="18">
        <v>107223.42270348717</v>
      </c>
      <c r="AI51" s="18">
        <v>0</v>
      </c>
      <c r="AJ51" s="18">
        <v>2816.3806480486182</v>
      </c>
      <c r="AK51" s="18"/>
      <c r="AL51" s="18"/>
      <c r="AM51" s="18"/>
      <c r="AN51" s="18"/>
      <c r="AO51" s="18"/>
      <c r="AP51" s="18"/>
      <c r="AQ51" s="18"/>
      <c r="AR51" s="18"/>
      <c r="AS51" s="18">
        <v>254180.5753543734</v>
      </c>
      <c r="AT51" s="18">
        <v>51591.031026648598</v>
      </c>
      <c r="AU51" s="18"/>
      <c r="AV51" s="18"/>
      <c r="AW51" s="18"/>
      <c r="AX51" s="18"/>
      <c r="AY51" s="18"/>
      <c r="AZ51" s="113"/>
    </row>
    <row r="52" spans="1:52" ht="37.5" customHeight="1" x14ac:dyDescent="0.3">
      <c r="A52" s="169">
        <v>51</v>
      </c>
      <c r="B52" s="19" t="s">
        <v>77</v>
      </c>
      <c r="C52" s="19" t="s">
        <v>78</v>
      </c>
      <c r="D52" s="19">
        <v>1557</v>
      </c>
      <c r="E52" s="24">
        <v>2021</v>
      </c>
      <c r="F52" s="24" t="s">
        <v>592</v>
      </c>
      <c r="G52" s="18">
        <v>14173.588555598013</v>
      </c>
      <c r="H52" s="18">
        <v>0</v>
      </c>
      <c r="I52" s="18"/>
      <c r="J52" s="18"/>
      <c r="K52" s="18"/>
      <c r="L52" s="18"/>
      <c r="M52" s="18">
        <v>1051.6472273471193</v>
      </c>
      <c r="N52" s="18">
        <v>788.73542051033951</v>
      </c>
      <c r="O52" s="18">
        <v>0</v>
      </c>
      <c r="P52" s="18">
        <v>111842.69662921347</v>
      </c>
      <c r="Q52" s="18"/>
      <c r="R52" s="18"/>
      <c r="S52" s="18">
        <v>0</v>
      </c>
      <c r="T52" s="18">
        <v>6545.454545454545</v>
      </c>
      <c r="U52" s="18">
        <v>96190.661290322576</v>
      </c>
      <c r="V52" s="18">
        <v>0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>
        <f>23278.9503961191+5848.7057707303</f>
        <v>29127.6561668494</v>
      </c>
      <c r="AH52" s="18">
        <f>24793.1075723728+5848.7057707303</f>
        <v>30641.813343103098</v>
      </c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>
        <v>58773.784576862206</v>
      </c>
      <c r="AT52" s="18">
        <v>11929.314973935467</v>
      </c>
      <c r="AU52" s="18"/>
      <c r="AV52" s="18"/>
      <c r="AW52" s="18"/>
      <c r="AX52" s="18"/>
      <c r="AY52" s="18"/>
      <c r="AZ52" s="113"/>
    </row>
    <row r="53" spans="1:52" ht="37.5" customHeight="1" x14ac:dyDescent="0.3">
      <c r="A53" s="169">
        <v>52</v>
      </c>
      <c r="B53" s="19" t="s">
        <v>79</v>
      </c>
      <c r="C53" s="19" t="s">
        <v>80</v>
      </c>
      <c r="D53" s="19">
        <v>5057.3</v>
      </c>
      <c r="E53" s="24">
        <v>2021</v>
      </c>
      <c r="F53" s="24" t="s">
        <v>592</v>
      </c>
      <c r="G53" s="18">
        <v>46037.308543497646</v>
      </c>
      <c r="H53" s="18">
        <v>0</v>
      </c>
      <c r="I53" s="18"/>
      <c r="J53" s="18"/>
      <c r="K53" s="18"/>
      <c r="L53" s="18"/>
      <c r="M53" s="18">
        <v>3415.8609652296641</v>
      </c>
      <c r="N53" s="18">
        <v>2561.8957239222477</v>
      </c>
      <c r="O53" s="18"/>
      <c r="P53" s="18"/>
      <c r="Q53" s="18"/>
      <c r="R53" s="18"/>
      <c r="S53" s="18">
        <v>0</v>
      </c>
      <c r="T53" s="18">
        <v>6545.454545454545</v>
      </c>
      <c r="U53" s="18">
        <v>38476.264516129027</v>
      </c>
      <c r="V53" s="18">
        <v>0</v>
      </c>
      <c r="W53" s="18"/>
      <c r="X53" s="18"/>
      <c r="Y53" s="18"/>
      <c r="Z53" s="18"/>
      <c r="AA53" s="18">
        <v>0</v>
      </c>
      <c r="AB53" s="18">
        <v>101498</v>
      </c>
      <c r="AC53" s="18"/>
      <c r="AD53" s="18"/>
      <c r="AE53" s="18"/>
      <c r="AF53" s="18"/>
      <c r="AG53" s="18">
        <f>75612.4828762319+18997.212391981</f>
        <v>94609.69526821289</v>
      </c>
      <c r="AH53" s="18">
        <f>80530.6248720366+18997.212391981</f>
        <v>99527.837264017595</v>
      </c>
      <c r="AI53" s="18"/>
      <c r="AJ53" s="18"/>
      <c r="AK53" s="18">
        <v>0</v>
      </c>
      <c r="AL53" s="18">
        <v>2724045.06</v>
      </c>
      <c r="AM53" s="18"/>
      <c r="AN53" s="18"/>
      <c r="AO53" s="18"/>
      <c r="AP53" s="18"/>
      <c r="AQ53" s="18"/>
      <c r="AR53" s="18"/>
      <c r="AS53" s="18">
        <f>190903.442993298+167478.594424738</f>
        <v>358382.03741803602</v>
      </c>
      <c r="AT53" s="18">
        <f>38747.6715592061+107381.692221904</f>
        <v>146129.36378111009</v>
      </c>
      <c r="AU53" s="18"/>
      <c r="AV53" s="18"/>
      <c r="AW53" s="18"/>
      <c r="AX53" s="18"/>
      <c r="AY53" s="18"/>
      <c r="AZ53" s="113"/>
    </row>
    <row r="54" spans="1:52" ht="37.5" customHeight="1" x14ac:dyDescent="0.3">
      <c r="A54" s="169">
        <v>53</v>
      </c>
      <c r="B54" s="19" t="s">
        <v>81</v>
      </c>
      <c r="C54" s="19" t="s">
        <v>82</v>
      </c>
      <c r="D54" s="19">
        <v>286.89999999999998</v>
      </c>
      <c r="E54" s="24">
        <v>2021</v>
      </c>
      <c r="F54" s="24" t="s">
        <v>592</v>
      </c>
      <c r="G54" s="18">
        <v>2611.6907877977328</v>
      </c>
      <c r="H54" s="18">
        <v>0</v>
      </c>
      <c r="I54" s="18"/>
      <c r="J54" s="18"/>
      <c r="K54" s="18"/>
      <c r="L54" s="18"/>
      <c r="M54" s="18">
        <v>193.78136771091104</v>
      </c>
      <c r="N54" s="18">
        <v>145.33602578318326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13"/>
    </row>
    <row r="55" spans="1:52" ht="37.5" customHeight="1" x14ac:dyDescent="0.3">
      <c r="A55" s="169">
        <v>54</v>
      </c>
      <c r="B55" s="19" t="s">
        <v>81</v>
      </c>
      <c r="C55" s="19" t="s">
        <v>83</v>
      </c>
      <c r="D55" s="19">
        <v>155.69999999999999</v>
      </c>
      <c r="E55" s="24">
        <v>2021</v>
      </c>
      <c r="F55" s="24" t="s">
        <v>592</v>
      </c>
      <c r="G55" s="18">
        <v>1417.3588555598014</v>
      </c>
      <c r="H55" s="18">
        <v>0</v>
      </c>
      <c r="I55" s="18"/>
      <c r="J55" s="18"/>
      <c r="K55" s="18"/>
      <c r="L55" s="18"/>
      <c r="M55" s="18">
        <v>105.16472273471193</v>
      </c>
      <c r="N55" s="18">
        <v>78.873542051033951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>
        <v>0</v>
      </c>
      <c r="AL55" s="18">
        <v>4532960</v>
      </c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13"/>
    </row>
    <row r="56" spans="1:52" ht="37.5" customHeight="1" x14ac:dyDescent="0.3">
      <c r="A56" s="169">
        <v>55</v>
      </c>
      <c r="B56" s="19" t="s">
        <v>81</v>
      </c>
      <c r="C56" s="19" t="s">
        <v>84</v>
      </c>
      <c r="D56" s="19">
        <v>1142.7</v>
      </c>
      <c r="E56" s="24">
        <v>2021</v>
      </c>
      <c r="F56" s="24" t="s">
        <v>592</v>
      </c>
      <c r="G56" s="18">
        <v>10402.157766526558</v>
      </c>
      <c r="H56" s="18">
        <v>7826.086956521739</v>
      </c>
      <c r="I56" s="18"/>
      <c r="J56" s="18"/>
      <c r="K56" s="18"/>
      <c r="L56" s="18"/>
      <c r="M56" s="18">
        <v>771.8158552919416</v>
      </c>
      <c r="N56" s="18">
        <v>578.86189146895629</v>
      </c>
      <c r="O56" s="18">
        <v>0</v>
      </c>
      <c r="P56" s="18">
        <v>37280.898876404492</v>
      </c>
      <c r="Q56" s="18"/>
      <c r="R56" s="18"/>
      <c r="S56" s="18">
        <v>0</v>
      </c>
      <c r="T56" s="18">
        <v>6545.454545454545</v>
      </c>
      <c r="U56" s="18">
        <v>186515.41295527678</v>
      </c>
      <c r="V56" s="18">
        <v>342099.45621181739</v>
      </c>
      <c r="W56" s="18"/>
      <c r="X56" s="18"/>
      <c r="Y56" s="18"/>
      <c r="Z56" s="18"/>
      <c r="AA56" s="18">
        <v>0</v>
      </c>
      <c r="AB56" s="18">
        <v>101498</v>
      </c>
      <c r="AC56" s="18"/>
      <c r="AD56" s="18"/>
      <c r="AE56" s="18"/>
      <c r="AF56" s="18"/>
      <c r="AG56" s="18">
        <v>17084.686331178724</v>
      </c>
      <c r="AH56" s="18">
        <v>18195.94349579345</v>
      </c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>
        <v>43134.748642248196</v>
      </c>
      <c r="AT56" s="18">
        <v>8755.0598720077433</v>
      </c>
      <c r="AU56" s="18">
        <v>0</v>
      </c>
      <c r="AV56" s="18">
        <v>990000</v>
      </c>
      <c r="AW56" s="18"/>
      <c r="AX56" s="18"/>
      <c r="AY56" s="18"/>
      <c r="AZ56" s="113"/>
    </row>
    <row r="57" spans="1:52" ht="37.5" customHeight="1" x14ac:dyDescent="0.3">
      <c r="A57" s="169">
        <v>56</v>
      </c>
      <c r="B57" s="19" t="s">
        <v>81</v>
      </c>
      <c r="C57" s="19" t="s">
        <v>85</v>
      </c>
      <c r="D57" s="19">
        <v>1186.4000000000001</v>
      </c>
      <c r="E57" s="24">
        <v>2021</v>
      </c>
      <c r="F57" s="24" t="s">
        <v>592</v>
      </c>
      <c r="G57" s="18">
        <v>10799.964972614955</v>
      </c>
      <c r="H57" s="18">
        <v>0</v>
      </c>
      <c r="I57" s="18"/>
      <c r="J57" s="18"/>
      <c r="K57" s="18"/>
      <c r="L57" s="18"/>
      <c r="M57" s="18">
        <v>801.33222255916667</v>
      </c>
      <c r="N57" s="18">
        <v>600.99916691937494</v>
      </c>
      <c r="O57" s="18">
        <v>0</v>
      </c>
      <c r="P57" s="18">
        <v>53258.426966292136</v>
      </c>
      <c r="Q57" s="18"/>
      <c r="R57" s="18"/>
      <c r="S57" s="18">
        <v>0</v>
      </c>
      <c r="T57" s="18">
        <v>6545.454545454545</v>
      </c>
      <c r="U57" s="18"/>
      <c r="V57" s="18"/>
      <c r="W57" s="18"/>
      <c r="X57" s="18"/>
      <c r="Y57" s="18">
        <v>37500</v>
      </c>
      <c r="Z57" s="18">
        <v>35510.391250000001</v>
      </c>
      <c r="AA57" s="18"/>
      <c r="AB57" s="18"/>
      <c r="AC57" s="18"/>
      <c r="AD57" s="18"/>
      <c r="AE57" s="18"/>
      <c r="AF57" s="18"/>
      <c r="AG57" s="18">
        <v>17738.051862527729</v>
      </c>
      <c r="AH57" s="18">
        <v>18891.806566386058</v>
      </c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>
        <v>44784.340412324549</v>
      </c>
      <c r="AT57" s="18">
        <v>9089.8775112890416</v>
      </c>
      <c r="AU57" s="18"/>
      <c r="AV57" s="18"/>
      <c r="AW57" s="18"/>
      <c r="AX57" s="18"/>
      <c r="AY57" s="18"/>
      <c r="AZ57" s="113"/>
    </row>
    <row r="58" spans="1:52" ht="37.5" customHeight="1" x14ac:dyDescent="0.3">
      <c r="A58" s="169">
        <v>57</v>
      </c>
      <c r="B58" s="19" t="s">
        <v>81</v>
      </c>
      <c r="C58" s="19" t="s">
        <v>86</v>
      </c>
      <c r="D58" s="19">
        <v>122.7</v>
      </c>
      <c r="E58" s="24">
        <v>2021</v>
      </c>
      <c r="F58" s="24" t="s">
        <v>592</v>
      </c>
      <c r="G58" s="18">
        <v>1116.9552445548338</v>
      </c>
      <c r="H58" s="18">
        <v>0</v>
      </c>
      <c r="I58" s="18"/>
      <c r="J58" s="18"/>
      <c r="K58" s="18"/>
      <c r="L58" s="18"/>
      <c r="M58" s="18">
        <v>82.875475141613066</v>
      </c>
      <c r="N58" s="18">
        <v>62.156606356209799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13"/>
    </row>
    <row r="59" spans="1:52" ht="37.5" customHeight="1" x14ac:dyDescent="0.3">
      <c r="A59" s="169">
        <v>58</v>
      </c>
      <c r="B59" s="19" t="s">
        <v>34</v>
      </c>
      <c r="C59" s="19" t="s">
        <v>87</v>
      </c>
      <c r="D59" s="19">
        <v>52.6</v>
      </c>
      <c r="E59" s="24">
        <v>2021</v>
      </c>
      <c r="F59" s="24" t="s">
        <v>593</v>
      </c>
      <c r="G59" s="18">
        <v>478.82514966246345</v>
      </c>
      <c r="H59" s="18">
        <v>0</v>
      </c>
      <c r="I59" s="18"/>
      <c r="J59" s="18"/>
      <c r="K59" s="18"/>
      <c r="L59" s="18"/>
      <c r="M59" s="18">
        <v>35.527709799909104</v>
      </c>
      <c r="N59" s="18">
        <v>26.645782349931828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>
        <v>197.58633496494139</v>
      </c>
      <c r="AH59" s="18">
        <v>197.58633496494139</v>
      </c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13"/>
    </row>
    <row r="60" spans="1:52" ht="37.5" customHeight="1" x14ac:dyDescent="0.3">
      <c r="A60" s="169">
        <v>59</v>
      </c>
      <c r="B60" s="19" t="s">
        <v>34</v>
      </c>
      <c r="C60" s="19" t="s">
        <v>88</v>
      </c>
      <c r="D60" s="19">
        <v>54.9</v>
      </c>
      <c r="E60" s="24">
        <v>2021</v>
      </c>
      <c r="F60" s="24" t="s">
        <v>593</v>
      </c>
      <c r="G60" s="18">
        <v>499.76237103553694</v>
      </c>
      <c r="H60" s="18">
        <v>0</v>
      </c>
      <c r="I60" s="18">
        <v>0</v>
      </c>
      <c r="J60" s="18">
        <v>68.793268981875869</v>
      </c>
      <c r="K60" s="18"/>
      <c r="L60" s="18"/>
      <c r="M60" s="18">
        <v>37.081202813973569</v>
      </c>
      <c r="N60" s="18">
        <v>27.810902110480175</v>
      </c>
      <c r="O60" s="18"/>
      <c r="P60" s="18"/>
      <c r="Q60" s="18"/>
      <c r="R60" s="18"/>
      <c r="S60" s="18"/>
      <c r="T60" s="18"/>
      <c r="U60" s="18"/>
      <c r="V60" s="18"/>
      <c r="W60" s="18">
        <v>0</v>
      </c>
      <c r="X60" s="18">
        <v>145433.62831858409</v>
      </c>
      <c r="Y60" s="18"/>
      <c r="Z60" s="18"/>
      <c r="AC60" s="18"/>
      <c r="AD60" s="18"/>
      <c r="AE60" s="18"/>
      <c r="AF60" s="18"/>
      <c r="AG60" s="18">
        <v>206.22604162690649</v>
      </c>
      <c r="AH60" s="18">
        <v>206.22604162690649</v>
      </c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13"/>
    </row>
    <row r="61" spans="1:52" ht="37.5" customHeight="1" x14ac:dyDescent="0.3">
      <c r="A61" s="169">
        <v>60</v>
      </c>
      <c r="B61" s="19" t="s">
        <v>60</v>
      </c>
      <c r="C61" s="19" t="s">
        <v>89</v>
      </c>
      <c r="D61" s="19">
        <v>11053.9</v>
      </c>
      <c r="E61" s="24">
        <v>2021</v>
      </c>
      <c r="F61" s="24" t="s">
        <v>592</v>
      </c>
      <c r="G61" s="18"/>
      <c r="H61" s="18"/>
      <c r="I61" s="18">
        <v>0</v>
      </c>
      <c r="J61" s="18">
        <v>13851.255300523817</v>
      </c>
      <c r="K61" s="18">
        <v>3609883.8517911453</v>
      </c>
      <c r="L61" s="18">
        <v>642398.67138219427</v>
      </c>
      <c r="M61" s="18">
        <v>7466.15496876835</v>
      </c>
      <c r="N61" s="18">
        <f>5599.61622657626+3192.8</f>
        <v>8792.4162265762607</v>
      </c>
      <c r="O61" s="18">
        <v>0</v>
      </c>
      <c r="P61" s="18">
        <v>15977.528089887641</v>
      </c>
      <c r="Q61" s="18"/>
      <c r="R61" s="18"/>
      <c r="S61" s="18">
        <v>0</v>
      </c>
      <c r="T61" s="18">
        <v>6545.454545454545</v>
      </c>
      <c r="U61" s="18">
        <v>96190.661290322576</v>
      </c>
      <c r="V61" s="18">
        <v>0</v>
      </c>
      <c r="W61" s="18"/>
      <c r="X61" s="18"/>
      <c r="Y61" s="18">
        <f>11317.3076923077+37500</f>
        <v>48817.307692307702</v>
      </c>
      <c r="Z61" s="18">
        <v>35510.391250000001</v>
      </c>
      <c r="AA61" s="18">
        <v>0</v>
      </c>
      <c r="AB61" s="18">
        <f>101498+94350.85</f>
        <v>195848.85</v>
      </c>
      <c r="AC61" s="18"/>
      <c r="AD61" s="18"/>
      <c r="AE61" s="18"/>
      <c r="AF61" s="18"/>
      <c r="AG61" s="18">
        <f>165268.586887386+41522.8058568244</f>
        <v>206791.39274421037</v>
      </c>
      <c r="AH61" s="18">
        <f>176018.324851799+41522.8058568244</f>
        <v>217541.13070862339</v>
      </c>
      <c r="AI61" s="18"/>
      <c r="AJ61" s="18"/>
      <c r="AK61" s="18">
        <v>0</v>
      </c>
      <c r="AL61" s="18">
        <v>98047.2</v>
      </c>
      <c r="AM61" s="18"/>
      <c r="AN61" s="18"/>
      <c r="AO61" s="18">
        <v>0</v>
      </c>
      <c r="AP61" s="18">
        <v>1351680.56</v>
      </c>
      <c r="AQ61" s="18"/>
      <c r="AR61" s="18"/>
      <c r="AS61" s="18">
        <v>417263.6720193816</v>
      </c>
      <c r="AT61" s="18">
        <v>84692.006930241012</v>
      </c>
      <c r="AU61" s="18">
        <v>136318.1108506468</v>
      </c>
      <c r="AV61" s="18">
        <v>0</v>
      </c>
      <c r="AW61" s="18"/>
      <c r="AX61" s="18"/>
      <c r="AY61" s="18"/>
      <c r="AZ61" s="113"/>
    </row>
    <row r="62" spans="1:52" ht="37.5" customHeight="1" x14ac:dyDescent="0.3">
      <c r="A62" s="169">
        <v>61</v>
      </c>
      <c r="B62" s="19" t="s">
        <v>90</v>
      </c>
      <c r="C62" s="19" t="s">
        <v>91</v>
      </c>
      <c r="D62" s="19">
        <v>17563.900000000001</v>
      </c>
      <c r="E62" s="24">
        <v>2021</v>
      </c>
      <c r="F62" s="24" t="s">
        <v>592</v>
      </c>
      <c r="G62" s="18"/>
      <c r="H62" s="18"/>
      <c r="I62" s="18">
        <v>0</v>
      </c>
      <c r="J62" s="18">
        <f>67800+22008.7085076643</f>
        <v>89808.708507664298</v>
      </c>
      <c r="K62" s="18">
        <v>0</v>
      </c>
      <c r="L62" s="18">
        <f>99973+199000</f>
        <v>298973</v>
      </c>
      <c r="M62" s="18">
        <v>11863.215630316037</v>
      </c>
      <c r="N62" s="18">
        <f>8897.41172273703+60192.3</f>
        <v>69089.711722737033</v>
      </c>
      <c r="O62" s="18"/>
      <c r="P62" s="18"/>
      <c r="Q62" s="18"/>
      <c r="R62" s="18"/>
      <c r="S62" s="18">
        <v>0</v>
      </c>
      <c r="T62" s="18">
        <v>6545.454545454545</v>
      </c>
      <c r="U62" s="18">
        <v>163524.12419354837</v>
      </c>
      <c r="V62" s="18">
        <v>0</v>
      </c>
      <c r="W62" s="18"/>
      <c r="X62" s="18"/>
      <c r="Y62" s="18">
        <f>22634.6153846154+75000</f>
        <v>97634.615384615405</v>
      </c>
      <c r="Z62" s="18">
        <v>71020.782500000001</v>
      </c>
      <c r="AA62" s="18"/>
      <c r="AB62" s="18"/>
      <c r="AC62" s="18"/>
      <c r="AD62" s="18"/>
      <c r="AE62" s="18">
        <v>0</v>
      </c>
      <c r="AF62" s="18">
        <v>15073.170731707318</v>
      </c>
      <c r="AG62" s="18">
        <f>262600.614555168+65976.9321043866</f>
        <v>328577.54665955459</v>
      </c>
      <c r="AH62" s="18">
        <f>279681.221638021+65976.9321043866</f>
        <v>345658.15374240757</v>
      </c>
      <c r="AI62" s="18">
        <v>0</v>
      </c>
      <c r="AJ62" s="18">
        <v>7346.2379803167878</v>
      </c>
      <c r="AK62" s="18">
        <v>0</v>
      </c>
      <c r="AL62" s="18">
        <f>133618.24+247260+260064</f>
        <v>640942.24</v>
      </c>
      <c r="AM62" s="18"/>
      <c r="AN62" s="18"/>
      <c r="AO62" s="18"/>
      <c r="AP62" s="18"/>
      <c r="AQ62" s="18"/>
      <c r="AR62" s="18"/>
      <c r="AS62" s="18">
        <v>663003.77323670534</v>
      </c>
      <c r="AT62" s="18">
        <v>134569.8749330155</v>
      </c>
      <c r="AU62" s="18">
        <v>114480.34839278714</v>
      </c>
      <c r="AV62" s="18">
        <v>0</v>
      </c>
      <c r="AW62" s="18"/>
      <c r="AX62" s="18"/>
      <c r="AY62" s="18"/>
      <c r="AZ62" s="113"/>
    </row>
    <row r="63" spans="1:52" ht="37.5" customHeight="1" x14ac:dyDescent="0.3">
      <c r="A63" s="169">
        <v>62</v>
      </c>
      <c r="B63" s="19" t="s">
        <v>92</v>
      </c>
      <c r="C63" s="19" t="s">
        <v>93</v>
      </c>
      <c r="D63" s="19">
        <v>21448.3</v>
      </c>
      <c r="E63" s="24">
        <v>2021</v>
      </c>
      <c r="F63" s="24" t="s">
        <v>592</v>
      </c>
      <c r="G63" s="18"/>
      <c r="H63" s="18"/>
      <c r="I63" s="18">
        <v>0</v>
      </c>
      <c r="J63" s="18">
        <v>26876.114227758979</v>
      </c>
      <c r="K63" s="18">
        <v>2959761.6282088547</v>
      </c>
      <c r="L63" s="18">
        <v>526705.84861780563</v>
      </c>
      <c r="M63" s="18">
        <v>14486.862701547345</v>
      </c>
      <c r="N63" s="18">
        <v>10865.14702616051</v>
      </c>
      <c r="O63" s="18">
        <v>0</v>
      </c>
      <c r="P63" s="18">
        <v>10651.685393258427</v>
      </c>
      <c r="Q63" s="18"/>
      <c r="R63" s="18"/>
      <c r="S63" s="18">
        <v>0</v>
      </c>
      <c r="T63" s="18">
        <v>26181.81818181818</v>
      </c>
      <c r="U63" s="18">
        <v>76952.529032258055</v>
      </c>
      <c r="V63" s="18">
        <v>0</v>
      </c>
      <c r="W63" s="18"/>
      <c r="X63" s="18"/>
      <c r="Y63" s="18">
        <f>11317.3076923077+37500</f>
        <v>48817.307692307702</v>
      </c>
      <c r="Z63" s="18">
        <v>35510.391250000001</v>
      </c>
      <c r="AA63" s="18">
        <v>0</v>
      </c>
      <c r="AB63" s="18">
        <v>101498</v>
      </c>
      <c r="AC63" s="18"/>
      <c r="AD63" s="18"/>
      <c r="AE63" s="18">
        <v>0</v>
      </c>
      <c r="AF63" s="18">
        <v>7536.5853658536589</v>
      </c>
      <c r="AG63" s="18">
        <f>320676.886179243+80568.2697381854</f>
        <v>401245.15591742838</v>
      </c>
      <c r="AH63" s="18">
        <f>341535.009084472+80568.2697381854</f>
        <v>422103.27882265742</v>
      </c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>
        <f>809632.475105918+710286.345836733</f>
        <v>1519918.820942651</v>
      </c>
      <c r="AT63" s="18">
        <f>164331.102347759+455411.929148568</f>
        <v>619743.03149632702</v>
      </c>
      <c r="AU63" s="18">
        <v>21624.065807526462</v>
      </c>
      <c r="AV63" s="18">
        <v>0</v>
      </c>
      <c r="AW63" s="18"/>
      <c r="AX63" s="18"/>
      <c r="AY63" s="18"/>
      <c r="AZ63" s="113"/>
    </row>
    <row r="64" spans="1:52" ht="37.5" customHeight="1" x14ac:dyDescent="0.3">
      <c r="A64" s="169">
        <v>63</v>
      </c>
      <c r="B64" s="19" t="s">
        <v>94</v>
      </c>
      <c r="C64" s="19" t="s">
        <v>95</v>
      </c>
      <c r="D64" s="19">
        <v>348.4</v>
      </c>
      <c r="E64" s="24">
        <v>2021</v>
      </c>
      <c r="F64" s="24" t="s">
        <v>593</v>
      </c>
      <c r="G64" s="18"/>
      <c r="H64" s="18"/>
      <c r="I64" s="18">
        <v>0</v>
      </c>
      <c r="J64" s="18">
        <v>436.56784905802459</v>
      </c>
      <c r="K64" s="18"/>
      <c r="L64" s="18"/>
      <c r="M64" s="18">
        <v>235.32042004350438</v>
      </c>
      <c r="N64" s="18">
        <v>176.49031503262827</v>
      </c>
      <c r="O64" s="18"/>
      <c r="P64" s="18"/>
      <c r="Q64" s="18"/>
      <c r="R64" s="18"/>
      <c r="S64" s="18"/>
      <c r="T64" s="18"/>
      <c r="U64" s="18">
        <v>56867.04285780908</v>
      </c>
      <c r="V64" s="18">
        <v>104303.36093830156</v>
      </c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>
        <v>5208.9828632035233</v>
      </c>
      <c r="AH64" s="18">
        <v>5547.7961966696748</v>
      </c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>
        <f>13151.4364461007+11537.6865714074</f>
        <v>24689.1230175081</v>
      </c>
      <c r="AT64" s="18">
        <f>2669.34703719918+7397.5800466872</f>
        <v>10066.927083886379</v>
      </c>
      <c r="AU64" s="18"/>
      <c r="AV64" s="18"/>
      <c r="AW64" s="18"/>
      <c r="AX64" s="18"/>
      <c r="AY64" s="18"/>
      <c r="AZ64" s="113"/>
    </row>
    <row r="65" spans="1:52" ht="37.5" customHeight="1" x14ac:dyDescent="0.3">
      <c r="A65" s="169">
        <v>64</v>
      </c>
      <c r="B65" s="19" t="s">
        <v>81</v>
      </c>
      <c r="C65" s="19" t="s">
        <v>96</v>
      </c>
      <c r="D65" s="19">
        <v>60.7</v>
      </c>
      <c r="E65" s="24">
        <v>2021</v>
      </c>
      <c r="F65" s="24" t="s">
        <v>592</v>
      </c>
      <c r="G65" s="18"/>
      <c r="H65" s="18"/>
      <c r="I65" s="18">
        <v>0</v>
      </c>
      <c r="J65" s="18">
        <v>76.061046032784432</v>
      </c>
      <c r="K65" s="18"/>
      <c r="L65" s="18"/>
      <c r="M65" s="18">
        <v>40.998706936397006</v>
      </c>
      <c r="N65" s="18">
        <v>30.749030202297757</v>
      </c>
      <c r="O65" s="18"/>
      <c r="P65" s="18"/>
      <c r="Q65" s="18"/>
      <c r="R65" s="18"/>
      <c r="S65" s="18"/>
      <c r="T65" s="18"/>
      <c r="U65" s="18">
        <v>9907.6621741360832</v>
      </c>
      <c r="V65" s="18">
        <v>18172.256053257479</v>
      </c>
      <c r="W65" s="18"/>
      <c r="X65" s="18"/>
      <c r="Y65" s="18"/>
      <c r="Z65" s="18"/>
      <c r="AA65" s="18"/>
      <c r="AB65" s="18"/>
      <c r="AC65" s="18"/>
      <c r="AD65" s="18"/>
      <c r="AE65" s="18">
        <v>0</v>
      </c>
      <c r="AF65" s="18">
        <v>150731.70731707316</v>
      </c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>
        <v>2010.1537740655308</v>
      </c>
      <c r="AT65" s="18">
        <v>1288.8435959641595</v>
      </c>
      <c r="AU65" s="18"/>
      <c r="AV65" s="18"/>
      <c r="AW65" s="18"/>
      <c r="AX65" s="18"/>
      <c r="AY65" s="18"/>
      <c r="AZ65" s="113"/>
    </row>
    <row r="66" spans="1:52" ht="37.5" customHeight="1" x14ac:dyDescent="0.3">
      <c r="A66" s="169">
        <v>65</v>
      </c>
      <c r="B66" s="19" t="s">
        <v>73</v>
      </c>
      <c r="C66" s="19" t="s">
        <v>97</v>
      </c>
      <c r="D66" s="19">
        <v>358.3</v>
      </c>
      <c r="E66" s="24">
        <v>2021</v>
      </c>
      <c r="F66" s="24" t="s">
        <v>592</v>
      </c>
      <c r="G66" s="18"/>
      <c r="H66" s="18"/>
      <c r="I66" s="18">
        <v>0</v>
      </c>
      <c r="J66" s="18">
        <v>448.97319264492029</v>
      </c>
      <c r="K66" s="18"/>
      <c r="L66" s="18"/>
      <c r="M66" s="18">
        <v>242.00719432143407</v>
      </c>
      <c r="N66" s="18">
        <v>181.50539574107555</v>
      </c>
      <c r="O66" s="18"/>
      <c r="P66" s="18"/>
      <c r="Q66" s="18"/>
      <c r="R66" s="18"/>
      <c r="S66" s="18">
        <v>0</v>
      </c>
      <c r="T66" s="18">
        <v>6545.454545454545</v>
      </c>
      <c r="U66" s="18">
        <v>58482.954810427655</v>
      </c>
      <c r="V66" s="18">
        <v>107267.20500629579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>
        <v>5356.9993108089056</v>
      </c>
      <c r="AH66" s="18">
        <v>5705.4402332570171</v>
      </c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>
        <v>13525.142590809075</v>
      </c>
      <c r="AT66" s="18">
        <v>2745.1981728715978</v>
      </c>
      <c r="AU66" s="18"/>
      <c r="AV66" s="18"/>
      <c r="AW66" s="18"/>
      <c r="AX66" s="18"/>
      <c r="AY66" s="18"/>
      <c r="AZ66" s="113"/>
    </row>
    <row r="67" spans="1:52" ht="37.5" customHeight="1" x14ac:dyDescent="0.3">
      <c r="A67" s="169">
        <v>66</v>
      </c>
      <c r="B67" s="19" t="s">
        <v>98</v>
      </c>
      <c r="C67" s="19" t="s">
        <v>99</v>
      </c>
      <c r="D67" s="19">
        <v>196.6</v>
      </c>
      <c r="E67" s="24">
        <v>2021</v>
      </c>
      <c r="F67" s="24" t="s">
        <v>592</v>
      </c>
      <c r="G67" s="18"/>
      <c r="H67" s="18"/>
      <c r="I67" s="18">
        <v>0</v>
      </c>
      <c r="J67" s="18">
        <v>246.35258072562468</v>
      </c>
      <c r="K67" s="18"/>
      <c r="L67" s="18"/>
      <c r="M67" s="18">
        <v>132.78988111524961</v>
      </c>
      <c r="N67" s="18">
        <v>99.59241083643721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13"/>
    </row>
    <row r="68" spans="1:52" ht="37.5" customHeight="1" x14ac:dyDescent="0.3">
      <c r="A68" s="169">
        <v>67</v>
      </c>
      <c r="B68" s="19" t="s">
        <v>81</v>
      </c>
      <c r="C68" s="19" t="s">
        <v>100</v>
      </c>
      <c r="D68" s="19">
        <v>54.4</v>
      </c>
      <c r="E68" s="24">
        <v>2021</v>
      </c>
      <c r="F68" s="24" t="s">
        <v>592</v>
      </c>
      <c r="G68" s="18"/>
      <c r="H68" s="18"/>
      <c r="I68" s="18">
        <v>0</v>
      </c>
      <c r="J68" s="18">
        <v>68.166736477487191</v>
      </c>
      <c r="K68" s="18"/>
      <c r="L68" s="18"/>
      <c r="M68" s="18">
        <v>36.743486941350859</v>
      </c>
      <c r="N68" s="18">
        <v>27.557615206013146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13"/>
    </row>
    <row r="69" spans="1:52" ht="37.5" customHeight="1" x14ac:dyDescent="0.3">
      <c r="A69" s="169">
        <v>68</v>
      </c>
      <c r="B69" s="19" t="s">
        <v>101</v>
      </c>
      <c r="C69" s="19" t="s">
        <v>102</v>
      </c>
      <c r="D69" s="19">
        <v>217</v>
      </c>
      <c r="E69" s="24">
        <v>2021</v>
      </c>
      <c r="F69" s="24" t="s">
        <v>593</v>
      </c>
      <c r="G69" s="18"/>
      <c r="H69" s="18"/>
      <c r="I69" s="18">
        <v>0</v>
      </c>
      <c r="J69" s="18">
        <v>271.91510690468237</v>
      </c>
      <c r="K69" s="18"/>
      <c r="L69" s="18"/>
      <c r="M69" s="18">
        <v>146.56868871825617</v>
      </c>
      <c r="N69" s="18">
        <v>109.92651653869213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>
        <v>815.13754158540451</v>
      </c>
      <c r="AH69" s="18">
        <v>815.13754158540451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13"/>
    </row>
    <row r="70" spans="1:52" s="25" customFormat="1" ht="37.5" customHeight="1" x14ac:dyDescent="0.3">
      <c r="A70" s="170">
        <v>69</v>
      </c>
      <c r="B70" s="16" t="s">
        <v>291</v>
      </c>
      <c r="C70" s="16" t="s">
        <v>103</v>
      </c>
      <c r="D70" s="16">
        <v>482.8</v>
      </c>
      <c r="E70" s="24">
        <v>2021</v>
      </c>
      <c r="F70" s="24" t="s">
        <v>593</v>
      </c>
      <c r="G70" s="17"/>
      <c r="H70" s="17">
        <v>2589041.4</v>
      </c>
      <c r="I70" s="17"/>
      <c r="J70" s="17">
        <f>4760+29093.54</f>
        <v>33853.54</v>
      </c>
      <c r="K70" s="17"/>
      <c r="L70" s="17">
        <v>894112</v>
      </c>
      <c r="M70" s="17">
        <f>1931/2</f>
        <v>965.5</v>
      </c>
      <c r="N70" s="17">
        <f>1931/2</f>
        <v>965.5</v>
      </c>
      <c r="O70" s="17"/>
      <c r="P70" s="17"/>
      <c r="Q70" s="17"/>
      <c r="R70" s="17"/>
      <c r="S70" s="17">
        <v>0</v>
      </c>
      <c r="T70" s="17">
        <v>3272.7272727272725</v>
      </c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>
        <v>7218.4182731190049</v>
      </c>
      <c r="AH70" s="17">
        <v>7687.9334206432814</v>
      </c>
      <c r="AI70" s="17"/>
      <c r="AJ70" s="17"/>
      <c r="AK70" s="17"/>
      <c r="AL70" s="17">
        <v>0</v>
      </c>
      <c r="AM70" s="17"/>
      <c r="AN70" s="17"/>
      <c r="AO70" s="17"/>
      <c r="AP70" s="17"/>
      <c r="AQ70" s="17"/>
      <c r="AR70" s="17"/>
      <c r="AS70" s="17">
        <v>18224.780471232545</v>
      </c>
      <c r="AT70" s="17">
        <v>3699.0836669338746</v>
      </c>
      <c r="AU70" s="17"/>
      <c r="AV70" s="17"/>
      <c r="AW70" s="17"/>
      <c r="AX70" s="17"/>
      <c r="AY70" s="17"/>
      <c r="AZ70" s="171"/>
    </row>
    <row r="71" spans="1:52" s="25" customFormat="1" ht="37.5" customHeight="1" x14ac:dyDescent="0.3">
      <c r="A71" s="170">
        <v>70</v>
      </c>
      <c r="B71" s="16" t="s">
        <v>104</v>
      </c>
      <c r="C71" s="16" t="s">
        <v>105</v>
      </c>
      <c r="D71" s="16">
        <v>11351</v>
      </c>
      <c r="E71" s="24">
        <v>2021</v>
      </c>
      <c r="F71" s="24" t="s">
        <v>591</v>
      </c>
      <c r="G71" s="46">
        <v>1812328.73</v>
      </c>
      <c r="H71" s="46">
        <v>776712.31</v>
      </c>
      <c r="I71" s="16">
        <v>642027.11</v>
      </c>
      <c r="J71" s="17">
        <v>275154.46999999997</v>
      </c>
      <c r="K71" s="17">
        <f>(817272+658358)*0.7</f>
        <v>1032940.9999999999</v>
      </c>
      <c r="L71" s="17">
        <f>(817272+658358)*0.3</f>
        <v>442689</v>
      </c>
      <c r="M71" s="17"/>
      <c r="N71" s="17"/>
      <c r="O71" s="17">
        <v>0</v>
      </c>
      <c r="P71" s="17">
        <f>26629.2134831461+199500</f>
        <v>226129.2134831461</v>
      </c>
      <c r="Q71" s="17"/>
      <c r="R71" s="17"/>
      <c r="S71" s="17">
        <v>0</v>
      </c>
      <c r="T71" s="17">
        <v>6545.454545454545</v>
      </c>
      <c r="U71" s="17"/>
      <c r="V71" s="17"/>
      <c r="W71" s="17">
        <v>43931.185486393493</v>
      </c>
      <c r="X71" s="17">
        <v>18827.650922740071</v>
      </c>
      <c r="Y71" s="17">
        <f>51442.3076923077+225000</f>
        <v>276442.30769230769</v>
      </c>
      <c r="Z71" s="17">
        <v>213062.3475</v>
      </c>
      <c r="AA71" s="17"/>
      <c r="AB71" s="17"/>
      <c r="AC71" s="17"/>
      <c r="AD71" s="17"/>
      <c r="AE71" s="17">
        <v>0</v>
      </c>
      <c r="AF71" s="17">
        <v>7536.5853658536589</v>
      </c>
      <c r="AG71" s="17">
        <f>(953484*0.7)+(1000974.64*0.7)</f>
        <v>1368121.048</v>
      </c>
      <c r="AH71" s="17">
        <f>(953484*0.3)+(1000974.64*0.3)</f>
        <v>586337.59199999995</v>
      </c>
      <c r="AI71" s="17">
        <v>0</v>
      </c>
      <c r="AJ71" s="17">
        <v>47442.429417768071</v>
      </c>
      <c r="AK71" s="17"/>
      <c r="AL71" s="17"/>
      <c r="AM71" s="17"/>
      <c r="AN71" s="17"/>
      <c r="AO71" s="17"/>
      <c r="AP71" s="17"/>
      <c r="AQ71" s="17"/>
      <c r="AR71" s="17"/>
      <c r="AS71" s="17">
        <v>428478.63117017527</v>
      </c>
      <c r="AT71" s="17">
        <v>86968.307173501264</v>
      </c>
      <c r="AU71" s="17"/>
      <c r="AV71" s="17"/>
      <c r="AW71" s="17"/>
      <c r="AX71" s="17"/>
      <c r="AY71" s="17"/>
      <c r="AZ71" s="171"/>
    </row>
    <row r="72" spans="1:52" s="25" customFormat="1" ht="37.5" customHeight="1" x14ac:dyDescent="0.3">
      <c r="A72" s="170">
        <v>71</v>
      </c>
      <c r="B72" s="16" t="s">
        <v>106</v>
      </c>
      <c r="C72" s="16" t="s">
        <v>107</v>
      </c>
      <c r="D72" s="16">
        <v>8800.7000000000007</v>
      </c>
      <c r="E72" s="24">
        <v>2021</v>
      </c>
      <c r="F72" s="24" t="s">
        <v>591</v>
      </c>
      <c r="G72" s="17"/>
      <c r="H72" s="17"/>
      <c r="I72" s="16"/>
      <c r="J72" s="17"/>
      <c r="K72" s="17"/>
      <c r="L72" s="17"/>
      <c r="M72" s="17"/>
      <c r="N72" s="17"/>
      <c r="O72" s="17"/>
      <c r="P72" s="17"/>
      <c r="Q72" s="17"/>
      <c r="R72" s="17"/>
      <c r="S72" s="17">
        <v>0</v>
      </c>
      <c r="T72" s="17">
        <v>6545.454545454545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1"/>
    </row>
    <row r="73" spans="1:52" s="25" customFormat="1" ht="37.5" customHeight="1" x14ac:dyDescent="0.3">
      <c r="A73" s="170">
        <v>72</v>
      </c>
      <c r="B73" s="16" t="s">
        <v>108</v>
      </c>
      <c r="C73" s="16" t="s">
        <v>107</v>
      </c>
      <c r="D73" s="16">
        <v>6435.4</v>
      </c>
      <c r="E73" s="24">
        <v>2021</v>
      </c>
      <c r="F73" s="24" t="s">
        <v>591</v>
      </c>
      <c r="G73" s="46">
        <v>3624657.46</v>
      </c>
      <c r="H73" s="46">
        <v>1553424.62</v>
      </c>
      <c r="I73" s="16">
        <v>479353.14279999997</v>
      </c>
      <c r="J73" s="17">
        <v>205437.06</v>
      </c>
      <c r="K73" s="17">
        <f>(463349+373253)*0.7</f>
        <v>585621.39999999991</v>
      </c>
      <c r="L73" s="17">
        <f>(463349+373253)*0.3</f>
        <v>250980.59999999998</v>
      </c>
      <c r="M73" s="17"/>
      <c r="N73" s="17"/>
      <c r="O73" s="17">
        <v>0</v>
      </c>
      <c r="P73" s="17">
        <v>10651.685393258427</v>
      </c>
      <c r="Q73" s="17">
        <v>0</v>
      </c>
      <c r="R73" s="17">
        <v>79990</v>
      </c>
      <c r="S73" s="17">
        <v>0</v>
      </c>
      <c r="T73" s="17">
        <v>6545.454545454545</v>
      </c>
      <c r="U73" s="17"/>
      <c r="V73" s="17"/>
      <c r="W73" s="17">
        <v>19272.44291523303</v>
      </c>
      <c r="X73" s="17">
        <f>21600+8259.6</f>
        <v>29859.599999999999</v>
      </c>
      <c r="Y73" s="17">
        <f>11317.3076923077+37500</f>
        <v>48817.307692307702</v>
      </c>
      <c r="Z73" s="17">
        <v>35510.391250000001</v>
      </c>
      <c r="AA73" s="17">
        <v>0</v>
      </c>
      <c r="AB73" s="17">
        <v>51464.1</v>
      </c>
      <c r="AC73" s="17"/>
      <c r="AD73" s="17"/>
      <c r="AE73" s="17"/>
      <c r="AF73" s="17"/>
      <c r="AG73" s="17">
        <f>(540574*0.7)+(787348.55*0.7)</f>
        <v>929545.78499999992</v>
      </c>
      <c r="AH73" s="17">
        <f>(540574*0.3)+(787348.55*0.3)</f>
        <v>398376.76500000001</v>
      </c>
      <c r="AI73" s="17">
        <v>0</v>
      </c>
      <c r="AJ73" s="17">
        <v>26897.278678099257</v>
      </c>
      <c r="AK73" s="17"/>
      <c r="AL73" s="17"/>
      <c r="AM73" s="17"/>
      <c r="AN73" s="17"/>
      <c r="AO73" s="17"/>
      <c r="AP73" s="17"/>
      <c r="AQ73" s="17"/>
      <c r="AR73" s="17"/>
      <c r="AS73" s="17">
        <f>242924.093298612+213116.039499527</f>
        <v>456040.13279813901</v>
      </c>
      <c r="AT73" s="17">
        <f>49306.3028794247+136642.900782006</f>
        <v>185949.20366143071</v>
      </c>
      <c r="AU73" s="17"/>
      <c r="AV73" s="17"/>
      <c r="AW73" s="17"/>
      <c r="AX73" s="17"/>
      <c r="AY73" s="17"/>
      <c r="AZ73" s="171"/>
    </row>
    <row r="74" spans="1:52" s="25" customFormat="1" ht="37.5" customHeight="1" x14ac:dyDescent="0.3">
      <c r="A74" s="170">
        <v>73</v>
      </c>
      <c r="B74" s="16" t="s">
        <v>109</v>
      </c>
      <c r="C74" s="16" t="s">
        <v>110</v>
      </c>
      <c r="D74" s="16">
        <v>6896.7</v>
      </c>
      <c r="E74" s="24">
        <v>2021</v>
      </c>
      <c r="F74" s="24" t="s">
        <v>593</v>
      </c>
      <c r="G74" s="17"/>
      <c r="H74" s="17">
        <v>5178082.08</v>
      </c>
      <c r="I74" s="16"/>
      <c r="J74" s="17">
        <v>83532.38</v>
      </c>
      <c r="K74" s="17"/>
      <c r="L74" s="17"/>
      <c r="M74" s="17">
        <f>27587/2</f>
        <v>13793.5</v>
      </c>
      <c r="N74" s="17">
        <f>27587/2</f>
        <v>13793.5</v>
      </c>
      <c r="O74" s="17">
        <v>0</v>
      </c>
      <c r="P74" s="17">
        <v>5325.8426966292136</v>
      </c>
      <c r="Q74" s="17"/>
      <c r="R74" s="17"/>
      <c r="S74" s="17">
        <v>0</v>
      </c>
      <c r="T74" s="17">
        <v>6545.454545454545</v>
      </c>
      <c r="U74" s="17">
        <v>76952.529032258055</v>
      </c>
      <c r="V74" s="17">
        <v>0</v>
      </c>
      <c r="W74" s="17">
        <v>0</v>
      </c>
      <c r="X74" s="17">
        <v>8814.1592920353978</v>
      </c>
      <c r="Y74" s="17"/>
      <c r="Z74" s="17"/>
      <c r="AA74" s="17"/>
      <c r="AB74" s="17"/>
      <c r="AC74" s="17"/>
      <c r="AD74" s="17"/>
      <c r="AE74" s="17">
        <v>0</v>
      </c>
      <c r="AF74" s="17">
        <v>7536.5853658536589</v>
      </c>
      <c r="AG74" s="17">
        <v>1044065</v>
      </c>
      <c r="AH74" s="17">
        <v>1044065</v>
      </c>
      <c r="AI74" s="17"/>
      <c r="AJ74" s="17"/>
      <c r="AK74" s="17"/>
      <c r="AL74" s="17">
        <v>4545786</v>
      </c>
      <c r="AM74" s="17"/>
      <c r="AN74" s="17"/>
      <c r="AO74" s="17"/>
      <c r="AP74" s="17"/>
      <c r="AQ74" s="17"/>
      <c r="AR74" s="17"/>
      <c r="AS74" s="17">
        <f>260337.289718205+228392.545858282</f>
        <v>488729.83557648701</v>
      </c>
      <c r="AT74" s="17">
        <f>417935.18+251966.4</f>
        <v>669901.57999999996</v>
      </c>
      <c r="AU74" s="17"/>
      <c r="AV74" s="17"/>
      <c r="AW74" s="17"/>
      <c r="AX74" s="17"/>
      <c r="AY74" s="17"/>
      <c r="AZ74" s="171"/>
    </row>
    <row r="75" spans="1:52" s="25" customFormat="1" ht="37.5" customHeight="1" x14ac:dyDescent="0.3">
      <c r="A75" s="170">
        <v>74</v>
      </c>
      <c r="B75" s="16" t="s">
        <v>111</v>
      </c>
      <c r="C75" s="16" t="s">
        <v>112</v>
      </c>
      <c r="D75" s="16">
        <v>38.4</v>
      </c>
      <c r="E75" s="24">
        <v>2021</v>
      </c>
      <c r="F75" s="24" t="s">
        <v>593</v>
      </c>
      <c r="G75" s="17"/>
      <c r="H75" s="17"/>
      <c r="I75" s="16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1"/>
    </row>
    <row r="76" spans="1:52" s="25" customFormat="1" ht="37.5" customHeight="1" x14ac:dyDescent="0.3">
      <c r="A76" s="170">
        <v>75</v>
      </c>
      <c r="B76" s="16" t="s">
        <v>113</v>
      </c>
      <c r="C76" s="16" t="s">
        <v>114</v>
      </c>
      <c r="D76" s="16">
        <v>3455.5</v>
      </c>
      <c r="E76" s="24">
        <v>2021</v>
      </c>
      <c r="F76" s="24" t="s">
        <v>593</v>
      </c>
      <c r="G76" s="17"/>
      <c r="H76" s="17">
        <f>2589041.04/2</f>
        <v>1294520.52</v>
      </c>
      <c r="I76" s="16">
        <v>0</v>
      </c>
      <c r="J76" s="17">
        <v>8330</v>
      </c>
      <c r="K76" s="17">
        <v>0</v>
      </c>
      <c r="L76" s="17">
        <f>(294000+359100+652935)-548535</f>
        <v>757500</v>
      </c>
      <c r="M76" s="17">
        <f>13822/2</f>
        <v>6911</v>
      </c>
      <c r="N76" s="17">
        <f>13822/2</f>
        <v>6911</v>
      </c>
      <c r="O76" s="17">
        <v>0</v>
      </c>
      <c r="P76" s="17">
        <f>396000/2</f>
        <v>198000</v>
      </c>
      <c r="Q76" s="17"/>
      <c r="R76" s="17"/>
      <c r="S76" s="17">
        <v>0</v>
      </c>
      <c r="T76" s="17">
        <v>3272.7272727272725</v>
      </c>
      <c r="U76" s="17">
        <v>76952.529032258055</v>
      </c>
      <c r="V76" s="17">
        <v>0</v>
      </c>
      <c r="W76" s="17"/>
      <c r="X76" s="17"/>
      <c r="Y76" s="17"/>
      <c r="Z76" s="17"/>
      <c r="AA76" s="17">
        <v>0</v>
      </c>
      <c r="AB76" s="17">
        <v>1000000</v>
      </c>
      <c r="AC76" s="17"/>
      <c r="AD76" s="17"/>
      <c r="AE76" s="17"/>
      <c r="AF76" s="17"/>
      <c r="AG76" s="17">
        <v>522032</v>
      </c>
      <c r="AH76" s="17">
        <v>522032</v>
      </c>
      <c r="AI76" s="17"/>
      <c r="AJ76" s="17"/>
      <c r="AK76" s="17">
        <f>3777960+499701.6</f>
        <v>4277661.5999999996</v>
      </c>
      <c r="AL76" s="17">
        <f>4396581.6+2125660</f>
        <v>6522241.5999999996</v>
      </c>
      <c r="AM76" s="17"/>
      <c r="AN76" s="17"/>
      <c r="AO76" s="17"/>
      <c r="AP76" s="17"/>
      <c r="AQ76" s="17">
        <v>0</v>
      </c>
      <c r="AR76" s="17">
        <f>200000+490000+490000+490000</f>
        <v>1670000</v>
      </c>
      <c r="AS76" s="17">
        <v>130438.543741392</v>
      </c>
      <c r="AT76" s="17">
        <f>207157+208066</f>
        <v>415223</v>
      </c>
      <c r="AU76" s="17"/>
      <c r="AV76" s="17"/>
      <c r="AW76" s="17"/>
      <c r="AX76" s="17"/>
      <c r="AY76" s="17"/>
      <c r="AZ76" s="171"/>
    </row>
    <row r="77" spans="1:52" s="25" customFormat="1" ht="37.5" customHeight="1" x14ac:dyDescent="0.3">
      <c r="A77" s="170">
        <v>76</v>
      </c>
      <c r="B77" s="16" t="s">
        <v>115</v>
      </c>
      <c r="C77" s="16" t="s">
        <v>116</v>
      </c>
      <c r="D77" s="16">
        <v>2482.1</v>
      </c>
      <c r="E77" s="24">
        <v>2021</v>
      </c>
      <c r="F77" s="24" t="s">
        <v>593</v>
      </c>
      <c r="G77" s="17"/>
      <c r="H77" s="17">
        <f>2589041.04/2</f>
        <v>1294520.52</v>
      </c>
      <c r="I77" s="16">
        <v>0</v>
      </c>
      <c r="J77" s="17">
        <v>8330</v>
      </c>
      <c r="K77" s="17">
        <v>0</v>
      </c>
      <c r="L77" s="17">
        <v>548535</v>
      </c>
      <c r="M77" s="17">
        <f>9928/2</f>
        <v>4964</v>
      </c>
      <c r="N77" s="17">
        <f>9928/2</f>
        <v>4964</v>
      </c>
      <c r="O77" s="17">
        <v>0</v>
      </c>
      <c r="P77" s="17">
        <f>396000/2</f>
        <v>198000</v>
      </c>
      <c r="Q77" s="17"/>
      <c r="R77" s="17"/>
      <c r="S77" s="17">
        <v>0</v>
      </c>
      <c r="T77" s="17">
        <v>3272.7272727272725</v>
      </c>
      <c r="U77" s="17">
        <v>76952.529032258055</v>
      </c>
      <c r="V77" s="17">
        <v>0</v>
      </c>
      <c r="W77" s="17">
        <v>0</v>
      </c>
      <c r="X77" s="17">
        <v>66106.194690265489</v>
      </c>
      <c r="Y77" s="17"/>
      <c r="Z77" s="17"/>
      <c r="AA77" s="17">
        <v>0</v>
      </c>
      <c r="AB77" s="17">
        <v>247500</v>
      </c>
      <c r="AC77" s="17"/>
      <c r="AD77" s="17"/>
      <c r="AE77" s="17"/>
      <c r="AF77" s="17"/>
      <c r="AG77" s="17">
        <v>522032</v>
      </c>
      <c r="AH77" s="17">
        <v>522032</v>
      </c>
      <c r="AI77" s="17"/>
      <c r="AJ77" s="17"/>
      <c r="AK77" s="17">
        <v>0</v>
      </c>
      <c r="AL77" s="17"/>
      <c r="AM77" s="17"/>
      <c r="AN77" s="17"/>
      <c r="AO77" s="17"/>
      <c r="AP77" s="17"/>
      <c r="AQ77" s="17"/>
      <c r="AR77" s="17"/>
      <c r="AS77" s="17">
        <v>93694.547654611219</v>
      </c>
      <c r="AT77" s="17">
        <f>207157+208066</f>
        <v>415223</v>
      </c>
      <c r="AU77" s="17"/>
      <c r="AV77" s="17"/>
      <c r="AW77" s="17"/>
      <c r="AX77" s="17"/>
      <c r="AY77" s="17"/>
      <c r="AZ77" s="171"/>
    </row>
    <row r="78" spans="1:52" ht="37.5" customHeight="1" x14ac:dyDescent="0.3">
      <c r="A78" s="169">
        <v>77</v>
      </c>
      <c r="B78" s="19" t="s">
        <v>117</v>
      </c>
      <c r="C78" s="19" t="s">
        <v>118</v>
      </c>
      <c r="D78" s="19">
        <v>404.9</v>
      </c>
      <c r="E78" s="24">
        <v>2021</v>
      </c>
      <c r="F78" s="24" t="s">
        <v>593</v>
      </c>
      <c r="G78" s="18">
        <v>54197.279999999999</v>
      </c>
      <c r="H78" s="18">
        <v>0</v>
      </c>
      <c r="I78" s="19">
        <v>0</v>
      </c>
      <c r="J78" s="18">
        <v>507.36602205394416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>
        <v>0</v>
      </c>
      <c r="AJ78" s="18">
        <v>2884.5984934354437</v>
      </c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13"/>
    </row>
    <row r="79" spans="1:52" ht="56.25" customHeight="1" x14ac:dyDescent="0.3">
      <c r="A79" s="169">
        <v>78</v>
      </c>
      <c r="B79" s="19" t="s">
        <v>119</v>
      </c>
      <c r="C79" s="19" t="s">
        <v>120</v>
      </c>
      <c r="D79" s="19">
        <v>5741.2</v>
      </c>
      <c r="E79" s="24">
        <v>2021</v>
      </c>
      <c r="F79" s="24" t="s">
        <v>592</v>
      </c>
      <c r="G79" s="18"/>
      <c r="H79" s="18"/>
      <c r="I79" s="19">
        <v>0</v>
      </c>
      <c r="J79" s="18">
        <v>7194.096828392454</v>
      </c>
      <c r="K79" s="18"/>
      <c r="L79" s="18"/>
      <c r="M79" s="18">
        <v>3877.7887358030061</v>
      </c>
      <c r="N79" s="18">
        <v>2908.3415518522547</v>
      </c>
      <c r="O79" s="18"/>
      <c r="P79" s="18"/>
      <c r="Q79" s="18"/>
      <c r="R79" s="18"/>
      <c r="S79" s="18">
        <v>0</v>
      </c>
      <c r="T79" s="18">
        <v>6545.454545454545</v>
      </c>
      <c r="U79" s="18">
        <v>19238.132258064514</v>
      </c>
      <c r="V79" s="18">
        <v>0</v>
      </c>
      <c r="W79" s="18"/>
      <c r="X79" s="18"/>
      <c r="Y79" s="18"/>
      <c r="Z79" s="18"/>
      <c r="AA79" s="18"/>
      <c r="AB79" s="18"/>
      <c r="AC79" s="18"/>
      <c r="AD79" s="18"/>
      <c r="AE79" s="18">
        <v>0</v>
      </c>
      <c r="AF79" s="18">
        <v>15073.170731707318</v>
      </c>
      <c r="AG79" s="18">
        <f>85837.5786860622+21566.2103859453</f>
        <v>107403.78907200749</v>
      </c>
      <c r="AH79" s="18">
        <f>91420.8023086106+21566.2103859453</f>
        <v>112987.01269455589</v>
      </c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>
        <v>216719.36545451594</v>
      </c>
      <c r="AT79" s="18">
        <v>43987.529305303979</v>
      </c>
      <c r="AU79" s="18">
        <v>78457.198765190129</v>
      </c>
      <c r="AV79" s="18">
        <v>0</v>
      </c>
      <c r="AW79" s="18"/>
      <c r="AX79" s="18"/>
      <c r="AY79" s="18"/>
      <c r="AZ79" s="113"/>
    </row>
    <row r="80" spans="1:52" ht="37.5" customHeight="1" x14ac:dyDescent="0.3">
      <c r="A80" s="169">
        <v>79</v>
      </c>
      <c r="B80" s="19" t="s">
        <v>121</v>
      </c>
      <c r="C80" s="19" t="s">
        <v>122</v>
      </c>
      <c r="D80" s="19">
        <v>9.1999999999999993</v>
      </c>
      <c r="E80" s="24">
        <v>2021</v>
      </c>
      <c r="F80" s="24" t="s">
        <v>593</v>
      </c>
      <c r="G80" s="18"/>
      <c r="H80" s="18"/>
      <c r="I80" s="19">
        <v>0</v>
      </c>
      <c r="J80" s="18">
        <v>11.52819808075151</v>
      </c>
      <c r="K80" s="18"/>
      <c r="L80" s="18"/>
      <c r="M80" s="18">
        <v>6.213972056257866</v>
      </c>
      <c r="N80" s="18">
        <v>4.6604790421933995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>
        <v>34.558826647860464</v>
      </c>
      <c r="AH80" s="18">
        <v>34.558826647860464</v>
      </c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13"/>
    </row>
    <row r="81" spans="1:52" ht="37.5" customHeight="1" x14ac:dyDescent="0.3">
      <c r="A81" s="169">
        <v>80</v>
      </c>
      <c r="B81" s="19" t="s">
        <v>123</v>
      </c>
      <c r="C81" s="19" t="s">
        <v>124</v>
      </c>
      <c r="D81" s="19">
        <v>43</v>
      </c>
      <c r="E81" s="24">
        <v>2021</v>
      </c>
      <c r="F81" s="24" t="s">
        <v>593</v>
      </c>
      <c r="G81" s="18"/>
      <c r="H81" s="18"/>
      <c r="I81" s="19">
        <v>0</v>
      </c>
      <c r="J81" s="18">
        <v>53.88179537742554</v>
      </c>
      <c r="K81" s="18"/>
      <c r="L81" s="18"/>
      <c r="M81" s="18">
        <v>29.04356504555307</v>
      </c>
      <c r="N81" s="18">
        <v>21.782673784164803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>
        <v>161.52495063673913</v>
      </c>
      <c r="AH81" s="18">
        <v>161.52495063673913</v>
      </c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13"/>
    </row>
    <row r="82" spans="1:52" ht="37.5" customHeight="1" x14ac:dyDescent="0.3">
      <c r="A82" s="169">
        <v>81</v>
      </c>
      <c r="B82" s="19" t="s">
        <v>123</v>
      </c>
      <c r="C82" s="19" t="s">
        <v>125</v>
      </c>
      <c r="D82" s="19">
        <v>31.6</v>
      </c>
      <c r="E82" s="24">
        <v>2021</v>
      </c>
      <c r="F82" s="24" t="s">
        <v>593</v>
      </c>
      <c r="G82" s="18"/>
      <c r="H82" s="18"/>
      <c r="I82" s="19">
        <v>0</v>
      </c>
      <c r="J82" s="18">
        <v>39.596854277363889</v>
      </c>
      <c r="K82" s="18"/>
      <c r="L82" s="18"/>
      <c r="M82" s="18">
        <v>21.34364314975528</v>
      </c>
      <c r="N82" s="18">
        <v>16.00773236231646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>
        <v>118.70205674699901</v>
      </c>
      <c r="AH82" s="18">
        <v>118.70205674699901</v>
      </c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13"/>
    </row>
    <row r="83" spans="1:52" ht="37.5" customHeight="1" x14ac:dyDescent="0.3">
      <c r="A83" s="169">
        <v>82</v>
      </c>
      <c r="B83" s="19" t="s">
        <v>126</v>
      </c>
      <c r="C83" s="19" t="s">
        <v>127</v>
      </c>
      <c r="D83" s="19">
        <v>147.5</v>
      </c>
      <c r="E83" s="24">
        <v>2021</v>
      </c>
      <c r="F83" s="24" t="s">
        <v>593</v>
      </c>
      <c r="G83" s="18"/>
      <c r="H83" s="18"/>
      <c r="I83" s="19">
        <v>0</v>
      </c>
      <c r="J83" s="18">
        <v>184.82708879465739</v>
      </c>
      <c r="K83" s="18"/>
      <c r="L83" s="18"/>
      <c r="M83" s="18">
        <v>99.626182423699476</v>
      </c>
      <c r="N83" s="18">
        <v>74.7196368177746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>
        <v>554.06814462602381</v>
      </c>
      <c r="AH83" s="18">
        <v>554.06814462602381</v>
      </c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13"/>
    </row>
    <row r="84" spans="1:52" ht="37.5" customHeight="1" x14ac:dyDescent="0.3">
      <c r="A84" s="169">
        <v>83</v>
      </c>
      <c r="B84" s="19" t="s">
        <v>128</v>
      </c>
      <c r="C84" s="19" t="s">
        <v>129</v>
      </c>
      <c r="D84" s="19">
        <v>3106.9</v>
      </c>
      <c r="E84" s="24">
        <v>2021</v>
      </c>
      <c r="F84" s="24" t="s">
        <v>592</v>
      </c>
      <c r="G84" s="18"/>
      <c r="H84" s="18"/>
      <c r="I84" s="19">
        <v>33656</v>
      </c>
      <c r="J84" s="18">
        <f>50000+3893.14767577031</f>
        <v>53893.147675770313</v>
      </c>
      <c r="K84" s="18">
        <v>0</v>
      </c>
      <c r="L84" s="18">
        <f>161290.32+98000</f>
        <v>259290.32</v>
      </c>
      <c r="M84" s="18">
        <v>2098.4988893029963</v>
      </c>
      <c r="N84" s="18">
        <f>1573.87416697725</f>
        <v>1573.8741669772501</v>
      </c>
      <c r="O84" s="18">
        <v>0</v>
      </c>
      <c r="P84" s="18">
        <v>15977.528089887641</v>
      </c>
      <c r="Q84" s="18"/>
      <c r="R84" s="18"/>
      <c r="S84" s="18">
        <v>0</v>
      </c>
      <c r="T84" s="18">
        <v>6545.454545454545</v>
      </c>
      <c r="U84" s="18">
        <v>19238.132258064514</v>
      </c>
      <c r="V84" s="18">
        <v>0</v>
      </c>
      <c r="W84" s="18">
        <v>0</v>
      </c>
      <c r="X84" s="18">
        <v>70513.274336283182</v>
      </c>
      <c r="Y84" s="18">
        <f>22634.6153846154+75000</f>
        <v>97634.615384615405</v>
      </c>
      <c r="Z84" s="18">
        <v>71020.782500000001</v>
      </c>
      <c r="AA84" s="18"/>
      <c r="AB84" s="18"/>
      <c r="AC84" s="18"/>
      <c r="AD84" s="18"/>
      <c r="AE84" s="18">
        <v>0</v>
      </c>
      <c r="AF84" s="18">
        <v>7536.5853658536589</v>
      </c>
      <c r="AG84" s="18">
        <f>46451.7475823394+11670.7411426345</f>
        <v>58122.488724973897</v>
      </c>
      <c r="AH84" s="18">
        <f>49473.1573003244+11670.7411426345</f>
        <v>61143.898442958896</v>
      </c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>
        <f>117279.557676206+102888.743997433</f>
        <v>220168.30167363898</v>
      </c>
      <c r="AT84" s="18">
        <f>23804.2316586513+65968.8330856845</f>
        <v>89773.064744335803</v>
      </c>
      <c r="AU84" s="18">
        <v>28213.045859466878</v>
      </c>
      <c r="AV84" s="18">
        <v>0</v>
      </c>
      <c r="AW84" s="18"/>
      <c r="AX84" s="18"/>
      <c r="AY84" s="18"/>
      <c r="AZ84" s="113"/>
    </row>
    <row r="85" spans="1:52" ht="37.5" customHeight="1" x14ac:dyDescent="0.3">
      <c r="A85" s="169">
        <v>84</v>
      </c>
      <c r="B85" s="19" t="s">
        <v>130</v>
      </c>
      <c r="C85" s="19" t="s">
        <v>131</v>
      </c>
      <c r="D85" s="19">
        <v>18213.3</v>
      </c>
      <c r="E85" s="24">
        <v>2021</v>
      </c>
      <c r="F85" s="24" t="s">
        <v>592</v>
      </c>
      <c r="G85" s="18"/>
      <c r="H85" s="18"/>
      <c r="I85" s="19">
        <v>0</v>
      </c>
      <c r="J85" s="18">
        <v>22822.448924364293</v>
      </c>
      <c r="K85" s="18"/>
      <c r="L85" s="18"/>
      <c r="M85" s="18">
        <v>12301.841005678411</v>
      </c>
      <c r="N85" s="18">
        <v>9226.3807542588074</v>
      </c>
      <c r="O85" s="18">
        <v>0</v>
      </c>
      <c r="P85" s="18">
        <v>21303.370786516854</v>
      </c>
      <c r="Q85" s="18"/>
      <c r="R85" s="18"/>
      <c r="S85" s="18">
        <v>0</v>
      </c>
      <c r="T85" s="18">
        <v>13090.90909090909</v>
      </c>
      <c r="U85" s="18"/>
      <c r="V85" s="18"/>
      <c r="W85" s="18">
        <v>0</v>
      </c>
      <c r="X85" s="18">
        <v>79327.433628318584</v>
      </c>
      <c r="Y85" s="18">
        <f>40125+187500</f>
        <v>227625</v>
      </c>
      <c r="Z85" s="18">
        <v>177551.95625000002</v>
      </c>
      <c r="AA85" s="18"/>
      <c r="AB85" s="18"/>
      <c r="AC85" s="18"/>
      <c r="AD85" s="18"/>
      <c r="AE85" s="18">
        <v>0</v>
      </c>
      <c r="AF85" s="18">
        <v>7536.5853658536589</v>
      </c>
      <c r="AG85" s="18">
        <f>272309.895471828+68416.3344984214</f>
        <v>340726.22997024941</v>
      </c>
      <c r="AH85" s="18">
        <f>290022.033492548+68416.3344984214</f>
        <v>358438.36799096939</v>
      </c>
      <c r="AI85" s="18"/>
      <c r="AJ85" s="18"/>
      <c r="AK85" s="18">
        <v>0</v>
      </c>
      <c r="AL85" s="18"/>
      <c r="AM85" s="18"/>
      <c r="AN85" s="18"/>
      <c r="AO85" s="18"/>
      <c r="AP85" s="18"/>
      <c r="AQ85" s="18"/>
      <c r="AR85" s="18"/>
      <c r="AS85" s="18">
        <f>687517.386405758</f>
        <v>687517.38640575798</v>
      </c>
      <c r="AT85" s="18">
        <f>139545.402963891</f>
        <v>139545.40296389101</v>
      </c>
      <c r="AU85" s="18"/>
      <c r="AV85" s="18"/>
      <c r="AW85" s="18"/>
      <c r="AX85" s="18"/>
      <c r="AY85" s="18"/>
      <c r="AZ85" s="113"/>
    </row>
    <row r="86" spans="1:52" s="25" customFormat="1" ht="37.5" customHeight="1" x14ac:dyDescent="0.3">
      <c r="A86" s="170">
        <v>85</v>
      </c>
      <c r="B86" s="16" t="s">
        <v>132</v>
      </c>
      <c r="C86" s="16" t="s">
        <v>133</v>
      </c>
      <c r="D86" s="16">
        <v>14009.5</v>
      </c>
      <c r="E86" s="24">
        <v>2021</v>
      </c>
      <c r="F86" s="24" t="s">
        <v>591</v>
      </c>
      <c r="G86" s="46">
        <v>1812328.73</v>
      </c>
      <c r="H86" s="46">
        <v>776712.31</v>
      </c>
      <c r="I86" s="16">
        <v>738801.87</v>
      </c>
      <c r="J86" s="17">
        <v>316629.37358400004</v>
      </c>
      <c r="K86" s="17">
        <f>(1008684+812551)*0.7</f>
        <v>1274864.5</v>
      </c>
      <c r="L86" s="25">
        <f>(1008684+812551)*0.3</f>
        <v>546370.5</v>
      </c>
      <c r="M86" s="17"/>
      <c r="N86" s="17"/>
      <c r="O86" s="17"/>
      <c r="P86" s="17"/>
      <c r="Q86" s="17"/>
      <c r="R86" s="17"/>
      <c r="S86" s="17">
        <v>0</v>
      </c>
      <c r="T86" s="17">
        <v>13090.90909090909</v>
      </c>
      <c r="U86" s="17"/>
      <c r="V86" s="17"/>
      <c r="W86" s="17"/>
      <c r="X86" s="17"/>
      <c r="Y86" s="17">
        <f>20155+299055.2</f>
        <v>319210.2</v>
      </c>
      <c r="Z86" s="17">
        <f>7455+104080.68</f>
        <v>111535.67999999999</v>
      </c>
      <c r="AA86" s="17"/>
      <c r="AB86" s="17"/>
      <c r="AC86" s="17"/>
      <c r="AD86" s="17"/>
      <c r="AE86" s="17"/>
      <c r="AF86" s="17"/>
      <c r="AG86" s="17">
        <f>(1176798*0.7)+(1111110.12*0.7)</f>
        <v>1601535.6839999999</v>
      </c>
      <c r="AH86" s="17">
        <f>(1176798*0.3)+(1111110.12*0.3)</f>
        <v>686372.43599999999</v>
      </c>
      <c r="AI86" s="17">
        <v>0</v>
      </c>
      <c r="AJ86" s="17">
        <v>58553.846791315467</v>
      </c>
      <c r="AK86" s="17"/>
      <c r="AL86" s="17"/>
      <c r="AM86" s="17">
        <v>0</v>
      </c>
      <c r="AN86" s="17">
        <v>492000</v>
      </c>
      <c r="AO86" s="17"/>
      <c r="AP86" s="17"/>
      <c r="AQ86" s="17"/>
      <c r="AR86" s="17"/>
      <c r="AS86" s="17">
        <f>528831.942857772+463941.504081895</f>
        <v>992773.44693966699</v>
      </c>
      <c r="AT86" s="17">
        <f>107337.018707353+297463.827968038</f>
        <v>404800.84667539096</v>
      </c>
      <c r="AU86" s="17"/>
      <c r="AV86" s="17"/>
      <c r="AW86" s="17"/>
      <c r="AX86" s="17"/>
      <c r="AY86" s="17"/>
      <c r="AZ86" s="171"/>
    </row>
    <row r="87" spans="1:52" s="25" customFormat="1" ht="37.5" customHeight="1" x14ac:dyDescent="0.3">
      <c r="A87" s="170">
        <v>86</v>
      </c>
      <c r="B87" s="16" t="s">
        <v>134</v>
      </c>
      <c r="C87" s="16" t="s">
        <v>135</v>
      </c>
      <c r="D87" s="16">
        <v>11408</v>
      </c>
      <c r="E87" s="24">
        <v>2021</v>
      </c>
      <c r="F87" s="24" t="s">
        <v>591</v>
      </c>
      <c r="G87" s="46">
        <v>1812328.73</v>
      </c>
      <c r="H87" s="46">
        <v>776712.31</v>
      </c>
      <c r="I87" s="16">
        <v>866172.34</v>
      </c>
      <c r="J87" s="17">
        <v>371216.72</v>
      </c>
      <c r="K87" s="17">
        <f>(821376+661664)*0.7</f>
        <v>1038127.9999999999</v>
      </c>
      <c r="L87" s="17">
        <f>(821376+661664)*0.3+502820.51</f>
        <v>947732.51</v>
      </c>
      <c r="M87" s="17"/>
      <c r="N87" s="17"/>
      <c r="O87" s="17">
        <v>0</v>
      </c>
      <c r="P87" s="17">
        <f>29880+5325.84</f>
        <v>35205.839999999997</v>
      </c>
      <c r="Q87" s="17"/>
      <c r="R87" s="17"/>
      <c r="S87" s="17">
        <v>0</v>
      </c>
      <c r="T87" s="17">
        <v>9818.181818181818</v>
      </c>
      <c r="U87" s="17"/>
      <c r="V87" s="17"/>
      <c r="W87" s="17"/>
      <c r="X87" s="17"/>
      <c r="Y87" s="17">
        <f>34266+299055.2</f>
        <v>333321.2</v>
      </c>
      <c r="Z87" s="17">
        <f>12673.76+104080.68</f>
        <v>116754.43999999999</v>
      </c>
      <c r="AA87" s="17"/>
      <c r="AB87" s="17"/>
      <c r="AC87" s="17"/>
      <c r="AD87" s="17"/>
      <c r="AE87" s="17">
        <v>0</v>
      </c>
      <c r="AF87" s="17">
        <v>7536.5853658536589</v>
      </c>
      <c r="AG87" s="17">
        <f>(958272*0.7)+(1157907.1*0.7)</f>
        <v>1481325.3699999999</v>
      </c>
      <c r="AH87" s="17">
        <f>(958272*0.3)+(1157907.1*0.3)</f>
        <v>634853.73</v>
      </c>
      <c r="AI87" s="17">
        <v>0</v>
      </c>
      <c r="AJ87" s="17">
        <v>47680.665562320341</v>
      </c>
      <c r="AK87" s="17">
        <v>0</v>
      </c>
      <c r="AL87" s="17"/>
      <c r="AM87" s="17"/>
      <c r="AN87" s="17"/>
      <c r="AO87" s="17"/>
      <c r="AP87" s="17"/>
      <c r="AQ87" s="17"/>
      <c r="AR87" s="17"/>
      <c r="AS87" s="17">
        <f>430630.272609405+377789.691178576</f>
        <v>808419.96378798096</v>
      </c>
      <c r="AT87" s="17">
        <f>87405.0258334334+242226.157211847</f>
        <v>329631.1830452804</v>
      </c>
      <c r="AU87" s="17"/>
      <c r="AV87" s="17"/>
      <c r="AW87" s="17"/>
      <c r="AX87" s="17"/>
      <c r="AY87" s="17"/>
      <c r="AZ87" s="171"/>
    </row>
    <row r="88" spans="1:52" ht="37.5" customHeight="1" x14ac:dyDescent="0.3">
      <c r="A88" s="169">
        <v>87</v>
      </c>
      <c r="B88" s="19" t="s">
        <v>136</v>
      </c>
      <c r="C88" s="19" t="s">
        <v>137</v>
      </c>
      <c r="D88" s="19">
        <v>1318.7</v>
      </c>
      <c r="E88" s="24">
        <v>2021</v>
      </c>
      <c r="F88" s="24" t="s">
        <v>592</v>
      </c>
      <c r="G88" s="18"/>
      <c r="H88" s="18"/>
      <c r="I88" s="19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13"/>
    </row>
    <row r="89" spans="1:52" s="25" customFormat="1" ht="37.5" customHeight="1" x14ac:dyDescent="0.3">
      <c r="A89" s="170">
        <v>88</v>
      </c>
      <c r="B89" s="16" t="s">
        <v>138</v>
      </c>
      <c r="C89" s="16" t="s">
        <v>139</v>
      </c>
      <c r="D89" s="16">
        <v>7858.3</v>
      </c>
      <c r="E89" s="24">
        <v>2021</v>
      </c>
      <c r="F89" s="24" t="s">
        <v>591</v>
      </c>
      <c r="G89" s="46">
        <v>1812328.73</v>
      </c>
      <c r="H89" s="46">
        <v>776712.31</v>
      </c>
      <c r="I89" s="16">
        <f>1363140.04/2</f>
        <v>681570.02</v>
      </c>
      <c r="J89" s="17">
        <f>584202.88/2</f>
        <v>292101.44</v>
      </c>
      <c r="K89" s="17">
        <f>(565798+455781)*0.7</f>
        <v>715105.29999999993</v>
      </c>
      <c r="L89" s="17">
        <f>(565798+455781)*0.3</f>
        <v>306473.7</v>
      </c>
      <c r="M89" s="17"/>
      <c r="N89" s="17"/>
      <c r="O89" s="17">
        <v>0</v>
      </c>
      <c r="P89" s="17">
        <v>37280.898876404492</v>
      </c>
      <c r="Q89" s="17"/>
      <c r="R89" s="17"/>
      <c r="S89" s="17">
        <v>0</v>
      </c>
      <c r="T89" s="17">
        <v>9818.181818181818</v>
      </c>
      <c r="U89" s="17"/>
      <c r="V89" s="17"/>
      <c r="W89" s="17"/>
      <c r="X89" s="17"/>
      <c r="Y89" s="17">
        <f>12461.8+299055.2</f>
        <v>311517</v>
      </c>
      <c r="Z89" s="17">
        <f>4104.2+104080.68</f>
        <v>108184.87999999999</v>
      </c>
      <c r="AA89" s="17"/>
      <c r="AB89" s="17"/>
      <c r="AC89" s="17"/>
      <c r="AD89" s="17"/>
      <c r="AE89" s="17"/>
      <c r="AF89" s="17"/>
      <c r="AG89" s="17">
        <f>(660097*0.7)+(767696.55*0.7)</f>
        <v>999455.48499999987</v>
      </c>
      <c r="AH89" s="17">
        <f>127763+418344</f>
        <v>546107</v>
      </c>
      <c r="AI89" s="17">
        <v>0</v>
      </c>
      <c r="AJ89" s="17">
        <v>32844.405170790844</v>
      </c>
      <c r="AK89" s="17"/>
      <c r="AL89" s="17"/>
      <c r="AM89" s="17"/>
      <c r="AN89" s="17"/>
      <c r="AO89" s="17"/>
      <c r="AP89" s="17"/>
      <c r="AQ89" s="17"/>
      <c r="AR89" s="17"/>
      <c r="AS89" s="17">
        <v>296635.85827897</v>
      </c>
      <c r="AT89" s="17">
        <v>60208.179742888293</v>
      </c>
      <c r="AU89" s="17"/>
      <c r="AV89" s="17"/>
      <c r="AW89" s="17"/>
      <c r="AX89" s="17"/>
      <c r="AY89" s="17"/>
      <c r="AZ89" s="171"/>
    </row>
    <row r="90" spans="1:52" s="25" customFormat="1" ht="37.5" customHeight="1" x14ac:dyDescent="0.3">
      <c r="A90" s="170">
        <v>89</v>
      </c>
      <c r="B90" s="16" t="s">
        <v>140</v>
      </c>
      <c r="C90" s="16" t="s">
        <v>141</v>
      </c>
      <c r="D90" s="16">
        <v>7847.8</v>
      </c>
      <c r="E90" s="24">
        <v>2021</v>
      </c>
      <c r="F90" s="24" t="s">
        <v>591</v>
      </c>
      <c r="G90" s="46">
        <v>1812328.73</v>
      </c>
      <c r="H90" s="46">
        <v>776712.31</v>
      </c>
      <c r="I90" s="16">
        <v>681570.02</v>
      </c>
      <c r="J90" s="17">
        <v>292101.44</v>
      </c>
      <c r="K90" s="17">
        <f>(555176+455172)*0.7</f>
        <v>707243.6</v>
      </c>
      <c r="L90" s="17">
        <f>(555176*0.3)+112403</f>
        <v>278955.8</v>
      </c>
      <c r="M90" s="17"/>
      <c r="N90" s="17"/>
      <c r="O90" s="17">
        <v>0</v>
      </c>
      <c r="P90" s="17">
        <v>37280.898876404492</v>
      </c>
      <c r="Q90" s="17"/>
      <c r="R90" s="17"/>
      <c r="S90" s="17">
        <v>0</v>
      </c>
      <c r="T90" s="17">
        <v>9818.181818181818</v>
      </c>
      <c r="U90" s="17"/>
      <c r="V90" s="17"/>
      <c r="W90" s="17"/>
      <c r="X90" s="17"/>
      <c r="Y90" s="17">
        <f>12461.8+299055.2</f>
        <v>311517</v>
      </c>
      <c r="Z90" s="17">
        <f>4104.2+104080.68+45000+45000</f>
        <v>198184.88</v>
      </c>
      <c r="AA90" s="17"/>
      <c r="AB90" s="17"/>
      <c r="AC90" s="17"/>
      <c r="AD90" s="17"/>
      <c r="AE90" s="17"/>
      <c r="AF90" s="17"/>
      <c r="AG90" s="17">
        <f>(659215*0.7)+(844466.31*0.7)</f>
        <v>1052576.9169999999</v>
      </c>
      <c r="AH90" s="17">
        <f>127500+418344</f>
        <v>545844</v>
      </c>
      <c r="AI90" s="17">
        <v>0</v>
      </c>
      <c r="AJ90" s="17">
        <v>32800.519565215422</v>
      </c>
      <c r="AK90" s="17"/>
      <c r="AL90" s="17"/>
      <c r="AM90" s="17"/>
      <c r="AN90" s="17"/>
      <c r="AO90" s="17"/>
      <c r="AP90" s="17"/>
      <c r="AQ90" s="17"/>
      <c r="AR90" s="17"/>
      <c r="AS90" s="17">
        <v>296239.50327700662</v>
      </c>
      <c r="AT90" s="17">
        <v>60127.731568690273</v>
      </c>
      <c r="AU90" s="17"/>
      <c r="AV90" s="17"/>
      <c r="AW90" s="17"/>
      <c r="AX90" s="17"/>
      <c r="AY90" s="17"/>
      <c r="AZ90" s="171"/>
    </row>
    <row r="91" spans="1:52" s="25" customFormat="1" ht="37.5" customHeight="1" x14ac:dyDescent="0.3">
      <c r="A91" s="170">
        <v>90</v>
      </c>
      <c r="B91" s="16" t="s">
        <v>142</v>
      </c>
      <c r="C91" s="16" t="s">
        <v>143</v>
      </c>
      <c r="D91" s="16">
        <v>1453.6</v>
      </c>
      <c r="E91" s="24">
        <v>2021</v>
      </c>
      <c r="F91" s="24" t="s">
        <v>592</v>
      </c>
      <c r="G91" s="17"/>
      <c r="H91" s="17"/>
      <c r="I91" s="17"/>
      <c r="J91" s="17"/>
      <c r="K91" s="17"/>
      <c r="L91" s="17"/>
      <c r="M91" s="17"/>
      <c r="N91" s="17"/>
      <c r="O91" s="17">
        <v>0</v>
      </c>
      <c r="P91" s="17">
        <v>10651.685393258427</v>
      </c>
      <c r="Q91" s="17"/>
      <c r="R91" s="17"/>
      <c r="S91" s="17">
        <v>0</v>
      </c>
      <c r="T91" s="17">
        <v>13090.90909090909</v>
      </c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>
        <v>21733.00083224065</v>
      </c>
      <c r="AH91" s="17">
        <v>23146.603190238344</v>
      </c>
      <c r="AI91" s="17"/>
      <c r="AJ91" s="17"/>
      <c r="AK91" s="17"/>
      <c r="AL91" s="17">
        <v>599994</v>
      </c>
      <c r="AM91" s="17"/>
      <c r="AN91" s="17"/>
      <c r="AO91" s="17"/>
      <c r="AP91" s="17"/>
      <c r="AQ91" s="17"/>
      <c r="AR91" s="17"/>
      <c r="AS91" s="17">
        <v>54870.631509908097</v>
      </c>
      <c r="AT91" s="17">
        <v>11137.092001356836</v>
      </c>
      <c r="AU91" s="17"/>
      <c r="AV91" s="17"/>
      <c r="AW91" s="17"/>
      <c r="AX91" s="17"/>
      <c r="AY91" s="17"/>
      <c r="AZ91" s="171"/>
    </row>
    <row r="92" spans="1:52" s="25" customFormat="1" ht="37.5" customHeight="1" x14ac:dyDescent="0.3">
      <c r="A92" s="170">
        <v>91</v>
      </c>
      <c r="B92" s="16" t="s">
        <v>144</v>
      </c>
      <c r="C92" s="16" t="s">
        <v>145</v>
      </c>
      <c r="D92" s="16">
        <v>6172.3</v>
      </c>
      <c r="E92" s="24">
        <v>2021</v>
      </c>
      <c r="F92" s="24" t="s">
        <v>592</v>
      </c>
      <c r="G92" s="17"/>
      <c r="H92" s="46">
        <v>2589041.04</v>
      </c>
      <c r="I92" s="17">
        <v>0</v>
      </c>
      <c r="J92" s="17">
        <v>363300</v>
      </c>
      <c r="K92" s="17">
        <v>0</v>
      </c>
      <c r="L92" s="17">
        <v>1211554.3799999999</v>
      </c>
      <c r="M92" s="17">
        <v>0</v>
      </c>
      <c r="N92" s="17">
        <f>24600+59800</f>
        <v>84400</v>
      </c>
      <c r="O92" s="17">
        <v>0</v>
      </c>
      <c r="P92" s="17">
        <v>149000</v>
      </c>
      <c r="Q92" s="17">
        <v>0</v>
      </c>
      <c r="R92" s="17">
        <f>70000+199000</f>
        <v>269000</v>
      </c>
      <c r="S92" s="17">
        <v>0</v>
      </c>
      <c r="T92" s="17">
        <f>342500</f>
        <v>342500</v>
      </c>
      <c r="U92" s="17">
        <v>0</v>
      </c>
      <c r="V92" s="17">
        <v>32400</v>
      </c>
      <c r="W92" s="17">
        <v>0</v>
      </c>
      <c r="X92" s="17"/>
      <c r="Y92" s="17"/>
      <c r="Z92" s="17">
        <v>103938.2</v>
      </c>
      <c r="AA92" s="17"/>
      <c r="AB92" s="17"/>
      <c r="AC92" s="17"/>
      <c r="AD92" s="17"/>
      <c r="AE92" s="17"/>
      <c r="AF92" s="17"/>
      <c r="AG92" s="17"/>
      <c r="AH92" s="17"/>
      <c r="AI92" s="17">
        <v>0</v>
      </c>
      <c r="AJ92" s="17"/>
      <c r="AK92" s="17"/>
      <c r="AL92" s="17"/>
      <c r="AM92" s="17"/>
      <c r="AN92" s="17"/>
      <c r="AO92" s="17"/>
      <c r="AP92" s="17"/>
      <c r="AQ92" s="17">
        <v>0</v>
      </c>
      <c r="AR92" s="17">
        <v>299500</v>
      </c>
      <c r="AS92" s="17">
        <v>0</v>
      </c>
      <c r="AT92" s="17">
        <v>323931.59999999998</v>
      </c>
      <c r="AU92" s="17"/>
      <c r="AV92" s="17"/>
      <c r="AW92" s="17"/>
      <c r="AX92" s="17">
        <v>267936</v>
      </c>
      <c r="AY92" s="17"/>
      <c r="AZ92" s="171"/>
    </row>
    <row r="93" spans="1:52" s="25" customFormat="1" ht="37.5" customHeight="1" x14ac:dyDescent="0.3">
      <c r="A93" s="170">
        <v>92</v>
      </c>
      <c r="B93" s="16" t="s">
        <v>146</v>
      </c>
      <c r="C93" s="16" t="s">
        <v>147</v>
      </c>
      <c r="D93" s="16">
        <f>3618.1+54197.28</f>
        <v>57815.38</v>
      </c>
      <c r="E93" s="24">
        <v>2021</v>
      </c>
      <c r="F93" s="24" t="s">
        <v>592</v>
      </c>
      <c r="G93" s="25">
        <v>7534109</v>
      </c>
      <c r="H93" s="17"/>
      <c r="I93" s="17">
        <v>133200</v>
      </c>
      <c r="J93" s="17">
        <v>0</v>
      </c>
      <c r="K93" s="17">
        <f>71573.5977947661+42000</f>
        <v>113573.5977947661</v>
      </c>
      <c r="L93" s="17">
        <v>0</v>
      </c>
      <c r="M93" s="17">
        <v>24282</v>
      </c>
      <c r="N93" s="17"/>
      <c r="O93" s="17">
        <v>0</v>
      </c>
      <c r="P93" s="17">
        <v>5325.8426966292136</v>
      </c>
      <c r="Q93" s="17"/>
      <c r="R93" s="17"/>
      <c r="S93" s="17">
        <v>0</v>
      </c>
      <c r="T93" s="17">
        <v>6545.454545454545</v>
      </c>
      <c r="U93" s="17">
        <f>354750-U94</f>
        <v>266266</v>
      </c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>
        <v>0</v>
      </c>
      <c r="AJ93" s="17"/>
      <c r="AK93" s="17"/>
      <c r="AL93" s="17"/>
      <c r="AM93" s="17"/>
      <c r="AN93" s="17"/>
      <c r="AO93" s="17"/>
      <c r="AP93" s="17"/>
      <c r="AQ93" s="17">
        <v>0</v>
      </c>
      <c r="AR93" s="17">
        <v>177172.69675494215</v>
      </c>
      <c r="AS93" s="17">
        <f>312625+93273.6</f>
        <v>405898.6</v>
      </c>
      <c r="AT93" s="17">
        <v>1227594.4359346679</v>
      </c>
      <c r="AU93" s="17"/>
      <c r="AV93" s="17"/>
      <c r="AW93" s="17"/>
      <c r="AX93" s="17">
        <v>78500</v>
      </c>
      <c r="AY93" s="17"/>
      <c r="AZ93" s="171"/>
    </row>
    <row r="94" spans="1:52" s="25" customFormat="1" ht="37.5" customHeight="1" x14ac:dyDescent="0.3">
      <c r="A94" s="170">
        <v>93</v>
      </c>
      <c r="B94" s="16" t="s">
        <v>148</v>
      </c>
      <c r="C94" s="16" t="s">
        <v>149</v>
      </c>
      <c r="D94" s="16">
        <v>1556.1</v>
      </c>
      <c r="E94" s="24">
        <v>2021</v>
      </c>
      <c r="F94" s="24" t="s">
        <v>592</v>
      </c>
      <c r="G94" s="17">
        <f>233014+14925.32+60424+21929.98</f>
        <v>330293.3</v>
      </c>
      <c r="H94" s="17"/>
      <c r="I94" s="17">
        <v>62248</v>
      </c>
      <c r="J94" s="17">
        <v>0</v>
      </c>
      <c r="K94" s="17">
        <f>1926.40220523389+42000</f>
        <v>43926.402205233891</v>
      </c>
      <c r="L94" s="17">
        <v>0</v>
      </c>
      <c r="M94" s="17">
        <v>10974</v>
      </c>
      <c r="N94" s="17"/>
      <c r="O94" s="17">
        <v>0</v>
      </c>
      <c r="P94" s="17">
        <v>5325.8426966292136</v>
      </c>
      <c r="Q94" s="17"/>
      <c r="R94" s="17"/>
      <c r="S94" s="17">
        <v>0</v>
      </c>
      <c r="T94" s="17">
        <v>6545.454545454545</v>
      </c>
      <c r="U94" s="17">
        <v>88484</v>
      </c>
      <c r="V94" s="17"/>
      <c r="W94" s="17"/>
      <c r="X94" s="17"/>
      <c r="Y94" s="17"/>
      <c r="Z94" s="17"/>
      <c r="AA94" s="17"/>
      <c r="AB94" s="17"/>
      <c r="AC94" s="17">
        <f>84000+204000</f>
        <v>288000</v>
      </c>
      <c r="AD94" s="17">
        <v>0</v>
      </c>
      <c r="AE94" s="17"/>
      <c r="AF94" s="17"/>
      <c r="AG94" s="17">
        <f>25000</f>
        <v>25000</v>
      </c>
      <c r="AH94" s="17">
        <f>25000</f>
        <v>25000</v>
      </c>
      <c r="AI94" s="17">
        <v>0</v>
      </c>
      <c r="AJ94" s="17"/>
      <c r="AK94" s="17">
        <v>6864140</v>
      </c>
      <c r="AL94" s="17"/>
      <c r="AM94" s="17"/>
      <c r="AN94" s="17"/>
      <c r="AO94" s="17"/>
      <c r="AP94" s="17"/>
      <c r="AQ94" s="17">
        <v>0</v>
      </c>
      <c r="AR94" s="17">
        <v>22827.303245057814</v>
      </c>
      <c r="AS94" s="17">
        <v>312625</v>
      </c>
      <c r="AT94" s="17">
        <v>91346.4</v>
      </c>
      <c r="AU94" s="17"/>
      <c r="AV94" s="17"/>
      <c r="AW94" s="17"/>
      <c r="AX94" s="17">
        <v>78500</v>
      </c>
      <c r="AY94" s="17"/>
      <c r="AZ94" s="171"/>
    </row>
    <row r="95" spans="1:52" s="25" customFormat="1" ht="56.25" customHeight="1" x14ac:dyDescent="0.3">
      <c r="A95" s="170">
        <v>94</v>
      </c>
      <c r="B95" s="16" t="s">
        <v>150</v>
      </c>
      <c r="C95" s="16" t="s">
        <v>151</v>
      </c>
      <c r="D95" s="16">
        <v>2615.5</v>
      </c>
      <c r="E95" s="24">
        <v>2021</v>
      </c>
      <c r="F95" s="24" t="s">
        <v>592</v>
      </c>
      <c r="G95" s="17">
        <f>12945205.2+500000</f>
        <v>13445205.199999999</v>
      </c>
      <c r="H95" s="17">
        <f>1743000+79200+54049.2+94586.1</f>
        <v>1970835.3</v>
      </c>
      <c r="I95" s="17">
        <f>10300+569560</f>
        <v>579860</v>
      </c>
      <c r="J95" s="17">
        <v>30163</v>
      </c>
      <c r="K95" s="17">
        <v>150323.47</v>
      </c>
      <c r="L95" s="17">
        <v>226579</v>
      </c>
      <c r="M95" s="17"/>
      <c r="N95" s="17">
        <f>36538.86+53000+295116.59</f>
        <v>384655.45</v>
      </c>
      <c r="O95" s="17"/>
      <c r="P95" s="17"/>
      <c r="Q95" s="17"/>
      <c r="R95" s="17">
        <v>88000</v>
      </c>
      <c r="S95" s="17">
        <v>0</v>
      </c>
      <c r="T95" s="17"/>
      <c r="U95" s="17">
        <v>430392.75</v>
      </c>
      <c r="V95" s="17">
        <v>1069607.25</v>
      </c>
      <c r="W95" s="17"/>
      <c r="X95" s="17"/>
      <c r="Y95" s="17"/>
      <c r="Z95" s="17"/>
      <c r="AA95" s="17">
        <v>153000</v>
      </c>
      <c r="AB95" s="17"/>
      <c r="AC95" s="17"/>
      <c r="AD95" s="17"/>
      <c r="AE95" s="17"/>
      <c r="AF95" s="17"/>
      <c r="AG95" s="17">
        <f>115000+25000</f>
        <v>140000</v>
      </c>
      <c r="AH95" s="17">
        <f>502739.38+25000</f>
        <v>527739.38</v>
      </c>
      <c r="AI95" s="17">
        <v>0</v>
      </c>
      <c r="AJ95" s="17">
        <f>20157+7080</f>
        <v>27237</v>
      </c>
      <c r="AK95" s="17"/>
      <c r="AL95" s="17">
        <v>7298464.2800000003</v>
      </c>
      <c r="AM95" s="17"/>
      <c r="AN95" s="17"/>
      <c r="AO95" s="17"/>
      <c r="AP95" s="17"/>
      <c r="AQ95" s="17"/>
      <c r="AR95" s="17"/>
      <c r="AS95" s="17">
        <f>149834.69+107004</f>
        <v>256838.69</v>
      </c>
      <c r="AT95" s="17">
        <f>3415258.97</f>
        <v>3415258.97</v>
      </c>
      <c r="AU95" s="17"/>
      <c r="AV95" s="17">
        <v>0</v>
      </c>
      <c r="AW95" s="17">
        <v>119000</v>
      </c>
      <c r="AX95" s="17">
        <v>78894</v>
      </c>
      <c r="AY95" s="17">
        <v>190000</v>
      </c>
      <c r="AZ95" s="171"/>
    </row>
    <row r="96" spans="1:52" s="25" customFormat="1" ht="37.5" customHeight="1" x14ac:dyDescent="0.3">
      <c r="A96" s="170">
        <v>95</v>
      </c>
      <c r="B96" s="17" t="s">
        <v>152</v>
      </c>
      <c r="C96" s="17" t="s">
        <v>153</v>
      </c>
      <c r="D96" s="16">
        <v>22228.9</v>
      </c>
      <c r="E96" s="24">
        <v>2021</v>
      </c>
      <c r="F96" s="24" t="s">
        <v>592</v>
      </c>
      <c r="G96" s="17">
        <v>15534246.24</v>
      </c>
      <c r="H96" s="17"/>
      <c r="I96" s="17">
        <f>5950+109148.98</f>
        <v>115098.98</v>
      </c>
      <c r="J96" s="17">
        <v>46778.14</v>
      </c>
      <c r="K96" s="17">
        <v>5124440.68</v>
      </c>
      <c r="L96" s="17">
        <f>6024032-K96+290000</f>
        <v>1189591.3200000003</v>
      </c>
      <c r="M96" s="17">
        <v>0</v>
      </c>
      <c r="N96" s="17"/>
      <c r="O96" s="17"/>
      <c r="P96" s="17"/>
      <c r="Q96" s="17"/>
      <c r="R96" s="17"/>
      <c r="S96" s="17">
        <v>0</v>
      </c>
      <c r="T96" s="17">
        <v>32727.272727272728</v>
      </c>
      <c r="U96" s="17"/>
      <c r="V96" s="17"/>
      <c r="W96" s="17">
        <v>0</v>
      </c>
      <c r="X96" s="17">
        <v>354974.56912338495</v>
      </c>
      <c r="Y96" s="17">
        <v>0</v>
      </c>
      <c r="Z96" s="17">
        <v>415752.78</v>
      </c>
      <c r="AA96" s="17"/>
      <c r="AB96" s="17"/>
      <c r="AC96" s="17"/>
      <c r="AD96" s="17"/>
      <c r="AE96" s="17">
        <v>0</v>
      </c>
      <c r="AF96" s="17">
        <v>7536.5853658536589</v>
      </c>
      <c r="AG96" s="17">
        <f>3005580+594432</f>
        <v>3600012</v>
      </c>
      <c r="AH96" s="17">
        <f>265127.57+265127.57+594432</f>
        <v>1124687.1400000001</v>
      </c>
      <c r="AI96" s="17">
        <v>0</v>
      </c>
      <c r="AJ96" s="17">
        <v>92907.49883575234</v>
      </c>
      <c r="AK96" s="17">
        <v>0</v>
      </c>
      <c r="AL96" s="17">
        <f>449434.8+461276.4</f>
        <v>910711.2</v>
      </c>
      <c r="AM96" s="17"/>
      <c r="AN96" s="17"/>
      <c r="AO96" s="17"/>
      <c r="AP96" s="17"/>
      <c r="AQ96" s="17"/>
      <c r="AR96" s="17"/>
      <c r="AS96" s="17">
        <v>0</v>
      </c>
      <c r="AT96" s="17">
        <f>11472.6670121583+257315.35+2511863.55405802</f>
        <v>2780651.5710701784</v>
      </c>
      <c r="AU96" s="17"/>
      <c r="AV96" s="17"/>
      <c r="AW96" s="17"/>
      <c r="AX96" s="17"/>
      <c r="AY96" s="17"/>
      <c r="AZ96" s="171"/>
    </row>
    <row r="97" spans="1:52" s="25" customFormat="1" ht="37.5" customHeight="1" x14ac:dyDescent="0.3">
      <c r="A97" s="170">
        <v>96</v>
      </c>
      <c r="B97" s="17" t="s">
        <v>154</v>
      </c>
      <c r="C97" s="17" t="s">
        <v>155</v>
      </c>
      <c r="D97" s="16">
        <v>481.3</v>
      </c>
      <c r="E97" s="24">
        <v>2021</v>
      </c>
      <c r="F97" s="24" t="s">
        <v>593</v>
      </c>
      <c r="G97" s="17"/>
      <c r="H97" s="17"/>
      <c r="I97" s="17"/>
      <c r="J97" s="17"/>
      <c r="K97" s="17"/>
      <c r="L97" s="17"/>
      <c r="M97" s="17">
        <v>0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>
        <v>65457</v>
      </c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>
        <v>66884.399999999994</v>
      </c>
      <c r="AU97" s="17"/>
      <c r="AV97" s="17"/>
      <c r="AW97" s="17"/>
      <c r="AX97" s="17"/>
      <c r="AY97" s="17"/>
      <c r="AZ97" s="171"/>
    </row>
    <row r="98" spans="1:52" s="25" customFormat="1" ht="37.5" customHeight="1" x14ac:dyDescent="0.3">
      <c r="A98" s="170">
        <v>97</v>
      </c>
      <c r="B98" s="17" t="s">
        <v>156</v>
      </c>
      <c r="C98" s="17" t="s">
        <v>157</v>
      </c>
      <c r="D98" s="16">
        <v>140.9</v>
      </c>
      <c r="E98" s="24">
        <v>2021</v>
      </c>
      <c r="F98" s="24" t="s">
        <v>593</v>
      </c>
      <c r="G98" s="17"/>
      <c r="H98" s="17"/>
      <c r="I98" s="17"/>
      <c r="J98" s="17"/>
      <c r="K98" s="17"/>
      <c r="L98" s="17"/>
      <c r="M98" s="17">
        <v>0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>
        <v>19162</v>
      </c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1"/>
    </row>
    <row r="99" spans="1:52" s="25" customFormat="1" ht="36" x14ac:dyDescent="0.3">
      <c r="A99" s="170">
        <v>98</v>
      </c>
      <c r="B99" s="17" t="s">
        <v>158</v>
      </c>
      <c r="C99" s="17" t="s">
        <v>159</v>
      </c>
      <c r="D99" s="17">
        <v>7998.2</v>
      </c>
      <c r="E99" s="24">
        <v>2021</v>
      </c>
      <c r="F99" s="24" t="s">
        <v>592</v>
      </c>
      <c r="G99" s="17">
        <v>0</v>
      </c>
      <c r="H99" s="17"/>
      <c r="I99" s="17">
        <f>52775.33/2</f>
        <v>26387.665000000001</v>
      </c>
      <c r="J99" s="17">
        <f>22618/2</f>
        <v>11309</v>
      </c>
      <c r="K99" s="17"/>
      <c r="L99" s="17">
        <f>2167512+145000</f>
        <v>2312512</v>
      </c>
      <c r="M99" s="17">
        <f>31993/2</f>
        <v>15996.5</v>
      </c>
      <c r="N99" s="17">
        <f>31993/2</f>
        <v>15996.5</v>
      </c>
      <c r="O99" s="17"/>
      <c r="P99" s="17"/>
      <c r="Q99" s="17"/>
      <c r="R99" s="17"/>
      <c r="S99" s="17"/>
      <c r="T99" s="17"/>
      <c r="U99" s="17"/>
      <c r="V99" s="17"/>
      <c r="W99" s="17">
        <v>0</v>
      </c>
      <c r="X99" s="17">
        <v>127723.71096917335</v>
      </c>
      <c r="Y99" s="17"/>
      <c r="Z99" s="17"/>
      <c r="AA99" s="17"/>
      <c r="AB99" s="17"/>
      <c r="AC99" s="17"/>
      <c r="AD99" s="17"/>
      <c r="AE99" s="17"/>
      <c r="AF99" s="17"/>
      <c r="AG99" s="17">
        <f>1087755+174311</f>
        <v>1262066</v>
      </c>
      <c r="AH99" s="17">
        <f>268672.889123497+174311</f>
        <v>442983.88912349701</v>
      </c>
      <c r="AI99" s="17"/>
      <c r="AJ99" s="17"/>
      <c r="AK99" s="17"/>
      <c r="AL99" s="17">
        <v>145323</v>
      </c>
      <c r="AM99" s="17"/>
      <c r="AN99" s="17"/>
      <c r="AO99" s="17"/>
      <c r="AP99" s="17"/>
      <c r="AQ99" s="17"/>
      <c r="AR99" s="17"/>
      <c r="AS99" s="17">
        <v>202542</v>
      </c>
      <c r="AT99" s="17">
        <v>266548.8</v>
      </c>
      <c r="AU99" s="17"/>
      <c r="AV99" s="17"/>
      <c r="AW99" s="17"/>
      <c r="AX99" s="17"/>
      <c r="AY99" s="17"/>
      <c r="AZ99" s="171"/>
    </row>
    <row r="100" spans="1:52" s="25" customFormat="1" ht="36" x14ac:dyDescent="0.3">
      <c r="A100" s="170">
        <v>99</v>
      </c>
      <c r="B100" s="17" t="s">
        <v>158</v>
      </c>
      <c r="C100" s="17" t="s">
        <v>160</v>
      </c>
      <c r="D100" s="17">
        <v>4101.8999999999996</v>
      </c>
      <c r="E100" s="24">
        <v>2021</v>
      </c>
      <c r="F100" s="24" t="s">
        <v>592</v>
      </c>
      <c r="G100" s="17">
        <v>0</v>
      </c>
      <c r="H100" s="17"/>
      <c r="I100" s="17">
        <v>26387.67</v>
      </c>
      <c r="J100" s="17">
        <v>11309</v>
      </c>
      <c r="K100" s="17"/>
      <c r="L100" s="17">
        <f>1111615+145000</f>
        <v>1256615</v>
      </c>
      <c r="M100" s="17">
        <f>16408/2</f>
        <v>8204</v>
      </c>
      <c r="N100" s="17">
        <f>16408/2</f>
        <v>8204</v>
      </c>
      <c r="O100" s="17"/>
      <c r="P100" s="17"/>
      <c r="Q100" s="17"/>
      <c r="R100" s="17"/>
      <c r="S100" s="17"/>
      <c r="T100" s="17"/>
      <c r="U100" s="17"/>
      <c r="V100" s="17"/>
      <c r="W100" s="17">
        <v>0</v>
      </c>
      <c r="X100" s="17">
        <v>65503.474534826855</v>
      </c>
      <c r="Y100" s="17"/>
      <c r="Z100" s="17"/>
      <c r="AA100" s="17"/>
      <c r="AB100" s="17"/>
      <c r="AC100" s="17"/>
      <c r="AD100" s="17"/>
      <c r="AE100" s="17"/>
      <c r="AF100" s="17"/>
      <c r="AG100" s="17">
        <f>557858+142184</f>
        <v>700042</v>
      </c>
      <c r="AH100" s="17">
        <f>137789.668162296+142184</f>
        <v>279973.668162296</v>
      </c>
      <c r="AI100" s="17"/>
      <c r="AJ100" s="17"/>
      <c r="AK100" s="17"/>
      <c r="AL100" s="17">
        <v>145323</v>
      </c>
      <c r="AM100" s="17"/>
      <c r="AN100" s="17"/>
      <c r="AO100" s="17"/>
      <c r="AP100" s="17"/>
      <c r="AQ100" s="17"/>
      <c r="AR100" s="17"/>
      <c r="AS100" s="17">
        <v>0</v>
      </c>
      <c r="AT100" s="17"/>
      <c r="AU100" s="17"/>
      <c r="AV100" s="17"/>
      <c r="AW100" s="17"/>
      <c r="AX100" s="17"/>
      <c r="AY100" s="17"/>
      <c r="AZ100" s="171"/>
    </row>
    <row r="101" spans="1:52" s="25" customFormat="1" ht="36" x14ac:dyDescent="0.3">
      <c r="A101" s="170">
        <v>100</v>
      </c>
      <c r="B101" s="17" t="s">
        <v>161</v>
      </c>
      <c r="C101" s="17" t="s">
        <v>162</v>
      </c>
      <c r="D101" s="17">
        <v>489.2</v>
      </c>
      <c r="E101" s="24">
        <v>2021</v>
      </c>
      <c r="F101" s="24" t="s">
        <v>593</v>
      </c>
      <c r="G101" s="17"/>
      <c r="H101" s="17"/>
      <c r="I101" s="17"/>
      <c r="J101" s="17"/>
      <c r="K101" s="17"/>
      <c r="L101" s="17"/>
      <c r="M101" s="17">
        <v>0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>
        <v>66531</v>
      </c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>
        <v>33643.199999999997</v>
      </c>
      <c r="AU101" s="17"/>
      <c r="AV101" s="17"/>
      <c r="AW101" s="17"/>
      <c r="AX101" s="17"/>
      <c r="AY101" s="17"/>
      <c r="AZ101" s="171"/>
    </row>
    <row r="102" spans="1:52" s="25" customFormat="1" ht="36" x14ac:dyDescent="0.3">
      <c r="A102" s="170">
        <v>101</v>
      </c>
      <c r="B102" s="17" t="s">
        <v>163</v>
      </c>
      <c r="C102" s="17" t="s">
        <v>164</v>
      </c>
      <c r="D102" s="17">
        <v>482.4</v>
      </c>
      <c r="E102" s="24">
        <v>2021</v>
      </c>
      <c r="F102" s="24" t="s">
        <v>593</v>
      </c>
      <c r="G102" s="17"/>
      <c r="H102" s="17"/>
      <c r="I102" s="17"/>
      <c r="J102" s="17"/>
      <c r="K102" s="17"/>
      <c r="L102" s="17"/>
      <c r="M102" s="17">
        <v>0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>
        <v>65606</v>
      </c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>
        <v>33241.199999999997</v>
      </c>
      <c r="AU102" s="17"/>
      <c r="AV102" s="17"/>
      <c r="AW102" s="17"/>
      <c r="AX102" s="17"/>
      <c r="AY102" s="17"/>
      <c r="AZ102" s="171"/>
    </row>
    <row r="103" spans="1:52" s="25" customFormat="1" ht="36" x14ac:dyDescent="0.3">
      <c r="A103" s="170">
        <v>102</v>
      </c>
      <c r="B103" s="17" t="s">
        <v>165</v>
      </c>
      <c r="C103" s="17" t="s">
        <v>166</v>
      </c>
      <c r="D103" s="17">
        <v>10231.5</v>
      </c>
      <c r="E103" s="24">
        <v>2021</v>
      </c>
      <c r="F103" s="24" t="s">
        <v>592</v>
      </c>
      <c r="G103" s="17">
        <v>0</v>
      </c>
      <c r="H103" s="17"/>
      <c r="I103" s="17">
        <f>165172.8/2</f>
        <v>82586.399999999994</v>
      </c>
      <c r="J103" s="17">
        <f>70788.34/2</f>
        <v>35394.17</v>
      </c>
      <c r="K103" s="17"/>
      <c r="L103" s="17">
        <v>2772737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>
        <v>0</v>
      </c>
      <c r="X103" s="17">
        <v>163387.40576393402</v>
      </c>
      <c r="Y103" s="17"/>
      <c r="Z103" s="17"/>
      <c r="AA103" s="17"/>
      <c r="AB103" s="17"/>
      <c r="AC103" s="17"/>
      <c r="AD103" s="17"/>
      <c r="AE103" s="17">
        <v>0</v>
      </c>
      <c r="AF103" s="17">
        <v>7536.5853658536589</v>
      </c>
      <c r="AG103" s="17">
        <f>1391484+248377</f>
        <v>1639861</v>
      </c>
      <c r="AH103" s="17">
        <f>343693.164095304+248377</f>
        <v>592070.16409530398</v>
      </c>
      <c r="AI103" s="17"/>
      <c r="AJ103" s="17"/>
      <c r="AK103" s="17">
        <v>17354248.030000001</v>
      </c>
      <c r="AL103" s="17">
        <v>145323</v>
      </c>
      <c r="AM103" s="17"/>
      <c r="AN103" s="17"/>
      <c r="AO103" s="17"/>
      <c r="AP103" s="17"/>
      <c r="AQ103" s="17"/>
      <c r="AR103" s="17"/>
      <c r="AS103" s="17">
        <v>0</v>
      </c>
      <c r="AT103" s="17">
        <f>5280.62983480505+104986.027791108+1156158.51226757</f>
        <v>1266425.1698934832</v>
      </c>
      <c r="AU103" s="17"/>
      <c r="AV103" s="17"/>
      <c r="AW103" s="17"/>
      <c r="AX103" s="17"/>
      <c r="AY103" s="17"/>
      <c r="AZ103" s="171"/>
    </row>
    <row r="104" spans="1:52" s="25" customFormat="1" ht="36" x14ac:dyDescent="0.3">
      <c r="A104" s="170">
        <v>103</v>
      </c>
      <c r="B104" s="17" t="s">
        <v>167</v>
      </c>
      <c r="C104" s="17" t="s">
        <v>168</v>
      </c>
      <c r="D104" s="17">
        <v>2674.6</v>
      </c>
      <c r="E104" s="24">
        <v>2021</v>
      </c>
      <c r="F104" s="24" t="s">
        <v>592</v>
      </c>
      <c r="G104" s="17">
        <v>0</v>
      </c>
      <c r="H104" s="17"/>
      <c r="I104" s="17">
        <v>82586.399999999994</v>
      </c>
      <c r="J104" s="17">
        <v>35394.17</v>
      </c>
      <c r="K104" s="17"/>
      <c r="L104" s="17">
        <v>735206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>
        <v>0</v>
      </c>
      <c r="X104" s="17">
        <v>42710.839608680835</v>
      </c>
      <c r="Y104" s="17"/>
      <c r="Z104" s="17"/>
      <c r="AA104" s="17"/>
      <c r="AB104" s="17"/>
      <c r="AC104" s="17"/>
      <c r="AD104" s="17"/>
      <c r="AE104" s="17"/>
      <c r="AF104" s="17"/>
      <c r="AG104" s="17">
        <f>363746+57859</f>
        <v>421605</v>
      </c>
      <c r="AH104" s="17">
        <f>89844.2786189025+57859</f>
        <v>147703.27861890249</v>
      </c>
      <c r="AI104" s="17"/>
      <c r="AJ104" s="17"/>
      <c r="AK104" s="17"/>
      <c r="AL104" s="17">
        <v>145323</v>
      </c>
      <c r="AM104" s="17"/>
      <c r="AN104" s="17"/>
      <c r="AO104" s="17"/>
      <c r="AP104" s="17"/>
      <c r="AQ104" s="17"/>
      <c r="AR104" s="17"/>
      <c r="AS104" s="17">
        <v>0</v>
      </c>
      <c r="AT104" s="17">
        <f>1380.40097308993+27444.2290895858+302229.541798451</f>
        <v>331054.17186112673</v>
      </c>
      <c r="AU104" s="17"/>
      <c r="AV104" s="17"/>
      <c r="AW104" s="17"/>
      <c r="AX104" s="17"/>
      <c r="AY104" s="17"/>
      <c r="AZ104" s="171"/>
    </row>
    <row r="105" spans="1:52" s="25" customFormat="1" ht="36" x14ac:dyDescent="0.3">
      <c r="A105" s="170">
        <v>104</v>
      </c>
      <c r="B105" s="17" t="s">
        <v>169</v>
      </c>
      <c r="C105" s="17" t="s">
        <v>170</v>
      </c>
      <c r="D105" s="17">
        <v>3021.3</v>
      </c>
      <c r="E105" s="24">
        <v>2021</v>
      </c>
      <c r="F105" s="24" t="s">
        <v>591</v>
      </c>
      <c r="G105" s="17"/>
      <c r="H105" s="17"/>
      <c r="I105" s="17"/>
      <c r="J105" s="17">
        <v>44836.19</v>
      </c>
      <c r="K105" s="17"/>
      <c r="L105" s="17">
        <v>95882.04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>
        <f>410897+700000</f>
        <v>1110897</v>
      </c>
      <c r="AH105" s="17">
        <v>700000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1"/>
    </row>
    <row r="106" spans="1:52" s="25" customFormat="1" ht="36" x14ac:dyDescent="0.3">
      <c r="A106" s="170">
        <v>105</v>
      </c>
      <c r="B106" s="17" t="s">
        <v>171</v>
      </c>
      <c r="C106" s="17" t="s">
        <v>172</v>
      </c>
      <c r="D106" s="17">
        <v>1759.2</v>
      </c>
      <c r="E106" s="24">
        <v>2021</v>
      </c>
      <c r="F106" s="24" t="s">
        <v>593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>
        <v>239251</v>
      </c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1"/>
    </row>
    <row r="107" spans="1:52" s="25" customFormat="1" ht="36" x14ac:dyDescent="0.3">
      <c r="A107" s="170">
        <v>106</v>
      </c>
      <c r="B107" s="17" t="s">
        <v>173</v>
      </c>
      <c r="C107" s="17" t="s">
        <v>174</v>
      </c>
      <c r="D107" s="17">
        <v>110.3</v>
      </c>
      <c r="E107" s="24">
        <v>2021</v>
      </c>
      <c r="F107" s="24" t="s">
        <v>593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>
        <v>15001</v>
      </c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1"/>
    </row>
    <row r="108" spans="1:52" s="25" customFormat="1" ht="37.5" customHeight="1" x14ac:dyDescent="0.3">
      <c r="A108" s="170">
        <v>107</v>
      </c>
      <c r="B108" s="17" t="s">
        <v>175</v>
      </c>
      <c r="C108" s="17" t="s">
        <v>176</v>
      </c>
      <c r="D108" s="17">
        <v>3989.9</v>
      </c>
      <c r="E108" s="24">
        <v>2021</v>
      </c>
      <c r="F108" s="24" t="s">
        <v>591</v>
      </c>
      <c r="G108" s="17"/>
      <c r="H108" s="17"/>
      <c r="I108" s="17">
        <v>17042.03</v>
      </c>
      <c r="J108" s="17">
        <v>7303.73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1"/>
    </row>
    <row r="109" spans="1:52" s="25" customFormat="1" ht="18.75" customHeight="1" x14ac:dyDescent="0.3">
      <c r="A109" s="176">
        <v>108</v>
      </c>
      <c r="B109" s="177" t="s">
        <v>177</v>
      </c>
      <c r="C109" s="177" t="s">
        <v>178</v>
      </c>
      <c r="D109" s="177">
        <v>1762.7</v>
      </c>
      <c r="E109" s="115">
        <v>2021</v>
      </c>
      <c r="F109" s="115" t="s">
        <v>593</v>
      </c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>
        <v>7499994</v>
      </c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8"/>
    </row>
  </sheetData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Q110"/>
  <sheetViews>
    <sheetView topLeftCell="B1" workbookViewId="0">
      <selection activeCell="D12" sqref="D12"/>
    </sheetView>
  </sheetViews>
  <sheetFormatPr defaultColWidth="9.109375" defaultRowHeight="14.4" x14ac:dyDescent="0.3"/>
  <cols>
    <col min="1" max="2" width="9.109375" style="48"/>
    <col min="3" max="3" width="47.33203125" style="48" customWidth="1"/>
    <col min="4" max="4" width="58.88671875" style="48" customWidth="1"/>
    <col min="5" max="5" width="26" style="48" customWidth="1"/>
    <col min="6" max="6" width="14.44140625" style="48" customWidth="1"/>
    <col min="7" max="7" width="13.33203125" style="48" customWidth="1"/>
    <col min="8" max="8" width="12.44140625" style="48" customWidth="1"/>
    <col min="9" max="9" width="13.33203125" style="48" customWidth="1"/>
    <col min="10" max="16384" width="9.109375" style="48"/>
  </cols>
  <sheetData>
    <row r="2" spans="2:9" x14ac:dyDescent="0.3">
      <c r="F2" s="49">
        <v>44926</v>
      </c>
      <c r="G2" s="49">
        <v>44926</v>
      </c>
      <c r="H2" s="49">
        <v>44926</v>
      </c>
      <c r="I2" s="49">
        <v>44926</v>
      </c>
    </row>
    <row r="3" spans="2:9" ht="15" thickBot="1" x14ac:dyDescent="0.35">
      <c r="C3" s="48" t="s">
        <v>546</v>
      </c>
      <c r="F3" s="50" t="s">
        <v>295</v>
      </c>
      <c r="G3" s="50" t="s">
        <v>296</v>
      </c>
      <c r="H3" s="50" t="s">
        <v>295</v>
      </c>
      <c r="I3" s="50" t="s">
        <v>296</v>
      </c>
    </row>
    <row r="4" spans="2:9" ht="56.25" customHeight="1" thickBot="1" x14ac:dyDescent="0.35">
      <c r="B4" s="51" t="s">
        <v>0</v>
      </c>
      <c r="C4" s="52" t="s">
        <v>316</v>
      </c>
      <c r="D4" s="52" t="s">
        <v>2</v>
      </c>
      <c r="E4" s="53" t="s">
        <v>317</v>
      </c>
      <c r="F4" s="54" t="s">
        <v>318</v>
      </c>
      <c r="G4" s="55" t="s">
        <v>318</v>
      </c>
      <c r="H4" s="55" t="s">
        <v>319</v>
      </c>
      <c r="I4" s="56" t="s">
        <v>319</v>
      </c>
    </row>
    <row r="5" spans="2:9" ht="43.2" x14ac:dyDescent="0.3">
      <c r="B5" s="57">
        <v>1</v>
      </c>
      <c r="C5" s="58" t="s">
        <v>320</v>
      </c>
      <c r="D5" s="58" t="s">
        <v>321</v>
      </c>
      <c r="E5" s="59">
        <v>3173.76</v>
      </c>
      <c r="F5" s="60">
        <v>197</v>
      </c>
      <c r="G5" s="61">
        <v>212</v>
      </c>
      <c r="H5" s="62">
        <v>0</v>
      </c>
      <c r="I5" s="63">
        <v>0</v>
      </c>
    </row>
    <row r="6" spans="2:9" ht="28.8" x14ac:dyDescent="0.3">
      <c r="B6" s="64">
        <v>2</v>
      </c>
      <c r="C6" s="65" t="s">
        <v>322</v>
      </c>
      <c r="D6" s="65" t="s">
        <v>323</v>
      </c>
      <c r="E6" s="66">
        <v>16582.8</v>
      </c>
      <c r="F6" s="64">
        <v>58</v>
      </c>
      <c r="G6" s="67">
        <v>91</v>
      </c>
      <c r="H6" s="65">
        <v>272</v>
      </c>
      <c r="I6" s="68">
        <v>768</v>
      </c>
    </row>
    <row r="7" spans="2:9" x14ac:dyDescent="0.3">
      <c r="B7" s="64">
        <v>3</v>
      </c>
      <c r="C7" s="65" t="s">
        <v>324</v>
      </c>
      <c r="D7" s="58" t="s">
        <v>325</v>
      </c>
      <c r="E7" s="66">
        <v>2533</v>
      </c>
      <c r="F7" s="64">
        <v>0</v>
      </c>
      <c r="G7" s="67">
        <v>67</v>
      </c>
      <c r="H7" s="65">
        <v>0</v>
      </c>
      <c r="I7" s="68">
        <v>167</v>
      </c>
    </row>
    <row r="8" spans="2:9" ht="43.2" x14ac:dyDescent="0.3">
      <c r="B8" s="64">
        <v>4</v>
      </c>
      <c r="C8" s="65" t="s">
        <v>326</v>
      </c>
      <c r="D8" s="65" t="s">
        <v>327</v>
      </c>
      <c r="E8" s="66">
        <v>1260.3</v>
      </c>
      <c r="F8" s="64">
        <v>0</v>
      </c>
      <c r="G8" s="67">
        <v>16</v>
      </c>
      <c r="H8" s="65">
        <v>0</v>
      </c>
      <c r="I8" s="68">
        <v>0</v>
      </c>
    </row>
    <row r="9" spans="2:9" ht="28.8" x14ac:dyDescent="0.3">
      <c r="B9" s="64">
        <v>5</v>
      </c>
      <c r="C9" s="65" t="s">
        <v>328</v>
      </c>
      <c r="D9" s="65" t="s">
        <v>329</v>
      </c>
      <c r="E9" s="66">
        <v>4639.8999999999996</v>
      </c>
      <c r="F9" s="64">
        <v>65</v>
      </c>
      <c r="G9" s="67">
        <v>64</v>
      </c>
      <c r="H9" s="65">
        <v>613</v>
      </c>
      <c r="I9" s="68">
        <v>710</v>
      </c>
    </row>
    <row r="10" spans="2:9" ht="28.8" x14ac:dyDescent="0.3">
      <c r="B10" s="64">
        <v>6</v>
      </c>
      <c r="C10" s="65" t="s">
        <v>330</v>
      </c>
      <c r="D10" s="65" t="s">
        <v>331</v>
      </c>
      <c r="E10" s="66" t="s">
        <v>332</v>
      </c>
      <c r="F10" s="64">
        <v>326</v>
      </c>
      <c r="G10" s="67">
        <v>332</v>
      </c>
      <c r="H10" s="65">
        <v>2599</v>
      </c>
      <c r="I10" s="68">
        <v>2648</v>
      </c>
    </row>
    <row r="11" spans="2:9" ht="28.8" x14ac:dyDescent="0.3">
      <c r="B11" s="64">
        <v>7</v>
      </c>
      <c r="C11" s="65" t="s">
        <v>333</v>
      </c>
      <c r="D11" s="65" t="s">
        <v>334</v>
      </c>
      <c r="E11" s="66" t="s">
        <v>335</v>
      </c>
      <c r="F11" s="64">
        <v>432</v>
      </c>
      <c r="G11" s="67">
        <v>431</v>
      </c>
      <c r="H11" s="65">
        <v>3899</v>
      </c>
      <c r="I11" s="68">
        <v>3941</v>
      </c>
    </row>
    <row r="12" spans="2:9" x14ac:dyDescent="0.3">
      <c r="B12" s="64">
        <v>8</v>
      </c>
      <c r="C12" s="65" t="s">
        <v>336</v>
      </c>
      <c r="D12" s="65" t="s">
        <v>337</v>
      </c>
      <c r="E12" s="66" t="s">
        <v>338</v>
      </c>
      <c r="F12" s="64">
        <v>350</v>
      </c>
      <c r="G12" s="67">
        <v>356</v>
      </c>
      <c r="H12" s="65">
        <v>3813</v>
      </c>
      <c r="I12" s="68">
        <v>4247</v>
      </c>
    </row>
    <row r="13" spans="2:9" x14ac:dyDescent="0.3">
      <c r="B13" s="64">
        <v>9</v>
      </c>
      <c r="C13" s="65" t="s">
        <v>339</v>
      </c>
      <c r="D13" s="65" t="s">
        <v>340</v>
      </c>
      <c r="E13" s="66" t="s">
        <v>341</v>
      </c>
      <c r="F13" s="64">
        <v>340</v>
      </c>
      <c r="G13" s="67">
        <v>330</v>
      </c>
      <c r="H13" s="65">
        <v>3716</v>
      </c>
      <c r="I13" s="68">
        <v>3572</v>
      </c>
    </row>
    <row r="14" spans="2:9" ht="28.8" x14ac:dyDescent="0.3">
      <c r="B14" s="64">
        <v>10</v>
      </c>
      <c r="C14" s="65" t="s">
        <v>342</v>
      </c>
      <c r="D14" s="65" t="s">
        <v>343</v>
      </c>
      <c r="E14" s="69">
        <v>108.3</v>
      </c>
      <c r="F14" s="64">
        <v>26</v>
      </c>
      <c r="G14" s="67">
        <v>0</v>
      </c>
      <c r="H14" s="65"/>
      <c r="I14" s="68"/>
    </row>
    <row r="15" spans="2:9" x14ac:dyDescent="0.3">
      <c r="B15" s="64">
        <v>11</v>
      </c>
      <c r="C15" s="65" t="s">
        <v>344</v>
      </c>
      <c r="D15" s="65" t="s">
        <v>345</v>
      </c>
      <c r="E15" s="66">
        <v>6527.4</v>
      </c>
      <c r="F15" s="64">
        <v>43</v>
      </c>
      <c r="G15" s="70">
        <v>49</v>
      </c>
      <c r="H15" s="65">
        <v>0</v>
      </c>
      <c r="I15" s="68">
        <v>0</v>
      </c>
    </row>
    <row r="16" spans="2:9" x14ac:dyDescent="0.3">
      <c r="B16" s="64">
        <v>12</v>
      </c>
      <c r="C16" s="65" t="s">
        <v>346</v>
      </c>
      <c r="D16" s="65" t="s">
        <v>347</v>
      </c>
      <c r="E16" s="66" t="s">
        <v>348</v>
      </c>
      <c r="F16" s="64">
        <v>395</v>
      </c>
      <c r="G16" s="67">
        <v>414</v>
      </c>
      <c r="H16" s="65">
        <v>10378</v>
      </c>
      <c r="I16" s="68">
        <v>9851</v>
      </c>
    </row>
    <row r="17" spans="2:9" x14ac:dyDescent="0.3">
      <c r="B17" s="64">
        <v>13</v>
      </c>
      <c r="C17" s="65" t="s">
        <v>349</v>
      </c>
      <c r="D17" s="65" t="s">
        <v>350</v>
      </c>
      <c r="E17" s="66">
        <v>4730.5</v>
      </c>
      <c r="F17" s="64">
        <v>162</v>
      </c>
      <c r="G17" s="67">
        <v>174</v>
      </c>
      <c r="H17" s="65">
        <v>3391</v>
      </c>
      <c r="I17" s="68">
        <v>3167</v>
      </c>
    </row>
    <row r="18" spans="2:9" ht="43.2" x14ac:dyDescent="0.3">
      <c r="B18" s="64">
        <v>14</v>
      </c>
      <c r="C18" s="65" t="s">
        <v>351</v>
      </c>
      <c r="D18" s="65" t="s">
        <v>352</v>
      </c>
      <c r="E18" s="66">
        <v>78.599999999999994</v>
      </c>
      <c r="F18" s="64">
        <v>5</v>
      </c>
      <c r="G18" s="67">
        <v>6</v>
      </c>
      <c r="H18" s="65">
        <v>656</v>
      </c>
      <c r="I18" s="68">
        <v>703</v>
      </c>
    </row>
    <row r="19" spans="2:9" ht="28.8" x14ac:dyDescent="0.3">
      <c r="B19" s="64">
        <v>15</v>
      </c>
      <c r="C19" s="65" t="s">
        <v>353</v>
      </c>
      <c r="D19" s="65" t="s">
        <v>354</v>
      </c>
      <c r="E19" s="66" t="s">
        <v>355</v>
      </c>
      <c r="F19" s="64">
        <v>96</v>
      </c>
      <c r="G19" s="67">
        <v>92</v>
      </c>
      <c r="H19" s="65">
        <v>656</v>
      </c>
      <c r="I19" s="68">
        <v>688</v>
      </c>
    </row>
    <row r="20" spans="2:9" ht="28.8" x14ac:dyDescent="0.3">
      <c r="B20" s="64">
        <v>16</v>
      </c>
      <c r="C20" s="65" t="s">
        <v>356</v>
      </c>
      <c r="D20" s="65" t="s">
        <v>357</v>
      </c>
      <c r="E20" s="66">
        <v>2510.4</v>
      </c>
      <c r="F20" s="64">
        <v>16</v>
      </c>
      <c r="G20" s="67">
        <v>49</v>
      </c>
      <c r="H20" s="65">
        <v>1</v>
      </c>
      <c r="I20" s="68">
        <v>402</v>
      </c>
    </row>
    <row r="21" spans="2:9" ht="28.8" x14ac:dyDescent="0.3">
      <c r="B21" s="64">
        <v>17</v>
      </c>
      <c r="C21" s="65" t="s">
        <v>358</v>
      </c>
      <c r="D21" s="65" t="s">
        <v>120</v>
      </c>
      <c r="E21" s="66">
        <v>87.1</v>
      </c>
      <c r="F21" s="64">
        <v>0</v>
      </c>
      <c r="G21" s="67">
        <v>10</v>
      </c>
      <c r="H21" s="65">
        <v>0</v>
      </c>
      <c r="I21" s="68">
        <v>4</v>
      </c>
    </row>
    <row r="22" spans="2:9" ht="28.8" x14ac:dyDescent="0.3">
      <c r="B22" s="64">
        <v>18</v>
      </c>
      <c r="C22" s="65" t="s">
        <v>359</v>
      </c>
      <c r="D22" s="71" t="s">
        <v>360</v>
      </c>
      <c r="E22" s="66">
        <v>3169.6</v>
      </c>
      <c r="F22" s="64">
        <v>94</v>
      </c>
      <c r="G22" s="70">
        <v>87</v>
      </c>
      <c r="H22" s="65">
        <v>1245</v>
      </c>
      <c r="I22" s="68">
        <v>1319</v>
      </c>
    </row>
    <row r="23" spans="2:9" x14ac:dyDescent="0.3">
      <c r="B23" s="64">
        <v>19</v>
      </c>
      <c r="C23" s="65" t="s">
        <v>361</v>
      </c>
      <c r="D23" s="65" t="s">
        <v>362</v>
      </c>
      <c r="E23" s="66" t="s">
        <v>363</v>
      </c>
      <c r="F23" s="64">
        <v>284</v>
      </c>
      <c r="G23" s="67">
        <v>274</v>
      </c>
      <c r="H23" s="65">
        <v>3589</v>
      </c>
      <c r="I23" s="68">
        <v>3517</v>
      </c>
    </row>
    <row r="24" spans="2:9" x14ac:dyDescent="0.3">
      <c r="B24" s="64">
        <v>20</v>
      </c>
      <c r="C24" s="65" t="s">
        <v>364</v>
      </c>
      <c r="D24" s="65" t="s">
        <v>365</v>
      </c>
      <c r="E24" s="66" t="s">
        <v>366</v>
      </c>
      <c r="F24" s="64">
        <v>47</v>
      </c>
      <c r="G24" s="67">
        <v>48</v>
      </c>
      <c r="H24" s="65">
        <v>999</v>
      </c>
      <c r="I24" s="68">
        <v>1137</v>
      </c>
    </row>
    <row r="25" spans="2:9" ht="28.8" x14ac:dyDescent="0.3">
      <c r="B25" s="64">
        <v>21</v>
      </c>
      <c r="C25" s="65" t="s">
        <v>367</v>
      </c>
      <c r="D25" s="65" t="s">
        <v>368</v>
      </c>
      <c r="E25" s="66">
        <v>692.6</v>
      </c>
      <c r="F25" s="64">
        <v>13</v>
      </c>
      <c r="G25" s="67">
        <v>12</v>
      </c>
      <c r="H25" s="65"/>
      <c r="I25" s="68"/>
    </row>
    <row r="26" spans="2:9" x14ac:dyDescent="0.3">
      <c r="B26" s="64">
        <v>22</v>
      </c>
      <c r="C26" s="65" t="s">
        <v>369</v>
      </c>
      <c r="D26" s="65" t="s">
        <v>343</v>
      </c>
      <c r="E26" s="66" t="s">
        <v>370</v>
      </c>
      <c r="F26" s="64">
        <v>4</v>
      </c>
      <c r="G26" s="67">
        <v>4</v>
      </c>
      <c r="H26" s="65"/>
      <c r="I26" s="68"/>
    </row>
    <row r="27" spans="2:9" ht="28.8" x14ac:dyDescent="0.3">
      <c r="B27" s="64">
        <v>23</v>
      </c>
      <c r="C27" s="65" t="s">
        <v>371</v>
      </c>
      <c r="D27" s="65" t="s">
        <v>372</v>
      </c>
      <c r="E27" s="66">
        <v>47.8</v>
      </c>
      <c r="F27" s="64">
        <v>3</v>
      </c>
      <c r="G27" s="67">
        <v>4</v>
      </c>
      <c r="H27" s="65"/>
      <c r="I27" s="68"/>
    </row>
    <row r="28" spans="2:9" ht="28.8" x14ac:dyDescent="0.3">
      <c r="B28" s="64">
        <v>24</v>
      </c>
      <c r="C28" s="65" t="s">
        <v>373</v>
      </c>
      <c r="D28" s="65" t="s">
        <v>374</v>
      </c>
      <c r="E28" s="66">
        <v>184.2</v>
      </c>
      <c r="F28" s="64">
        <v>10</v>
      </c>
      <c r="G28" s="67">
        <v>11</v>
      </c>
      <c r="H28" s="65"/>
      <c r="I28" s="68"/>
    </row>
    <row r="29" spans="2:9" x14ac:dyDescent="0.3">
      <c r="B29" s="64">
        <v>25</v>
      </c>
      <c r="C29" s="65" t="s">
        <v>375</v>
      </c>
      <c r="D29" s="65" t="s">
        <v>376</v>
      </c>
      <c r="E29" s="66">
        <v>12.7</v>
      </c>
      <c r="F29" s="64">
        <v>1</v>
      </c>
      <c r="G29" s="67">
        <v>0</v>
      </c>
      <c r="H29" s="65">
        <v>4</v>
      </c>
      <c r="I29" s="68">
        <v>0</v>
      </c>
    </row>
    <row r="30" spans="2:9" x14ac:dyDescent="0.3">
      <c r="B30" s="64">
        <v>26</v>
      </c>
      <c r="C30" s="65" t="s">
        <v>377</v>
      </c>
      <c r="D30" s="65" t="s">
        <v>378</v>
      </c>
      <c r="E30" s="66">
        <v>79.400000000000006</v>
      </c>
      <c r="F30" s="64">
        <v>4</v>
      </c>
      <c r="G30" s="67">
        <v>4</v>
      </c>
      <c r="H30" s="65"/>
      <c r="I30" s="68"/>
    </row>
    <row r="31" spans="2:9" ht="43.2" x14ac:dyDescent="0.3">
      <c r="B31" s="64">
        <v>27</v>
      </c>
      <c r="C31" s="65" t="s">
        <v>379</v>
      </c>
      <c r="D31" s="155" t="s">
        <v>380</v>
      </c>
      <c r="E31" s="156"/>
      <c r="F31" s="64">
        <v>0</v>
      </c>
      <c r="G31" s="67">
        <v>0</v>
      </c>
      <c r="H31" s="65"/>
      <c r="I31" s="68"/>
    </row>
    <row r="32" spans="2:9" ht="28.8" x14ac:dyDescent="0.3">
      <c r="B32" s="64">
        <v>28</v>
      </c>
      <c r="C32" s="65" t="s">
        <v>381</v>
      </c>
      <c r="D32" s="65" t="s">
        <v>382</v>
      </c>
      <c r="E32" s="66">
        <v>11.8</v>
      </c>
      <c r="F32" s="64">
        <v>1</v>
      </c>
      <c r="G32" s="67">
        <v>1</v>
      </c>
      <c r="H32" s="65"/>
      <c r="I32" s="68"/>
    </row>
    <row r="33" spans="2:9" ht="28.8" x14ac:dyDescent="0.3">
      <c r="B33" s="64">
        <v>29</v>
      </c>
      <c r="C33" s="65" t="s">
        <v>383</v>
      </c>
      <c r="D33" s="155" t="s">
        <v>380</v>
      </c>
      <c r="E33" s="156"/>
      <c r="F33" s="64">
        <v>0</v>
      </c>
      <c r="G33" s="67">
        <v>0</v>
      </c>
      <c r="H33" s="65"/>
      <c r="I33" s="68"/>
    </row>
    <row r="34" spans="2:9" ht="43.2" x14ac:dyDescent="0.3">
      <c r="B34" s="64">
        <v>30</v>
      </c>
      <c r="C34" s="65" t="s">
        <v>384</v>
      </c>
      <c r="D34" s="65" t="s">
        <v>385</v>
      </c>
      <c r="E34" s="66">
        <v>43.8</v>
      </c>
      <c r="F34" s="64">
        <v>4</v>
      </c>
      <c r="G34" s="67">
        <v>3</v>
      </c>
      <c r="H34" s="65"/>
      <c r="I34" s="68"/>
    </row>
    <row r="35" spans="2:9" ht="72" x14ac:dyDescent="0.3">
      <c r="B35" s="64">
        <v>31</v>
      </c>
      <c r="C35" s="65" t="s">
        <v>386</v>
      </c>
      <c r="D35" s="65" t="s">
        <v>325</v>
      </c>
      <c r="E35" s="66">
        <v>18.8</v>
      </c>
      <c r="F35" s="64">
        <v>1</v>
      </c>
      <c r="G35" s="67">
        <v>25</v>
      </c>
      <c r="H35" s="65"/>
      <c r="I35" s="68"/>
    </row>
    <row r="36" spans="2:9" ht="28.8" x14ac:dyDescent="0.3">
      <c r="B36" s="64">
        <v>32</v>
      </c>
      <c r="C36" s="65" t="s">
        <v>387</v>
      </c>
      <c r="D36" s="65" t="s">
        <v>347</v>
      </c>
      <c r="E36" s="66">
        <v>159</v>
      </c>
      <c r="F36" s="64">
        <v>5</v>
      </c>
      <c r="G36" s="67">
        <v>5</v>
      </c>
      <c r="H36" s="65"/>
      <c r="I36" s="68"/>
    </row>
    <row r="37" spans="2:9" ht="43.2" x14ac:dyDescent="0.3">
      <c r="B37" s="64">
        <v>33</v>
      </c>
      <c r="C37" s="65" t="s">
        <v>388</v>
      </c>
      <c r="D37" s="65" t="s">
        <v>389</v>
      </c>
      <c r="E37" s="66">
        <v>275</v>
      </c>
      <c r="F37" s="64">
        <v>13</v>
      </c>
      <c r="G37" s="67">
        <v>11</v>
      </c>
      <c r="H37" s="65"/>
      <c r="I37" s="68"/>
    </row>
    <row r="38" spans="2:9" x14ac:dyDescent="0.3">
      <c r="B38" s="64">
        <v>34</v>
      </c>
      <c r="C38" s="65" t="s">
        <v>390</v>
      </c>
      <c r="D38" s="65" t="s">
        <v>391</v>
      </c>
      <c r="E38" s="66">
        <v>43.3</v>
      </c>
      <c r="F38" s="64">
        <v>9</v>
      </c>
      <c r="G38" s="67">
        <v>5</v>
      </c>
      <c r="H38" s="65"/>
      <c r="I38" s="68"/>
    </row>
    <row r="39" spans="2:9" ht="28.8" x14ac:dyDescent="0.3">
      <c r="B39" s="64">
        <v>35</v>
      </c>
      <c r="C39" s="65" t="s">
        <v>392</v>
      </c>
      <c r="D39" s="65" t="s">
        <v>393</v>
      </c>
      <c r="E39" s="66">
        <v>37.299999999999997</v>
      </c>
      <c r="F39" s="64">
        <v>0</v>
      </c>
      <c r="G39" s="67">
        <v>1</v>
      </c>
      <c r="H39" s="65"/>
      <c r="I39" s="68"/>
    </row>
    <row r="40" spans="2:9" ht="28.8" x14ac:dyDescent="0.3">
      <c r="B40" s="64">
        <v>36</v>
      </c>
      <c r="C40" s="65" t="s">
        <v>394</v>
      </c>
      <c r="D40" s="65" t="s">
        <v>395</v>
      </c>
      <c r="E40" s="66">
        <v>155</v>
      </c>
      <c r="F40" s="64">
        <v>0</v>
      </c>
      <c r="G40" s="67">
        <v>9</v>
      </c>
      <c r="H40" s="65"/>
      <c r="I40" s="68"/>
    </row>
    <row r="41" spans="2:9" ht="144" x14ac:dyDescent="0.3">
      <c r="B41" s="64">
        <v>37</v>
      </c>
      <c r="C41" s="65" t="s">
        <v>396</v>
      </c>
      <c r="D41" s="65" t="s">
        <v>395</v>
      </c>
      <c r="E41" s="66">
        <v>40.4</v>
      </c>
      <c r="F41" s="64">
        <v>0</v>
      </c>
      <c r="G41" s="67">
        <v>8</v>
      </c>
      <c r="H41" s="65"/>
      <c r="I41" s="68"/>
    </row>
    <row r="42" spans="2:9" x14ac:dyDescent="0.3">
      <c r="B42" s="64">
        <v>38</v>
      </c>
      <c r="C42" s="65" t="s">
        <v>397</v>
      </c>
      <c r="D42" s="65" t="s">
        <v>378</v>
      </c>
      <c r="E42" s="66" t="s">
        <v>398</v>
      </c>
      <c r="F42" s="64">
        <v>5</v>
      </c>
      <c r="G42" s="67">
        <v>5</v>
      </c>
      <c r="H42" s="65"/>
      <c r="I42" s="68"/>
    </row>
    <row r="43" spans="2:9" x14ac:dyDescent="0.3">
      <c r="B43" s="64">
        <v>39</v>
      </c>
      <c r="C43" s="65" t="s">
        <v>399</v>
      </c>
      <c r="D43" s="155" t="s">
        <v>400</v>
      </c>
      <c r="E43" s="156"/>
      <c r="F43" s="64">
        <v>0</v>
      </c>
      <c r="G43" s="67">
        <v>1</v>
      </c>
      <c r="H43" s="65"/>
      <c r="I43" s="68"/>
    </row>
    <row r="44" spans="2:9" x14ac:dyDescent="0.3">
      <c r="B44" s="64">
        <v>40</v>
      </c>
      <c r="C44" s="72" t="s">
        <v>401</v>
      </c>
      <c r="D44" s="65" t="s">
        <v>402</v>
      </c>
      <c r="E44" s="66">
        <v>49.8</v>
      </c>
      <c r="F44" s="64">
        <v>1</v>
      </c>
      <c r="G44" s="67">
        <v>1</v>
      </c>
      <c r="H44" s="65"/>
      <c r="I44" s="68"/>
    </row>
    <row r="45" spans="2:9" ht="43.2" x14ac:dyDescent="0.3">
      <c r="B45" s="64">
        <v>41</v>
      </c>
      <c r="C45" s="72" t="s">
        <v>403</v>
      </c>
      <c r="D45" s="65" t="s">
        <v>404</v>
      </c>
      <c r="E45" s="66">
        <v>615.1</v>
      </c>
      <c r="F45" s="64">
        <v>5</v>
      </c>
      <c r="G45" s="67">
        <v>5</v>
      </c>
      <c r="H45" s="65"/>
      <c r="I45" s="68"/>
    </row>
    <row r="46" spans="2:9" ht="28.8" x14ac:dyDescent="0.3">
      <c r="B46" s="64">
        <v>42</v>
      </c>
      <c r="C46" s="72" t="s">
        <v>405</v>
      </c>
      <c r="D46" s="65" t="s">
        <v>347</v>
      </c>
      <c r="E46" s="66">
        <v>798.8</v>
      </c>
      <c r="F46" s="64">
        <v>5</v>
      </c>
      <c r="G46" s="67">
        <v>5</v>
      </c>
      <c r="H46" s="65"/>
      <c r="I46" s="68"/>
    </row>
    <row r="47" spans="2:9" ht="43.2" x14ac:dyDescent="0.3">
      <c r="B47" s="64">
        <v>43</v>
      </c>
      <c r="C47" s="72" t="s">
        <v>406</v>
      </c>
      <c r="D47" s="65" t="s">
        <v>365</v>
      </c>
      <c r="E47" s="66" t="s">
        <v>407</v>
      </c>
      <c r="F47" s="64">
        <v>5</v>
      </c>
      <c r="G47" s="67">
        <v>6</v>
      </c>
      <c r="H47" s="65"/>
      <c r="I47" s="68"/>
    </row>
    <row r="48" spans="2:9" ht="86.4" x14ac:dyDescent="0.3">
      <c r="B48" s="64">
        <v>44</v>
      </c>
      <c r="C48" s="72" t="s">
        <v>408</v>
      </c>
      <c r="D48" s="65" t="s">
        <v>409</v>
      </c>
      <c r="E48" s="66">
        <v>1111.2</v>
      </c>
      <c r="F48" s="64">
        <v>44</v>
      </c>
      <c r="G48" s="67">
        <v>37</v>
      </c>
      <c r="H48" s="65"/>
      <c r="I48" s="68"/>
    </row>
    <row r="49" spans="2:17" ht="57.6" x14ac:dyDescent="0.3">
      <c r="B49" s="64">
        <v>45</v>
      </c>
      <c r="C49" s="65" t="s">
        <v>410</v>
      </c>
      <c r="D49" s="71" t="s">
        <v>411</v>
      </c>
      <c r="E49" s="66">
        <v>204.9</v>
      </c>
      <c r="F49" s="64">
        <v>42</v>
      </c>
      <c r="G49" s="67">
        <v>46</v>
      </c>
      <c r="H49" s="65"/>
      <c r="I49" s="68"/>
    </row>
    <row r="50" spans="2:17" x14ac:dyDescent="0.3">
      <c r="B50" s="64">
        <v>46</v>
      </c>
      <c r="C50" s="65" t="s">
        <v>412</v>
      </c>
      <c r="D50" s="65" t="s">
        <v>413</v>
      </c>
      <c r="E50" s="66" t="s">
        <v>414</v>
      </c>
      <c r="F50" s="64">
        <v>5</v>
      </c>
      <c r="G50" s="67">
        <v>2</v>
      </c>
      <c r="H50" s="65"/>
      <c r="I50" s="68"/>
    </row>
    <row r="51" spans="2:17" x14ac:dyDescent="0.3">
      <c r="B51" s="64">
        <v>47</v>
      </c>
      <c r="C51" s="65" t="s">
        <v>415</v>
      </c>
      <c r="D51" s="71" t="s">
        <v>337</v>
      </c>
      <c r="E51" s="66">
        <v>84.6</v>
      </c>
      <c r="F51" s="64">
        <v>0</v>
      </c>
      <c r="G51" s="67">
        <v>9</v>
      </c>
      <c r="H51" s="65"/>
      <c r="I51" s="68"/>
    </row>
    <row r="52" spans="2:17" ht="43.2" x14ac:dyDescent="0.3">
      <c r="B52" s="64">
        <v>48</v>
      </c>
      <c r="C52" s="65" t="s">
        <v>416</v>
      </c>
      <c r="D52" s="71" t="s">
        <v>337</v>
      </c>
      <c r="E52" s="66">
        <v>36</v>
      </c>
      <c r="F52" s="64">
        <v>5</v>
      </c>
      <c r="G52" s="67">
        <v>6</v>
      </c>
      <c r="H52" s="65"/>
      <c r="I52" s="68"/>
    </row>
    <row r="53" spans="2:17" x14ac:dyDescent="0.3">
      <c r="B53" s="64">
        <v>49</v>
      </c>
      <c r="C53" s="65" t="s">
        <v>417</v>
      </c>
      <c r="D53" s="65" t="s">
        <v>418</v>
      </c>
      <c r="E53" s="66">
        <v>381.2</v>
      </c>
      <c r="F53" s="64">
        <v>21</v>
      </c>
      <c r="G53" s="67">
        <v>20</v>
      </c>
      <c r="H53" s="65"/>
      <c r="I53" s="68"/>
    </row>
    <row r="54" spans="2:17" ht="28.8" x14ac:dyDescent="0.3">
      <c r="B54" s="64">
        <v>50</v>
      </c>
      <c r="C54" s="65" t="s">
        <v>419</v>
      </c>
      <c r="D54" s="155" t="s">
        <v>380</v>
      </c>
      <c r="E54" s="156"/>
      <c r="F54" s="64">
        <v>4</v>
      </c>
      <c r="G54" s="67">
        <v>0</v>
      </c>
      <c r="H54" s="65"/>
      <c r="I54" s="68"/>
    </row>
    <row r="55" spans="2:17" x14ac:dyDescent="0.3">
      <c r="B55" s="64">
        <v>51</v>
      </c>
      <c r="C55" s="65" t="s">
        <v>420</v>
      </c>
      <c r="D55" s="65" t="s">
        <v>376</v>
      </c>
      <c r="E55" s="66" t="s">
        <v>421</v>
      </c>
      <c r="F55" s="64">
        <v>2</v>
      </c>
      <c r="G55" s="67">
        <v>3</v>
      </c>
      <c r="H55" s="65"/>
      <c r="I55" s="68"/>
    </row>
    <row r="56" spans="2:17" x14ac:dyDescent="0.3">
      <c r="B56" s="64">
        <v>52</v>
      </c>
      <c r="C56" s="65" t="s">
        <v>422</v>
      </c>
      <c r="D56" s="65" t="s">
        <v>423</v>
      </c>
      <c r="E56" s="66">
        <v>479.9</v>
      </c>
      <c r="F56" s="64">
        <v>20</v>
      </c>
      <c r="G56" s="67">
        <v>25</v>
      </c>
      <c r="H56" s="65"/>
      <c r="I56" s="68"/>
    </row>
    <row r="57" spans="2:17" x14ac:dyDescent="0.3">
      <c r="B57" s="64">
        <v>53</v>
      </c>
      <c r="C57" s="65" t="s">
        <v>424</v>
      </c>
      <c r="D57" s="65" t="s">
        <v>376</v>
      </c>
      <c r="E57" s="66">
        <v>81.5</v>
      </c>
      <c r="F57" s="64">
        <v>8</v>
      </c>
      <c r="G57" s="67">
        <v>10</v>
      </c>
      <c r="H57" s="65"/>
      <c r="I57" s="68"/>
    </row>
    <row r="58" spans="2:17" x14ac:dyDescent="0.3">
      <c r="B58" s="64">
        <v>54</v>
      </c>
      <c r="C58" s="65" t="s">
        <v>425</v>
      </c>
      <c r="D58" s="71" t="s">
        <v>426</v>
      </c>
      <c r="E58" s="66">
        <v>1145.3</v>
      </c>
      <c r="F58" s="64">
        <v>79</v>
      </c>
      <c r="G58" s="67">
        <v>78</v>
      </c>
      <c r="H58" s="65"/>
      <c r="I58" s="68"/>
      <c r="P58" s="48">
        <v>20.9</v>
      </c>
      <c r="Q58" s="48">
        <v>13</v>
      </c>
    </row>
    <row r="59" spans="2:17" ht="43.2" x14ac:dyDescent="0.3">
      <c r="B59" s="64">
        <v>55</v>
      </c>
      <c r="C59" s="65" t="s">
        <v>427</v>
      </c>
      <c r="D59" s="71" t="s">
        <v>428</v>
      </c>
      <c r="E59" s="66">
        <v>139.4</v>
      </c>
      <c r="F59" s="64">
        <v>4</v>
      </c>
      <c r="G59" s="67">
        <v>7</v>
      </c>
      <c r="H59" s="65"/>
      <c r="I59" s="68"/>
    </row>
    <row r="60" spans="2:17" x14ac:dyDescent="0.3">
      <c r="B60" s="64">
        <v>56</v>
      </c>
      <c r="C60" s="65" t="s">
        <v>429</v>
      </c>
      <c r="D60" s="65" t="s">
        <v>430</v>
      </c>
      <c r="E60" s="66">
        <v>360.94</v>
      </c>
      <c r="F60" s="64">
        <v>23</v>
      </c>
      <c r="G60" s="67">
        <v>21</v>
      </c>
      <c r="H60" s="65"/>
      <c r="I60" s="68"/>
    </row>
    <row r="61" spans="2:17" ht="43.2" x14ac:dyDescent="0.3">
      <c r="B61" s="64">
        <v>57</v>
      </c>
      <c r="C61" s="65" t="s">
        <v>431</v>
      </c>
      <c r="D61" s="65" t="s">
        <v>432</v>
      </c>
      <c r="E61" s="66">
        <v>803.3</v>
      </c>
      <c r="F61" s="64">
        <v>27</v>
      </c>
      <c r="G61" s="67">
        <v>31</v>
      </c>
      <c r="H61" s="65"/>
      <c r="I61" s="68"/>
    </row>
    <row r="62" spans="2:17" x14ac:dyDescent="0.3">
      <c r="B62" s="64">
        <v>58</v>
      </c>
      <c r="C62" s="65" t="s">
        <v>433</v>
      </c>
      <c r="D62" s="71" t="s">
        <v>434</v>
      </c>
      <c r="E62" s="66">
        <v>138.6</v>
      </c>
      <c r="F62" s="64">
        <v>10</v>
      </c>
      <c r="G62" s="67">
        <v>12</v>
      </c>
      <c r="H62" s="65"/>
      <c r="I62" s="68"/>
    </row>
    <row r="63" spans="2:17" ht="43.2" x14ac:dyDescent="0.3">
      <c r="B63" s="64">
        <v>59</v>
      </c>
      <c r="C63" s="65" t="s">
        <v>435</v>
      </c>
      <c r="D63" s="65" t="s">
        <v>436</v>
      </c>
      <c r="E63" s="66">
        <v>266</v>
      </c>
      <c r="F63" s="64">
        <v>42</v>
      </c>
      <c r="G63" s="67">
        <v>44</v>
      </c>
      <c r="H63" s="65"/>
      <c r="I63" s="68"/>
    </row>
    <row r="64" spans="2:17" x14ac:dyDescent="0.3">
      <c r="B64" s="64">
        <v>60</v>
      </c>
      <c r="C64" s="65" t="s">
        <v>437</v>
      </c>
      <c r="D64" s="65" t="s">
        <v>343</v>
      </c>
      <c r="E64" s="66">
        <v>332</v>
      </c>
      <c r="F64" s="64">
        <v>29</v>
      </c>
      <c r="G64" s="67">
        <v>31</v>
      </c>
      <c r="H64" s="65"/>
      <c r="I64" s="68"/>
    </row>
    <row r="65" spans="2:11" x14ac:dyDescent="0.3">
      <c r="B65" s="64">
        <v>61</v>
      </c>
      <c r="C65" s="65" t="s">
        <v>438</v>
      </c>
      <c r="D65" s="65" t="s">
        <v>439</v>
      </c>
      <c r="E65" s="66">
        <v>107.4</v>
      </c>
      <c r="F65" s="64">
        <v>1</v>
      </c>
      <c r="G65" s="67">
        <v>1</v>
      </c>
      <c r="H65" s="65"/>
      <c r="I65" s="68"/>
    </row>
    <row r="66" spans="2:11" ht="28.8" x14ac:dyDescent="0.3">
      <c r="B66" s="64">
        <v>62</v>
      </c>
      <c r="C66" s="65" t="s">
        <v>440</v>
      </c>
      <c r="D66" s="71" t="s">
        <v>441</v>
      </c>
      <c r="E66" s="66">
        <v>730.8</v>
      </c>
      <c r="F66" s="64">
        <v>14</v>
      </c>
      <c r="G66" s="73">
        <v>18</v>
      </c>
      <c r="H66" s="72"/>
      <c r="I66" s="74"/>
      <c r="J66" s="75"/>
      <c r="K66" s="75"/>
    </row>
    <row r="67" spans="2:11" x14ac:dyDescent="0.3">
      <c r="B67" s="64">
        <v>63</v>
      </c>
      <c r="C67" s="65" t="s">
        <v>442</v>
      </c>
      <c r="D67" s="65" t="s">
        <v>343</v>
      </c>
      <c r="E67" s="66">
        <v>187.5</v>
      </c>
      <c r="F67" s="64">
        <v>16</v>
      </c>
      <c r="G67" s="67">
        <v>19</v>
      </c>
      <c r="H67" s="65"/>
      <c r="I67" s="68"/>
    </row>
    <row r="68" spans="2:11" ht="28.8" x14ac:dyDescent="0.3">
      <c r="B68" s="64">
        <v>64</v>
      </c>
      <c r="C68" s="65" t="s">
        <v>443</v>
      </c>
      <c r="D68" s="65" t="s">
        <v>343</v>
      </c>
      <c r="E68" s="66" t="s">
        <v>444</v>
      </c>
      <c r="F68" s="64">
        <v>3</v>
      </c>
      <c r="G68" s="67">
        <v>2</v>
      </c>
      <c r="H68" s="65"/>
      <c r="I68" s="68"/>
    </row>
    <row r="69" spans="2:11" ht="28.8" x14ac:dyDescent="0.3">
      <c r="B69" s="64">
        <v>65</v>
      </c>
      <c r="C69" s="65" t="s">
        <v>445</v>
      </c>
      <c r="D69" s="65" t="s">
        <v>343</v>
      </c>
      <c r="E69" s="66">
        <v>95.5</v>
      </c>
      <c r="F69" s="64">
        <v>3</v>
      </c>
      <c r="G69" s="73">
        <v>3</v>
      </c>
      <c r="H69" s="65"/>
      <c r="I69" s="68"/>
    </row>
    <row r="70" spans="2:11" ht="28.8" x14ac:dyDescent="0.3">
      <c r="B70" s="64">
        <v>66</v>
      </c>
      <c r="C70" s="65" t="s">
        <v>446</v>
      </c>
      <c r="D70" s="65" t="s">
        <v>347</v>
      </c>
      <c r="E70" s="66">
        <v>59.6</v>
      </c>
      <c r="F70" s="64">
        <v>8</v>
      </c>
      <c r="G70" s="67">
        <v>9</v>
      </c>
      <c r="H70" s="65"/>
      <c r="I70" s="68"/>
    </row>
    <row r="71" spans="2:11" ht="28.8" x14ac:dyDescent="0.3">
      <c r="B71" s="64">
        <v>67</v>
      </c>
      <c r="C71" s="65" t="s">
        <v>447</v>
      </c>
      <c r="D71" s="65" t="s">
        <v>382</v>
      </c>
      <c r="E71" s="66">
        <v>47</v>
      </c>
      <c r="F71" s="64">
        <v>7</v>
      </c>
      <c r="G71" s="67">
        <v>6</v>
      </c>
      <c r="H71" s="65"/>
      <c r="I71" s="68"/>
    </row>
    <row r="72" spans="2:11" ht="28.8" x14ac:dyDescent="0.3">
      <c r="B72" s="64">
        <v>68</v>
      </c>
      <c r="C72" s="65" t="s">
        <v>448</v>
      </c>
      <c r="D72" s="65" t="s">
        <v>449</v>
      </c>
      <c r="E72" s="66">
        <v>152.30000000000001</v>
      </c>
      <c r="F72" s="64">
        <v>11</v>
      </c>
      <c r="G72" s="67">
        <v>14</v>
      </c>
      <c r="H72" s="65"/>
      <c r="I72" s="68"/>
    </row>
    <row r="73" spans="2:11" ht="28.8" x14ac:dyDescent="0.3">
      <c r="B73" s="64">
        <v>69</v>
      </c>
      <c r="C73" s="65" t="s">
        <v>450</v>
      </c>
      <c r="D73" s="65" t="s">
        <v>451</v>
      </c>
      <c r="E73" s="66">
        <v>1225</v>
      </c>
      <c r="F73" s="64">
        <v>19</v>
      </c>
      <c r="G73" s="67">
        <v>14</v>
      </c>
      <c r="H73" s="65"/>
      <c r="I73" s="68"/>
    </row>
    <row r="74" spans="2:11" ht="28.8" x14ac:dyDescent="0.3">
      <c r="B74" s="64">
        <v>70</v>
      </c>
      <c r="C74" s="65" t="s">
        <v>452</v>
      </c>
      <c r="D74" s="65" t="s">
        <v>453</v>
      </c>
      <c r="E74" s="66">
        <v>102.2</v>
      </c>
      <c r="F74" s="64">
        <v>52</v>
      </c>
      <c r="G74" s="67">
        <v>55</v>
      </c>
      <c r="H74" s="65"/>
      <c r="I74" s="68"/>
    </row>
    <row r="75" spans="2:11" ht="28.8" x14ac:dyDescent="0.3">
      <c r="B75" s="64">
        <v>71</v>
      </c>
      <c r="C75" s="65" t="s">
        <v>454</v>
      </c>
      <c r="D75" s="65" t="s">
        <v>455</v>
      </c>
      <c r="E75" s="66" t="s">
        <v>456</v>
      </c>
      <c r="F75" s="64">
        <v>2</v>
      </c>
      <c r="G75" s="67">
        <v>2</v>
      </c>
      <c r="H75" s="65"/>
      <c r="I75" s="68"/>
    </row>
    <row r="76" spans="2:11" ht="43.2" x14ac:dyDescent="0.3">
      <c r="B76" s="64">
        <v>72</v>
      </c>
      <c r="C76" s="65" t="s">
        <v>457</v>
      </c>
      <c r="D76" s="65" t="s">
        <v>458</v>
      </c>
      <c r="E76" s="66">
        <v>257.10000000000002</v>
      </c>
      <c r="F76" s="64">
        <v>36</v>
      </c>
      <c r="G76" s="67">
        <v>37</v>
      </c>
      <c r="H76" s="65"/>
      <c r="I76" s="68"/>
    </row>
    <row r="77" spans="2:11" ht="43.2" x14ac:dyDescent="0.3">
      <c r="B77" s="64">
        <v>73</v>
      </c>
      <c r="C77" s="65" t="s">
        <v>459</v>
      </c>
      <c r="D77" s="65" t="s">
        <v>460</v>
      </c>
      <c r="E77" s="66">
        <v>7098.7</v>
      </c>
      <c r="F77" s="64">
        <v>28</v>
      </c>
      <c r="G77" s="67">
        <v>27</v>
      </c>
      <c r="H77" s="65"/>
      <c r="I77" s="68"/>
    </row>
    <row r="78" spans="2:11" x14ac:dyDescent="0.3">
      <c r="B78" s="64">
        <v>74</v>
      </c>
      <c r="C78" s="65" t="s">
        <v>461</v>
      </c>
      <c r="D78" s="155" t="s">
        <v>380</v>
      </c>
      <c r="E78" s="156"/>
      <c r="F78" s="64">
        <v>0</v>
      </c>
      <c r="G78" s="67">
        <v>0</v>
      </c>
      <c r="H78" s="65"/>
      <c r="I78" s="68"/>
    </row>
    <row r="79" spans="2:11" ht="28.8" x14ac:dyDescent="0.3">
      <c r="B79" s="64">
        <v>75</v>
      </c>
      <c r="C79" s="65" t="s">
        <v>462</v>
      </c>
      <c r="D79" s="155" t="s">
        <v>400</v>
      </c>
      <c r="E79" s="156"/>
      <c r="F79" s="64">
        <v>4</v>
      </c>
      <c r="G79" s="67">
        <v>4</v>
      </c>
      <c r="H79" s="65"/>
      <c r="I79" s="68"/>
    </row>
    <row r="80" spans="2:11" ht="28.8" x14ac:dyDescent="0.3">
      <c r="B80" s="64">
        <v>76</v>
      </c>
      <c r="C80" s="65" t="s">
        <v>463</v>
      </c>
      <c r="D80" s="71" t="s">
        <v>464</v>
      </c>
      <c r="E80" s="66">
        <v>59.4</v>
      </c>
      <c r="F80" s="64">
        <v>9</v>
      </c>
      <c r="G80" s="67">
        <v>13</v>
      </c>
      <c r="H80" s="65"/>
      <c r="I80" s="68"/>
    </row>
    <row r="81" spans="2:9" ht="28.8" x14ac:dyDescent="0.3">
      <c r="B81" s="64">
        <v>77</v>
      </c>
      <c r="C81" s="65" t="s">
        <v>465</v>
      </c>
      <c r="D81" s="65" t="s">
        <v>466</v>
      </c>
      <c r="E81" s="66">
        <v>41.7</v>
      </c>
      <c r="F81" s="64">
        <v>11</v>
      </c>
      <c r="G81" s="67">
        <v>9</v>
      </c>
      <c r="H81" s="65"/>
      <c r="I81" s="68"/>
    </row>
    <row r="82" spans="2:9" ht="28.8" x14ac:dyDescent="0.3">
      <c r="B82" s="64">
        <v>78</v>
      </c>
      <c r="C82" s="65" t="s">
        <v>467</v>
      </c>
      <c r="D82" s="65" t="s">
        <v>468</v>
      </c>
      <c r="E82" s="66">
        <v>41.5</v>
      </c>
      <c r="F82" s="64">
        <v>0</v>
      </c>
      <c r="G82" s="67">
        <v>5</v>
      </c>
      <c r="H82" s="65"/>
      <c r="I82" s="68"/>
    </row>
    <row r="83" spans="2:9" ht="28.8" x14ac:dyDescent="0.3">
      <c r="B83" s="64">
        <v>79</v>
      </c>
      <c r="C83" s="65" t="s">
        <v>469</v>
      </c>
      <c r="D83" s="65" t="s">
        <v>470</v>
      </c>
      <c r="E83" s="66">
        <v>15706.1</v>
      </c>
      <c r="F83" s="64">
        <v>19</v>
      </c>
      <c r="G83" s="67">
        <v>13</v>
      </c>
      <c r="H83" s="65"/>
      <c r="I83" s="68"/>
    </row>
    <row r="84" spans="2:9" ht="28.8" x14ac:dyDescent="0.3">
      <c r="B84" s="64">
        <v>80</v>
      </c>
      <c r="C84" s="65" t="s">
        <v>471</v>
      </c>
      <c r="D84" s="65" t="s">
        <v>345</v>
      </c>
      <c r="E84" s="66">
        <v>6172.3</v>
      </c>
      <c r="F84" s="64">
        <v>11</v>
      </c>
      <c r="G84" s="67">
        <v>9</v>
      </c>
      <c r="H84" s="65"/>
      <c r="I84" s="68"/>
    </row>
    <row r="85" spans="2:9" ht="28.8" x14ac:dyDescent="0.3">
      <c r="B85" s="64">
        <v>81</v>
      </c>
      <c r="C85" s="65" t="s">
        <v>472</v>
      </c>
      <c r="D85" s="65" t="s">
        <v>178</v>
      </c>
      <c r="E85" s="66">
        <v>1762.7</v>
      </c>
      <c r="F85" s="64">
        <v>0</v>
      </c>
      <c r="G85" s="67">
        <v>1</v>
      </c>
      <c r="H85" s="65"/>
      <c r="I85" s="68"/>
    </row>
    <row r="86" spans="2:9" ht="28.8" x14ac:dyDescent="0.3">
      <c r="B86" s="64">
        <v>82</v>
      </c>
      <c r="C86" s="65" t="s">
        <v>473</v>
      </c>
      <c r="D86" s="65" t="s">
        <v>474</v>
      </c>
      <c r="E86" s="66">
        <v>676.6</v>
      </c>
      <c r="F86" s="64">
        <v>6</v>
      </c>
      <c r="G86" s="67">
        <v>1</v>
      </c>
      <c r="H86" s="65"/>
      <c r="I86" s="68"/>
    </row>
    <row r="87" spans="2:9" ht="28.8" x14ac:dyDescent="0.3">
      <c r="B87" s="64">
        <v>83</v>
      </c>
      <c r="C87" s="65" t="s">
        <v>475</v>
      </c>
      <c r="D87" s="65" t="s">
        <v>476</v>
      </c>
      <c r="E87" s="66">
        <v>1971</v>
      </c>
      <c r="F87" s="64">
        <v>11</v>
      </c>
      <c r="G87" s="67">
        <v>10</v>
      </c>
      <c r="H87" s="65"/>
      <c r="I87" s="68"/>
    </row>
    <row r="88" spans="2:9" ht="28.8" x14ac:dyDescent="0.3">
      <c r="B88" s="64">
        <v>84</v>
      </c>
      <c r="C88" s="65" t="s">
        <v>477</v>
      </c>
      <c r="D88" s="65" t="s">
        <v>478</v>
      </c>
      <c r="E88" s="66">
        <v>1239.3</v>
      </c>
      <c r="F88" s="64">
        <v>8</v>
      </c>
      <c r="G88" s="67">
        <v>7</v>
      </c>
      <c r="H88" s="65"/>
      <c r="I88" s="68"/>
    </row>
    <row r="89" spans="2:9" ht="28.8" x14ac:dyDescent="0.3">
      <c r="B89" s="64">
        <v>85</v>
      </c>
      <c r="C89" s="65" t="s">
        <v>479</v>
      </c>
      <c r="D89" s="65" t="s">
        <v>480</v>
      </c>
      <c r="E89" s="66">
        <v>4466.7</v>
      </c>
      <c r="F89" s="64">
        <v>13</v>
      </c>
      <c r="G89" s="67">
        <v>23</v>
      </c>
      <c r="H89" s="65"/>
      <c r="I89" s="68"/>
    </row>
    <row r="90" spans="2:9" ht="43.2" x14ac:dyDescent="0.3">
      <c r="B90" s="64">
        <v>86</v>
      </c>
      <c r="C90" s="65" t="s">
        <v>481</v>
      </c>
      <c r="D90" s="65" t="s">
        <v>482</v>
      </c>
      <c r="E90" s="66">
        <v>3021.3</v>
      </c>
      <c r="F90" s="64">
        <v>0</v>
      </c>
      <c r="G90" s="67">
        <v>4</v>
      </c>
      <c r="H90" s="65"/>
      <c r="I90" s="68"/>
    </row>
    <row r="91" spans="2:9" ht="28.8" x14ac:dyDescent="0.3">
      <c r="B91" s="64">
        <v>87</v>
      </c>
      <c r="C91" s="65" t="s">
        <v>483</v>
      </c>
      <c r="D91" s="65" t="s">
        <v>484</v>
      </c>
      <c r="E91" s="66">
        <v>3985.6</v>
      </c>
      <c r="F91" s="64">
        <v>0</v>
      </c>
      <c r="G91" s="67">
        <v>1</v>
      </c>
      <c r="H91" s="65"/>
      <c r="I91" s="68"/>
    </row>
    <row r="92" spans="2:9" ht="28.8" x14ac:dyDescent="0.3">
      <c r="B92" s="64">
        <v>88</v>
      </c>
      <c r="C92" s="65" t="s">
        <v>485</v>
      </c>
      <c r="D92" s="65" t="s">
        <v>486</v>
      </c>
      <c r="E92" s="66">
        <v>6435.4</v>
      </c>
      <c r="F92" s="64">
        <v>16</v>
      </c>
      <c r="G92" s="67">
        <v>14</v>
      </c>
      <c r="H92" s="65"/>
      <c r="I92" s="68"/>
    </row>
    <row r="93" spans="2:9" ht="28.8" x14ac:dyDescent="0.3">
      <c r="B93" s="64">
        <v>89</v>
      </c>
      <c r="C93" s="65" t="s">
        <v>487</v>
      </c>
      <c r="D93" s="65" t="s">
        <v>488</v>
      </c>
      <c r="E93" s="66">
        <v>11351</v>
      </c>
      <c r="F93" s="64">
        <v>11</v>
      </c>
      <c r="G93" s="67">
        <v>11</v>
      </c>
      <c r="H93" s="65"/>
      <c r="I93" s="68"/>
    </row>
    <row r="94" spans="2:9" ht="28.8" x14ac:dyDescent="0.3">
      <c r="B94" s="64">
        <v>90</v>
      </c>
      <c r="C94" s="65" t="s">
        <v>489</v>
      </c>
      <c r="D94" s="65" t="s">
        <v>490</v>
      </c>
      <c r="E94" s="66">
        <v>14009.5</v>
      </c>
      <c r="F94" s="64">
        <v>24</v>
      </c>
      <c r="G94" s="67">
        <v>19</v>
      </c>
      <c r="H94" s="65"/>
      <c r="I94" s="68"/>
    </row>
    <row r="95" spans="2:9" ht="28.8" x14ac:dyDescent="0.3">
      <c r="B95" s="64">
        <v>91</v>
      </c>
      <c r="C95" s="65" t="s">
        <v>491</v>
      </c>
      <c r="D95" s="65" t="s">
        <v>492</v>
      </c>
      <c r="E95" s="66">
        <v>11408</v>
      </c>
      <c r="F95" s="64">
        <v>19</v>
      </c>
      <c r="G95" s="67">
        <v>10</v>
      </c>
      <c r="H95" s="65"/>
      <c r="I95" s="68"/>
    </row>
    <row r="96" spans="2:9" ht="28.8" x14ac:dyDescent="0.3">
      <c r="B96" s="64">
        <v>92</v>
      </c>
      <c r="C96" s="65" t="s">
        <v>493</v>
      </c>
      <c r="D96" s="65" t="s">
        <v>494</v>
      </c>
      <c r="E96" s="66">
        <v>971.9</v>
      </c>
      <c r="F96" s="64">
        <v>6</v>
      </c>
      <c r="G96" s="67">
        <v>6</v>
      </c>
      <c r="H96" s="65"/>
      <c r="I96" s="68"/>
    </row>
    <row r="97" spans="2:9" ht="72" x14ac:dyDescent="0.3">
      <c r="B97" s="64">
        <v>93</v>
      </c>
      <c r="C97" s="65" t="s">
        <v>495</v>
      </c>
      <c r="D97" s="65" t="s">
        <v>496</v>
      </c>
      <c r="E97" s="66">
        <v>1729.6</v>
      </c>
      <c r="F97" s="64">
        <v>10</v>
      </c>
      <c r="G97" s="67">
        <v>4</v>
      </c>
      <c r="H97" s="65"/>
      <c r="I97" s="68"/>
    </row>
    <row r="98" spans="2:9" x14ac:dyDescent="0.3">
      <c r="B98" s="64">
        <v>94</v>
      </c>
      <c r="C98" s="65" t="s">
        <v>497</v>
      </c>
      <c r="D98" s="65" t="s">
        <v>498</v>
      </c>
      <c r="E98" s="66" t="s">
        <v>499</v>
      </c>
      <c r="F98" s="64">
        <v>69</v>
      </c>
      <c r="G98" s="67">
        <v>65</v>
      </c>
      <c r="H98" s="65"/>
      <c r="I98" s="68"/>
    </row>
    <row r="99" spans="2:9" ht="57.6" x14ac:dyDescent="0.3">
      <c r="B99" s="64">
        <v>95</v>
      </c>
      <c r="C99" s="65" t="s">
        <v>500</v>
      </c>
      <c r="D99" s="71" t="s">
        <v>501</v>
      </c>
      <c r="E99" s="66">
        <v>9227.7999999999993</v>
      </c>
      <c r="F99" s="64">
        <v>34</v>
      </c>
      <c r="G99" s="70">
        <v>30</v>
      </c>
      <c r="H99" s="65"/>
      <c r="I99" s="68"/>
    </row>
    <row r="100" spans="2:9" x14ac:dyDescent="0.3">
      <c r="B100" s="64">
        <v>96</v>
      </c>
      <c r="C100" s="65" t="s">
        <v>502</v>
      </c>
      <c r="D100" s="65" t="s">
        <v>503</v>
      </c>
      <c r="E100" s="66" t="s">
        <v>504</v>
      </c>
      <c r="F100" s="64">
        <v>6</v>
      </c>
      <c r="G100" s="67">
        <v>6</v>
      </c>
      <c r="H100" s="65"/>
      <c r="I100" s="68"/>
    </row>
    <row r="101" spans="2:9" x14ac:dyDescent="0.3">
      <c r="B101" s="64">
        <v>97</v>
      </c>
      <c r="C101" s="65" t="s">
        <v>505</v>
      </c>
      <c r="D101" s="65" t="s">
        <v>506</v>
      </c>
      <c r="E101" s="66">
        <v>2535.4</v>
      </c>
      <c r="F101" s="64">
        <v>56</v>
      </c>
      <c r="G101" s="67">
        <v>58</v>
      </c>
      <c r="H101" s="65"/>
      <c r="I101" s="68"/>
    </row>
    <row r="102" spans="2:9" ht="43.2" x14ac:dyDescent="0.3">
      <c r="B102" s="64">
        <v>98</v>
      </c>
      <c r="C102" s="65" t="s">
        <v>507</v>
      </c>
      <c r="D102" s="65" t="s">
        <v>508</v>
      </c>
      <c r="E102" s="66">
        <v>112</v>
      </c>
      <c r="F102" s="64">
        <v>1</v>
      </c>
      <c r="G102" s="67">
        <v>1</v>
      </c>
      <c r="H102" s="65"/>
      <c r="I102" s="68"/>
    </row>
    <row r="103" spans="2:9" x14ac:dyDescent="0.3">
      <c r="B103" s="64">
        <v>99</v>
      </c>
      <c r="C103" s="65" t="s">
        <v>509</v>
      </c>
      <c r="D103" s="65" t="s">
        <v>510</v>
      </c>
      <c r="E103" s="66" t="s">
        <v>511</v>
      </c>
      <c r="F103" s="64">
        <v>44</v>
      </c>
      <c r="G103" s="67">
        <v>42</v>
      </c>
      <c r="H103" s="65"/>
      <c r="I103" s="68"/>
    </row>
    <row r="104" spans="2:9" x14ac:dyDescent="0.3">
      <c r="B104" s="64">
        <v>100</v>
      </c>
      <c r="C104" s="65" t="s">
        <v>512</v>
      </c>
      <c r="D104" s="155" t="s">
        <v>380</v>
      </c>
      <c r="E104" s="156"/>
      <c r="F104" s="64">
        <v>0</v>
      </c>
      <c r="G104" s="67">
        <v>0</v>
      </c>
      <c r="H104" s="65"/>
      <c r="I104" s="68"/>
    </row>
    <row r="105" spans="2:9" ht="28.8" x14ac:dyDescent="0.3">
      <c r="B105" s="64">
        <v>101</v>
      </c>
      <c r="C105" s="65" t="s">
        <v>513</v>
      </c>
      <c r="D105" s="65" t="s">
        <v>514</v>
      </c>
      <c r="E105" s="66">
        <v>151.5</v>
      </c>
      <c r="F105" s="64">
        <v>12</v>
      </c>
      <c r="G105" s="67">
        <v>10</v>
      </c>
      <c r="H105" s="65"/>
      <c r="I105" s="68"/>
    </row>
    <row r="106" spans="2:9" ht="28.8" x14ac:dyDescent="0.3">
      <c r="B106" s="64">
        <v>102</v>
      </c>
      <c r="C106" s="65" t="s">
        <v>515</v>
      </c>
      <c r="D106" s="65" t="s">
        <v>378</v>
      </c>
      <c r="E106" s="66">
        <v>38.6</v>
      </c>
      <c r="F106" s="64">
        <v>1</v>
      </c>
      <c r="G106" s="67">
        <v>1</v>
      </c>
      <c r="H106" s="65"/>
      <c r="I106" s="68"/>
    </row>
    <row r="107" spans="2:9" ht="29.4" thickBot="1" x14ac:dyDescent="0.35">
      <c r="B107" s="76">
        <v>103</v>
      </c>
      <c r="C107" s="77" t="s">
        <v>516</v>
      </c>
      <c r="D107" s="77" t="s">
        <v>498</v>
      </c>
      <c r="E107" s="78">
        <v>314.10000000000002</v>
      </c>
      <c r="F107" s="76">
        <v>11</v>
      </c>
      <c r="G107" s="79">
        <v>12</v>
      </c>
      <c r="H107" s="77"/>
      <c r="I107" s="80"/>
    </row>
    <row r="108" spans="2:9" x14ac:dyDescent="0.3">
      <c r="G108" s="81"/>
    </row>
    <row r="109" spans="2:9" x14ac:dyDescent="0.3">
      <c r="G109" s="81"/>
    </row>
    <row r="110" spans="2:9" x14ac:dyDescent="0.3">
      <c r="G110" s="81"/>
    </row>
  </sheetData>
  <autoFilter ref="B4:Q107" xr:uid="{00000000-0009-0000-0000-000003000000}"/>
  <mergeCells count="7">
    <mergeCell ref="D104:E104"/>
    <mergeCell ref="D31:E31"/>
    <mergeCell ref="D33:E33"/>
    <mergeCell ref="D43:E43"/>
    <mergeCell ref="D54:E54"/>
    <mergeCell ref="D78:E78"/>
    <mergeCell ref="D79:E7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BA67"/>
  <sheetViews>
    <sheetView zoomScale="70" zoomScaleNormal="70" workbookViewId="0">
      <pane ySplit="2" topLeftCell="A21" activePane="bottomLeft" state="frozen"/>
      <selection pane="bottomLeft" activeCell="D31" sqref="D31"/>
    </sheetView>
  </sheetViews>
  <sheetFormatPr defaultColWidth="9.109375" defaultRowHeight="18" x14ac:dyDescent="0.3"/>
  <cols>
    <col min="1" max="1" width="7" style="32" customWidth="1"/>
    <col min="2" max="2" width="38.44140625" style="21" customWidth="1"/>
    <col min="3" max="3" width="49.5546875" style="21" customWidth="1"/>
    <col min="4" max="4" width="23.6640625" style="21" customWidth="1"/>
    <col min="5" max="5" width="25.33203125" style="21" customWidth="1"/>
    <col min="6" max="6" width="19.6640625" style="21" customWidth="1"/>
    <col min="7" max="7" width="20.109375" style="21" customWidth="1"/>
    <col min="8" max="9" width="18.33203125" style="21" customWidth="1"/>
    <col min="10" max="11" width="20.109375" style="21" customWidth="1"/>
    <col min="12" max="13" width="16" style="21" customWidth="1"/>
    <col min="14" max="14" width="11.5546875" style="21" customWidth="1"/>
    <col min="15" max="15" width="18.33203125" style="21" customWidth="1"/>
    <col min="16" max="16" width="13.44140625" style="21" customWidth="1"/>
    <col min="17" max="17" width="18.33203125" style="21" customWidth="1"/>
    <col min="18" max="18" width="11.88671875" style="21" customWidth="1"/>
    <col min="19" max="19" width="16" style="21" customWidth="1"/>
    <col min="20" max="21" width="18.33203125" style="21" customWidth="1"/>
    <col min="22" max="22" width="16" style="21" customWidth="1"/>
    <col min="23" max="25" width="18.33203125" style="21" customWidth="1"/>
    <col min="26" max="26" width="13.44140625" style="21" customWidth="1"/>
    <col min="27" max="27" width="18.33203125" style="21" customWidth="1"/>
    <col min="28" max="29" width="16" style="21" customWidth="1"/>
    <col min="30" max="30" width="16.6640625" style="21" customWidth="1"/>
    <col min="31" max="31" width="15.109375" style="21" customWidth="1"/>
    <col min="32" max="32" width="27.33203125" style="21" customWidth="1"/>
    <col min="33" max="33" width="30" style="21" customWidth="1"/>
    <col min="34" max="34" width="28" style="21" customWidth="1"/>
    <col min="35" max="35" width="26.33203125" style="21" customWidth="1"/>
    <col min="36" max="36" width="20.5546875" style="21" customWidth="1"/>
    <col min="37" max="37" width="26.109375" style="21" customWidth="1"/>
    <col min="38" max="38" width="55.109375" style="21" customWidth="1"/>
    <col min="39" max="39" width="33.88671875" style="21" customWidth="1"/>
    <col min="40" max="40" width="31.33203125" style="21" customWidth="1"/>
    <col min="41" max="41" width="18.44140625" style="21" customWidth="1"/>
    <col min="42" max="42" width="15.6640625" style="21" customWidth="1"/>
    <col min="43" max="43" width="14.109375" style="21" customWidth="1"/>
    <col min="44" max="45" width="20.109375" style="21" customWidth="1"/>
    <col min="46" max="47" width="16" style="21" customWidth="1"/>
    <col min="48" max="48" width="16.6640625" style="21" customWidth="1"/>
    <col min="49" max="49" width="18.44140625" style="21" customWidth="1"/>
    <col min="50" max="50" width="16.33203125" style="21" customWidth="1"/>
    <col min="51" max="51" width="15" style="21" customWidth="1"/>
    <col min="52" max="16384" width="9.109375" style="21"/>
  </cols>
  <sheetData>
    <row r="1" spans="1:51" ht="37.5" customHeight="1" x14ac:dyDescent="0.3">
      <c r="A1" s="136" t="s">
        <v>0</v>
      </c>
      <c r="B1" s="138" t="s">
        <v>1</v>
      </c>
      <c r="C1" s="138" t="s">
        <v>2</v>
      </c>
      <c r="D1" s="138" t="s">
        <v>3</v>
      </c>
      <c r="E1" s="138" t="s">
        <v>208</v>
      </c>
      <c r="F1" s="135" t="s">
        <v>192</v>
      </c>
      <c r="G1" s="135"/>
      <c r="H1" s="135" t="s">
        <v>185</v>
      </c>
      <c r="I1" s="135"/>
      <c r="J1" s="135" t="s">
        <v>547</v>
      </c>
      <c r="K1" s="135"/>
      <c r="L1" s="140" t="s">
        <v>188</v>
      </c>
      <c r="M1" s="141"/>
      <c r="N1" s="140" t="s">
        <v>198</v>
      </c>
      <c r="O1" s="141"/>
      <c r="P1" s="135" t="s">
        <v>189</v>
      </c>
      <c r="Q1" s="135"/>
      <c r="R1" s="135" t="s">
        <v>202</v>
      </c>
      <c r="S1" s="135"/>
      <c r="T1" s="140" t="s">
        <v>190</v>
      </c>
      <c r="U1" s="141"/>
      <c r="V1" s="135" t="s">
        <v>201</v>
      </c>
      <c r="W1" s="135"/>
      <c r="X1" s="140" t="s">
        <v>191</v>
      </c>
      <c r="Y1" s="141"/>
      <c r="Z1" s="135" t="s">
        <v>193</v>
      </c>
      <c r="AA1" s="135"/>
      <c r="AB1" s="135" t="s">
        <v>194</v>
      </c>
      <c r="AC1" s="135"/>
      <c r="AD1" s="135" t="s">
        <v>195</v>
      </c>
      <c r="AE1" s="135"/>
      <c r="AF1" s="135" t="s">
        <v>292</v>
      </c>
      <c r="AG1" s="135"/>
      <c r="AH1" s="135" t="s">
        <v>206</v>
      </c>
      <c r="AI1" s="135"/>
      <c r="AJ1" s="135" t="s">
        <v>197</v>
      </c>
      <c r="AK1" s="135"/>
      <c r="AL1" s="135" t="s">
        <v>199</v>
      </c>
      <c r="AM1" s="135"/>
      <c r="AN1" s="135" t="s">
        <v>200</v>
      </c>
      <c r="AO1" s="135"/>
      <c r="AP1" s="140" t="s">
        <v>203</v>
      </c>
      <c r="AQ1" s="141"/>
      <c r="AR1" s="135" t="s">
        <v>204</v>
      </c>
      <c r="AS1" s="135"/>
      <c r="AT1" s="135" t="s">
        <v>205</v>
      </c>
      <c r="AU1" s="135"/>
      <c r="AV1" s="153" t="s">
        <v>290</v>
      </c>
      <c r="AW1" s="154"/>
      <c r="AX1" s="140" t="s">
        <v>289</v>
      </c>
      <c r="AY1" s="141"/>
    </row>
    <row r="2" spans="1:51" ht="18.75" customHeight="1" x14ac:dyDescent="0.3">
      <c r="A2" s="137"/>
      <c r="B2" s="139"/>
      <c r="C2" s="139"/>
      <c r="D2" s="139"/>
      <c r="E2" s="139"/>
      <c r="F2" s="22" t="s">
        <v>186</v>
      </c>
      <c r="G2" s="22" t="s">
        <v>187</v>
      </c>
      <c r="H2" s="22" t="s">
        <v>186</v>
      </c>
      <c r="I2" s="22" t="s">
        <v>187</v>
      </c>
      <c r="J2" s="22" t="s">
        <v>186</v>
      </c>
      <c r="K2" s="22" t="s">
        <v>187</v>
      </c>
      <c r="L2" s="22" t="s">
        <v>186</v>
      </c>
      <c r="M2" s="22" t="s">
        <v>187</v>
      </c>
      <c r="N2" s="22" t="s">
        <v>186</v>
      </c>
      <c r="O2" s="22" t="s">
        <v>187</v>
      </c>
      <c r="P2" s="22" t="s">
        <v>186</v>
      </c>
      <c r="Q2" s="22" t="s">
        <v>187</v>
      </c>
      <c r="R2" s="22" t="s">
        <v>186</v>
      </c>
      <c r="S2" s="22" t="s">
        <v>187</v>
      </c>
      <c r="T2" s="22" t="s">
        <v>186</v>
      </c>
      <c r="U2" s="22" t="s">
        <v>187</v>
      </c>
      <c r="V2" s="22" t="s">
        <v>186</v>
      </c>
      <c r="W2" s="22" t="s">
        <v>187</v>
      </c>
      <c r="X2" s="22" t="s">
        <v>186</v>
      </c>
      <c r="Y2" s="22" t="s">
        <v>187</v>
      </c>
      <c r="Z2" s="22" t="s">
        <v>186</v>
      </c>
      <c r="AA2" s="22" t="s">
        <v>187</v>
      </c>
      <c r="AB2" s="22" t="s">
        <v>186</v>
      </c>
      <c r="AC2" s="22" t="s">
        <v>187</v>
      </c>
      <c r="AD2" s="22" t="s">
        <v>186</v>
      </c>
      <c r="AE2" s="22" t="s">
        <v>187</v>
      </c>
      <c r="AF2" s="22" t="s">
        <v>186</v>
      </c>
      <c r="AG2" s="22" t="s">
        <v>187</v>
      </c>
      <c r="AH2" s="22" t="s">
        <v>186</v>
      </c>
      <c r="AI2" s="22" t="s">
        <v>187</v>
      </c>
      <c r="AJ2" s="22" t="s">
        <v>186</v>
      </c>
      <c r="AK2" s="22" t="s">
        <v>187</v>
      </c>
      <c r="AL2" s="22" t="s">
        <v>186</v>
      </c>
      <c r="AM2" s="22" t="s">
        <v>187</v>
      </c>
      <c r="AN2" s="22" t="s">
        <v>186</v>
      </c>
      <c r="AO2" s="22" t="s">
        <v>187</v>
      </c>
      <c r="AP2" s="22" t="s">
        <v>186</v>
      </c>
      <c r="AQ2" s="22" t="s">
        <v>187</v>
      </c>
      <c r="AR2" s="22" t="s">
        <v>186</v>
      </c>
      <c r="AS2" s="22" t="s">
        <v>187</v>
      </c>
      <c r="AT2" s="22" t="s">
        <v>186</v>
      </c>
      <c r="AU2" s="22" t="s">
        <v>187</v>
      </c>
      <c r="AV2" s="22" t="s">
        <v>186</v>
      </c>
      <c r="AW2" s="22" t="s">
        <v>187</v>
      </c>
      <c r="AX2" s="22" t="s">
        <v>186</v>
      </c>
      <c r="AY2" s="22" t="s">
        <v>187</v>
      </c>
    </row>
    <row r="3" spans="1:51" ht="18.75" customHeight="1" x14ac:dyDescent="0.3">
      <c r="A3" s="35"/>
      <c r="B3" s="47" t="s">
        <v>295</v>
      </c>
      <c r="C3" s="36"/>
      <c r="D3" s="36"/>
      <c r="E3" s="36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</row>
    <row r="4" spans="1:51" ht="37.5" customHeight="1" x14ac:dyDescent="0.3">
      <c r="A4" s="23">
        <v>1</v>
      </c>
      <c r="B4" s="34" t="s">
        <v>4</v>
      </c>
      <c r="C4" s="34" t="s">
        <v>5</v>
      </c>
      <c r="D4" s="34">
        <v>896.1</v>
      </c>
      <c r="E4" s="24">
        <f>SUM(F4:AU4)</f>
        <v>535097.6291738305</v>
      </c>
      <c r="F4" s="34">
        <v>0</v>
      </c>
      <c r="G4" s="34">
        <v>535097.6291738305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</row>
    <row r="5" spans="1:51" ht="37.5" customHeight="1" x14ac:dyDescent="0.3">
      <c r="A5" s="23">
        <v>2</v>
      </c>
      <c r="B5" s="34" t="s">
        <v>6</v>
      </c>
      <c r="C5" s="34" t="s">
        <v>5</v>
      </c>
      <c r="D5" s="34">
        <v>189</v>
      </c>
      <c r="E5" s="24">
        <f t="shared" ref="E5:E30" si="0">SUM(F5:AU5)</f>
        <v>112859.5602207945</v>
      </c>
      <c r="F5" s="34">
        <v>0</v>
      </c>
      <c r="G5" s="34">
        <v>112859.5602207945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</row>
    <row r="6" spans="1:51" ht="37.5" customHeight="1" x14ac:dyDescent="0.3">
      <c r="A6" s="23">
        <v>3</v>
      </c>
      <c r="B6" s="34" t="s">
        <v>7</v>
      </c>
      <c r="C6" s="34" t="s">
        <v>5</v>
      </c>
      <c r="D6" s="34">
        <v>20</v>
      </c>
      <c r="E6" s="24">
        <f t="shared" si="0"/>
        <v>11942.81060537508</v>
      </c>
      <c r="F6" s="34">
        <v>0</v>
      </c>
      <c r="G6" s="34">
        <v>11942.81060537508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</row>
    <row r="7" spans="1:51" ht="37.5" customHeight="1" x14ac:dyDescent="0.3">
      <c r="A7" s="23">
        <v>4</v>
      </c>
      <c r="B7" s="34" t="s">
        <v>8</v>
      </c>
      <c r="C7" s="34" t="s">
        <v>5</v>
      </c>
      <c r="D7" s="34">
        <v>243</v>
      </c>
      <c r="E7" s="24">
        <f t="shared" si="0"/>
        <v>7561.0928459142087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0</v>
      </c>
      <c r="S7" s="34">
        <v>6545.454545454545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>
        <v>0</v>
      </c>
      <c r="AI7" s="34">
        <v>1015.6383004596636</v>
      </c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</row>
    <row r="8" spans="1:51" ht="37.5" customHeight="1" x14ac:dyDescent="0.3">
      <c r="A8" s="23"/>
      <c r="B8" s="24" t="s">
        <v>297</v>
      </c>
      <c r="C8" s="34"/>
      <c r="D8" s="24">
        <f>SUM(D4:D7)</f>
        <v>1348.1</v>
      </c>
      <c r="E8" s="24">
        <f>SUM(E4:E7)</f>
        <v>667461.0928459143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</row>
    <row r="9" spans="1:51" ht="37.5" customHeight="1" x14ac:dyDescent="0.3">
      <c r="A9" s="23"/>
      <c r="B9" s="27" t="s">
        <v>296</v>
      </c>
      <c r="C9" s="34"/>
      <c r="D9" s="34"/>
      <c r="E9" s="2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</row>
    <row r="10" spans="1:51" ht="37.5" customHeight="1" x14ac:dyDescent="0.3">
      <c r="A10" s="23">
        <v>1</v>
      </c>
      <c r="B10" s="34" t="s">
        <v>4</v>
      </c>
      <c r="C10" s="34" t="s">
        <v>5</v>
      </c>
      <c r="D10" s="34">
        <v>896.1</v>
      </c>
      <c r="E10" s="24">
        <f>SUM(F10:AU10)</f>
        <v>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</row>
    <row r="11" spans="1:51" ht="37.5" customHeight="1" x14ac:dyDescent="0.3">
      <c r="A11" s="23">
        <v>2</v>
      </c>
      <c r="B11" s="34" t="s">
        <v>6</v>
      </c>
      <c r="C11" s="34" t="s">
        <v>5</v>
      </c>
      <c r="D11" s="34">
        <v>189</v>
      </c>
      <c r="E11" s="24">
        <f t="shared" ref="E11:E13" si="1">SUM(F11:AU11)</f>
        <v>0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</row>
    <row r="12" spans="1:51" ht="37.5" customHeight="1" x14ac:dyDescent="0.3">
      <c r="A12" s="23">
        <v>3</v>
      </c>
      <c r="B12" s="34" t="s">
        <v>7</v>
      </c>
      <c r="C12" s="34" t="s">
        <v>5</v>
      </c>
      <c r="D12" s="34">
        <v>20</v>
      </c>
      <c r="E12" s="24">
        <f t="shared" si="1"/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</row>
    <row r="13" spans="1:51" ht="37.5" customHeight="1" x14ac:dyDescent="0.3">
      <c r="A13" s="23">
        <v>4</v>
      </c>
      <c r="B13" s="34" t="s">
        <v>8</v>
      </c>
      <c r="C13" s="34" t="s">
        <v>5</v>
      </c>
      <c r="D13" s="34">
        <v>243</v>
      </c>
      <c r="E13" s="24">
        <f t="shared" si="1"/>
        <v>0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</row>
    <row r="14" spans="1:51" ht="37.5" customHeight="1" x14ac:dyDescent="0.3">
      <c r="A14" s="23"/>
      <c r="B14" s="24" t="s">
        <v>297</v>
      </c>
      <c r="C14" s="34"/>
      <c r="D14" s="24">
        <f>SUM(D10:D13)</f>
        <v>1348.1</v>
      </c>
      <c r="E14" s="24">
        <f>SUM(E10:E13)</f>
        <v>0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</row>
    <row r="15" spans="1:51" ht="37.5" customHeight="1" x14ac:dyDescent="0.3">
      <c r="A15" s="23"/>
      <c r="B15" s="47" t="s">
        <v>295</v>
      </c>
      <c r="C15" s="34"/>
      <c r="D15" s="34"/>
      <c r="E15" s="2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</row>
    <row r="16" spans="1:51" ht="56.25" customHeight="1" x14ac:dyDescent="0.3">
      <c r="A16" s="23" t="s">
        <v>298</v>
      </c>
      <c r="B16" s="34" t="s">
        <v>9</v>
      </c>
      <c r="C16" s="34" t="s">
        <v>10</v>
      </c>
      <c r="D16" s="34">
        <v>7098.7</v>
      </c>
      <c r="E16" s="24">
        <f t="shared" si="0"/>
        <v>416200.09480444412</v>
      </c>
      <c r="F16" s="34"/>
      <c r="G16" s="34"/>
      <c r="H16" s="34"/>
      <c r="I16" s="34">
        <v>24943.68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>
        <v>5447.64</v>
      </c>
      <c r="AJ16" s="34"/>
      <c r="AK16" s="34"/>
      <c r="AL16" s="34"/>
      <c r="AM16" s="34"/>
      <c r="AN16" s="34"/>
      <c r="AO16" s="34"/>
      <c r="AP16" s="34"/>
      <c r="AQ16" s="34"/>
      <c r="AR16" s="34">
        <v>235082.01970278387</v>
      </c>
      <c r="AS16" s="34">
        <v>150726.75510166027</v>
      </c>
      <c r="AT16" s="34"/>
      <c r="AU16" s="34"/>
      <c r="AV16" s="34"/>
      <c r="AW16" s="34"/>
      <c r="AX16" s="34"/>
      <c r="AY16" s="34"/>
    </row>
    <row r="17" spans="1:51" ht="37.5" customHeight="1" x14ac:dyDescent="0.3">
      <c r="A17" s="23" t="s">
        <v>299</v>
      </c>
      <c r="B17" s="34" t="s">
        <v>11</v>
      </c>
      <c r="C17" s="34" t="s">
        <v>12</v>
      </c>
      <c r="D17" s="34">
        <v>1070.3</v>
      </c>
      <c r="E17" s="24">
        <f t="shared" si="0"/>
        <v>58169.965158859588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>
        <v>35444.276513712313</v>
      </c>
      <c r="AS17" s="34">
        <v>22725.688645147278</v>
      </c>
      <c r="AT17" s="34"/>
      <c r="AU17" s="34"/>
      <c r="AV17" s="34"/>
      <c r="AW17" s="34"/>
      <c r="AX17" s="34"/>
      <c r="AY17" s="34"/>
    </row>
    <row r="18" spans="1:51" ht="37.5" customHeight="1" x14ac:dyDescent="0.3">
      <c r="A18" s="23" t="s">
        <v>300</v>
      </c>
      <c r="B18" s="34" t="s">
        <v>13</v>
      </c>
      <c r="C18" s="34" t="s">
        <v>12</v>
      </c>
      <c r="D18" s="34">
        <v>1076.9000000000001</v>
      </c>
      <c r="E18" s="24">
        <f t="shared" si="0"/>
        <v>58528.669979983097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>
        <v>35662.843480908901</v>
      </c>
      <c r="AS18" s="34">
        <v>22865.826499074192</v>
      </c>
      <c r="AT18" s="34"/>
      <c r="AU18" s="34"/>
      <c r="AV18" s="34"/>
      <c r="AW18" s="34"/>
      <c r="AX18" s="34"/>
      <c r="AY18" s="34"/>
    </row>
    <row r="19" spans="1:51" s="1" customFormat="1" ht="36" x14ac:dyDescent="0.3">
      <c r="A19" s="23" t="s">
        <v>301</v>
      </c>
      <c r="B19" s="33" t="s">
        <v>14</v>
      </c>
      <c r="C19" s="33" t="s">
        <v>12</v>
      </c>
      <c r="D19" s="33">
        <v>1909.4</v>
      </c>
      <c r="E19" s="3">
        <f t="shared" ref="E19" si="2">SUM(F19:AU19)</f>
        <v>103774.39173533263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>
        <v>63232.085934114075</v>
      </c>
      <c r="AS19" s="33">
        <v>40542.30580121855</v>
      </c>
      <c r="AT19" s="33"/>
      <c r="AU19" s="33"/>
    </row>
    <row r="20" spans="1:51" ht="56.25" customHeight="1" x14ac:dyDescent="0.3">
      <c r="A20" s="23" t="s">
        <v>302</v>
      </c>
      <c r="B20" s="34" t="s">
        <v>15</v>
      </c>
      <c r="C20" s="34" t="s">
        <v>10</v>
      </c>
      <c r="D20" s="34">
        <v>161.19999999999999</v>
      </c>
      <c r="E20" s="24">
        <f t="shared" si="0"/>
        <v>8761.0935098646787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>
        <v>5338.3325927407495</v>
      </c>
      <c r="AS20" s="34">
        <v>3422.7609171239287</v>
      </c>
      <c r="AT20" s="34"/>
      <c r="AU20" s="34"/>
      <c r="AV20" s="34"/>
      <c r="AW20" s="34"/>
      <c r="AX20" s="34"/>
      <c r="AY20" s="34"/>
    </row>
    <row r="21" spans="1:51" ht="56.25" customHeight="1" x14ac:dyDescent="0.3">
      <c r="A21" s="23" t="s">
        <v>303</v>
      </c>
      <c r="B21" s="34" t="s">
        <v>16</v>
      </c>
      <c r="C21" s="34" t="s">
        <v>10</v>
      </c>
      <c r="D21" s="34">
        <v>32.200000000000003</v>
      </c>
      <c r="E21" s="24">
        <f t="shared" si="0"/>
        <v>1750.0447333600664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>
        <v>1066.3418702621102</v>
      </c>
      <c r="AS21" s="34">
        <v>683.70286309795608</v>
      </c>
      <c r="AT21" s="34"/>
      <c r="AU21" s="34"/>
      <c r="AV21" s="34"/>
      <c r="AW21" s="34"/>
      <c r="AX21" s="34"/>
      <c r="AY21" s="34"/>
    </row>
    <row r="22" spans="1:51" ht="37.5" customHeight="1" x14ac:dyDescent="0.3">
      <c r="A22" s="23" t="s">
        <v>304</v>
      </c>
      <c r="B22" s="34" t="s">
        <v>17</v>
      </c>
      <c r="C22" s="34" t="s">
        <v>12</v>
      </c>
      <c r="D22" s="34">
        <v>67.099999999999994</v>
      </c>
      <c r="E22" s="24">
        <f t="shared" si="0"/>
        <v>3646.832348088833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>
        <v>2222.0974998319125</v>
      </c>
      <c r="AS22" s="34">
        <v>1424.7348482569207</v>
      </c>
      <c r="AT22" s="34"/>
      <c r="AU22" s="34"/>
      <c r="AV22" s="34"/>
      <c r="AW22" s="34"/>
      <c r="AX22" s="34"/>
      <c r="AY22" s="34"/>
    </row>
    <row r="23" spans="1:51" ht="37.5" customHeight="1" x14ac:dyDescent="0.3">
      <c r="A23" s="23" t="s">
        <v>305</v>
      </c>
      <c r="B23" s="34" t="s">
        <v>18</v>
      </c>
      <c r="C23" s="34" t="s">
        <v>12</v>
      </c>
      <c r="D23" s="34">
        <v>43.9</v>
      </c>
      <c r="E23" s="24">
        <f t="shared" si="0"/>
        <v>2385.930552624438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>
        <v>1453.8014939287775</v>
      </c>
      <c r="AS23" s="34">
        <v>932.12905869566066</v>
      </c>
      <c r="AT23" s="34"/>
      <c r="AU23" s="34"/>
      <c r="AV23" s="34"/>
      <c r="AW23" s="34"/>
      <c r="AX23" s="34"/>
      <c r="AY23" s="34"/>
    </row>
    <row r="24" spans="1:51" ht="56.25" customHeight="1" x14ac:dyDescent="0.3">
      <c r="A24" s="23" t="s">
        <v>306</v>
      </c>
      <c r="B24" s="34" t="s">
        <v>19</v>
      </c>
      <c r="C24" s="34" t="s">
        <v>10</v>
      </c>
      <c r="D24" s="34">
        <v>93.8</v>
      </c>
      <c r="E24" s="24">
        <f t="shared" si="0"/>
        <v>282297.95639717934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f>187200+90000</f>
        <v>277200</v>
      </c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>
        <v>3106.3002307635384</v>
      </c>
      <c r="AS24" s="34">
        <v>1991.656166415785</v>
      </c>
      <c r="AT24" s="34"/>
      <c r="AU24" s="34"/>
      <c r="AV24" s="34"/>
      <c r="AW24" s="34"/>
      <c r="AX24" s="34"/>
      <c r="AY24" s="34"/>
    </row>
    <row r="25" spans="1:51" ht="56.25" customHeight="1" x14ac:dyDescent="0.3">
      <c r="A25" s="23" t="s">
        <v>307</v>
      </c>
      <c r="B25" s="34" t="s">
        <v>20</v>
      </c>
      <c r="C25" s="34" t="s">
        <v>10</v>
      </c>
      <c r="D25" s="34">
        <v>53.7</v>
      </c>
      <c r="E25" s="24">
        <f t="shared" si="0"/>
        <v>2918.552862777502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>
        <v>1778.3403240085502</v>
      </c>
      <c r="AS25" s="34">
        <v>1140.2125387689516</v>
      </c>
      <c r="AT25" s="34"/>
      <c r="AU25" s="34"/>
      <c r="AV25" s="34"/>
      <c r="AW25" s="34"/>
      <c r="AX25" s="34"/>
      <c r="AY25" s="34"/>
    </row>
    <row r="26" spans="1:51" ht="37.5" customHeight="1" x14ac:dyDescent="0.3">
      <c r="A26" s="23" t="s">
        <v>308</v>
      </c>
      <c r="B26" s="34" t="s">
        <v>21</v>
      </c>
      <c r="C26" s="34" t="s">
        <v>12</v>
      </c>
      <c r="D26" s="34">
        <v>454.3</v>
      </c>
      <c r="E26" s="24">
        <f t="shared" si="0"/>
        <v>24690.848520667023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>
        <v>15044.692908698033</v>
      </c>
      <c r="AS26" s="34">
        <v>9646.1556119689885</v>
      </c>
      <c r="AT26" s="34"/>
      <c r="AU26" s="34"/>
      <c r="AV26" s="34"/>
      <c r="AW26" s="34"/>
      <c r="AX26" s="34"/>
      <c r="AY26" s="34"/>
    </row>
    <row r="27" spans="1:51" ht="56.25" customHeight="1" x14ac:dyDescent="0.3">
      <c r="A27" s="23" t="s">
        <v>309</v>
      </c>
      <c r="B27" s="34" t="s">
        <v>22</v>
      </c>
      <c r="C27" s="34" t="s">
        <v>10</v>
      </c>
      <c r="D27" s="34">
        <v>91</v>
      </c>
      <c r="E27" s="24">
        <f t="shared" si="0"/>
        <v>4945.7785942784485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>
        <v>3013.5748507407461</v>
      </c>
      <c r="AS27" s="34">
        <v>1932.2037435377019</v>
      </c>
      <c r="AT27" s="34"/>
      <c r="AU27" s="34"/>
      <c r="AV27" s="34"/>
      <c r="AW27" s="34"/>
      <c r="AX27" s="34"/>
      <c r="AY27" s="34"/>
    </row>
    <row r="28" spans="1:51" ht="37.5" customHeight="1" x14ac:dyDescent="0.3">
      <c r="A28" s="23" t="s">
        <v>310</v>
      </c>
      <c r="B28" s="34" t="s">
        <v>23</v>
      </c>
      <c r="C28" s="34" t="s">
        <v>12</v>
      </c>
      <c r="D28" s="34">
        <v>420.5</v>
      </c>
      <c r="E28" s="24">
        <f t="shared" si="0"/>
        <v>52853.845042792171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30000</v>
      </c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>
        <v>13925.365106994328</v>
      </c>
      <c r="AS28" s="34">
        <v>8928.4799357978427</v>
      </c>
      <c r="AT28" s="34"/>
      <c r="AU28" s="34"/>
      <c r="AV28" s="34"/>
      <c r="AW28" s="34"/>
      <c r="AX28" s="34"/>
      <c r="AY28" s="34"/>
    </row>
    <row r="29" spans="1:51" ht="56.25" customHeight="1" x14ac:dyDescent="0.3">
      <c r="A29" s="23" t="s">
        <v>311</v>
      </c>
      <c r="B29" s="34" t="s">
        <v>24</v>
      </c>
      <c r="C29" s="34" t="s">
        <v>10</v>
      </c>
      <c r="D29" s="34">
        <v>9.8000000000000007</v>
      </c>
      <c r="E29" s="24">
        <f t="shared" si="0"/>
        <v>15605.793041860383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>
        <v>15073.170731707318</v>
      </c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>
        <v>324.53883007977265</v>
      </c>
      <c r="AS29" s="34">
        <v>208.08348007329099</v>
      </c>
      <c r="AT29" s="34"/>
      <c r="AU29" s="34"/>
      <c r="AV29" s="34"/>
      <c r="AW29" s="34"/>
      <c r="AX29" s="34"/>
      <c r="AY29" s="34"/>
    </row>
    <row r="30" spans="1:51" ht="37.5" customHeight="1" x14ac:dyDescent="0.3">
      <c r="A30" s="23" t="s">
        <v>312</v>
      </c>
      <c r="B30" s="34" t="s">
        <v>25</v>
      </c>
      <c r="C30" s="34" t="s">
        <v>26</v>
      </c>
      <c r="D30" s="34">
        <v>441.8</v>
      </c>
      <c r="E30" s="24">
        <f t="shared" si="0"/>
        <v>24011.483329145256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>
        <v>14630.740319310567</v>
      </c>
      <c r="AS30" s="34">
        <v>9380.7430098346886</v>
      </c>
      <c r="AT30" s="34"/>
      <c r="AU30" s="34"/>
      <c r="AV30" s="34"/>
      <c r="AW30" s="34"/>
      <c r="AX30" s="34"/>
      <c r="AY30" s="34"/>
    </row>
    <row r="31" spans="1:51" ht="37.5" customHeight="1" x14ac:dyDescent="0.3">
      <c r="A31" s="23"/>
      <c r="B31" s="34" t="s">
        <v>297</v>
      </c>
      <c r="C31" s="34"/>
      <c r="D31" s="24">
        <f>SUM(D16:D30)</f>
        <v>13024.599999999999</v>
      </c>
      <c r="E31" s="24">
        <f>SUM(E16:E30)</f>
        <v>1060541.2806112575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</row>
    <row r="32" spans="1:51" ht="37.5" customHeight="1" x14ac:dyDescent="0.3">
      <c r="A32" s="23"/>
      <c r="B32" s="27" t="s">
        <v>296</v>
      </c>
      <c r="C32" s="34"/>
      <c r="D32" s="34"/>
      <c r="E32" s="2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</row>
    <row r="33" spans="1:51" ht="56.25" customHeight="1" x14ac:dyDescent="0.3">
      <c r="A33" s="23" t="s">
        <v>298</v>
      </c>
      <c r="B33" s="34" t="s">
        <v>9</v>
      </c>
      <c r="C33" s="34" t="s">
        <v>10</v>
      </c>
      <c r="D33" s="34">
        <v>7098.7</v>
      </c>
      <c r="E33" s="24">
        <f t="shared" ref="E33:E47" si="3">SUM(F33:AU33)</f>
        <v>40809.86</v>
      </c>
      <c r="F33" s="34"/>
      <c r="G33" s="34"/>
      <c r="H33" s="34"/>
      <c r="I33" s="34">
        <v>25309.86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>
        <v>15500</v>
      </c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</row>
    <row r="34" spans="1:51" ht="37.5" customHeight="1" x14ac:dyDescent="0.3">
      <c r="A34" s="23" t="s">
        <v>299</v>
      </c>
      <c r="B34" s="34" t="s">
        <v>11</v>
      </c>
      <c r="C34" s="34" t="s">
        <v>12</v>
      </c>
      <c r="D34" s="34">
        <v>1070.3</v>
      </c>
      <c r="E34" s="24">
        <f t="shared" si="3"/>
        <v>0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</row>
    <row r="35" spans="1:51" ht="37.5" customHeight="1" x14ac:dyDescent="0.3">
      <c r="A35" s="23" t="s">
        <v>300</v>
      </c>
      <c r="B35" s="34" t="s">
        <v>13</v>
      </c>
      <c r="C35" s="34" t="s">
        <v>12</v>
      </c>
      <c r="D35" s="34">
        <v>1076.9000000000001</v>
      </c>
      <c r="E35" s="24">
        <f t="shared" si="3"/>
        <v>0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</row>
    <row r="36" spans="1:51" ht="37.5" customHeight="1" x14ac:dyDescent="0.3">
      <c r="A36" s="23" t="s">
        <v>301</v>
      </c>
      <c r="B36" s="34" t="s">
        <v>14</v>
      </c>
      <c r="C36" s="34" t="s">
        <v>12</v>
      </c>
      <c r="D36" s="34">
        <v>1909.4</v>
      </c>
      <c r="E36" s="24">
        <f t="shared" si="3"/>
        <v>0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</row>
    <row r="37" spans="1:51" ht="56.25" customHeight="1" x14ac:dyDescent="0.3">
      <c r="A37" s="23" t="s">
        <v>302</v>
      </c>
      <c r="B37" s="34" t="s">
        <v>15</v>
      </c>
      <c r="C37" s="34" t="s">
        <v>10</v>
      </c>
      <c r="D37" s="34">
        <v>161.19999999999999</v>
      </c>
      <c r="E37" s="24">
        <f t="shared" si="3"/>
        <v>0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</row>
    <row r="38" spans="1:51" ht="56.25" customHeight="1" x14ac:dyDescent="0.3">
      <c r="A38" s="23" t="s">
        <v>303</v>
      </c>
      <c r="B38" s="34" t="s">
        <v>16</v>
      </c>
      <c r="C38" s="34" t="s">
        <v>10</v>
      </c>
      <c r="D38" s="34">
        <v>32.200000000000003</v>
      </c>
      <c r="E38" s="24">
        <f t="shared" si="3"/>
        <v>0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</row>
    <row r="39" spans="1:51" ht="37.5" customHeight="1" x14ac:dyDescent="0.3">
      <c r="A39" s="23" t="s">
        <v>304</v>
      </c>
      <c r="B39" s="34" t="s">
        <v>17</v>
      </c>
      <c r="C39" s="34" t="s">
        <v>12</v>
      </c>
      <c r="D39" s="34">
        <v>67.099999999999994</v>
      </c>
      <c r="E39" s="24">
        <f t="shared" si="3"/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</row>
    <row r="40" spans="1:51" ht="37.5" customHeight="1" x14ac:dyDescent="0.3">
      <c r="A40" s="23" t="s">
        <v>305</v>
      </c>
      <c r="B40" s="34" t="s">
        <v>18</v>
      </c>
      <c r="C40" s="34" t="s">
        <v>12</v>
      </c>
      <c r="D40" s="34">
        <v>43.9</v>
      </c>
      <c r="E40" s="24">
        <f t="shared" si="3"/>
        <v>0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</row>
    <row r="41" spans="1:51" ht="56.25" customHeight="1" x14ac:dyDescent="0.3">
      <c r="A41" s="23" t="s">
        <v>306</v>
      </c>
      <c r="B41" s="34" t="s">
        <v>19</v>
      </c>
      <c r="C41" s="34" t="s">
        <v>10</v>
      </c>
      <c r="D41" s="34">
        <v>93.8</v>
      </c>
      <c r="E41" s="24">
        <f t="shared" si="3"/>
        <v>0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0</v>
      </c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</row>
    <row r="42" spans="1:51" ht="56.25" customHeight="1" x14ac:dyDescent="0.3">
      <c r="A42" s="23" t="s">
        <v>307</v>
      </c>
      <c r="B42" s="34" t="s">
        <v>20</v>
      </c>
      <c r="C42" s="34" t="s">
        <v>10</v>
      </c>
      <c r="D42" s="34">
        <v>53.7</v>
      </c>
      <c r="E42" s="24">
        <f t="shared" si="3"/>
        <v>0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</row>
    <row r="43" spans="1:51" ht="37.5" customHeight="1" x14ac:dyDescent="0.3">
      <c r="A43" s="23" t="s">
        <v>308</v>
      </c>
      <c r="B43" s="34" t="s">
        <v>21</v>
      </c>
      <c r="C43" s="34" t="s">
        <v>12</v>
      </c>
      <c r="D43" s="34">
        <v>454.3</v>
      </c>
      <c r="E43" s="24">
        <f t="shared" si="3"/>
        <v>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</row>
    <row r="44" spans="1:51" ht="56.25" customHeight="1" x14ac:dyDescent="0.3">
      <c r="A44" s="23" t="s">
        <v>309</v>
      </c>
      <c r="B44" s="34" t="s">
        <v>22</v>
      </c>
      <c r="C44" s="34" t="s">
        <v>10</v>
      </c>
      <c r="D44" s="34">
        <v>91</v>
      </c>
      <c r="E44" s="24">
        <f t="shared" si="3"/>
        <v>0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</row>
    <row r="45" spans="1:51" ht="37.5" customHeight="1" x14ac:dyDescent="0.3">
      <c r="A45" s="23" t="s">
        <v>310</v>
      </c>
      <c r="B45" s="34" t="s">
        <v>23</v>
      </c>
      <c r="C45" s="34" t="s">
        <v>12</v>
      </c>
      <c r="D45" s="34">
        <v>420.5</v>
      </c>
      <c r="E45" s="24">
        <f t="shared" si="3"/>
        <v>72727.3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>
        <v>0</v>
      </c>
      <c r="AC45" s="34">
        <v>72727.3</v>
      </c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</row>
    <row r="46" spans="1:51" ht="56.25" customHeight="1" x14ac:dyDescent="0.3">
      <c r="A46" s="23" t="s">
        <v>311</v>
      </c>
      <c r="B46" s="34" t="s">
        <v>24</v>
      </c>
      <c r="C46" s="34" t="s">
        <v>10</v>
      </c>
      <c r="D46" s="34">
        <v>9.8000000000000007</v>
      </c>
      <c r="E46" s="24">
        <f t="shared" si="3"/>
        <v>0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>
        <v>0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</row>
    <row r="47" spans="1:51" ht="37.5" customHeight="1" x14ac:dyDescent="0.3">
      <c r="A47" s="23" t="s">
        <v>312</v>
      </c>
      <c r="B47" s="34" t="s">
        <v>25</v>
      </c>
      <c r="C47" s="34" t="s">
        <v>26</v>
      </c>
      <c r="D47" s="34">
        <v>441.8</v>
      </c>
      <c r="E47" s="24">
        <f t="shared" si="3"/>
        <v>0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</row>
    <row r="48" spans="1:51" ht="37.5" customHeight="1" x14ac:dyDescent="0.3">
      <c r="A48" s="23"/>
      <c r="B48" s="24" t="s">
        <v>297</v>
      </c>
      <c r="C48" s="34"/>
      <c r="D48" s="24">
        <f>SUM(D33:D47)</f>
        <v>13024.599999999999</v>
      </c>
      <c r="E48" s="24">
        <f>SUM(E33:E47)</f>
        <v>113537.16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</row>
    <row r="49" spans="1:53" ht="37.5" customHeight="1" x14ac:dyDescent="0.3">
      <c r="A49" s="23"/>
      <c r="B49" s="27" t="s">
        <v>295</v>
      </c>
      <c r="C49" s="34"/>
      <c r="D49" s="34"/>
      <c r="E49" s="2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</row>
    <row r="50" spans="1:53" ht="37.5" customHeight="1" x14ac:dyDescent="0.3">
      <c r="A50" s="23" t="s">
        <v>298</v>
      </c>
      <c r="B50" s="34" t="s">
        <v>55</v>
      </c>
      <c r="C50" s="34" t="s">
        <v>56</v>
      </c>
      <c r="D50" s="34">
        <v>637.79999999999995</v>
      </c>
      <c r="E50" s="24">
        <v>0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</row>
    <row r="51" spans="1:53" ht="37.5" customHeight="1" x14ac:dyDescent="0.3">
      <c r="A51" s="23" t="s">
        <v>299</v>
      </c>
      <c r="B51" s="34" t="s">
        <v>57</v>
      </c>
      <c r="C51" s="34" t="s">
        <v>58</v>
      </c>
      <c r="D51" s="34">
        <v>676.6</v>
      </c>
      <c r="E51" s="24">
        <v>92532.639921035981</v>
      </c>
      <c r="F51" s="34">
        <v>2057.319587628866</v>
      </c>
      <c r="G51" s="34">
        <v>2057.319587628866</v>
      </c>
      <c r="H51" s="34">
        <v>0</v>
      </c>
      <c r="I51" s="34">
        <v>33378.82</v>
      </c>
      <c r="J51" s="34"/>
      <c r="K51" s="34"/>
      <c r="L51" s="34">
        <v>3478</v>
      </c>
      <c r="M51" s="34">
        <v>1240</v>
      </c>
      <c r="N51" s="34"/>
      <c r="O51" s="34"/>
      <c r="P51" s="34"/>
      <c r="Q51" s="34"/>
      <c r="R51" s="34">
        <v>0</v>
      </c>
      <c r="S51" s="34">
        <v>3272.7272727272725</v>
      </c>
      <c r="T51" s="34"/>
      <c r="U51" s="34"/>
      <c r="V51" s="34">
        <v>1655.3018454801379</v>
      </c>
      <c r="W51" s="34">
        <v>709.41507663434481</v>
      </c>
      <c r="X51" s="34"/>
      <c r="Y51" s="34"/>
      <c r="Z51" s="34"/>
      <c r="AA51" s="34"/>
      <c r="AB51" s="34"/>
      <c r="AC51" s="34"/>
      <c r="AD51" s="34"/>
      <c r="AE51" s="34"/>
      <c r="AF51" s="34">
        <v>2541.5763162980902</v>
      </c>
      <c r="AG51" s="34">
        <v>2541.5763162980902</v>
      </c>
      <c r="AH51" s="34"/>
      <c r="AI51" s="34">
        <v>2827.9048316502403</v>
      </c>
      <c r="AJ51" s="34"/>
      <c r="AK51" s="34"/>
      <c r="AL51" s="34"/>
      <c r="AM51" s="34"/>
      <c r="AN51" s="34"/>
      <c r="AO51" s="34"/>
      <c r="AP51" s="34"/>
      <c r="AQ51" s="34"/>
      <c r="AR51" s="34">
        <v>22406.425758364716</v>
      </c>
      <c r="AS51" s="34">
        <v>14366.253328325376</v>
      </c>
      <c r="AT51" s="34"/>
      <c r="AU51" s="34"/>
      <c r="AV51" s="34"/>
      <c r="AW51" s="34"/>
      <c r="AX51" s="34"/>
      <c r="AY51" s="34"/>
    </row>
    <row r="52" spans="1:53" ht="37.5" customHeight="1" x14ac:dyDescent="0.3">
      <c r="A52" s="23"/>
      <c r="B52" s="24" t="s">
        <v>297</v>
      </c>
      <c r="C52" s="34"/>
      <c r="D52" s="24">
        <f>SUM(D50:D51)</f>
        <v>1314.4</v>
      </c>
      <c r="E52" s="24">
        <f>SUM(E50:E51)</f>
        <v>92532.639921035981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</row>
    <row r="53" spans="1:53" ht="37.5" customHeight="1" x14ac:dyDescent="0.3">
      <c r="A53" s="23"/>
      <c r="B53" s="27" t="s">
        <v>296</v>
      </c>
      <c r="C53" s="34"/>
      <c r="D53" s="34"/>
      <c r="E53" s="2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</row>
    <row r="54" spans="1:53" ht="37.5" customHeight="1" x14ac:dyDescent="0.3">
      <c r="A54" s="2" t="s">
        <v>298</v>
      </c>
      <c r="B54" s="85" t="s">
        <v>55</v>
      </c>
      <c r="C54" s="85" t="s">
        <v>56</v>
      </c>
      <c r="D54" s="85">
        <v>637.79999999999995</v>
      </c>
      <c r="E54" s="85">
        <f t="shared" ref="E54:E55" si="4">SUM(F54:AU54)</f>
        <v>0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31"/>
      <c r="AW54" s="31"/>
      <c r="AX54" s="31"/>
      <c r="AY54" s="31"/>
      <c r="AZ54" s="31"/>
      <c r="BA54" s="31"/>
    </row>
    <row r="55" spans="1:53" ht="37.5" customHeight="1" x14ac:dyDescent="0.3">
      <c r="A55" s="2" t="s">
        <v>299</v>
      </c>
      <c r="B55" s="85" t="s">
        <v>57</v>
      </c>
      <c r="C55" s="85" t="s">
        <v>58</v>
      </c>
      <c r="D55" s="85">
        <f>676.6</f>
        <v>676.6</v>
      </c>
      <c r="E55" s="85">
        <f t="shared" si="4"/>
        <v>1473432.5599999998</v>
      </c>
      <c r="F55" s="85">
        <v>906164.36399999994</v>
      </c>
      <c r="G55" s="85">
        <f>388356.156+20094.49</f>
        <v>408450.64600000001</v>
      </c>
      <c r="H55" s="85">
        <v>0</v>
      </c>
      <c r="I55" s="85">
        <v>45871.75</v>
      </c>
      <c r="J55" s="85">
        <f>(30596.91*0.7)+21417.84</f>
        <v>42835.676999999996</v>
      </c>
      <c r="K55" s="85">
        <f>(30569.91*0.3)+9170.97</f>
        <v>18341.942999999999</v>
      </c>
      <c r="L55" s="85">
        <f>(4130.53+1570.5+1623.84+1570.5+1623.84+6282+6495.36)*0.7</f>
        <v>16307.598999999998</v>
      </c>
      <c r="M55" s="85">
        <f>(4130.53+1570.5+1623.84+1570.5+1623.84+6282+6495.36)*0.3</f>
        <v>6988.9709999999995</v>
      </c>
      <c r="N55" s="85"/>
      <c r="O55" s="85"/>
      <c r="P55" s="85"/>
      <c r="Q55" s="85"/>
      <c r="R55" s="85"/>
      <c r="S55" s="85"/>
      <c r="T55" s="85"/>
      <c r="U55" s="85"/>
      <c r="V55" s="111">
        <f>1951.61*0.7</f>
        <v>1366.127</v>
      </c>
      <c r="W55" s="111">
        <f>1951.61*0.3</f>
        <v>585.48299999999995</v>
      </c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>
        <f>26520*0.7</f>
        <v>18564</v>
      </c>
      <c r="AS55" s="85">
        <f>26520*0.3</f>
        <v>7956</v>
      </c>
      <c r="AT55" s="85"/>
      <c r="AU55" s="85"/>
      <c r="AV55" s="31"/>
      <c r="AW55" s="31"/>
      <c r="AX55" s="31"/>
      <c r="AY55" s="31"/>
      <c r="AZ55" s="31"/>
      <c r="BA55" s="31"/>
    </row>
    <row r="56" spans="1:53" ht="37.5" customHeight="1" x14ac:dyDescent="0.3">
      <c r="A56" s="23"/>
      <c r="B56" s="24" t="s">
        <v>297</v>
      </c>
      <c r="C56" s="34"/>
      <c r="D56" s="24">
        <f>SUM(D54:D55)</f>
        <v>1314.4</v>
      </c>
      <c r="E56" s="24">
        <f>SUM(E54:E55)</f>
        <v>1473432.5599999998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</row>
    <row r="57" spans="1:53" s="28" customFormat="1" ht="22.5" customHeight="1" x14ac:dyDescent="0.3">
      <c r="A57" s="142"/>
      <c r="B57" s="145" t="s">
        <v>179</v>
      </c>
      <c r="C57" s="26" t="s">
        <v>180</v>
      </c>
      <c r="D57" s="148"/>
      <c r="E57" s="149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</row>
    <row r="58" spans="1:53" s="28" customFormat="1" ht="22.5" customHeight="1" x14ac:dyDescent="0.3">
      <c r="A58" s="143"/>
      <c r="B58" s="146"/>
      <c r="C58" s="26" t="s">
        <v>3</v>
      </c>
      <c r="D58" s="148">
        <f>D8+D31+D52</f>
        <v>15687.099999999999</v>
      </c>
      <c r="E58" s="149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</row>
    <row r="59" spans="1:53" s="28" customFormat="1" ht="20.25" customHeight="1" x14ac:dyDescent="0.3">
      <c r="A59" s="144"/>
      <c r="B59" s="147"/>
      <c r="C59" s="27" t="s">
        <v>207</v>
      </c>
      <c r="D59" s="150">
        <f>SUM(F59:AU59)</f>
        <v>3407504.7333782073</v>
      </c>
      <c r="E59" s="151"/>
      <c r="F59" s="27">
        <f t="shared" ref="F59:AY59" si="5">SUM(F4:F56)</f>
        <v>908221.68358762877</v>
      </c>
      <c r="G59" s="27">
        <f t="shared" si="5"/>
        <v>1070407.965587629</v>
      </c>
      <c r="H59" s="27">
        <f t="shared" si="5"/>
        <v>0</v>
      </c>
      <c r="I59" s="27">
        <f t="shared" si="5"/>
        <v>129504.11</v>
      </c>
      <c r="J59" s="27">
        <f t="shared" si="5"/>
        <v>42835.676999999996</v>
      </c>
      <c r="K59" s="27">
        <f t="shared" si="5"/>
        <v>18341.942999999999</v>
      </c>
      <c r="L59" s="27">
        <f t="shared" si="5"/>
        <v>19785.598999999998</v>
      </c>
      <c r="M59" s="27">
        <f t="shared" si="5"/>
        <v>8228.9709999999995</v>
      </c>
      <c r="N59" s="27">
        <f t="shared" si="5"/>
        <v>0</v>
      </c>
      <c r="O59" s="27">
        <f t="shared" si="5"/>
        <v>0</v>
      </c>
      <c r="P59" s="27">
        <f t="shared" si="5"/>
        <v>0</v>
      </c>
      <c r="Q59" s="27">
        <f t="shared" si="5"/>
        <v>0</v>
      </c>
      <c r="R59" s="27">
        <f t="shared" si="5"/>
        <v>0</v>
      </c>
      <c r="S59" s="27">
        <f t="shared" si="5"/>
        <v>9818.181818181818</v>
      </c>
      <c r="T59" s="27">
        <f t="shared" si="5"/>
        <v>0</v>
      </c>
      <c r="U59" s="27">
        <f t="shared" si="5"/>
        <v>0</v>
      </c>
      <c r="V59" s="27">
        <f t="shared" si="5"/>
        <v>3021.4288454801381</v>
      </c>
      <c r="W59" s="27">
        <f t="shared" si="5"/>
        <v>1294.8980766343448</v>
      </c>
      <c r="X59" s="27">
        <f t="shared" si="5"/>
        <v>0</v>
      </c>
      <c r="Y59" s="27">
        <f t="shared" si="5"/>
        <v>0</v>
      </c>
      <c r="Z59" s="27">
        <f t="shared" si="5"/>
        <v>0</v>
      </c>
      <c r="AA59" s="27">
        <f t="shared" si="5"/>
        <v>0</v>
      </c>
      <c r="AB59" s="27">
        <f t="shared" si="5"/>
        <v>0</v>
      </c>
      <c r="AC59" s="27">
        <f t="shared" si="5"/>
        <v>379927.3</v>
      </c>
      <c r="AD59" s="27">
        <f t="shared" si="5"/>
        <v>0</v>
      </c>
      <c r="AE59" s="27">
        <f t="shared" si="5"/>
        <v>15073.170731707318</v>
      </c>
      <c r="AF59" s="27">
        <f t="shared" si="5"/>
        <v>2541.5763162980902</v>
      </c>
      <c r="AG59" s="27">
        <f t="shared" si="5"/>
        <v>2541.5763162980902</v>
      </c>
      <c r="AH59" s="27">
        <f t="shared" si="5"/>
        <v>0</v>
      </c>
      <c r="AI59" s="27">
        <f t="shared" si="5"/>
        <v>24791.183132109905</v>
      </c>
      <c r="AJ59" s="27">
        <f t="shared" si="5"/>
        <v>0</v>
      </c>
      <c r="AK59" s="27">
        <f t="shared" si="5"/>
        <v>0</v>
      </c>
      <c r="AL59" s="27">
        <f t="shared" si="5"/>
        <v>0</v>
      </c>
      <c r="AM59" s="27">
        <f t="shared" si="5"/>
        <v>0</v>
      </c>
      <c r="AN59" s="27">
        <f t="shared" si="5"/>
        <v>0</v>
      </c>
      <c r="AO59" s="27">
        <f t="shared" si="5"/>
        <v>0</v>
      </c>
      <c r="AP59" s="27">
        <f t="shared" si="5"/>
        <v>0</v>
      </c>
      <c r="AQ59" s="27">
        <f t="shared" si="5"/>
        <v>0</v>
      </c>
      <c r="AR59" s="27">
        <f t="shared" si="5"/>
        <v>472295.77741724305</v>
      </c>
      <c r="AS59" s="27">
        <f t="shared" si="5"/>
        <v>298873.69154899742</v>
      </c>
      <c r="AT59" s="27">
        <f t="shared" si="5"/>
        <v>0</v>
      </c>
      <c r="AU59" s="27">
        <f t="shared" si="5"/>
        <v>0</v>
      </c>
      <c r="AV59" s="27">
        <f t="shared" si="5"/>
        <v>0</v>
      </c>
      <c r="AW59" s="27">
        <f t="shared" si="5"/>
        <v>0</v>
      </c>
      <c r="AX59" s="27">
        <f t="shared" si="5"/>
        <v>0</v>
      </c>
      <c r="AY59" s="27">
        <f t="shared" si="5"/>
        <v>0</v>
      </c>
    </row>
    <row r="61" spans="1:53" ht="37.5" customHeight="1" x14ac:dyDescent="0.3">
      <c r="A61" s="29"/>
      <c r="B61" s="152"/>
      <c r="C61" s="152"/>
      <c r="D61" s="152"/>
      <c r="E61" s="30"/>
    </row>
    <row r="62" spans="1:53" ht="37.5" customHeight="1" x14ac:dyDescent="0.3">
      <c r="A62" s="29"/>
      <c r="B62" s="152"/>
      <c r="C62" s="152"/>
      <c r="D62" s="152"/>
      <c r="E62" s="30"/>
      <c r="G62" s="31"/>
      <c r="H62" s="31"/>
      <c r="I62" s="31"/>
    </row>
    <row r="67" spans="2:5" ht="25.2" x14ac:dyDescent="0.3">
      <c r="B67" s="20"/>
      <c r="C67" s="20"/>
      <c r="D67" s="20"/>
      <c r="E67" s="20"/>
    </row>
  </sheetData>
  <autoFilter ref="A1:AY59" xr:uid="{00000000-0009-0000-0000-000004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A1:A2"/>
    <mergeCell ref="B1:B2"/>
    <mergeCell ref="C1:C2"/>
    <mergeCell ref="D1:D2"/>
    <mergeCell ref="E1:E2"/>
    <mergeCell ref="AX1:AY1"/>
    <mergeCell ref="A57:A59"/>
    <mergeCell ref="B57:B59"/>
    <mergeCell ref="D57:E57"/>
    <mergeCell ref="D58:E58"/>
    <mergeCell ref="D59:E59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B61:D61"/>
    <mergeCell ref="B62:D62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BA52"/>
  <sheetViews>
    <sheetView zoomScale="70" zoomScaleNormal="70" workbookViewId="0">
      <pane ySplit="2" topLeftCell="A33" activePane="bottomLeft" state="frozen"/>
      <selection pane="bottomLeft" activeCell="C4" sqref="C4:C39"/>
    </sheetView>
  </sheetViews>
  <sheetFormatPr defaultColWidth="9.109375" defaultRowHeight="18" x14ac:dyDescent="0.3"/>
  <cols>
    <col min="1" max="1" width="7" style="9" customWidth="1"/>
    <col min="2" max="2" width="38.44140625" style="1" customWidth="1"/>
    <col min="3" max="3" width="49.5546875" style="1" customWidth="1"/>
    <col min="4" max="4" width="23.6640625" style="1" customWidth="1"/>
    <col min="5" max="5" width="22.5546875" style="1" customWidth="1"/>
    <col min="6" max="6" width="22.44140625" style="1" customWidth="1"/>
    <col min="7" max="7" width="20.109375" style="1" customWidth="1"/>
    <col min="8" max="9" width="18.33203125" style="1" customWidth="1"/>
    <col min="10" max="11" width="20.109375" style="1" customWidth="1"/>
    <col min="12" max="12" width="20.33203125" style="1" customWidth="1"/>
    <col min="13" max="13" width="16" style="1" customWidth="1"/>
    <col min="14" max="14" width="11.5546875" style="1" customWidth="1"/>
    <col min="15" max="15" width="18.33203125" style="1" customWidth="1"/>
    <col min="16" max="16" width="13.44140625" style="1" customWidth="1"/>
    <col min="17" max="17" width="18.33203125" style="1" customWidth="1"/>
    <col min="18" max="18" width="11.88671875" style="1" customWidth="1"/>
    <col min="19" max="19" width="16" style="1" customWidth="1"/>
    <col min="20" max="21" width="18.33203125" style="1" customWidth="1"/>
    <col min="22" max="22" width="16" style="1" customWidth="1"/>
    <col min="23" max="23" width="22.5546875" style="1" customWidth="1"/>
    <col min="24" max="25" width="18.33203125" style="1" customWidth="1"/>
    <col min="26" max="26" width="13.44140625" style="1" customWidth="1"/>
    <col min="27" max="27" width="18.33203125" style="1" customWidth="1"/>
    <col min="28" max="29" width="16" style="1" customWidth="1"/>
    <col min="30" max="30" width="13.5546875" style="1" customWidth="1"/>
    <col min="31" max="31" width="16" style="1" customWidth="1"/>
    <col min="32" max="32" width="20.6640625" style="1" customWidth="1"/>
    <col min="33" max="33" width="18.33203125" style="1" customWidth="1"/>
    <col min="34" max="34" width="14.109375" style="1" customWidth="1"/>
    <col min="35" max="35" width="16" style="1" customWidth="1"/>
    <col min="36" max="36" width="18.33203125" style="1" customWidth="1"/>
    <col min="37" max="37" width="20.109375" style="1" customWidth="1"/>
    <col min="38" max="38" width="14.109375" style="1" customWidth="1"/>
    <col min="39" max="39" width="16" style="1" customWidth="1"/>
    <col min="40" max="40" width="12.109375" style="1" customWidth="1"/>
    <col min="41" max="41" width="18.33203125" style="1" customWidth="1"/>
    <col min="42" max="42" width="15.44140625" style="1" customWidth="1"/>
    <col min="43" max="43" width="18.33203125" style="1" customWidth="1"/>
    <col min="44" max="45" width="20.109375" style="1" customWidth="1"/>
    <col min="46" max="46" width="16" style="1" customWidth="1"/>
    <col min="47" max="47" width="16" style="86" customWidth="1"/>
    <col min="48" max="53" width="9.109375" style="86"/>
    <col min="54" max="16384" width="9.109375" style="1"/>
  </cols>
  <sheetData>
    <row r="1" spans="1:47" ht="37.5" customHeight="1" x14ac:dyDescent="0.3">
      <c r="A1" s="120" t="s">
        <v>0</v>
      </c>
      <c r="B1" s="122" t="s">
        <v>1</v>
      </c>
      <c r="C1" s="122" t="s">
        <v>2</v>
      </c>
      <c r="D1" s="122" t="s">
        <v>3</v>
      </c>
      <c r="E1" s="122" t="s">
        <v>208</v>
      </c>
      <c r="F1" s="116" t="s">
        <v>192</v>
      </c>
      <c r="G1" s="116"/>
      <c r="H1" s="116" t="s">
        <v>185</v>
      </c>
      <c r="I1" s="116"/>
      <c r="J1" s="135" t="s">
        <v>547</v>
      </c>
      <c r="K1" s="135"/>
      <c r="L1" s="117" t="s">
        <v>188</v>
      </c>
      <c r="M1" s="118"/>
      <c r="N1" s="117" t="s">
        <v>198</v>
      </c>
      <c r="O1" s="118"/>
      <c r="P1" s="116" t="s">
        <v>189</v>
      </c>
      <c r="Q1" s="116"/>
      <c r="R1" s="116" t="s">
        <v>202</v>
      </c>
      <c r="S1" s="116"/>
      <c r="T1" s="117" t="s">
        <v>190</v>
      </c>
      <c r="U1" s="118"/>
      <c r="V1" s="116" t="s">
        <v>201</v>
      </c>
      <c r="W1" s="116"/>
      <c r="X1" s="117" t="s">
        <v>191</v>
      </c>
      <c r="Y1" s="118"/>
      <c r="Z1" s="116" t="s">
        <v>193</v>
      </c>
      <c r="AA1" s="116"/>
      <c r="AB1" s="116" t="s">
        <v>194</v>
      </c>
      <c r="AC1" s="116"/>
      <c r="AD1" s="116" t="s">
        <v>195</v>
      </c>
      <c r="AE1" s="116"/>
      <c r="AF1" s="116" t="s">
        <v>196</v>
      </c>
      <c r="AG1" s="116"/>
      <c r="AH1" s="116" t="s">
        <v>206</v>
      </c>
      <c r="AI1" s="116"/>
      <c r="AJ1" s="116" t="s">
        <v>197</v>
      </c>
      <c r="AK1" s="116"/>
      <c r="AL1" s="116" t="s">
        <v>199</v>
      </c>
      <c r="AM1" s="116"/>
      <c r="AN1" s="116" t="s">
        <v>200</v>
      </c>
      <c r="AO1" s="116"/>
      <c r="AP1" s="117" t="s">
        <v>203</v>
      </c>
      <c r="AQ1" s="118"/>
      <c r="AR1" s="116" t="s">
        <v>204</v>
      </c>
      <c r="AS1" s="116"/>
      <c r="AT1" s="116" t="s">
        <v>205</v>
      </c>
      <c r="AU1" s="116"/>
    </row>
    <row r="2" spans="1:47" x14ac:dyDescent="0.3">
      <c r="A2" s="121"/>
      <c r="B2" s="123"/>
      <c r="C2" s="123"/>
      <c r="D2" s="123"/>
      <c r="E2" s="123"/>
      <c r="F2" s="84" t="s">
        <v>186</v>
      </c>
      <c r="G2" s="84" t="s">
        <v>187</v>
      </c>
      <c r="H2" s="37" t="s">
        <v>186</v>
      </c>
      <c r="I2" s="37" t="s">
        <v>187</v>
      </c>
      <c r="J2" s="37" t="s">
        <v>186</v>
      </c>
      <c r="K2" s="37" t="s">
        <v>187</v>
      </c>
      <c r="L2" s="37" t="s">
        <v>186</v>
      </c>
      <c r="M2" s="37" t="s">
        <v>187</v>
      </c>
      <c r="N2" s="37" t="s">
        <v>186</v>
      </c>
      <c r="O2" s="37" t="s">
        <v>187</v>
      </c>
      <c r="P2" s="37" t="s">
        <v>186</v>
      </c>
      <c r="Q2" s="37" t="s">
        <v>187</v>
      </c>
      <c r="R2" s="37" t="s">
        <v>186</v>
      </c>
      <c r="S2" s="37" t="s">
        <v>187</v>
      </c>
      <c r="T2" s="37" t="s">
        <v>186</v>
      </c>
      <c r="U2" s="37" t="s">
        <v>187</v>
      </c>
      <c r="V2" s="37" t="s">
        <v>186</v>
      </c>
      <c r="W2" s="37" t="s">
        <v>187</v>
      </c>
      <c r="X2" s="37" t="s">
        <v>186</v>
      </c>
      <c r="Y2" s="37" t="s">
        <v>187</v>
      </c>
      <c r="Z2" s="37" t="s">
        <v>186</v>
      </c>
      <c r="AA2" s="37" t="s">
        <v>187</v>
      </c>
      <c r="AB2" s="37" t="s">
        <v>186</v>
      </c>
      <c r="AC2" s="37" t="s">
        <v>187</v>
      </c>
      <c r="AD2" s="37" t="s">
        <v>186</v>
      </c>
      <c r="AE2" s="37" t="s">
        <v>187</v>
      </c>
      <c r="AF2" s="37" t="s">
        <v>186</v>
      </c>
      <c r="AG2" s="37" t="s">
        <v>187</v>
      </c>
      <c r="AH2" s="37" t="s">
        <v>186</v>
      </c>
      <c r="AI2" s="37" t="s">
        <v>187</v>
      </c>
      <c r="AJ2" s="37" t="s">
        <v>186</v>
      </c>
      <c r="AK2" s="37" t="s">
        <v>187</v>
      </c>
      <c r="AL2" s="37" t="s">
        <v>186</v>
      </c>
      <c r="AM2" s="37" t="s">
        <v>187</v>
      </c>
      <c r="AN2" s="37" t="s">
        <v>186</v>
      </c>
      <c r="AO2" s="37" t="s">
        <v>187</v>
      </c>
      <c r="AP2" s="37" t="s">
        <v>186</v>
      </c>
      <c r="AQ2" s="37" t="s">
        <v>187</v>
      </c>
      <c r="AR2" s="37" t="s">
        <v>186</v>
      </c>
      <c r="AS2" s="37" t="s">
        <v>187</v>
      </c>
      <c r="AT2" s="89" t="s">
        <v>186</v>
      </c>
      <c r="AU2" s="86" t="s">
        <v>187</v>
      </c>
    </row>
    <row r="3" spans="1:47" x14ac:dyDescent="0.3">
      <c r="A3" s="39"/>
      <c r="B3" s="42" t="s">
        <v>295</v>
      </c>
      <c r="C3" s="40"/>
      <c r="D3" s="40"/>
      <c r="E3" s="40"/>
      <c r="F3" s="84"/>
      <c r="G3" s="84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92"/>
      <c r="AU3" s="92"/>
    </row>
    <row r="4" spans="1:47" ht="36" x14ac:dyDescent="0.3">
      <c r="A4" s="2" t="s">
        <v>298</v>
      </c>
      <c r="B4" s="37" t="s">
        <v>14</v>
      </c>
      <c r="C4" s="37" t="s">
        <v>12</v>
      </c>
      <c r="D4" s="37">
        <v>1909.4</v>
      </c>
      <c r="E4" s="3">
        <f t="shared" ref="E4:E11" si="0">SUM(F4:AU4)</f>
        <v>108229.74446549293</v>
      </c>
      <c r="F4" s="84"/>
      <c r="G4" s="84"/>
      <c r="H4" s="37">
        <v>0</v>
      </c>
      <c r="I4" s="37">
        <v>3656.7313078328712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>
        <v>0</v>
      </c>
      <c r="AI4" s="37">
        <v>798.62142232743736</v>
      </c>
      <c r="AJ4" s="37"/>
      <c r="AK4" s="37"/>
      <c r="AL4" s="37"/>
      <c r="AM4" s="37"/>
      <c r="AN4" s="37"/>
      <c r="AO4" s="37"/>
      <c r="AP4" s="37"/>
      <c r="AQ4" s="37"/>
      <c r="AR4" s="37">
        <v>63232.085934114075</v>
      </c>
      <c r="AS4" s="37">
        <v>40542.30580121855</v>
      </c>
      <c r="AT4" s="92"/>
      <c r="AU4" s="92"/>
    </row>
    <row r="5" spans="1:47" ht="36" x14ac:dyDescent="0.3">
      <c r="A5" s="2" t="s">
        <v>299</v>
      </c>
      <c r="B5" s="37" t="s">
        <v>30</v>
      </c>
      <c r="C5" s="37" t="s">
        <v>31</v>
      </c>
      <c r="D5" s="37">
        <v>3918.8</v>
      </c>
      <c r="E5" s="3">
        <f t="shared" si="0"/>
        <v>983062.64654940763</v>
      </c>
      <c r="F5" s="84">
        <v>63563.432049023708</v>
      </c>
      <c r="G5" s="84">
        <f>19499.7136808391+179672.634168151+265171.986015563+6185.5605013101</f>
        <v>470529.89436586323</v>
      </c>
      <c r="H5" s="37">
        <v>21813.708436196241</v>
      </c>
      <c r="I5" s="37">
        <v>23427.922860474762</v>
      </c>
      <c r="J5" s="37">
        <v>0</v>
      </c>
      <c r="K5" s="37">
        <v>29031.243490663041</v>
      </c>
      <c r="L5" s="37">
        <v>0</v>
      </c>
      <c r="M5" s="37">
        <v>5497.0545259214532</v>
      </c>
      <c r="N5" s="37"/>
      <c r="O5" s="37"/>
      <c r="P5" s="37"/>
      <c r="Q5" s="37"/>
      <c r="R5" s="37">
        <v>0</v>
      </c>
      <c r="S5" s="37">
        <v>6545.454545454545</v>
      </c>
      <c r="T5" s="37"/>
      <c r="U5" s="37"/>
      <c r="V5" s="37">
        <v>0</v>
      </c>
      <c r="W5" s="37">
        <v>10220.999873483011</v>
      </c>
      <c r="X5" s="37">
        <v>81466.7</v>
      </c>
      <c r="Y5" s="37">
        <v>16293.34</v>
      </c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>
        <v>11096.858231038243</v>
      </c>
      <c r="AS5" s="37">
        <v>243576.03817128943</v>
      </c>
      <c r="AT5" s="92"/>
      <c r="AU5" s="92"/>
    </row>
    <row r="6" spans="1:47" ht="36" x14ac:dyDescent="0.3">
      <c r="A6" s="2" t="s">
        <v>300</v>
      </c>
      <c r="B6" s="37" t="s">
        <v>30</v>
      </c>
      <c r="C6" s="37" t="s">
        <v>41</v>
      </c>
      <c r="D6" s="37">
        <v>1239.3</v>
      </c>
      <c r="E6" s="3">
        <f t="shared" si="0"/>
        <v>792545.08616020321</v>
      </c>
      <c r="F6" s="84">
        <f>235276.283618582+51432.9896907217</f>
        <v>286709.27330930368</v>
      </c>
      <c r="G6" s="84">
        <f>100196.122947957+51432.9896907217</f>
        <v>151629.11263867869</v>
      </c>
      <c r="H6" s="4">
        <v>94323.37</v>
      </c>
      <c r="I6" s="37">
        <v>0</v>
      </c>
      <c r="J6" s="37"/>
      <c r="K6" s="37"/>
      <c r="L6" s="37">
        <v>7450</v>
      </c>
      <c r="M6" s="37">
        <v>2660</v>
      </c>
      <c r="N6" s="37">
        <v>0</v>
      </c>
      <c r="O6" s="37">
        <v>60000</v>
      </c>
      <c r="P6" s="37"/>
      <c r="Q6" s="37"/>
      <c r="R6" s="37">
        <v>0</v>
      </c>
      <c r="S6" s="37">
        <v>3272.7272727272725</v>
      </c>
      <c r="T6" s="37"/>
      <c r="U6" s="37"/>
      <c r="V6" s="37">
        <v>7081.0134501094772</v>
      </c>
      <c r="W6" s="37">
        <v>3034.7200500469189</v>
      </c>
      <c r="X6" s="37"/>
      <c r="Y6" s="37"/>
      <c r="Z6" s="37"/>
      <c r="AA6" s="37"/>
      <c r="AB6" s="37"/>
      <c r="AC6" s="37"/>
      <c r="AD6" s="37"/>
      <c r="AE6" s="37"/>
      <c r="AF6" s="37">
        <f>18528.9680320555+4655.29933311886</f>
        <v>23184.267365174361</v>
      </c>
      <c r="AG6" s="37">
        <f>19734.1671255245+4655.29933311886</f>
        <v>24389.466458643357</v>
      </c>
      <c r="AH6" s="37">
        <v>0</v>
      </c>
      <c r="AI6" s="37">
        <v>5179.7553323442844</v>
      </c>
      <c r="AJ6" s="37"/>
      <c r="AK6" s="37"/>
      <c r="AL6" s="37"/>
      <c r="AM6" s="37"/>
      <c r="AN6" s="37"/>
      <c r="AO6" s="37"/>
      <c r="AP6" s="37"/>
      <c r="AQ6" s="37"/>
      <c r="AR6" s="37">
        <f>46781.2146603117+41040.9155222308</f>
        <v>87822.130182542503</v>
      </c>
      <c r="AS6" s="37">
        <f>9495.18307462956+26314.067026003</f>
        <v>35809.250100632562</v>
      </c>
      <c r="AT6" s="92"/>
      <c r="AU6" s="92"/>
    </row>
    <row r="7" spans="1:47" ht="36" x14ac:dyDescent="0.3">
      <c r="A7" s="2" t="s">
        <v>301</v>
      </c>
      <c r="B7" s="37" t="s">
        <v>30</v>
      </c>
      <c r="C7" s="37" t="s">
        <v>47</v>
      </c>
      <c r="D7" s="37">
        <v>1971</v>
      </c>
      <c r="E7" s="3">
        <f t="shared" si="0"/>
        <v>576379.61650882964</v>
      </c>
      <c r="F7" s="84">
        <v>31969.869492861519</v>
      </c>
      <c r="G7" s="84">
        <f>90368.1642200228+168502.617801047+88243.32+3111.0900653471</f>
        <v>350225.19208641688</v>
      </c>
      <c r="H7" s="37">
        <v>10971.424754451054</v>
      </c>
      <c r="I7" s="37">
        <v>11783.310186280432</v>
      </c>
      <c r="J7" s="37">
        <v>0</v>
      </c>
      <c r="K7" s="37">
        <v>8386.8036750804349</v>
      </c>
      <c r="L7" s="37">
        <v>0</v>
      </c>
      <c r="M7" s="37">
        <v>2764.7990381216655</v>
      </c>
      <c r="N7" s="37"/>
      <c r="O7" s="37"/>
      <c r="P7" s="37"/>
      <c r="Q7" s="37"/>
      <c r="R7" s="37">
        <v>0</v>
      </c>
      <c r="S7" s="37">
        <v>6545.454545454545</v>
      </c>
      <c r="T7" s="37">
        <v>8870.3537715505117</v>
      </c>
      <c r="U7" s="37">
        <v>960.95499191797205</v>
      </c>
      <c r="V7" s="37">
        <v>10670.396102138411</v>
      </c>
      <c r="W7" s="37">
        <v>5140.7550144521329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>
        <v>5581.2768126407</v>
      </c>
      <c r="AS7" s="37">
        <v>122509.02603746337</v>
      </c>
      <c r="AT7" s="92"/>
      <c r="AU7" s="92"/>
    </row>
    <row r="8" spans="1:47" ht="36" x14ac:dyDescent="0.3">
      <c r="A8" s="2" t="s">
        <v>302</v>
      </c>
      <c r="B8" s="37" t="s">
        <v>53</v>
      </c>
      <c r="C8" s="37" t="s">
        <v>54</v>
      </c>
      <c r="D8" s="37">
        <v>971.9</v>
      </c>
      <c r="E8" s="3">
        <f t="shared" si="0"/>
        <v>2492753.0047662822</v>
      </c>
      <c r="F8" s="84">
        <f>16458.5567010309+440000</f>
        <v>456458.55670103087</v>
      </c>
      <c r="G8" s="84">
        <f>16458.5567010309+220000+220000+220000+120645+440000</f>
        <v>1237103.556701031</v>
      </c>
      <c r="H8" s="37"/>
      <c r="I8" s="37"/>
      <c r="J8" s="37">
        <v>86756.364167525506</v>
      </c>
      <c r="K8" s="37">
        <f>298500+86756.3641675255</f>
        <v>385256.36416752549</v>
      </c>
      <c r="L8" s="37">
        <v>5970</v>
      </c>
      <c r="M8" s="37">
        <v>2130</v>
      </c>
      <c r="N8" s="37"/>
      <c r="O8" s="37"/>
      <c r="P8" s="37"/>
      <c r="Q8" s="37"/>
      <c r="R8" s="37">
        <v>0</v>
      </c>
      <c r="S8" s="37">
        <v>3272.7272727272725</v>
      </c>
      <c r="T8" s="37"/>
      <c r="U8" s="37"/>
      <c r="V8" s="37">
        <v>5110.4160150140751</v>
      </c>
      <c r="W8" s="37">
        <v>2190.1782921488893</v>
      </c>
      <c r="X8" s="37"/>
      <c r="Y8" s="37"/>
      <c r="Z8" s="37"/>
      <c r="AA8" s="37"/>
      <c r="AB8" s="37"/>
      <c r="AC8" s="37"/>
      <c r="AD8" s="37"/>
      <c r="AE8" s="37"/>
      <c r="AF8" s="37">
        <f>14531.0288310778+3650.83952381039</f>
        <v>18181.868354888189</v>
      </c>
      <c r="AG8" s="37">
        <f>15476.1857736603+170178+3650.83952381039</f>
        <v>189305.02529747071</v>
      </c>
      <c r="AH8" s="37">
        <v>0</v>
      </c>
      <c r="AI8" s="37">
        <v>4062.1352436903176</v>
      </c>
      <c r="AJ8" s="37"/>
      <c r="AK8" s="37"/>
      <c r="AL8" s="37"/>
      <c r="AM8" s="37"/>
      <c r="AN8" s="37"/>
      <c r="AO8" s="37"/>
      <c r="AP8" s="37"/>
      <c r="AQ8" s="37"/>
      <c r="AR8" s="37">
        <f>36687.3739436431+32185.6417300542</f>
        <v>68873.0156736973</v>
      </c>
      <c r="AS8" s="37">
        <f>7446.43623838656+20636.3606411461</f>
        <v>28082.79687953266</v>
      </c>
      <c r="AT8" s="92"/>
      <c r="AU8" s="92"/>
    </row>
    <row r="9" spans="1:47" ht="36" x14ac:dyDescent="0.3">
      <c r="A9" s="2" t="s">
        <v>303</v>
      </c>
      <c r="B9" s="37" t="s">
        <v>55</v>
      </c>
      <c r="C9" s="37" t="s">
        <v>56</v>
      </c>
      <c r="D9" s="37">
        <v>637.79999999999995</v>
      </c>
      <c r="E9" s="3">
        <f t="shared" si="0"/>
        <v>0</v>
      </c>
      <c r="F9" s="84"/>
      <c r="G9" s="84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92"/>
      <c r="AU9" s="92"/>
    </row>
    <row r="10" spans="1:47" ht="36" x14ac:dyDescent="0.3">
      <c r="A10" s="2" t="s">
        <v>304</v>
      </c>
      <c r="B10" s="37" t="s">
        <v>57</v>
      </c>
      <c r="C10" s="37" t="s">
        <v>58</v>
      </c>
      <c r="D10" s="37">
        <f>676.6</f>
        <v>676.6</v>
      </c>
      <c r="E10" s="3">
        <f t="shared" si="0"/>
        <v>92532.639921035981</v>
      </c>
      <c r="F10" s="84">
        <v>2057.319587628866</v>
      </c>
      <c r="G10" s="84">
        <v>2057.319587628866</v>
      </c>
      <c r="H10" s="37">
        <v>0</v>
      </c>
      <c r="I10" s="37">
        <f>33378.82</f>
        <v>33378.82</v>
      </c>
      <c r="J10" s="37"/>
      <c r="K10" s="37"/>
      <c r="L10" s="37">
        <v>3478</v>
      </c>
      <c r="M10" s="37">
        <v>1240</v>
      </c>
      <c r="N10" s="37"/>
      <c r="O10" s="37"/>
      <c r="P10" s="37"/>
      <c r="Q10" s="37"/>
      <c r="R10" s="37">
        <v>0</v>
      </c>
      <c r="S10" s="37">
        <v>3272.7272727272725</v>
      </c>
      <c r="T10" s="37"/>
      <c r="U10" s="37"/>
      <c r="V10" s="37">
        <v>1655.3018454801379</v>
      </c>
      <c r="W10" s="37">
        <v>709.41507663434481</v>
      </c>
      <c r="X10" s="37"/>
      <c r="Y10" s="37"/>
      <c r="Z10" s="37"/>
      <c r="AA10" s="37"/>
      <c r="AB10" s="37"/>
      <c r="AC10" s="37"/>
      <c r="AD10" s="37"/>
      <c r="AE10" s="37"/>
      <c r="AF10" s="37">
        <f>2541.57631629809</f>
        <v>2541.5763162980902</v>
      </c>
      <c r="AG10" s="37">
        <f>2541.57631629809</f>
        <v>2541.5763162980902</v>
      </c>
      <c r="AH10" s="37">
        <v>0</v>
      </c>
      <c r="AI10" s="37">
        <v>2827.9048316502403</v>
      </c>
      <c r="AJ10" s="37"/>
      <c r="AK10" s="37"/>
      <c r="AL10" s="37"/>
      <c r="AM10" s="37"/>
      <c r="AN10" s="37"/>
      <c r="AO10" s="37"/>
      <c r="AP10" s="37"/>
      <c r="AQ10" s="37"/>
      <c r="AR10" s="37">
        <v>22406.425758364716</v>
      </c>
      <c r="AS10" s="37">
        <v>14366.253328325376</v>
      </c>
      <c r="AT10" s="92"/>
      <c r="AU10" s="92"/>
    </row>
    <row r="11" spans="1:47" ht="36" x14ac:dyDescent="0.3">
      <c r="A11" s="2" t="s">
        <v>305</v>
      </c>
      <c r="B11" s="37" t="s">
        <v>30</v>
      </c>
      <c r="C11" s="37" t="s">
        <v>68</v>
      </c>
      <c r="D11" s="37">
        <v>4466.7</v>
      </c>
      <c r="E11" s="3">
        <f t="shared" si="0"/>
        <v>5437443.7630438823</v>
      </c>
      <c r="F11" s="84">
        <v>0</v>
      </c>
      <c r="G11" s="84">
        <f>33078+1275000</f>
        <v>1308078</v>
      </c>
      <c r="H11" s="37"/>
      <c r="I11" s="37"/>
      <c r="J11" s="37">
        <v>0</v>
      </c>
      <c r="K11" s="37">
        <f>359000+860250+1385701.76114874</f>
        <v>2604951.7611487401</v>
      </c>
      <c r="L11" s="37">
        <v>0</v>
      </c>
      <c r="M11" s="37">
        <v>7509.3649931649215</v>
      </c>
      <c r="N11" s="37"/>
      <c r="O11" s="37"/>
      <c r="P11" s="37">
        <v>0</v>
      </c>
      <c r="Q11" s="37">
        <v>7301.8867924528295</v>
      </c>
      <c r="R11" s="37">
        <v>0</v>
      </c>
      <c r="S11" s="37">
        <f>6545.45454545455+30000+28604.4</f>
        <v>65149.854545454553</v>
      </c>
      <c r="T11" s="37"/>
      <c r="U11" s="37"/>
      <c r="V11" s="37">
        <v>0</v>
      </c>
      <c r="W11" s="37">
        <v>36000</v>
      </c>
      <c r="X11" s="37">
        <v>0</v>
      </c>
      <c r="Y11" s="37">
        <f>79585.5+284582.98</f>
        <v>364168.48</v>
      </c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>
        <v>0</v>
      </c>
      <c r="AS11" s="37">
        <f>287818.14+756466.275564069</f>
        <v>1044284.4155640691</v>
      </c>
      <c r="AT11" s="92"/>
      <c r="AU11" s="92"/>
    </row>
    <row r="12" spans="1:47" ht="36" x14ac:dyDescent="0.3">
      <c r="A12" s="2" t="s">
        <v>306</v>
      </c>
      <c r="B12" s="4" t="s">
        <v>104</v>
      </c>
      <c r="C12" s="4" t="s">
        <v>105</v>
      </c>
      <c r="D12" s="4">
        <v>11351</v>
      </c>
      <c r="E12" s="3">
        <f t="shared" ref="E12:E18" si="1">SUM(F12:AU12)</f>
        <v>7705535.2201394243</v>
      </c>
      <c r="F12" s="84">
        <v>197502.68041237112</v>
      </c>
      <c r="G12" s="84">
        <f>197502.680412371+60201+260000+1509900</f>
        <v>2027603.6804123709</v>
      </c>
      <c r="H12" s="4">
        <v>814567.61</v>
      </c>
      <c r="I12" s="37">
        <v>185432.39</v>
      </c>
      <c r="J12" s="37">
        <v>1013243.63583247</v>
      </c>
      <c r="K12" s="37">
        <f>297000+295000+1013243.63583247</f>
        <v>1605243.6358324699</v>
      </c>
      <c r="L12" s="37">
        <v>52210</v>
      </c>
      <c r="M12" s="37">
        <v>18630</v>
      </c>
      <c r="N12" s="37">
        <v>0</v>
      </c>
      <c r="O12" s="37">
        <f>26629.2134831461+199500</f>
        <v>226129.2134831461</v>
      </c>
      <c r="P12" s="37"/>
      <c r="Q12" s="37"/>
      <c r="R12" s="37">
        <v>0</v>
      </c>
      <c r="S12" s="37">
        <v>6545.454545454545</v>
      </c>
      <c r="T12" s="37"/>
      <c r="U12" s="37"/>
      <c r="V12" s="37">
        <v>43931.185486393493</v>
      </c>
      <c r="W12" s="37">
        <v>18827.650922740071</v>
      </c>
      <c r="X12" s="37">
        <f>51442.3076923077+225000</f>
        <v>276442.30769230769</v>
      </c>
      <c r="Y12" s="37">
        <v>213062.3475</v>
      </c>
      <c r="Z12" s="37"/>
      <c r="AA12" s="37"/>
      <c r="AB12" s="37"/>
      <c r="AC12" s="37"/>
      <c r="AD12" s="37">
        <v>0</v>
      </c>
      <c r="AE12" s="37">
        <v>7536.5853658536589</v>
      </c>
      <c r="AF12" s="37">
        <f>169710.57543118+42638.8305738983</f>
        <v>212349.40600507832</v>
      </c>
      <c r="AG12" s="37">
        <f>180749.238313426+42638.8305738983</f>
        <v>223388.06888732431</v>
      </c>
      <c r="AH12" s="37">
        <v>0</v>
      </c>
      <c r="AI12" s="37">
        <v>47442.429417768071</v>
      </c>
      <c r="AJ12" s="37"/>
      <c r="AK12" s="37"/>
      <c r="AL12" s="37"/>
      <c r="AM12" s="37"/>
      <c r="AN12" s="37"/>
      <c r="AO12" s="37"/>
      <c r="AP12" s="37"/>
      <c r="AQ12" s="37"/>
      <c r="AR12" s="37">
        <v>428478.63117017527</v>
      </c>
      <c r="AS12" s="37">
        <v>86968.307173501264</v>
      </c>
      <c r="AT12" s="92"/>
      <c r="AU12" s="92"/>
    </row>
    <row r="13" spans="1:47" ht="36" x14ac:dyDescent="0.3">
      <c r="A13" s="2" t="s">
        <v>307</v>
      </c>
      <c r="B13" s="4" t="s">
        <v>106</v>
      </c>
      <c r="C13" s="4" t="s">
        <v>107</v>
      </c>
      <c r="D13" s="4">
        <v>8800.7000000000007</v>
      </c>
      <c r="E13" s="3">
        <f t="shared" si="1"/>
        <v>6545.454545454545</v>
      </c>
      <c r="F13" s="84"/>
      <c r="G13" s="84"/>
      <c r="H13" s="4"/>
      <c r="I13" s="37"/>
      <c r="J13" s="37"/>
      <c r="K13" s="37"/>
      <c r="L13" s="37"/>
      <c r="M13" s="37"/>
      <c r="N13" s="37"/>
      <c r="O13" s="37"/>
      <c r="P13" s="37"/>
      <c r="Q13" s="37"/>
      <c r="R13" s="37">
        <v>0</v>
      </c>
      <c r="S13" s="37">
        <v>6545.454545454545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92"/>
      <c r="AU13" s="92"/>
    </row>
    <row r="14" spans="1:47" ht="36" x14ac:dyDescent="0.3">
      <c r="A14" s="2" t="s">
        <v>308</v>
      </c>
      <c r="B14" s="4" t="s">
        <v>108</v>
      </c>
      <c r="C14" s="4" t="s">
        <v>107</v>
      </c>
      <c r="D14" s="4">
        <v>6435.4</v>
      </c>
      <c r="E14" s="3">
        <f t="shared" si="1"/>
        <v>3403933.1940787206</v>
      </c>
      <c r="F14" s="84">
        <v>164585.56701030899</v>
      </c>
      <c r="G14" s="84">
        <f>696000+164585.567010309</f>
        <v>860585.56701030897</v>
      </c>
      <c r="H14" s="4">
        <v>447525</v>
      </c>
      <c r="I14" s="37">
        <v>0</v>
      </c>
      <c r="J14" s="37">
        <v>0</v>
      </c>
      <c r="K14" s="37">
        <v>705500</v>
      </c>
      <c r="L14" s="37">
        <v>20400</v>
      </c>
      <c r="M14" s="37">
        <v>7300</v>
      </c>
      <c r="N14" s="37">
        <v>0</v>
      </c>
      <c r="O14" s="37">
        <v>10651.685393258427</v>
      </c>
      <c r="P14" s="37">
        <v>0</v>
      </c>
      <c r="Q14" s="37">
        <v>79990</v>
      </c>
      <c r="R14" s="37">
        <v>0</v>
      </c>
      <c r="S14" s="37">
        <v>6545.454545454545</v>
      </c>
      <c r="T14" s="37"/>
      <c r="U14" s="37"/>
      <c r="V14" s="37">
        <v>19272.44291523303</v>
      </c>
      <c r="W14" s="37">
        <f>21600+8259.6</f>
        <v>29859.599999999999</v>
      </c>
      <c r="X14" s="37">
        <f>11317.3076923077+37500</f>
        <v>48817.307692307702</v>
      </c>
      <c r="Y14" s="37">
        <v>35510.391250000001</v>
      </c>
      <c r="Z14" s="37">
        <v>0</v>
      </c>
      <c r="AA14" s="37">
        <v>51464.1</v>
      </c>
      <c r="AB14" s="37"/>
      <c r="AC14" s="37"/>
      <c r="AD14" s="37"/>
      <c r="AE14" s="37"/>
      <c r="AF14" s="37">
        <f>96216.6714060274+24173.8992401784</f>
        <v>120390.5706462058</v>
      </c>
      <c r="AG14" s="37">
        <f>102474.993237796+24173.8992401784</f>
        <v>126648.89247797441</v>
      </c>
      <c r="AH14" s="37">
        <v>0</v>
      </c>
      <c r="AI14" s="37">
        <v>26897.278678099257</v>
      </c>
      <c r="AJ14" s="37"/>
      <c r="AK14" s="37"/>
      <c r="AL14" s="37"/>
      <c r="AM14" s="37"/>
      <c r="AN14" s="37"/>
      <c r="AO14" s="37"/>
      <c r="AP14" s="37"/>
      <c r="AQ14" s="37"/>
      <c r="AR14" s="37">
        <f>242924.093298612+213116.039499527</f>
        <v>456040.13279813901</v>
      </c>
      <c r="AS14" s="37">
        <f>49306.3028794247+136642.900782006</f>
        <v>185949.20366143071</v>
      </c>
      <c r="AT14" s="92"/>
      <c r="AU14" s="92"/>
    </row>
    <row r="15" spans="1:47" ht="36" x14ac:dyDescent="0.3">
      <c r="A15" s="2" t="s">
        <v>309</v>
      </c>
      <c r="B15" s="4" t="s">
        <v>132</v>
      </c>
      <c r="C15" s="4" t="s">
        <v>133</v>
      </c>
      <c r="D15" s="4">
        <v>14009.5</v>
      </c>
      <c r="E15" s="3">
        <f t="shared" si="1"/>
        <v>4260629.8191586649</v>
      </c>
      <c r="F15" s="84">
        <v>347687.01030927838</v>
      </c>
      <c r="G15" s="84">
        <v>347687.01030927838</v>
      </c>
      <c r="H15" s="4">
        <v>560000</v>
      </c>
      <c r="I15" s="37">
        <v>0</v>
      </c>
      <c r="J15" s="37"/>
      <c r="L15" s="37">
        <v>55640</v>
      </c>
      <c r="M15" s="37">
        <v>19860</v>
      </c>
      <c r="N15" s="37"/>
      <c r="O15" s="37"/>
      <c r="P15" s="37"/>
      <c r="Q15" s="37"/>
      <c r="R15" s="37">
        <v>0</v>
      </c>
      <c r="S15" s="37">
        <v>13090.90909090909</v>
      </c>
      <c r="T15" s="37"/>
      <c r="U15" s="37"/>
      <c r="V15" s="37"/>
      <c r="W15" s="37"/>
      <c r="X15" s="37">
        <f>20155+299055.2</f>
        <v>319210.2</v>
      </c>
      <c r="Y15" s="37">
        <f>7455+104080.68</f>
        <v>111535.67999999999</v>
      </c>
      <c r="Z15" s="37"/>
      <c r="AA15" s="37"/>
      <c r="AB15" s="37"/>
      <c r="AC15" s="37"/>
      <c r="AD15" s="37"/>
      <c r="AE15" s="37"/>
      <c r="AF15" s="37">
        <f>209458.224517938+52625.2045568697</f>
        <v>262083.4290748077</v>
      </c>
      <c r="AG15" s="37">
        <f>223082.235411148+52625.2045568697</f>
        <v>275707.43996801769</v>
      </c>
      <c r="AH15" s="37">
        <v>0</v>
      </c>
      <c r="AI15" s="37">
        <v>58553.846791315467</v>
      </c>
      <c r="AJ15" s="37"/>
      <c r="AK15" s="37"/>
      <c r="AL15" s="37">
        <v>0</v>
      </c>
      <c r="AM15" s="37">
        <v>492000</v>
      </c>
      <c r="AN15" s="37"/>
      <c r="AO15" s="37"/>
      <c r="AP15" s="37"/>
      <c r="AQ15" s="37"/>
      <c r="AR15" s="37">
        <f>528831.942857772+463941.504081895</f>
        <v>992773.44693966699</v>
      </c>
      <c r="AS15" s="37">
        <f>107337.018707353+297463.827968038</f>
        <v>404800.84667539096</v>
      </c>
      <c r="AT15" s="92"/>
      <c r="AU15" s="92"/>
    </row>
    <row r="16" spans="1:47" ht="36" x14ac:dyDescent="0.3">
      <c r="A16" s="2" t="s">
        <v>310</v>
      </c>
      <c r="B16" s="4" t="s">
        <v>134</v>
      </c>
      <c r="C16" s="4" t="s">
        <v>135</v>
      </c>
      <c r="D16" s="4">
        <v>11408</v>
      </c>
      <c r="E16" s="3">
        <f t="shared" si="1"/>
        <v>4136203.9876294956</v>
      </c>
      <c r="F16" s="84">
        <v>197502.68041237112</v>
      </c>
      <c r="G16" s="84">
        <v>197502.68041237112</v>
      </c>
      <c r="H16" s="4">
        <v>447525</v>
      </c>
      <c r="I16" s="37">
        <v>0</v>
      </c>
      <c r="J16" s="37"/>
      <c r="K16" s="37"/>
      <c r="L16" s="37">
        <v>49670</v>
      </c>
      <c r="M16" s="37">
        <v>17730</v>
      </c>
      <c r="N16" s="37">
        <v>0</v>
      </c>
      <c r="O16" s="37">
        <f>29880+5325.84</f>
        <v>35205.839999999997</v>
      </c>
      <c r="P16" s="37"/>
      <c r="Q16" s="37"/>
      <c r="R16" s="37">
        <v>0</v>
      </c>
      <c r="S16" s="37">
        <v>9818.181818181818</v>
      </c>
      <c r="T16" s="37"/>
      <c r="U16" s="37"/>
      <c r="V16" s="37"/>
      <c r="W16" s="37"/>
      <c r="X16" s="37">
        <f>34266+299055.2</f>
        <v>333321.2</v>
      </c>
      <c r="Y16" s="37">
        <f>12673.76+104080.68</f>
        <v>116754.43999999999</v>
      </c>
      <c r="Z16" s="37"/>
      <c r="AA16" s="37"/>
      <c r="AB16" s="37"/>
      <c r="AC16" s="37"/>
      <c r="AD16" s="37">
        <v>0</v>
      </c>
      <c r="AE16" s="37">
        <v>7536.5853658536589</v>
      </c>
      <c r="AF16" s="37">
        <f>170562.791341635+42852.945043347</f>
        <v>213415.73638498198</v>
      </c>
      <c r="AG16" s="37">
        <f>181656.885796807+42852.945043347</f>
        <v>224509.830840154</v>
      </c>
      <c r="AH16" s="37">
        <v>0</v>
      </c>
      <c r="AI16" s="37">
        <v>47680.665562320341</v>
      </c>
      <c r="AJ16" s="37">
        <v>0</v>
      </c>
      <c r="AK16" s="37">
        <v>1099980</v>
      </c>
      <c r="AL16" s="37"/>
      <c r="AM16" s="37"/>
      <c r="AN16" s="37"/>
      <c r="AO16" s="37"/>
      <c r="AP16" s="37"/>
      <c r="AQ16" s="37"/>
      <c r="AR16" s="37">
        <f>430630.272609405+377789.691178576</f>
        <v>808419.96378798096</v>
      </c>
      <c r="AS16" s="37">
        <f>87405.0258334334+242226.157211847</f>
        <v>329631.1830452804</v>
      </c>
      <c r="AT16" s="92"/>
      <c r="AU16" s="92"/>
    </row>
    <row r="17" spans="1:53" ht="36" x14ac:dyDescent="0.3">
      <c r="A17" s="2" t="s">
        <v>311</v>
      </c>
      <c r="B17" s="4" t="s">
        <v>138</v>
      </c>
      <c r="C17" s="4" t="s">
        <v>139</v>
      </c>
      <c r="D17" s="4">
        <v>7858.3</v>
      </c>
      <c r="E17" s="3">
        <f t="shared" si="1"/>
        <v>7197079.490148142</v>
      </c>
      <c r="F17" s="84">
        <f>1491867.68301453+209846.597938144</f>
        <v>1701714.2809526739</v>
      </c>
      <c r="G17" s="84">
        <f>635335.425612788+209846.597938144</f>
        <v>845182.02355093195</v>
      </c>
      <c r="H17" s="4">
        <v>447525</v>
      </c>
      <c r="I17" s="37">
        <v>0</v>
      </c>
      <c r="J17" s="37">
        <f>117714.6+1932991.1493528</f>
        <v>2050705.7493528002</v>
      </c>
      <c r="K17" s="37">
        <f>117714.6+818797.274890011</f>
        <v>936511.87489001092</v>
      </c>
      <c r="L17" s="37">
        <v>42215</v>
      </c>
      <c r="M17" s="37">
        <v>15075</v>
      </c>
      <c r="N17" s="37">
        <v>0</v>
      </c>
      <c r="O17" s="37">
        <v>37280.898876404492</v>
      </c>
      <c r="P17" s="37"/>
      <c r="Q17" s="37"/>
      <c r="R17" s="37">
        <v>0</v>
      </c>
      <c r="S17" s="37">
        <v>9818.181818181818</v>
      </c>
      <c r="T17" s="37"/>
      <c r="U17" s="37"/>
      <c r="V17" s="37"/>
      <c r="W17" s="37"/>
      <c r="X17" s="37">
        <f>12461.8+299055.2</f>
        <v>311517</v>
      </c>
      <c r="Y17" s="37">
        <f>4104.2+104080.68</f>
        <v>108184.87999999999</v>
      </c>
      <c r="Z17" s="37"/>
      <c r="AA17" s="37"/>
      <c r="AB17" s="37"/>
      <c r="AC17" s="37"/>
      <c r="AD17" s="37"/>
      <c r="AE17" s="37"/>
      <c r="AF17" s="37">
        <f>117490.671739128+29518.8725485741</f>
        <v>147009.5442877021</v>
      </c>
      <c r="AG17" s="37">
        <f>125132.740678213+29518.8725485741</f>
        <v>154651.6132267871</v>
      </c>
      <c r="AH17" s="37">
        <v>0</v>
      </c>
      <c r="AI17" s="37">
        <v>32844.405170790844</v>
      </c>
      <c r="AJ17" s="37"/>
      <c r="AK17" s="37"/>
      <c r="AL17" s="37"/>
      <c r="AM17" s="37"/>
      <c r="AN17" s="37"/>
      <c r="AO17" s="37"/>
      <c r="AP17" s="37"/>
      <c r="AQ17" s="37"/>
      <c r="AR17" s="37">
        <v>296635.85827897</v>
      </c>
      <c r="AS17" s="37">
        <v>60208.179742888293</v>
      </c>
      <c r="AT17" s="92"/>
      <c r="AU17" s="92"/>
    </row>
    <row r="18" spans="1:53" ht="36" x14ac:dyDescent="0.3">
      <c r="A18" s="2" t="s">
        <v>312</v>
      </c>
      <c r="B18" s="4" t="s">
        <v>140</v>
      </c>
      <c r="C18" s="4" t="s">
        <v>141</v>
      </c>
      <c r="D18" s="4">
        <v>7847.8</v>
      </c>
      <c r="E18" s="3">
        <f t="shared" si="1"/>
        <v>7279636.5849520294</v>
      </c>
      <c r="F18" s="84">
        <f>1489874.2988638+209846.597938144</f>
        <v>1699720.8968019439</v>
      </c>
      <c r="G18" s="84">
        <f>634486.511475006+209846.597938144</f>
        <v>844333.10941315</v>
      </c>
      <c r="H18" s="4">
        <v>447525</v>
      </c>
      <c r="I18" s="37">
        <v>0</v>
      </c>
      <c r="J18" s="37">
        <f>117714.6+1930408.3506472</f>
        <v>2048122.9506472</v>
      </c>
      <c r="K18" s="37">
        <f>117714.6+817703.225109989</f>
        <v>935417.82510998903</v>
      </c>
      <c r="L18" s="37">
        <v>42215</v>
      </c>
      <c r="M18" s="37">
        <v>15075</v>
      </c>
      <c r="N18" s="37">
        <v>0</v>
      </c>
      <c r="O18" s="37">
        <v>37280.898876404492</v>
      </c>
      <c r="P18" s="37"/>
      <c r="Q18" s="37"/>
      <c r="R18" s="37">
        <v>0</v>
      </c>
      <c r="S18" s="37">
        <v>9818.181818181818</v>
      </c>
      <c r="T18" s="37"/>
      <c r="U18" s="37"/>
      <c r="V18" s="37"/>
      <c r="W18" s="37"/>
      <c r="X18" s="37">
        <f>12461.8+299055.2</f>
        <v>311517</v>
      </c>
      <c r="Y18" s="37">
        <f>4104.2+104080.68+45000+45000</f>
        <v>198184.88</v>
      </c>
      <c r="Z18" s="37"/>
      <c r="AA18" s="37"/>
      <c r="AB18" s="37"/>
      <c r="AC18" s="37"/>
      <c r="AD18" s="37"/>
      <c r="AE18" s="37"/>
      <c r="AF18" s="37">
        <f>117333.684597729+29479.4304094651</f>
        <v>146813.11500719411</v>
      </c>
      <c r="AG18" s="37">
        <f>124965.54245759+29479.4304094651</f>
        <v>154444.9728670551</v>
      </c>
      <c r="AH18" s="37">
        <v>0</v>
      </c>
      <c r="AI18" s="37">
        <v>32800.519565215422</v>
      </c>
      <c r="AJ18" s="37"/>
      <c r="AK18" s="37"/>
      <c r="AL18" s="37"/>
      <c r="AM18" s="37"/>
      <c r="AN18" s="37"/>
      <c r="AO18" s="37"/>
      <c r="AP18" s="37"/>
      <c r="AQ18" s="37"/>
      <c r="AR18" s="37">
        <v>296239.50327700662</v>
      </c>
      <c r="AS18" s="37">
        <v>60127.731568690273</v>
      </c>
      <c r="AT18" s="92"/>
      <c r="AU18" s="92"/>
    </row>
    <row r="19" spans="1:53" ht="36" x14ac:dyDescent="0.3">
      <c r="A19" s="2" t="s">
        <v>313</v>
      </c>
      <c r="B19" s="82" t="s">
        <v>518</v>
      </c>
      <c r="C19" s="82" t="s">
        <v>170</v>
      </c>
      <c r="D19" s="82">
        <v>3021.3</v>
      </c>
      <c r="E19" s="3">
        <f t="shared" ref="E19:E20" si="2">SUM(F19:AU19)</f>
        <v>0</v>
      </c>
      <c r="F19" s="84"/>
      <c r="G19" s="84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</row>
    <row r="20" spans="1:53" ht="36" x14ac:dyDescent="0.3">
      <c r="A20" s="2" t="s">
        <v>517</v>
      </c>
      <c r="B20" s="82" t="s">
        <v>519</v>
      </c>
      <c r="C20" s="82" t="s">
        <v>176</v>
      </c>
      <c r="D20" s="82">
        <v>3989.9</v>
      </c>
      <c r="E20" s="3">
        <f t="shared" si="2"/>
        <v>0</v>
      </c>
      <c r="F20" s="84"/>
      <c r="G20" s="84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</row>
    <row r="21" spans="1:53" s="45" customFormat="1" ht="17.399999999999999" x14ac:dyDescent="0.3">
      <c r="A21" s="43"/>
      <c r="B21" s="44" t="s">
        <v>315</v>
      </c>
      <c r="C21" s="44"/>
      <c r="D21" s="44">
        <f>SUM(D4:D20)</f>
        <v>90513.400000000009</v>
      </c>
      <c r="E21" s="44">
        <f>SUM(E4:E20)</f>
        <v>44472510.252067059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87"/>
      <c r="AW21" s="87"/>
      <c r="AX21" s="87"/>
      <c r="AY21" s="87"/>
      <c r="AZ21" s="87"/>
      <c r="BA21" s="87"/>
    </row>
    <row r="22" spans="1:53" x14ac:dyDescent="0.3">
      <c r="A22" s="2"/>
      <c r="B22" s="44" t="s">
        <v>314</v>
      </c>
      <c r="C22" s="4"/>
      <c r="D22" s="4"/>
      <c r="E22" s="3"/>
      <c r="F22" s="84"/>
      <c r="G22" s="84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82"/>
      <c r="AU22" s="82"/>
    </row>
    <row r="23" spans="1:53" ht="36" x14ac:dyDescent="0.3">
      <c r="A23" s="2" t="s">
        <v>298</v>
      </c>
      <c r="B23" s="37" t="s">
        <v>14</v>
      </c>
      <c r="C23" s="37" t="s">
        <v>12</v>
      </c>
      <c r="D23" s="37">
        <v>1909.4</v>
      </c>
      <c r="E23" s="41">
        <f>SUM(F23:AU23)</f>
        <v>0</v>
      </c>
      <c r="F23" s="84"/>
      <c r="G23" s="84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90"/>
      <c r="Y23" s="9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82"/>
      <c r="AU23" s="82"/>
    </row>
    <row r="24" spans="1:53" ht="36" x14ac:dyDescent="0.3">
      <c r="A24" s="2" t="s">
        <v>299</v>
      </c>
      <c r="B24" s="37" t="s">
        <v>30</v>
      </c>
      <c r="C24" s="37" t="s">
        <v>31</v>
      </c>
      <c r="D24" s="37">
        <v>3918.8</v>
      </c>
      <c r="E24" s="41">
        <f t="shared" ref="E24:E37" si="3">SUM(F24:AU24)</f>
        <v>1867187.23</v>
      </c>
      <c r="F24" s="85">
        <v>906162.68400000001</v>
      </c>
      <c r="G24" s="85">
        <v>388355.43600000005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90">
        <f>168524.33*0.7</f>
        <v>117967.03099999999</v>
      </c>
      <c r="Y24" s="90">
        <f>168524.33*0.3</f>
        <v>50557.298999999992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>
        <f>404144.78*0.7</f>
        <v>282901.34600000002</v>
      </c>
      <c r="AS24" s="37">
        <f>404144.78*0.3</f>
        <v>121243.43400000001</v>
      </c>
      <c r="AT24" s="82"/>
      <c r="AU24" s="82"/>
    </row>
    <row r="25" spans="1:53" ht="36" x14ac:dyDescent="0.3">
      <c r="A25" s="2" t="s">
        <v>300</v>
      </c>
      <c r="B25" s="37" t="s">
        <v>30</v>
      </c>
      <c r="C25" s="37" t="s">
        <v>41</v>
      </c>
      <c r="D25" s="37">
        <v>1239.3</v>
      </c>
      <c r="E25" s="41">
        <f t="shared" si="3"/>
        <v>2102251.4500000002</v>
      </c>
      <c r="F25" s="85">
        <f>906162.684+36806.24</f>
        <v>942968.924</v>
      </c>
      <c r="G25" s="85">
        <v>388355.43600000005</v>
      </c>
      <c r="H25" s="37">
        <v>204190.27</v>
      </c>
      <c r="I25" s="37"/>
      <c r="J25" s="37"/>
      <c r="K25" s="37"/>
      <c r="L25" s="37">
        <f>(440.1+2974.32+440.1+2974.32+440.1+2974.32+1760.4+11897.28)*0.7</f>
        <v>16730.657999999999</v>
      </c>
      <c r="M25" s="84">
        <f>(440.1+2974.32+440.1+2974.32+440.1+2974.32+1760.4+11897.28)*0.3</f>
        <v>7170.2820000000002</v>
      </c>
      <c r="N25" s="37"/>
      <c r="O25" s="37"/>
      <c r="P25" s="37"/>
      <c r="Q25" s="37"/>
      <c r="R25" s="37"/>
      <c r="S25" s="37"/>
      <c r="T25" s="37">
        <f>(156000*0.7)-21859.57</f>
        <v>87340.43</v>
      </c>
      <c r="U25" s="37">
        <f>156000*0.3</f>
        <v>46800</v>
      </c>
      <c r="V25" s="37">
        <f>76112.75*0.7</f>
        <v>53278.924999999996</v>
      </c>
      <c r="W25" s="37">
        <f>76112.75*0.3</f>
        <v>22833.825000000001</v>
      </c>
      <c r="X25" s="90"/>
      <c r="Y25" s="90"/>
      <c r="Z25" s="37"/>
      <c r="AA25" s="37"/>
      <c r="AB25" s="37"/>
      <c r="AC25" s="37"/>
      <c r="AD25" s="37"/>
      <c r="AE25" s="37"/>
      <c r="AF25" s="37">
        <f>(133052.21+107166.49)*0.7</f>
        <v>168153.09</v>
      </c>
      <c r="AG25" s="92">
        <f>(133052.21+107166.49)*0.3</f>
        <v>72065.61</v>
      </c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>
        <f>92364*0.7</f>
        <v>64654.799999999996</v>
      </c>
      <c r="AS25" s="37">
        <f>92364*0.3</f>
        <v>27709.200000000001</v>
      </c>
      <c r="AT25" s="82"/>
      <c r="AU25" s="82"/>
    </row>
    <row r="26" spans="1:53" ht="36" x14ac:dyDescent="0.3">
      <c r="A26" s="2" t="s">
        <v>301</v>
      </c>
      <c r="B26" s="37" t="s">
        <v>30</v>
      </c>
      <c r="C26" s="37" t="s">
        <v>47</v>
      </c>
      <c r="D26" s="37">
        <v>1971</v>
      </c>
      <c r="E26" s="41">
        <f t="shared" si="3"/>
        <v>2164223.3099999996</v>
      </c>
      <c r="F26" s="85">
        <f>906162.684+(58537.15*0.7)</f>
        <v>947138.68900000001</v>
      </c>
      <c r="G26" s="85">
        <f>388355.436+(58537.15*0.3)</f>
        <v>405916.58100000001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90"/>
      <c r="Y26" s="90"/>
      <c r="Z26" s="37"/>
      <c r="AA26" s="37"/>
      <c r="AB26" s="37"/>
      <c r="AC26" s="37"/>
      <c r="AD26" s="37"/>
      <c r="AE26" s="37"/>
      <c r="AF26" s="37">
        <f>211608.09*0.7</f>
        <v>148125.663</v>
      </c>
      <c r="AG26" s="37">
        <f>211608.09*0.3</f>
        <v>63482.426999999996</v>
      </c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>
        <f>599559.95*0.7</f>
        <v>419691.96499999997</v>
      </c>
      <c r="AS26" s="94">
        <f>599559.95*0.3</f>
        <v>179867.98499999999</v>
      </c>
      <c r="AT26" s="82"/>
      <c r="AU26" s="82"/>
    </row>
    <row r="27" spans="1:53" ht="36" x14ac:dyDescent="0.3">
      <c r="A27" s="2" t="s">
        <v>302</v>
      </c>
      <c r="B27" s="37" t="s">
        <v>53</v>
      </c>
      <c r="C27" s="37" t="s">
        <v>54</v>
      </c>
      <c r="D27" s="37">
        <v>971.9</v>
      </c>
      <c r="E27" s="41">
        <f t="shared" si="3"/>
        <v>2029066.77</v>
      </c>
      <c r="F27" s="85">
        <f>906162.684+17908.63</f>
        <v>924071.31400000001</v>
      </c>
      <c r="G27" s="85">
        <v>388355.43600000005</v>
      </c>
      <c r="H27" s="37">
        <v>35697.599999999999</v>
      </c>
      <c r="I27" s="37"/>
      <c r="J27" s="37">
        <f>((8938.85+32200+18000+4191+44694.25+15624+18300+13800+8000+11100+24050+33200)*0.7)+6257.2</f>
        <v>168725.87</v>
      </c>
      <c r="K27" s="82">
        <f>((8938.85+32200+18000+4191+44694.25+15624+18300+13800+8000+11100+24050+33200)*0.3)+6257.2+15658.42</f>
        <v>91545.049999999988</v>
      </c>
      <c r="L27" s="37">
        <f>(18844+2988+2335.2+2988+2335.2+4440+2988+2335.2+11120+11952+9340.8)*0.7</f>
        <v>50166.479999999996</v>
      </c>
      <c r="M27" s="84">
        <f>(18844+2988+2335.2+2988+2335.2+4440+2988+2335.2+11120+11952+9340.8)*0.3</f>
        <v>21499.919999999998</v>
      </c>
      <c r="N27" s="37"/>
      <c r="O27" s="37"/>
      <c r="P27" s="37"/>
      <c r="Q27" s="37"/>
      <c r="R27" s="37"/>
      <c r="S27" s="37"/>
      <c r="T27" s="37">
        <f>(143325*0.7)-21859.57</f>
        <v>78467.929999999993</v>
      </c>
      <c r="U27" s="37">
        <f>143325*0.3</f>
        <v>42997.5</v>
      </c>
      <c r="V27" s="37">
        <f>21467.7*0.7</f>
        <v>15027.39</v>
      </c>
      <c r="W27" s="37">
        <f>21467.7*0.3</f>
        <v>6440.31</v>
      </c>
      <c r="X27" s="90"/>
      <c r="Y27" s="90"/>
      <c r="Z27" s="37"/>
      <c r="AA27" s="37"/>
      <c r="AB27" s="37"/>
      <c r="AC27" s="37"/>
      <c r="AD27" s="37"/>
      <c r="AE27" s="37"/>
      <c r="AF27" s="37">
        <f>(104343.94+63904.03)*0.7</f>
        <v>117773.579</v>
      </c>
      <c r="AG27" s="37">
        <f>(104343.94+63904.03)*0.3</f>
        <v>50474.390999999996</v>
      </c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>
        <f>37824*0.7</f>
        <v>26476.799999999999</v>
      </c>
      <c r="AS27" s="37">
        <f>37824*0.3</f>
        <v>11347.199999999999</v>
      </c>
      <c r="AT27" s="82"/>
      <c r="AU27" s="82"/>
    </row>
    <row r="28" spans="1:53" s="21" customFormat="1" ht="37.5" customHeight="1" x14ac:dyDescent="0.3">
      <c r="A28" s="2" t="s">
        <v>303</v>
      </c>
      <c r="B28" s="41" t="s">
        <v>55</v>
      </c>
      <c r="C28" s="41" t="s">
        <v>56</v>
      </c>
      <c r="D28" s="41">
        <v>637.79999999999995</v>
      </c>
      <c r="E28" s="41">
        <f t="shared" si="3"/>
        <v>0</v>
      </c>
      <c r="F28" s="85"/>
      <c r="G28" s="85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91"/>
      <c r="Y28" s="9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83"/>
      <c r="AU28" s="83"/>
      <c r="AV28" s="31"/>
      <c r="AW28" s="31"/>
      <c r="AX28" s="31"/>
      <c r="AY28" s="31"/>
      <c r="AZ28" s="31"/>
      <c r="BA28" s="31"/>
    </row>
    <row r="29" spans="1:53" s="21" customFormat="1" ht="37.5" customHeight="1" x14ac:dyDescent="0.3">
      <c r="A29" s="2" t="s">
        <v>304</v>
      </c>
      <c r="B29" s="41" t="s">
        <v>57</v>
      </c>
      <c r="C29" s="41" t="s">
        <v>58</v>
      </c>
      <c r="D29" s="41">
        <f>676.6</f>
        <v>676.6</v>
      </c>
      <c r="E29" s="41">
        <f t="shared" si="3"/>
        <v>1673310.3199999998</v>
      </c>
      <c r="F29" s="85">
        <v>906164.36399999994</v>
      </c>
      <c r="G29" s="85">
        <v>388356.15600000002</v>
      </c>
      <c r="H29" s="41">
        <v>0</v>
      </c>
      <c r="I29" s="41">
        <v>45871.75</v>
      </c>
      <c r="J29" s="41">
        <f>(30596.91*0.7)+21417.84</f>
        <v>42835.676999999996</v>
      </c>
      <c r="K29" s="41">
        <f>(30569.91*0.3)+9170.97</f>
        <v>18341.942999999999</v>
      </c>
      <c r="L29" s="41">
        <f>(4130.53+1570.5+1623.84+1570.5+1623.84+6282+6495.36)*0.7</f>
        <v>16307.598999999998</v>
      </c>
      <c r="M29" s="85">
        <f>(4130.53+1570.5+1623.84+1570.5+1623.84+6282+6495.36)*0.3</f>
        <v>6988.9709999999995</v>
      </c>
      <c r="N29" s="41"/>
      <c r="O29" s="41"/>
      <c r="P29" s="41"/>
      <c r="Q29" s="41"/>
      <c r="R29" s="41"/>
      <c r="S29" s="41"/>
      <c r="T29" s="41"/>
      <c r="U29" s="41"/>
      <c r="V29" s="41">
        <f>1951.61*0.7</f>
        <v>1366.127</v>
      </c>
      <c r="W29" s="41">
        <f>1951.61*0.3</f>
        <v>585.48299999999995</v>
      </c>
      <c r="X29" s="91"/>
      <c r="Y29" s="91"/>
      <c r="Z29" s="41"/>
      <c r="AA29" s="41"/>
      <c r="AB29" s="41"/>
      <c r="AC29" s="41"/>
      <c r="AD29" s="41"/>
      <c r="AE29" s="41"/>
      <c r="AF29" s="41">
        <f>(72640.3+115507.95)*0.7</f>
        <v>131703.77499999999</v>
      </c>
      <c r="AG29" s="93">
        <f>(72640.3+115507.95)*0.3</f>
        <v>56444.474999999999</v>
      </c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>
        <f>(26520+31824)*0.7</f>
        <v>40840.799999999996</v>
      </c>
      <c r="AS29" s="41">
        <f>(26520+31824)*0.3</f>
        <v>17503.2</v>
      </c>
      <c r="AT29" s="83"/>
      <c r="AU29" s="83"/>
      <c r="AV29" s="31"/>
      <c r="AW29" s="31"/>
      <c r="AX29" s="31"/>
      <c r="AY29" s="31"/>
      <c r="AZ29" s="31"/>
      <c r="BA29" s="31"/>
    </row>
    <row r="30" spans="1:53" ht="36" x14ac:dyDescent="0.3">
      <c r="A30" s="2" t="s">
        <v>305</v>
      </c>
      <c r="B30" s="37" t="s">
        <v>30</v>
      </c>
      <c r="C30" s="37" t="s">
        <v>68</v>
      </c>
      <c r="D30" s="37">
        <v>4466.7</v>
      </c>
      <c r="E30" s="41">
        <f t="shared" si="3"/>
        <v>3938208.3379999995</v>
      </c>
      <c r="F30" s="85">
        <v>906162.68400000001</v>
      </c>
      <c r="G30" s="85">
        <v>388355.43600000005</v>
      </c>
      <c r="H30" s="37"/>
      <c r="I30" s="37">
        <v>7182</v>
      </c>
      <c r="J30" s="37">
        <f>2275408.48*0.7</f>
        <v>1592785.936</v>
      </c>
      <c r="K30" s="37">
        <f>2275408.84*0.3</f>
        <v>682622.65199999989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90"/>
      <c r="Y30" s="90">
        <v>91339.63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>
        <f>269760*0.7</f>
        <v>188832</v>
      </c>
      <c r="AS30" s="37">
        <f>269760*0.3</f>
        <v>80928</v>
      </c>
      <c r="AT30" s="82"/>
      <c r="AU30" s="82"/>
    </row>
    <row r="31" spans="1:53" ht="36" x14ac:dyDescent="0.3">
      <c r="A31" s="2" t="s">
        <v>306</v>
      </c>
      <c r="B31" s="4" t="s">
        <v>104</v>
      </c>
      <c r="C31" s="4" t="s">
        <v>105</v>
      </c>
      <c r="D31" s="4">
        <v>11351</v>
      </c>
      <c r="E31" s="41">
        <f t="shared" si="3"/>
        <v>9179300.540000001</v>
      </c>
      <c r="F31" s="85">
        <f>(1294520.52+1390576.65)*0.7</f>
        <v>1879568.0189999999</v>
      </c>
      <c r="G31" s="85">
        <f>(1294520.52+1390576.65)*0.3</f>
        <v>805529.15099999995</v>
      </c>
      <c r="H31" s="37">
        <f>819616.9*0.7</f>
        <v>573731.82999999996</v>
      </c>
      <c r="I31" s="37">
        <f>819616.9*0.3</f>
        <v>245885.07</v>
      </c>
      <c r="J31" s="82">
        <f>((157921+1800+480+528+8530+24300+7200+5550+6500+70460+76750+50000+34290+789605+9000+2400+2640+210000+12150+36000+27750+32500+352300+92100)*0.7)</f>
        <v>1407527.7999999998</v>
      </c>
      <c r="K31" s="82">
        <f>((157921+1800+480+528+8530+24300+7200+5550+6500+70460+76750+50000+34290+789605+9000+2400+2640+210000+12150+36000+27750+32500+352300+92100)*0.3)</f>
        <v>603226.19999999995</v>
      </c>
      <c r="L31" s="37">
        <f>(33700+9000+22442.4+29644+9000+22442.4+45620+9000+22442.4+72728+36000+89769.6)*0.7</f>
        <v>281252.15999999992</v>
      </c>
      <c r="M31" s="84">
        <f>(33700+9000+22442.4+29644+9000+22442.4+45620+9000+22442.4+72728+36000+89769.6)*0.3</f>
        <v>120536.63999999997</v>
      </c>
      <c r="N31" s="37"/>
      <c r="O31" s="37"/>
      <c r="P31" s="37"/>
      <c r="Q31" s="37"/>
      <c r="R31" s="37"/>
      <c r="S31" s="37"/>
      <c r="T31" s="37"/>
      <c r="U31" s="37"/>
      <c r="V31" s="37">
        <f>286886.52*0.7</f>
        <v>200820.56400000001</v>
      </c>
      <c r="W31" s="37">
        <f>286886.52*0.3</f>
        <v>86065.956000000006</v>
      </c>
      <c r="X31" s="90">
        <f>548037.86*0.7</f>
        <v>383626.50199999998</v>
      </c>
      <c r="Y31" s="90">
        <f>548037.86*0.3</f>
        <v>164411.35799999998</v>
      </c>
      <c r="Z31" s="37"/>
      <c r="AA31" s="37"/>
      <c r="AB31" s="37"/>
      <c r="AC31" s="37"/>
      <c r="AD31" s="37"/>
      <c r="AE31" s="37"/>
      <c r="AF31" s="37">
        <f>(1222195.05+1000974.64)*0.7</f>
        <v>1556218.7829999998</v>
      </c>
      <c r="AG31" s="92">
        <f>(1222195.05+1000974.64)*0.3</f>
        <v>666950.90700000001</v>
      </c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>
        <f>203949.6*0.7</f>
        <v>142764.72</v>
      </c>
      <c r="AS31" s="37">
        <f>203949.6*0.3</f>
        <v>61184.88</v>
      </c>
      <c r="AT31" s="82"/>
      <c r="AU31" s="82"/>
    </row>
    <row r="32" spans="1:53" ht="36" x14ac:dyDescent="0.3">
      <c r="A32" s="2" t="s">
        <v>307</v>
      </c>
      <c r="B32" s="4" t="s">
        <v>106</v>
      </c>
      <c r="C32" s="4" t="s">
        <v>107</v>
      </c>
      <c r="D32" s="4">
        <v>8800.7000000000007</v>
      </c>
      <c r="E32" s="41">
        <f t="shared" si="3"/>
        <v>0</v>
      </c>
      <c r="F32" s="85"/>
      <c r="G32" s="8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90"/>
      <c r="Y32" s="90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94"/>
      <c r="AS32" s="94"/>
      <c r="AT32" s="82"/>
      <c r="AU32" s="82"/>
    </row>
    <row r="33" spans="1:53" ht="36" x14ac:dyDescent="0.3">
      <c r="A33" s="2" t="s">
        <v>308</v>
      </c>
      <c r="B33" s="4" t="s">
        <v>108</v>
      </c>
      <c r="C33" s="4" t="s">
        <v>107</v>
      </c>
      <c r="D33" s="4">
        <v>6435.4</v>
      </c>
      <c r="E33" s="41">
        <f>SUM(F33:AU33)</f>
        <v>14058180.289999999</v>
      </c>
      <c r="F33" s="85">
        <f>1812328.73+(452500.21*0.7)</f>
        <v>2129078.8769999999</v>
      </c>
      <c r="G33" s="85">
        <f>776712.31+(452500.21*0.3)</f>
        <v>912462.37300000002</v>
      </c>
      <c r="H33" s="37">
        <f>435510.72+(6405772.46*0.6)</f>
        <v>4278974.1959999995</v>
      </c>
      <c r="I33" s="37">
        <f>6405772.46*0.4</f>
        <v>2562308.9840000002</v>
      </c>
      <c r="K33" s="37"/>
      <c r="L33" s="37">
        <f>(21464+3766.5+15056.16+4364+3766.5+15056.16+21984+3766.5+15056.16+33156+15066+60224.64)*0.7</f>
        <v>148908.63399999999</v>
      </c>
      <c r="M33" s="84">
        <f>(21464+3766.5+15056.16+4364+3766.5+15056.16+21984+3766.5+15056.16+33156+15066+60224.64)*0.3</f>
        <v>63817.985999999997</v>
      </c>
      <c r="N33" s="37"/>
      <c r="O33" s="37"/>
      <c r="P33" s="37"/>
      <c r="Q33" s="37"/>
      <c r="R33" s="37"/>
      <c r="S33" s="37"/>
      <c r="T33" s="37">
        <f>(513045*0.7)-21859.57</f>
        <v>337271.93</v>
      </c>
      <c r="U33" s="37">
        <f>513045*0.3</f>
        <v>153913.5</v>
      </c>
      <c r="V33" s="37">
        <f>234193.08*0.7</f>
        <v>163935.15599999999</v>
      </c>
      <c r="W33" s="37">
        <f>234193.08*0.3</f>
        <v>70257.923999999999</v>
      </c>
      <c r="X33" s="37">
        <f>91339.63*0.7</f>
        <v>63937.741000000002</v>
      </c>
      <c r="Y33" s="90">
        <f>91339.63*0.3</f>
        <v>27401.888999999999</v>
      </c>
      <c r="Z33" s="37"/>
      <c r="AA33" s="37"/>
      <c r="AB33" s="37"/>
      <c r="AC33" s="37"/>
      <c r="AD33" s="37"/>
      <c r="AE33" s="37"/>
      <c r="AF33" s="37">
        <f>(944849.96+787348.55)*0.7</f>
        <v>1212538.9569999999</v>
      </c>
      <c r="AG33" s="92">
        <f>(944849.96+787348.55)*0.3</f>
        <v>519659.55299999996</v>
      </c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>
        <f>(969742.59+443970)*0.7</f>
        <v>989598.81299999985</v>
      </c>
      <c r="AS33" s="37">
        <f>(969742.59+443970)*0.3</f>
        <v>424113.77699999994</v>
      </c>
      <c r="AT33" s="82"/>
      <c r="AU33" s="82"/>
    </row>
    <row r="34" spans="1:53" ht="36" x14ac:dyDescent="0.3">
      <c r="A34" s="2" t="s">
        <v>309</v>
      </c>
      <c r="B34" s="4" t="s">
        <v>132</v>
      </c>
      <c r="C34" s="4" t="s">
        <v>133</v>
      </c>
      <c r="D34" s="4">
        <v>14009.5</v>
      </c>
      <c r="E34" s="41">
        <f t="shared" si="3"/>
        <v>7302650.4300000006</v>
      </c>
      <c r="F34" s="85">
        <f>906162.684+(416071.15*0.7)</f>
        <v>1197412.4890000001</v>
      </c>
      <c r="G34" s="85">
        <f>388355.436+(416071.15*0.3)</f>
        <v>513176.78099999996</v>
      </c>
      <c r="H34" s="37">
        <v>811787.22</v>
      </c>
      <c r="I34" s="37"/>
      <c r="J34" s="37"/>
      <c r="K34" s="37"/>
      <c r="L34" s="37">
        <f>(24680+4281.75+24480+36360+4281.75+24480+15668+4281.75+24480+56376+17127+97920)*0.7</f>
        <v>234091.37499999997</v>
      </c>
      <c r="M34" s="84">
        <f>(24680+4281.75+24480+36360+4281.75+24480+15668+4281.75+24480+56376+17127+97920)*0.3</f>
        <v>100324.875</v>
      </c>
      <c r="N34" s="37"/>
      <c r="O34" s="37"/>
      <c r="P34" s="37"/>
      <c r="Q34" s="37"/>
      <c r="R34" s="37"/>
      <c r="S34" s="37"/>
      <c r="T34" s="37">
        <f>(518310*0.7)-21859.57</f>
        <v>340957.43</v>
      </c>
      <c r="U34" s="37">
        <f>518310*0.3</f>
        <v>155493</v>
      </c>
      <c r="V34" s="37">
        <f>439112.03*0.7</f>
        <v>307378.42099999997</v>
      </c>
      <c r="W34" s="37">
        <f>439112.03*0.3</f>
        <v>131733.609</v>
      </c>
      <c r="X34" s="37">
        <f>337048.67*0.7</f>
        <v>235934.06899999996</v>
      </c>
      <c r="Y34" s="37">
        <f>337048.67*0.3</f>
        <v>101114.601</v>
      </c>
      <c r="Z34" s="37"/>
      <c r="AA34" s="37"/>
      <c r="AB34" s="37"/>
      <c r="AC34" s="37"/>
      <c r="AD34" s="37"/>
      <c r="AE34" s="37"/>
      <c r="AF34" s="37">
        <f>(1504124.44+1111110.12)*0.7</f>
        <v>1830664.192</v>
      </c>
      <c r="AG34" s="92">
        <f>(1504124.44+1111110.12)*0.3</f>
        <v>784570.36800000002</v>
      </c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>
        <f>558012*0.7</f>
        <v>390608.39999999997</v>
      </c>
      <c r="AS34" s="37">
        <f>558012*0.3</f>
        <v>167403.6</v>
      </c>
      <c r="AT34" s="82"/>
      <c r="AU34" s="82"/>
    </row>
    <row r="35" spans="1:53" ht="36" x14ac:dyDescent="0.3">
      <c r="A35" s="2" t="s">
        <v>310</v>
      </c>
      <c r="B35" s="4" t="s">
        <v>134</v>
      </c>
      <c r="C35" s="4" t="s">
        <v>135</v>
      </c>
      <c r="D35" s="4">
        <v>11408</v>
      </c>
      <c r="E35" s="41">
        <f t="shared" si="3"/>
        <v>8329707.5799999982</v>
      </c>
      <c r="F35" s="85">
        <f>906162.684+(359152.61*0.7)</f>
        <v>1157569.5109999999</v>
      </c>
      <c r="G35" s="85">
        <f>388355.436+(359152.61*0.3)</f>
        <v>496101.21899999998</v>
      </c>
      <c r="H35" s="37">
        <v>966453.02</v>
      </c>
      <c r="I35" s="37"/>
      <c r="J35" s="37">
        <f>((121660+1560+320+20000+24000+4800+6475+5525+70800+108900+66000+4191+608300+7800+1600+120000+120000+24000+32375+27625+354000+108900)*0.7)+178598-68601.32</f>
        <v>1397178.38</v>
      </c>
      <c r="K35" s="82">
        <f>((121660+1560+320+20000+24000+4800+6475+5525+70800+108900+66000+4191+608300+7800+1600+120000+120000+24000+32375+27625+354000)*0.3)+178598-68601.32</f>
        <v>628975.98</v>
      </c>
      <c r="L35" s="37">
        <f>(19216+4837.5+28881.6+4837.5+28881.6+40356+4837.5+28881.6+41392+19350+115526.4)*0.7</f>
        <v>235898.38999999998</v>
      </c>
      <c r="M35" s="84">
        <f>(19216+4837.5+28881.6+4837.5+28881.6+40356+4837.5+28881.6+41392+19350+115526.4)*0.3</f>
        <v>101099.31</v>
      </c>
      <c r="N35" s="37"/>
      <c r="O35" s="37"/>
      <c r="P35" s="37"/>
      <c r="Q35" s="37"/>
      <c r="R35" s="37"/>
      <c r="S35" s="37"/>
      <c r="T35" s="37"/>
      <c r="U35" s="37"/>
      <c r="V35" s="37">
        <f>251757.56*0.7</f>
        <v>176230.29199999999</v>
      </c>
      <c r="W35" s="37">
        <f>251757.56*0.3</f>
        <v>75527.267999999996</v>
      </c>
      <c r="X35" s="90">
        <f>337048.67*0.7</f>
        <v>235934.06899999996</v>
      </c>
      <c r="Y35" s="90">
        <f>337048.67*0.3</f>
        <v>101114.601</v>
      </c>
      <c r="Z35" s="37"/>
      <c r="AA35" s="37"/>
      <c r="AB35" s="37"/>
      <c r="AC35" s="37"/>
      <c r="AD35" s="37"/>
      <c r="AE35" s="37"/>
      <c r="AF35" s="37">
        <f>(1214572.44+1157907.1)*0.7</f>
        <v>1660735.6779999998</v>
      </c>
      <c r="AG35" s="92">
        <f>(1214572.44+1157907.1)*0.3</f>
        <v>711743.86199999996</v>
      </c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>
        <f>385146*0.7</f>
        <v>269602.2</v>
      </c>
      <c r="AS35" s="37">
        <f>385146*0.3</f>
        <v>115543.8</v>
      </c>
      <c r="AT35" s="82"/>
      <c r="AU35" s="82"/>
    </row>
    <row r="36" spans="1:53" ht="36" x14ac:dyDescent="0.3">
      <c r="A36" s="2" t="s">
        <v>311</v>
      </c>
      <c r="B36" s="4" t="s">
        <v>138</v>
      </c>
      <c r="C36" s="4" t="s">
        <v>139</v>
      </c>
      <c r="D36" s="4">
        <v>7858.3</v>
      </c>
      <c r="E36" s="41">
        <f t="shared" si="3"/>
        <v>8553257.5799999982</v>
      </c>
      <c r="F36" s="85">
        <f>1359246.55+(233376.43*0.7)</f>
        <v>1522610.051</v>
      </c>
      <c r="G36" s="85">
        <f>582534.23+(2377376.43*0.3)</f>
        <v>1295747.159</v>
      </c>
      <c r="H36" s="37">
        <f>1789877.66/2</f>
        <v>894938.83</v>
      </c>
      <c r="I36" s="37"/>
      <c r="J36" s="37">
        <f>((252839.5+640+960+42000+28080+480+8695+10400+128860+131305+47498+54788+11817.45+41518.32+1264197.5+3200+4800+210000+140400+24000+43475+52000+644300+131305)*0.7)/2+165534.08</f>
        <v>1312679.6495000001</v>
      </c>
      <c r="K36" s="82">
        <f>((252839.5+640+960+42000+28080+480+8695+10400+128860+131305+47498+54788+11817.45+41518.32+1264197.5+3200+4800+210000+140400+24000+43475+52000+644300+131305)*0.3)/2+165534.08</f>
        <v>657167.89549999998</v>
      </c>
      <c r="L36" s="37">
        <f>((54924+11817.45+41518.32+39444+11817.45+41518.32+54788+11817.45+41302.32+93748+10508.9+166073.28)*0.7)/2</f>
        <v>202747.12149999998</v>
      </c>
      <c r="M36" s="84">
        <f>((54924+11817.45+41518.32+39444+11817.45+41518.32+54788+11817.45+41302.32+93748+10508.9+166073.28)*0.3)/2</f>
        <v>86891.623500000002</v>
      </c>
      <c r="N36" s="37"/>
      <c r="O36" s="37"/>
      <c r="P36" s="37"/>
      <c r="Q36" s="37"/>
      <c r="R36" s="37"/>
      <c r="S36" s="37"/>
      <c r="T36" s="37"/>
      <c r="U36" s="37"/>
      <c r="V36" s="37">
        <f>(507418.34*0.7)/2</f>
        <v>177596.41899999999</v>
      </c>
      <c r="W36" s="110">
        <f>(507418.34*0.3)/2</f>
        <v>76112.751000000004</v>
      </c>
      <c r="X36" s="90">
        <f>337048.67*0.7</f>
        <v>235934.06899999996</v>
      </c>
      <c r="Y36" s="90">
        <f>337048.67*0.3</f>
        <v>101114.601</v>
      </c>
      <c r="Z36" s="37"/>
      <c r="AA36" s="37"/>
      <c r="AB36" s="37"/>
      <c r="AC36" s="37"/>
      <c r="AD36" s="37"/>
      <c r="AE36" s="37"/>
      <c r="AF36" s="37">
        <f>(843640.96+767696.65)*0.7</f>
        <v>1127936.3269999998</v>
      </c>
      <c r="AG36" s="92">
        <f>(843640.96+767696.65)*0.3</f>
        <v>483401.28299999994</v>
      </c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>
        <f>(756759.6*0.7)/2</f>
        <v>264865.86</v>
      </c>
      <c r="AS36" s="37">
        <f>(756759.6*0.3)/2</f>
        <v>113513.93999999999</v>
      </c>
      <c r="AT36" s="82"/>
      <c r="AU36" s="82"/>
    </row>
    <row r="37" spans="1:53" ht="36" x14ac:dyDescent="0.3">
      <c r="A37" s="2" t="s">
        <v>312</v>
      </c>
      <c r="B37" s="4" t="s">
        <v>140</v>
      </c>
      <c r="C37" s="4" t="s">
        <v>141</v>
      </c>
      <c r="D37" s="4">
        <v>7847.8</v>
      </c>
      <c r="E37" s="41">
        <f t="shared" si="3"/>
        <v>7983176.9800000004</v>
      </c>
      <c r="F37" s="85">
        <f>1359246.55+(233376.43*0.7)</f>
        <v>1522610.051</v>
      </c>
      <c r="G37" s="85">
        <f>582534.23+(233376.43*0.3)</f>
        <v>652547.15899999999</v>
      </c>
      <c r="H37" s="37">
        <f>H36</f>
        <v>894938.83</v>
      </c>
      <c r="I37" s="37"/>
      <c r="J37" s="37">
        <f>J36</f>
        <v>1312679.6495000001</v>
      </c>
      <c r="K37" s="37">
        <f>K36</f>
        <v>657167.89549999998</v>
      </c>
      <c r="L37" s="37">
        <f>L36</f>
        <v>202747.12149999998</v>
      </c>
      <c r="M37" s="37">
        <f>M36</f>
        <v>86891.623500000002</v>
      </c>
      <c r="N37" s="37"/>
      <c r="O37" s="37"/>
      <c r="P37" s="37"/>
      <c r="Q37" s="37"/>
      <c r="R37" s="37"/>
      <c r="S37" s="37"/>
      <c r="T37" s="37"/>
      <c r="U37" s="37"/>
      <c r="V37" s="37">
        <f>V36</f>
        <v>177596.41899999999</v>
      </c>
      <c r="W37" s="37">
        <f>W36</f>
        <v>76112.751000000004</v>
      </c>
      <c r="X37" s="90">
        <f>337048.67*0.7</f>
        <v>235934.06899999996</v>
      </c>
      <c r="Y37" s="90">
        <f>337048.67*0.3</f>
        <v>101114.601</v>
      </c>
      <c r="Z37" s="37"/>
      <c r="AA37" s="37"/>
      <c r="AB37" s="37"/>
      <c r="AC37" s="37"/>
      <c r="AD37" s="37"/>
      <c r="AE37" s="37"/>
      <c r="AF37" s="37">
        <f>(839990.7+844466.31)*0.7</f>
        <v>1179119.9069999999</v>
      </c>
      <c r="AG37" s="37">
        <f>(839990.7+844466.31)*0.3</f>
        <v>505337.103</v>
      </c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>
        <f>AR36</f>
        <v>264865.86</v>
      </c>
      <c r="AS37" s="37">
        <f>AS36</f>
        <v>113513.93999999999</v>
      </c>
      <c r="AT37" s="82"/>
      <c r="AU37" s="82"/>
    </row>
    <row r="38" spans="1:53" s="21" customFormat="1" ht="36" x14ac:dyDescent="0.3">
      <c r="A38" s="23" t="s">
        <v>313</v>
      </c>
      <c r="B38" s="83" t="s">
        <v>518</v>
      </c>
      <c r="C38" s="83" t="s">
        <v>170</v>
      </c>
      <c r="D38" s="83">
        <v>3021.3</v>
      </c>
      <c r="E38" s="93">
        <f t="shared" ref="E38:E39" si="4">SUM(F38:AU38)</f>
        <v>3012359</v>
      </c>
      <c r="F38" s="85">
        <f>(1294520.52+89730.24)*0.7</f>
        <v>968975.53199999989</v>
      </c>
      <c r="G38" s="85">
        <f>(1294520.52+89730.24)*0.3</f>
        <v>415275.228</v>
      </c>
      <c r="H38" s="83">
        <f>125655.55*0.7</f>
        <v>87958.884999999995</v>
      </c>
      <c r="I38" s="83">
        <f>125655.55*0.3</f>
        <v>37696.665000000001</v>
      </c>
      <c r="J38" s="83">
        <f>((30786.3+6168+5470+3540+3200+1110+1885+19646+58360+120000+28750+14414.5+153931.5+30840+27350+99600+16000+5550+9425+58360)*0.7)+50263.71</f>
        <v>536334.12</v>
      </c>
      <c r="K38" s="83">
        <f>((30786.3+6168+5470+3540+3200+1110+1885+19646+58360+120000+28750+14414.5+153931.5+30840+27350+99600+16000+5550+9425+58360)*0.3)+50263.71</f>
        <v>258579.6</v>
      </c>
      <c r="L38" s="83">
        <f>(5252.4+2443.2+5252.4+2443.2+1570.5+1623.84+15088+5252.4+2443.2+28748+4673.3+21009.6+9772.8)*0.7</f>
        <v>73900.987999999998</v>
      </c>
      <c r="M38" s="85">
        <f>(5252.4+2443.2+5252.4+2443.2+1570.5+1623.84+15088+5252.4+2443.2+28748+4673.3+21009.6+9772.8)*0.3</f>
        <v>31671.852000000003</v>
      </c>
      <c r="N38" s="83"/>
      <c r="O38" s="83"/>
      <c r="P38" s="83"/>
      <c r="Q38" s="83"/>
      <c r="R38" s="83"/>
      <c r="S38" s="83"/>
      <c r="T38" s="83">
        <f>(195000*0.7)-21859.57</f>
        <v>114640.43</v>
      </c>
      <c r="U38" s="83">
        <f>195000*0.3</f>
        <v>58500</v>
      </c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>
        <f>324336.9*0.7</f>
        <v>227035.83000000002</v>
      </c>
      <c r="AG38" s="83">
        <f>324336.9*0.3</f>
        <v>97301.07</v>
      </c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>
        <f>104488.8*0.7</f>
        <v>73142.16</v>
      </c>
      <c r="AS38" s="83">
        <f>104488.8*0.3</f>
        <v>31346.639999999999</v>
      </c>
      <c r="AT38" s="83"/>
      <c r="AU38" s="83"/>
      <c r="AV38" s="31"/>
      <c r="AW38" s="31"/>
      <c r="AX38" s="31"/>
      <c r="AY38" s="31"/>
      <c r="AZ38" s="31"/>
      <c r="BA38" s="31"/>
    </row>
    <row r="39" spans="1:53" s="21" customFormat="1" ht="37.5" customHeight="1" x14ac:dyDescent="0.3">
      <c r="A39" s="23" t="s">
        <v>517</v>
      </c>
      <c r="B39" s="83" t="s">
        <v>175</v>
      </c>
      <c r="C39" s="83" t="s">
        <v>176</v>
      </c>
      <c r="D39" s="83">
        <v>3989.9</v>
      </c>
      <c r="E39" s="93">
        <f t="shared" si="4"/>
        <v>2502539.6800000006</v>
      </c>
      <c r="F39" s="85">
        <f>(1294520.52+50191.67)*0.7</f>
        <v>941298.53299999994</v>
      </c>
      <c r="G39" s="85">
        <f>(1294520.52+50191.67)*0.3</f>
        <v>403413.65699999995</v>
      </c>
      <c r="H39" s="83">
        <f>72704.11*0.7</f>
        <v>50892.877</v>
      </c>
      <c r="I39" s="83">
        <f>72704.11*0.3</f>
        <v>21811.233</v>
      </c>
      <c r="J39" s="83">
        <f>((24371.15+8100+3120+4000+8000+121857.5+40500+15600+20000+40000+67200)*0.7)+33313.81-38177.93</f>
        <v>242059.935</v>
      </c>
      <c r="K39" s="83">
        <f>((24371.15+8100+3120+4000+8000)*0.3)+14277.35</f>
        <v>28554.695</v>
      </c>
      <c r="L39" s="83">
        <f>(4005+9565.44+4005+9565.44+4005+9565.44+16020+38261.76)*0.7</f>
        <v>66495.156000000003</v>
      </c>
      <c r="M39" s="85">
        <f>(4005+9565.44+4005+9565.44+4005+9565.44+16020+38261.76)*0.3</f>
        <v>28497.924000000003</v>
      </c>
      <c r="N39" s="83"/>
      <c r="O39" s="83"/>
      <c r="P39" s="83"/>
      <c r="Q39" s="83"/>
      <c r="R39" s="83"/>
      <c r="S39" s="83"/>
      <c r="T39" s="83">
        <f>(216840*0.7)-21859.57</f>
        <v>129928.43</v>
      </c>
      <c r="U39" s="83">
        <f>216840*0.3</f>
        <v>65052</v>
      </c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>
        <f>427940.04*0.7</f>
        <v>299558.02799999999</v>
      </c>
      <c r="AG39" s="83">
        <f>427940.04*0.3</f>
        <v>128382.01199999999</v>
      </c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>
        <f>96595.2*0.7</f>
        <v>67616.639999999999</v>
      </c>
      <c r="AS39" s="83">
        <f>96595.2*0.3</f>
        <v>28978.559999999998</v>
      </c>
      <c r="AT39" s="83"/>
      <c r="AU39" s="83"/>
      <c r="AV39" s="31"/>
      <c r="AW39" s="31"/>
      <c r="AX39" s="31"/>
      <c r="AY39" s="31"/>
      <c r="AZ39" s="31"/>
      <c r="BA39" s="31"/>
    </row>
    <row r="40" spans="1:53" s="45" customFormat="1" ht="17.399999999999999" x14ac:dyDescent="0.3">
      <c r="A40" s="43"/>
      <c r="B40" s="44" t="s">
        <v>315</v>
      </c>
      <c r="C40" s="44"/>
      <c r="D40" s="44">
        <f>SUM(D23:D39)</f>
        <v>90513.400000000009</v>
      </c>
      <c r="E40" s="3">
        <f>SUM(E23:E39)</f>
        <v>74695419.497999996</v>
      </c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87"/>
      <c r="AW40" s="87"/>
      <c r="AX40" s="87"/>
      <c r="AY40" s="87"/>
      <c r="AZ40" s="87"/>
      <c r="BA40" s="87"/>
    </row>
    <row r="41" spans="1:53" x14ac:dyDescent="0.3">
      <c r="A41" s="2"/>
      <c r="B41" s="4"/>
      <c r="C41" s="4"/>
      <c r="D41" s="4"/>
      <c r="E41" s="3"/>
      <c r="F41" s="84"/>
      <c r="G41" s="84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82"/>
      <c r="AU41" s="82"/>
    </row>
    <row r="42" spans="1:53" s="7" customFormat="1" ht="22.8" x14ac:dyDescent="0.3">
      <c r="A42" s="124"/>
      <c r="B42" s="127" t="s">
        <v>179</v>
      </c>
      <c r="C42" s="5" t="s">
        <v>180</v>
      </c>
      <c r="D42" s="130"/>
      <c r="E42" s="13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88"/>
      <c r="AW42" s="88"/>
      <c r="AX42" s="88"/>
      <c r="AY42" s="88"/>
      <c r="AZ42" s="88"/>
      <c r="BA42" s="88"/>
    </row>
    <row r="43" spans="1:53" s="7" customFormat="1" ht="22.8" x14ac:dyDescent="0.3">
      <c r="A43" s="125"/>
      <c r="B43" s="128"/>
      <c r="C43" s="5" t="s">
        <v>3</v>
      </c>
      <c r="D43" s="130">
        <f>D21</f>
        <v>90513.400000000009</v>
      </c>
      <c r="E43" s="13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88"/>
      <c r="AW43" s="88"/>
      <c r="AX43" s="88"/>
      <c r="AY43" s="88"/>
      <c r="AZ43" s="88"/>
      <c r="BA43" s="88"/>
    </row>
    <row r="44" spans="1:53" s="7" customFormat="1" ht="20.25" customHeight="1" x14ac:dyDescent="0.3">
      <c r="A44" s="126"/>
      <c r="B44" s="129"/>
      <c r="C44" s="6" t="s">
        <v>207</v>
      </c>
      <c r="D44" s="132">
        <f>E21+E40</f>
        <v>119167929.75006706</v>
      </c>
      <c r="E44" s="133"/>
      <c r="F44" s="6">
        <f t="shared" ref="F44:AU44" si="5">SUM(F4:F41)</f>
        <v>22001263.289038796</v>
      </c>
      <c r="G44" s="6">
        <f t="shared" si="5"/>
        <v>16484464.354488032</v>
      </c>
      <c r="H44" s="6">
        <f t="shared" si="5"/>
        <v>12091339.671190647</v>
      </c>
      <c r="I44" s="6">
        <f t="shared" si="5"/>
        <v>3178434.8763545882</v>
      </c>
      <c r="J44" s="6">
        <f t="shared" si="5"/>
        <v>13211635.716999993</v>
      </c>
      <c r="K44" s="6">
        <f t="shared" si="5"/>
        <v>10836481.419314479</v>
      </c>
      <c r="L44" s="6">
        <f t="shared" si="5"/>
        <v>1808493.6829999995</v>
      </c>
      <c r="M44" s="6">
        <f t="shared" si="5"/>
        <v>770862.22555720794</v>
      </c>
      <c r="N44" s="6">
        <f t="shared" si="5"/>
        <v>0</v>
      </c>
      <c r="O44" s="6">
        <f t="shared" si="5"/>
        <v>406548.53662921349</v>
      </c>
      <c r="P44" s="6">
        <f t="shared" si="5"/>
        <v>0</v>
      </c>
      <c r="Q44" s="6">
        <f t="shared" si="5"/>
        <v>87291.886792452831</v>
      </c>
      <c r="R44" s="6">
        <f t="shared" si="5"/>
        <v>0</v>
      </c>
      <c r="S44" s="6">
        <f t="shared" si="5"/>
        <v>150240.76363636364</v>
      </c>
      <c r="T44" s="6">
        <f t="shared" si="5"/>
        <v>1097476.9337715504</v>
      </c>
      <c r="U44" s="6">
        <f t="shared" si="5"/>
        <v>523716.95499191794</v>
      </c>
      <c r="V44" s="6">
        <f t="shared" si="5"/>
        <v>1360950.4688143686</v>
      </c>
      <c r="W44" s="6">
        <f t="shared" si="5"/>
        <v>651653.19622950547</v>
      </c>
      <c r="X44" s="6">
        <f t="shared" si="5"/>
        <v>3191559.2653846159</v>
      </c>
      <c r="Y44" s="6">
        <f t="shared" si="5"/>
        <v>1901863.0187499998</v>
      </c>
      <c r="Z44" s="6">
        <f t="shared" si="5"/>
        <v>0</v>
      </c>
      <c r="AA44" s="6">
        <f t="shared" si="5"/>
        <v>51464.1</v>
      </c>
      <c r="AB44" s="6">
        <f t="shared" si="5"/>
        <v>0</v>
      </c>
      <c r="AC44" s="6">
        <f t="shared" si="5"/>
        <v>0</v>
      </c>
      <c r="AD44" s="6">
        <f t="shared" si="5"/>
        <v>0</v>
      </c>
      <c r="AE44" s="6">
        <f t="shared" si="5"/>
        <v>15073.170731707318</v>
      </c>
      <c r="AF44" s="6">
        <f t="shared" si="5"/>
        <v>10805533.32244233</v>
      </c>
      <c r="AG44" s="6">
        <f t="shared" si="5"/>
        <v>5515399.9473397247</v>
      </c>
      <c r="AH44" s="6">
        <f t="shared" si="5"/>
        <v>0</v>
      </c>
      <c r="AI44" s="6">
        <f t="shared" si="5"/>
        <v>259087.56201552172</v>
      </c>
      <c r="AJ44" s="6">
        <f t="shared" si="5"/>
        <v>0</v>
      </c>
      <c r="AK44" s="6">
        <f t="shared" si="5"/>
        <v>1099980</v>
      </c>
      <c r="AL44" s="6">
        <f t="shared" si="5"/>
        <v>0</v>
      </c>
      <c r="AM44" s="6">
        <f t="shared" si="5"/>
        <v>492000</v>
      </c>
      <c r="AN44" s="6">
        <f t="shared" si="5"/>
        <v>0</v>
      </c>
      <c r="AO44" s="6">
        <f t="shared" si="5"/>
        <v>0</v>
      </c>
      <c r="AP44" s="6">
        <f t="shared" si="5"/>
        <v>0</v>
      </c>
      <c r="AQ44" s="6">
        <f t="shared" si="5"/>
        <v>0</v>
      </c>
      <c r="AR44" s="6">
        <f t="shared" si="5"/>
        <v>7024061.6928443359</v>
      </c>
      <c r="AS44" s="6">
        <f t="shared" si="5"/>
        <v>4151053.6937497128</v>
      </c>
      <c r="AT44" s="6">
        <f t="shared" si="5"/>
        <v>0</v>
      </c>
      <c r="AU44" s="6">
        <f t="shared" si="5"/>
        <v>0</v>
      </c>
      <c r="AV44" s="88"/>
      <c r="AW44" s="88"/>
      <c r="AX44" s="88"/>
      <c r="AY44" s="88"/>
      <c r="AZ44" s="88"/>
      <c r="BA44" s="88"/>
    </row>
    <row r="46" spans="1:53" ht="37.5" customHeight="1" x14ac:dyDescent="0.3">
      <c r="A46" s="8"/>
      <c r="B46" s="119"/>
      <c r="C46" s="119"/>
      <c r="D46" s="119"/>
      <c r="E46" s="38"/>
    </row>
    <row r="47" spans="1:53" ht="37.5" customHeight="1" x14ac:dyDescent="0.3">
      <c r="A47" s="8"/>
      <c r="B47" s="119"/>
      <c r="C47" s="119"/>
      <c r="D47" s="119"/>
      <c r="E47" s="38"/>
    </row>
    <row r="52" spans="2:5" ht="25.2" x14ac:dyDescent="0.3">
      <c r="B52" s="10"/>
      <c r="C52" s="10"/>
      <c r="D52" s="10"/>
      <c r="E52" s="10"/>
    </row>
  </sheetData>
  <autoFilter ref="A1:D44" xr:uid="{00000000-0009-0000-0000-000005000000}"/>
  <mergeCells count="33">
    <mergeCell ref="R1:S1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N1:O1"/>
    <mergeCell ref="P1:Q1"/>
    <mergeCell ref="V1:W1"/>
    <mergeCell ref="X1:Y1"/>
    <mergeCell ref="Z1:AA1"/>
    <mergeCell ref="AB1:AC1"/>
    <mergeCell ref="AD1:AE1"/>
    <mergeCell ref="B46:D46"/>
    <mergeCell ref="B47:D47"/>
    <mergeCell ref="AR1:AS1"/>
    <mergeCell ref="AT1:AU1"/>
    <mergeCell ref="A42:A44"/>
    <mergeCell ref="B42:B44"/>
    <mergeCell ref="D42:E42"/>
    <mergeCell ref="D43:E43"/>
    <mergeCell ref="D44:E44"/>
    <mergeCell ref="AF1:AG1"/>
    <mergeCell ref="AH1:AI1"/>
    <mergeCell ref="AJ1:AK1"/>
    <mergeCell ref="AL1:AM1"/>
    <mergeCell ref="AN1:AO1"/>
    <mergeCell ref="AP1:AQ1"/>
    <mergeCell ref="T1:U1"/>
  </mergeCells>
  <pageMargins left="0.59055118110236227" right="0.39370078740157483" top="0.59055118110236227" bottom="0.59055118110236227" header="0.31496062992125984" footer="0.19685039370078741"/>
  <pageSetup paperSize="9" scale="10" fitToHeight="0" orientation="portrait" r:id="rId1"/>
  <headerFooter>
    <oddFooter>Страница  &amp;P из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J A A B Q S w M E F A A C A A g A e F i k V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H h Y p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W K R U 0 p L 9 i Y E G A A D a a A A A E w A c A E Z v c m 1 1 b G F z L 1 N l Y 3 R p b 2 4 x L m 0 g o h g A K K A U A A A A A A A A A A A A A A A A A A A A A A A A A A A A 7 V x L T y N H E L 4 j 8 R 9 a 3 g t I h g 0 P b Q 7 R n l A O u e Q S o h w 2 e z A b R 0 E L 9 s q Y a F c I y T a v s G z C K l k l i C Q Q 4 B x p / B g w Y 2 P + Q v d f y C 9 J V f X w 8 m v a n h n W x r V o A c 9 0 V 3 X X q 7 s + f W I p / i I 9 n 0 y I r / T P i c + G h 4 a H l n 6 I p e L f C X k s L Z m X F V l W m 9 K a F E / F Q j w 9 P C T g n 9 x T W Z W T N b U l L 2 R Z O v D u 8 9 c v 4 g v j M 8 u p V D y R / i a Z e j m X T L 4 c G V 1 5 9 m V s M f 4 0 U i c s 8 n z 1 2 U w y k Y a x z 6 N a 5 q O I 3 J N n s i p t k I n / L 9 S O P B e g p i w v I 6 B h N j a 3 E B + f T c U S S 9 8 n U 4 s z y Y X l x c T s m 1 f x p Z H 6 9 U R X V i L / r f 8 u 5 O V j m B s V X y T S T 6 b H c e x q V K x E 5 N + w m L K r q i Y L 8 A m n 2 T A y D W N E O v 4 6 r Q e + l y W V k b b K N r 4 6 h M 3 U 1 D b M L a l 3 U S E d W R i X 1 f G r g Y n l x b l 4 S g / 9 D Z S U m i x j X 1 q w a l s W Q V A G L L P b q O V A b c A r X J 8 l Z B l 9 c g C 6 L k H g K U z O 4 H O 1 K 1 Q W l l / E D 2 h h s K I F V g Z 5 Y k z I v P p F l m C 0 r X L N 1 u Z f Q Y H 8 5 a H m V 3 B m A Y S e C V l V a y A O d 2 w Z r K / 1 R C O 9 J x B 0 O M M x U l Y 3 2 k j D B 3 i R I U f e t g u a s g S T z + D p h V q H 3 x x j l 3 Q h 0 W i l 4 F o c C U F P o i t q F w X I c p T c S x l k g 5 F 3 Q A 8 Y v Q q W W A N x 6 H H M k 6 Z r r 4 / o Q F S Y b 8 a B w L i A U W X S g r + j 5 S C j D V f a d r 7 R M v Z V B r Z Q p F q Q x f i 8 L k M 1 a e O m U W A B t + 4 + g m 9 5 + F C B W a e g 8 7 r 2 N B g o j 2 U H E h E F 2 B i X 8 p x E Q L E Q 6 m e y m K N y t N x L m J n T g t R u t L U K K G d 7 8 H U k 5 L 6 A t W 7 h p i D S 7 0 q D T 9 o M R e 0 4 b a k T + D q W / 3 r b d Q A N Y h Q o B y B d b w e L C 0 j N C T I B V n 8 r 6 l Z W G 2 M R M 5 3 q H J h P r 8 O o j P s T b 5 5 z R 3 B s n c g P r h 3 A R G t 0 S s C p S 9 b D 5 J F H Z D k b x a v N M f k X p V a Z I i G D 5 U s W r 8 y I G V g F f 2 l 7 Z + 8 4 n V w O 9 Q 7 9 a e l 4 o V f l u w e U 2 l E b I M g 9 x Z o m f z / v x N w z e L l a d x d u a I K 6 K c a 6 Y A 8 W 1 X h b b Z B B t i g 5 H T c d M e H Q Q l T d r y 9 Y p g e I D + H m x o K 0 I I f g 3 e K c v E e u q q h 3 K C 3 a Q s u 3 h g e L D + n N t t D i m K 1 R e c p R R v 8 E v r R A b x 5 C a Q 1 P V u N D 0 E i O u W E x K U 7 1 J f 4 6 p q n s o w H O T Q P T W 4 r Z 9 U 9 f Q + 5 e p G C r E F g 1 b X n X F 5 i d B c r 0 O y d E F I + F Z i J A 8 V t 9 R J h Z + h 4 X Y m S Y f 7 A s Y T E D t 3 u 7 p G 5 0 B 8 E g a C t X c 6 F p O h a T U 0 8 + m a L r 7 L 7 8 E 4 v n o X 4 0 R r 9 O T E x N f 2 o Y u T 6 k G 2 c Z X b b p O p 7 F o w B y w t E n B V x J w A l 0 0 6 W O h F y R o S 6 3 R s c w 3 d c t 3 c h C 9 B p u K U B 1 n T Q F O g g v 6 W e R J G J V c q h W O b o 9 v B 1 6 9 L z i a t e 9 S k 3 n K d 6 q 8 N z L u v e N 2 w V a 6 4 G d G B e m + 1 6 V k c k O G 9 Y D 7 n A E d W Z V 0 O S d T w Y S z C 6 V 1 J P b t P 9 t u p b o d r 0 h O E y a 3 8 6 E e S T Q 6 u g N r H M A s 2 5 g n R r W 8 Q K W d Y j k n d v 3 f b Q F n p A O H v I l b B 5 B D Q z J u x e i q 1 N A D 4 T H m 2 i 8 G 2 j o 6 8 S r + R + T 6 Z H 2 S F I o s E p Y O I o 5 c N I p U u I B j R h h I Q G A H 4 G h H a H A G y E C G p 0 j G N 1 i F g P Z k 7 M J W s R C s D h E O M B D X / X n f b z 0 N r Z v i y W Y g w c B o w W h 4 A N B A w L h Q A D d N / 1 + 2 / w u + 3 p f j f x H 7 N w / e q / u 0 Z w b d e N B t 9 / h N N y h t 9 j 3 1 F T 3 S h f d W 3 1 z F 4 1 y 1 5 2 x v 1 b Y f + + 7 i k L e U x S V 4 c W a K / Y P E r O l e w F p R 0 a H h + Y T 9 9 U X t + Z y T A f J 5 Z h m L g d z O e 6 d y z E i q D h U C C V o h h 9 g 4 m 7 r k 5 l e n Y 9 2 y P / o U g N z R r x A F e a M D B 4 W w Z w R 5 o z 0 P B z y c H b C n B H m j D w c z s j j + u I a M J u k v X z m m T D P h H k m z D N h n k k v 8 k y u v d i Y p Y 5 7 q c + 4 X t A H a U 3 j U O 4 1 g e L Z K E r 8 y T c u A 2 2 v p C Y z W v o z l n j D r J z + Y u U E A n K F h m o x + 4 f Z P z 2 K r r A J m P 3 D 7 J 8 u Q C J m / / i F d g a S / d M J Q h M S J M O M I W Y M M W O I G U P 9 w h i 6 s n 2 Q u E V Y S I U J N m G K R v Q 6 U + p R / Z + q E S O T o x H + 4 z d M m O p v w l R n 5 C c m M j G R y X s Z A w i r M J G J i U w 9 j + w 8 n J 0 w k Y m J T A + H y B Q M X Y l J S U x K Y l I S k 5 K Y l N S r p C S m 2 f Q V z c a D M s P 0 F 6 a / 9 F d P z i Z g + g v T X 7 q A F p j + 4 h c Q G E j 6 S 5 c k F 6 a y M J W F q S x M Z e l k S i 9 S W X q S 0 v E / U E s B A i 0 A F A A C A A g A e F i k V B W G e 1 K o A A A A + A A A A B I A A A A A A A A A A A A A A A A A A A A A A E N v b m Z p Z y 9 Q Y W N r Y W d l L n h t b F B L A Q I t A B Q A A g A I A H h Y p F Q P y u m r p A A A A O k A A A A T A A A A A A A A A A A A A A A A A P Q A A A B b Q 2 9 u d G V u d F 9 U e X B l c 1 0 u e G 1 s U E s B A i 0 A F A A C A A g A e F i k V N K S / Y m B B g A A 2 m g A A B M A A A A A A A A A A A A A A A A A 5 Q E A A E Z v c m 1 1 b G F z L 1 N l Y 3 R p b 2 4 x L m 1 Q S w U G A A A A A A M A A w D C A A A A s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T s A A A A A A A A T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D c 6 M D M 6 N D I u N T g 2 O T I 2 M F o i I C 8 + P E V u d H J 5 I F R 5 c G U 9 I k Z p b G x D b 2 x 1 b W 5 U e X B l c y I g V m F s d W U 9 I n N B d 1 l H Q l F N R 0 J n V T 0 i I C 8 + P E V u d H J 5 I F R 5 c G U 9 I k Z p b G x D b 2 x 1 b W 5 O Y W 1 l c y I g V m F s d W U 9 I n N b J n F 1 b 3 Q 7 4 o S W I N C / L 9 C / J n F 1 b 3 Q 7 L C Z x d W 9 0 O 9 C d 0 L D Q u N C 8 0 L X Q v d C + 0 L L Q s N C 9 0 L j Q t S Z x d W 9 0 O y w m c X V v d D v Q k N C 0 0 Y D Q t d G B J n F 1 b 3 Q 7 L C Z x d W 9 0 O 9 C f 0 L v Q v t G J 0 L D Q t N G M L C D Q u t C y L t C 8 L i Z x d W 9 0 O y w m c X V v d D v Q k 9 C + 0 L Q m c X V v d D s s J n F 1 b 3 Q 7 0 J r Q s N G C 0 L X Q s 9 C + 0 Y D Q u N G P J n F 1 b 3 Q 7 L C Z x d W 9 0 O 9 C Q 0 Y L R g N C 4 0 L H R g 9 G C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+ K E l i D Q v y / Q v y w w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d 0 L D Q u N C 8 0 L X Q v d C + 0 L L Q s N C 9 0 L j Q t S w x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Q 0 L T R g N C 1 0 Y E s M n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n 9 C 7 0 L 7 R i d C w 0 L T R j C w g 0 L r Q s i 7 Q v C 4 s M 3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k 9 C + 0 L Q s N H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m t C w 0 Y L Q t d C z 0 L 7 R g N C 4 0 Y 8 s N X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k N G C 0 Y D Q u N C x 0 Y P R g i w 2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X 0 L 3 Q s N G H 0 L X Q v d C 4 0 L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i h J Y g 0 L 8 v 0 L 8 s M H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n d C w 0 L j Q v N C 1 0 L 3 Q v t C y 0 L D Q v d C 4 0 L U s M X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k N C 0 0 Y D Q t d G B L D J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/ Q u 9 C + 0 Y n Q s N C 0 0 Y w s I N C 6 0 L I u 0 L w u L D N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P Q v t C 0 L D R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r Q s N G C 0 L X Q s 9 C + 0 Y D Q u N G P L D V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D R g t G A 0 L j Q s d G D 0 Y I s N n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l 9 C 9 0 L D R h 9 C 1 0 L 3 Q u N C 1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U U l R D E l O D I l R D A l Q k M l R D A l Q j U l R D A l Q k Q l R D A l Q j U l R D A l Q k Q l R D A l Q k U l M j A l R D E l O D E l R D A l Q j I l R D A l Q j U l R D E l O D A l R D E l O D I l R D E l O E I l R D A l Q j I l R D A l Q j A l R D A l Q k Q l R D A l Q j g l R D A l Q j U l M j A l R D E l O D I l R D A l Q k U l R D A l Q k I l R D E l O E M l R D A l Q k E l R D A l Q k U l M j A l R D A l Q j Q l R D A l Q k I l R D E l O E Y l M j A l R D A l Q j I l R D E l O E I l R D A l Q j E l R D E l O D A l R D A l Q j A l R D A l Q k Q l R D A l Q k Q l R D E l O E I l R D E l O D U l M j A l R D E l O D E l R D E l O D I l R D A l Q k U l R D A l Q k I l R D A l Q j E l R D E l O D Y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w N z o w O T o 0 M i 4 3 M j k 1 N z M 3 W i I g L z 4 8 R W 5 0 c n k g V H l w Z T 0 i R m l s b E N v b H V t b l R 5 c G V z I i B W Y W x 1 Z T 0 i c 0 F 3 W U d C U U 1 H Q m d B P S I g L z 4 8 R W 5 0 c n k g V H l w Z T 0 i R m l s b E N v b H V t b k 5 h b W V z I i B W Y W x 1 Z T 0 i c 1 s m c X V v d D v i h J Y g 0 L 8 v 0 L 8 m c X V v d D s s J n F 1 b 3 Q 7 0 J 3 Q s N C 4 0 L z Q t d C 9 0 L 7 Q s t C w 0 L 3 Q u N C 1 J n F 1 b 3 Q 7 L C Z x d W 9 0 O 9 C Q 0 L T R g N C 1 0 Y E m c X V v d D s s J n F 1 b 3 Q 7 0 J / Q u 9 C + 0 Y n Q s N C 0 0 Y w s I N C 6 0 L I u 0 L w u J n F 1 b 3 Q 7 L C Z x d W 9 0 O 9 C T 0 L 7 Q t C Z x d W 9 0 O y w m c X V v d D v Q m t C w 0 Y L Q t d C z 0 L 7 R g N C 4 0 Y 8 m c X V v d D s s J n F 1 b 3 Q 7 0 J D R g t G A 0 L j Q s d G D 0 Y I m c X V v d D s s J n F 1 b 3 Q 7 0 J f Q v d C w 0 Y f Q t d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C / Q n t G C 0 L z Q t d C 9 0 L X Q v d C + I N G B 0 L L Q t d G A 0 Y L R i 9 C y 0 L D Q v d C 4 0 L U g 0 Y L Q v t C 7 0 Y z Q u t C + I N C 0 0 L v R j y D Q s t G L 0 L H R g N C w 0 L 3 Q v d G L 0 Y U g 0 Y H R g t C + 0 L v Q s d G G 0 L 7 Q s i 5 7 4 o S W I N C / L 9 C / L D B 9 J n F 1 b 3 Q 7 L C Z x d W 9 0 O 1 N l Y 3 R p b 2 4 x L 9 C i 0 L D Q s d C 7 0 L j R h t C w N C / Q n t G C 0 L z Q t d C 9 0 L X Q v d C + I N G B 0 L L Q t d G A 0 Y L R i 9 C y 0 L D Q v d C 4 0 L U g 0 Y L Q v t C 7 0 Y z Q u t C + I N C 0 0 L v R j y D Q s t G L 0 L H R g N C w 0 L 3 Q v d G L 0 Y U g 0 Y H R g t C + 0 L v Q s d G G 0 L 7 Q s i 5 7 0 J 3 Q s N C 4 0 L z Q t d C 9 0 L 7 Q s t C w 0 L 3 Q u N C 1 L D F 9 J n F 1 b 3 Q 7 L C Z x d W 9 0 O 1 N l Y 3 R p b 2 4 x L 9 C i 0 L D Q s d C 7 0 L j R h t C w N C / Q n t G C 0 L z Q t d C 9 0 L X Q v d C + I N G B 0 L L Q t d G A 0 Y L R i 9 C y 0 L D Q v d C 4 0 L U g 0 Y L Q v t C 7 0 Y z Q u t C + I N C 0 0 L v R j y D Q s t G L 0 L H R g N C w 0 L 3 Q v d G L 0 Y U g 0 Y H R g t C + 0 L v Q s d G G 0 L 7 Q s i 5 7 0 J D Q t N G A 0 L X R g S w y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f 0 L v Q v t G J 0 L D Q t N G M L C D Q u t C y L t C 8 L i w z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T 0 L 7 Q t C w 0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a 0 L D R g t C 1 0 L P Q v t G A 0 L j R j y w 1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Q 0 Y L R g N C 4 0 L H R g 9 G C L D Z 9 J n F 1 b 3 Q 7 L C Z x d W 9 0 O 1 N l Y 3 R p b 2 4 x L 9 C i 0 L D Q s d C 7 0 L j R h t C w N C / Q n t G C 0 L z Q t d C 9 0 L X Q v d C + I N G B 0 L L Q t d G A 0 Y L R i 9 C y 0 L D Q v d C 4 0 L U g 0 Y L Q v t C 7 0 Y z Q u t C + I N C 0 0 L v R j y D Q s t G L 0 L H R g N C w 0 L 3 Q v d G L 0 Y U g 0 Y H R g t C + 0 L v Q s d G G 0 L 7 Q s i 5 7 0 J f Q v d C w 0 Y f Q t d C 9 0 L j Q t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+ K E l i D Q v y / Q v y w w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d 0 L D Q u N C 8 0 L X Q v d C + 0 L L Q s N C 9 0 L j Q t S w x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Q 0 L T R g N C 1 0 Y E s M n 0 m c X V v d D s s J n F 1 b 3 Q 7 U 2 V j d G l v b j E v 0 K L Q s N C x 0 L v Q u N G G 0 L A 0 L 9 C e 0 Y L Q v N C 1 0 L 3 Q t d C 9 0 L 4 g 0 Y H Q s t C 1 0 Y D R g t G L 0 L L Q s N C 9 0 L j Q t S D R g t C + 0 L v R j N C 6 0 L 4 g 0 L T Q u 9 G P I N C y 0 Y v Q s d G A 0 L D Q v d C 9 0 Y v R h S D R g d G C 0 L 7 Q u 9 C x 0 Y b Q v t C y L n v Q n 9 C 7 0 L 7 R i d C w 0 L T R j C w g 0 L r Q s i 7 Q v C 4 s M 3 0 m c X V v d D s s J n F 1 b 3 Q 7 U 2 V j d G l v b j E v 0 K L Q s N C x 0 L v Q u N G G 0 L A 0 L 9 C e 0 Y L Q v N C 1 0 L 3 Q t d C 9 0 L 4 g 0 Y H Q s t C 1 0 Y D R g t G L 0 L L Q s N C 9 0 L j Q t S D R g t C + 0 L v R j N C 6 0 L 4 g 0 L T Q u 9 G P I N C y 0 Y v Q s d G A 0 L D Q v d C 9 0 Y v R h S D R g d G C 0 L 7 Q u 9 C x 0 Y b Q v t C y L n v Q k 9 C + 0 L Q s N H 0 m c X V v d D s s J n F 1 b 3 Q 7 U 2 V j d G l v b j E v 0 K L Q s N C x 0 L v Q u N G G 0 L A 0 L 9 C e 0 Y L Q v N C 1 0 L 3 Q t d C 9 0 L 4 g 0 Y H Q s t C 1 0 Y D R g t G L 0 L L Q s N C 9 0 L j Q t S D R g t C + 0 L v R j N C 6 0 L 4 g 0 L T Q u 9 G P I N C y 0 Y v Q s d G A 0 L D Q v d C 9 0 Y v R h S D R g d G C 0 L 7 Q u 9 C x 0 Y b Q v t C y L n v Q m t C w 0 Y L Q t d C z 0 L 7 R g N C 4 0 Y 8 s N X 0 m c X V v d D s s J n F 1 b 3 Q 7 U 2 V j d G l v b j E v 0 K L Q s N C x 0 L v Q u N G G 0 L A 0 L 9 C e 0 Y L Q v N C 1 0 L 3 Q t d C 9 0 L 4 g 0 Y H Q s t C 1 0 Y D R g t G L 0 L L Q s N C 9 0 L j Q t S D R g t C + 0 L v R j N C 6 0 L 4 g 0 L T Q u 9 G P I N C y 0 Y v Q s d G A 0 L D Q v d C 9 0 Y v R h S D R g d G C 0 L 7 Q u 9 C x 0 Y b Q v t C y L n v Q k N G C 0 Y D Q u N C x 0 Y P R g i w 2 f S Z x d W 9 0 O y w m c X V v d D t T Z W N 0 a W 9 u M S / Q o t C w 0 L H Q u 9 C 4 0 Y b Q s D Q v 0 J 7 R g t C 8 0 L X Q v d C 1 0 L 3 Q v i D R g d C y 0 L X R g N G C 0 Y v Q s t C w 0 L 3 Q u N C 1 I N G C 0 L 7 Q u 9 G M 0 L r Q v i D Q t N C 7 0 Y 8 g 0 L L R i 9 C x 0 Y D Q s N C 9 0 L 3 R i 9 G F I N G B 0 Y L Q v t C 7 0 L H R h t C + 0 L I u e 9 C X 0 L 3 Q s N G H 0 L X Q v d C 4 0 L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L y V E M C U 5 R S V E M S U 4 M i V E M C V C Q y V E M C V C N S V E M C V C R C V E M C V C N S V E M C V C R C V E M C V C R S U y M C V E M S U 4 M S V E M C V C M i V E M C V C N S V E M S U 4 M C V E M S U 4 M i V E M S U 4 Q i V E M C V C M i V E M C V C M C V E M C V C R C V E M C V C O C V E M C V C N S U y M C V E M S U 4 M i V E M C V C R S V E M C V C Q i V E M S U 4 Q y V E M C V C Q S V E M C V C R S U y M C V E M C V C N C V E M C V C Q i V E M S U 4 R i U y M C V E M C V C M i V E M S U 4 Q i V E M C V C M S V E M S U 4 M C V E M C V C M C V E M C V C R C V E M C V C R C V E M S U 4 Q i V E M S U 4 N S U y M C V E M S U 4 M S V E M S U 4 M i V E M C V C R S V E M C V C Q i V E M C V C M S V E M S U 4 N i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t C w 0 L H Q u 9 C 4 0 Y b Q s D J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A 3 O j A z O j Q y L j U 4 N j k y N j B a I i A v P j x F b n R y e S B U e X B l P S J G a W x s Q 2 9 s d W 1 u V H l w Z X M i I F Z h b H V l P S J z Q X d Z R 0 J R T U d C Z 1 U 9 I i A v P j x F b n R y e S B U e X B l P S J G a W x s Q 2 9 s d W 1 u T m F t Z X M i I F Z h b H V l P S J z W y Z x d W 9 0 O + K E l i D Q v y / Q v y Z x d W 9 0 O y w m c X V v d D v Q n d C w 0 L j Q v N C 1 0 L 3 Q v t C y 0 L D Q v d C 4 0 L U m c X V v d D s s J n F 1 b 3 Q 7 0 J D Q t N G A 0 L X R g S Z x d W 9 0 O y w m c X V v d D v Q n 9 C 7 0 L 7 R i d C w 0 L T R j C w g 0 L r Q s i 7 Q v C 4 m c X V v d D s s J n F 1 b 3 Q 7 0 J P Q v t C 0 J n F 1 b 3 Q 7 L C Z x d W 9 0 O 9 C a 0 L D R g t C 1 0 L P Q v t G A 0 L j R j y Z x d W 9 0 O y w m c X V v d D v Q k N G C 0 Y D Q u N C x 0 Y P R g i Z x d W 9 0 O y w m c X V v d D v Q l 9 C 9 0 L D R h 9 C 1 0 L 3 Q u N C 1 J n F 1 b 3 Q 7 X S I g L z 4 8 R W 5 0 c n k g V H l w Z T 0 i R m l s b F N 0 Y X R 1 c y I g V m F s d W U 9 I n N D b 2 1 w b G V 0 Z S I g L z 4 8 R W 5 0 c n k g V H l w Z T 0 i R m l s b E N v d W 5 0 I i B W Y W x 1 Z T 0 i b D E x O D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4 o S W I N C / L 9 C / L D B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3 Q s N C 4 0 L z Q t d C 9 0 L 7 Q s t C w 0 L 3 Q u N C 1 L D F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D Q t N G A 0 L X R g S w y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f 0 L v Q v t G J 0 L D Q t N G M L C D Q u t C y L t C 8 L i w z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T 0 L 7 Q t C w 0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a 0 L D R g t C 1 0 L P Q v t G A 0 L j R j y w 1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Q 0 Y L R g N C 4 0 L H R g 9 G C L D Z 9 J n F 1 b 3 Q 7 L C Z x d W 9 0 O 1 N l Y 3 R p b 2 4 x L 9 C i 0 L D Q s d C 7 0 L j R h t C w M i / Q n t G C 0 L z Q t d C 9 0 L X Q v d C + I N G B 0 L L Q t d G A 0 Y L R i 9 C y 0 L D Q v d C 4 0 L U g 0 Y L Q v t C 7 0 Y z Q u t C + I N C 0 0 L v R j y D Q s t G L 0 L H R g N C w 0 L 3 Q v d G L 0 Y U g 0 Y H R g t C + 0 L v Q s d G G 0 L 7 Q s i 5 7 0 J f Q v d C w 0 Y f Q t d C 9 0 L j Q t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+ K E l i D Q v y / Q v y w w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d 0 L D Q u N C 8 0 L X Q v d C + 0 L L Q s N C 9 0 L j Q t S w x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Q 0 L T R g N C 1 0 Y E s M n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n 9 C 7 0 L 7 R i d C w 0 L T R j C w g 0 L r Q s i 7 Q v C 4 s M 3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k 9 C + 0 L Q s N H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m t C w 0 Y L Q t d C z 0 L 7 R g N C 4 0 Y 8 s N X 0 m c X V v d D s s J n F 1 b 3 Q 7 U 2 V j d G l v b j E v 0 K L Q s N C x 0 L v Q u N G G 0 L A y L 9 C e 0 Y L Q v N C 1 0 L 3 Q t d C 9 0 L 4 g 0 Y H Q s t C 1 0 Y D R g t G L 0 L L Q s N C 9 0 L j Q t S D R g t C + 0 L v R j N C 6 0 L 4 g 0 L T Q u 9 G P I N C y 0 Y v Q s d G A 0 L D Q v d C 9 0 Y v R h S D R g d G C 0 L 7 Q u 9 C x 0 Y b Q v t C y L n v Q k N G C 0 Y D Q u N C x 0 Y P R g i w 2 f S Z x d W 9 0 O y w m c X V v d D t T Z W N 0 a W 9 u M S / Q o t C w 0 L H Q u 9 C 4 0 Y b Q s D I v 0 J 7 R g t C 8 0 L X Q v d C 1 0 L 3 Q v i D R g d C y 0 L X R g N G C 0 Y v Q s t C w 0 L 3 Q u N C 1 I N G C 0 L 7 Q u 9 G M 0 L r Q v i D Q t N C 7 0 Y 8 g 0 L L R i 9 C x 0 Y D Q s N C 9 0 L 3 R i 9 G F I N G B 0 Y L Q v t C 7 0 L H R h t C + 0 L I u e 9 C X 0 L 3 Q s N G H 0 L X Q v d C 4 0 L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U y M C g y K S 8 l R D A l O U U l R D E l O D I l R D A l Q k M l R D A l Q j U l R D A l Q k Q l R D A l Q j U l R D A l Q k Q l R D A l Q k U l M j A l R D E l O D E l R D A l Q j I l R D A l Q j U l R D E l O D A l R D E l O D I l R D E l O E I l R D A l Q j I l R D A l Q j A l R D A l Q k Q l R D A l Q j g l R D A l Q j U l M j A l R D E l O D I l R D A l Q k U l R D A l Q k I l R D E l O E M l R D A l Q k E l R D A l Q k U l M j A l R D A l Q j Q l R D A l Q k I l R D E l O E Y l M j A l R D A l Q j I l R D E l O E I l R D A l Q j E l R D E l O D A l R D A l Q j A l R D A l Q k Q l R D A l Q k Q l R D E l O E I l R D E l O D U l M j A l R D E l O D E l R D E l O D I l R D A l Q k U l R D A l Q k I l R D A l Q j E l R D E l O D Y l R D A l Q k U l R D A l Q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9 F B o R B c L U a A w n w s 7 S i E L w A A A A A C A A A A A A A Q Z g A A A A E A A C A A A A A h t z J x S F k y Q k H V I 9 6 b R Q Y b V R U T S n N 5 4 P Y 2 N y 9 r J r V 4 i w A A A A A O g A A A A A I A A C A A A A B r 8 x D w 9 L 5 F d + w h y m V e A c U G X x b L + + C / j 1 f / m t K W M W 8 6 A F A A A A C m k d y 9 B o y D 7 j g U H e 8 3 v P J e w g w d 8 z t d + K b P h A v i H D p s P W s I V K a L Q V O 2 1 3 n Z 6 a c P 8 n L 1 M v y 1 M A i V Q 6 E U W h Y q 3 Y W 0 U p m e K h c j W T 1 S S Z J Z D d w X e 0 A A A A B q n e o F D 6 1 3 F R D Z G s + M / N N y t b k P b M x s N F / Z f A K f 4 i h 9 C 1 1 e Z 4 a j j l j I H S t e s f g 4 M Q w H t O N i p c g G o t y g T h F Q R p L X < / D a t a M a s h u p > 
</file>

<file path=customXml/itemProps1.xml><?xml version="1.0" encoding="utf-8"?>
<ds:datastoreItem xmlns:ds="http://schemas.openxmlformats.org/officeDocument/2006/customXml" ds:itemID="{268B4E29-70A4-4DDD-9E7C-B0184AF757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Лист2</vt:lpstr>
      <vt:lpstr>Лист4</vt:lpstr>
      <vt:lpstr>Cвод 2020</vt:lpstr>
      <vt:lpstr>Адреса</vt:lpstr>
      <vt:lpstr>Лист3</vt:lpstr>
      <vt:lpstr>Cвод 2021</vt:lpstr>
      <vt:lpstr>Кадры</vt:lpstr>
      <vt:lpstr>балласт</vt:lpstr>
      <vt:lpstr>Общежития</vt:lpstr>
      <vt:lpstr>Учебные корпуса</vt:lpstr>
      <vt:lpstr>иное</vt:lpstr>
      <vt:lpstr>Категории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Лаптева Дарья Павловна</dc:creator>
  <cp:lastModifiedBy>Nikolay Grinchar</cp:lastModifiedBy>
  <cp:lastPrinted>2022-02-18T10:10:25Z</cp:lastPrinted>
  <dcterms:created xsi:type="dcterms:W3CDTF">2021-07-16T07:40:44Z</dcterms:created>
  <dcterms:modified xsi:type="dcterms:W3CDTF">2022-05-05T15:36:34Z</dcterms:modified>
</cp:coreProperties>
</file>