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analytics\"/>
    </mc:Choice>
  </mc:AlternateContent>
  <xr:revisionPtr revIDLastSave="0" documentId="13_ncr:1_{8CAA4070-02A2-4BE8-ABBA-92CEF5AC2B47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Cвод 2020" sheetId="1" r:id="rId1"/>
    <sheet name="Адреса" sheetId="4" r:id="rId2"/>
    <sheet name="Cвод 2021" sheetId="5" r:id="rId3"/>
    <sheet name="Кадры" sheetId="8" r:id="rId4"/>
    <sheet name="балласт" sheetId="6" r:id="rId5"/>
    <sheet name="Общежития" sheetId="7" r:id="rId6"/>
    <sheet name="Учебные корпуса" sheetId="9" r:id="rId7"/>
    <sheet name="иное" sheetId="10" r:id="rId8"/>
  </sheets>
  <definedNames>
    <definedName name="_xlnm._FilterDatabase" localSheetId="0" hidden="1">'Cвод 2020'!$A$1:$D$113</definedName>
    <definedName name="_xlnm._FilterDatabase" localSheetId="2" hidden="1">'Cвод 2021'!$A$1:$AY$113</definedName>
    <definedName name="_xlnm._FilterDatabase" localSheetId="1" hidden="1">Адреса!$A$1:$B$46</definedName>
    <definedName name="_xlnm._FilterDatabase" localSheetId="4" hidden="1">балласт!$A$1:$AY$59</definedName>
    <definedName name="_xlnm._FilterDatabase" localSheetId="7" hidden="1">иное!$A$1:$AY$76</definedName>
    <definedName name="_xlnm._FilterDatabase" localSheetId="3" hidden="1">Кадры!$B$4:$Q$107</definedName>
    <definedName name="_xlnm._FilterDatabase" localSheetId="5" hidden="1">Общежития!$A$1:$D$44</definedName>
    <definedName name="_xlnm._FilterDatabase" localSheetId="6" hidden="1">'Учебные корпуса'!$A$1:$AY$94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1" i="9" l="1"/>
  <c r="V81" i="9"/>
  <c r="W53" i="10"/>
  <c r="W82" i="9"/>
  <c r="V82" i="9"/>
  <c r="W56" i="10"/>
  <c r="W54" i="10"/>
  <c r="V78" i="9"/>
  <c r="W78" i="9"/>
  <c r="W77" i="9"/>
  <c r="W49" i="10"/>
  <c r="W66" i="9" l="1"/>
  <c r="V66" i="9"/>
  <c r="W60" i="9"/>
  <c r="V60" i="9"/>
  <c r="W83" i="9"/>
  <c r="V83" i="9"/>
  <c r="W57" i="10"/>
  <c r="W63" i="9"/>
  <c r="V63" i="9"/>
  <c r="W71" i="9"/>
  <c r="W69" i="9"/>
  <c r="V69" i="9"/>
  <c r="V71" i="9" s="1"/>
  <c r="W70" i="9"/>
  <c r="V70" i="9"/>
  <c r="W59" i="9"/>
  <c r="V59" i="9"/>
  <c r="W89" i="9"/>
  <c r="V89" i="9"/>
  <c r="W88" i="9"/>
  <c r="V88" i="9"/>
  <c r="W86" i="9"/>
  <c r="V86" i="9"/>
  <c r="W85" i="9"/>
  <c r="V85" i="9"/>
  <c r="W55" i="6"/>
  <c r="V55" i="6"/>
  <c r="W29" i="7"/>
  <c r="V29" i="7"/>
  <c r="W25" i="7"/>
  <c r="V25" i="7"/>
  <c r="W27" i="7"/>
  <c r="V27" i="7"/>
  <c r="W35" i="7"/>
  <c r="V35" i="7"/>
  <c r="W34" i="7"/>
  <c r="V34" i="7"/>
  <c r="W36" i="7"/>
  <c r="W37" i="7" s="1"/>
  <c r="V36" i="7"/>
  <c r="V37" i="7" s="1"/>
  <c r="W33" i="7"/>
  <c r="V33" i="7"/>
  <c r="W31" i="7"/>
  <c r="V31" i="7"/>
  <c r="K50" i="10" l="1"/>
  <c r="K49" i="10"/>
  <c r="K70" i="9"/>
  <c r="J70" i="9"/>
  <c r="I33" i="7"/>
  <c r="H33" i="7"/>
  <c r="K63" i="9"/>
  <c r="J63" i="9"/>
  <c r="K33" i="9"/>
  <c r="J33" i="9"/>
  <c r="K69" i="9"/>
  <c r="J69" i="9"/>
  <c r="K72" i="9"/>
  <c r="J72" i="9"/>
  <c r="K67" i="9"/>
  <c r="J67" i="9"/>
  <c r="K61" i="9"/>
  <c r="J61" i="9"/>
  <c r="K66" i="9"/>
  <c r="J66" i="9"/>
  <c r="K73" i="9"/>
  <c r="J73" i="9"/>
  <c r="K60" i="9"/>
  <c r="J60" i="9"/>
  <c r="K56" i="10" l="1"/>
  <c r="K57" i="10" s="1"/>
  <c r="K89" i="9" l="1"/>
  <c r="J89" i="9"/>
  <c r="K88" i="9"/>
  <c r="J88" i="9"/>
  <c r="K87" i="9"/>
  <c r="J87" i="9"/>
  <c r="K86" i="9"/>
  <c r="J86" i="9"/>
  <c r="K85" i="9"/>
  <c r="J85" i="9"/>
  <c r="K30" i="7"/>
  <c r="J30" i="7"/>
  <c r="K54" i="9"/>
  <c r="J54" i="9"/>
  <c r="K62" i="9"/>
  <c r="J62" i="9"/>
  <c r="K59" i="9"/>
  <c r="J59" i="9"/>
  <c r="K71" i="9"/>
  <c r="J71" i="9"/>
  <c r="AG85" i="9" l="1"/>
  <c r="AF85" i="9"/>
  <c r="AG89" i="9"/>
  <c r="AF89" i="9"/>
  <c r="AG88" i="9"/>
  <c r="AF88" i="9"/>
  <c r="AG87" i="9"/>
  <c r="AF87" i="9"/>
  <c r="AG86" i="9"/>
  <c r="AF86" i="9"/>
  <c r="AG77" i="9"/>
  <c r="AF77" i="9"/>
  <c r="AG50" i="10"/>
  <c r="AF50" i="10"/>
  <c r="AG68" i="9"/>
  <c r="AF68" i="9"/>
  <c r="AG49" i="10"/>
  <c r="AF49" i="10"/>
  <c r="AG76" i="9"/>
  <c r="AF76" i="9"/>
  <c r="AG60" i="9"/>
  <c r="AF60" i="9"/>
  <c r="AG61" i="9"/>
  <c r="AF61" i="9"/>
  <c r="AG78" i="9"/>
  <c r="AF78" i="9"/>
  <c r="AG63" i="9"/>
  <c r="AF63" i="9"/>
  <c r="AG62" i="9"/>
  <c r="AF62" i="9"/>
  <c r="AG71" i="9"/>
  <c r="AF71" i="9"/>
  <c r="AG69" i="9"/>
  <c r="AF69" i="9"/>
  <c r="AG59" i="9"/>
  <c r="AF59" i="9"/>
  <c r="G77" i="9" l="1"/>
  <c r="F77" i="9"/>
  <c r="AG53" i="10" l="1"/>
  <c r="AF53" i="10"/>
  <c r="AG57" i="10"/>
  <c r="AF57" i="10"/>
  <c r="AG54" i="10"/>
  <c r="AF54" i="10"/>
  <c r="AG56" i="10"/>
  <c r="AF56" i="10"/>
  <c r="AG72" i="9"/>
  <c r="AF72" i="9"/>
  <c r="AG67" i="9"/>
  <c r="AF67" i="9"/>
  <c r="AG66" i="9"/>
  <c r="AF66" i="9"/>
  <c r="AG73" i="9"/>
  <c r="AF73" i="9"/>
  <c r="AG70" i="9"/>
  <c r="AF70" i="9"/>
  <c r="I89" i="9" l="1"/>
  <c r="H89" i="9"/>
  <c r="I88" i="9"/>
  <c r="H88" i="9"/>
  <c r="I85" i="9"/>
  <c r="H85" i="9"/>
  <c r="I51" i="9"/>
  <c r="H51" i="9"/>
  <c r="I78" i="9"/>
  <c r="H78" i="9"/>
  <c r="I22" i="10"/>
  <c r="I21" i="10"/>
  <c r="I77" i="9"/>
  <c r="H77" i="9"/>
  <c r="I76" i="9"/>
  <c r="H76" i="9"/>
  <c r="I70" i="9"/>
  <c r="I71" i="9"/>
  <c r="I72" i="9"/>
  <c r="I73" i="9"/>
  <c r="I74" i="9"/>
  <c r="I75" i="9"/>
  <c r="I69" i="9"/>
  <c r="H69" i="9"/>
  <c r="H70" i="9" s="1"/>
  <c r="H71" i="9" s="1"/>
  <c r="H72" i="9" s="1"/>
  <c r="H73" i="9" s="1"/>
  <c r="H74" i="9" s="1"/>
  <c r="H75" i="9" s="1"/>
  <c r="I61" i="9"/>
  <c r="H61" i="9"/>
  <c r="AS67" i="9"/>
  <c r="AR67" i="9"/>
  <c r="AS66" i="9"/>
  <c r="AR66" i="9"/>
  <c r="AS76" i="9"/>
  <c r="AR76" i="9"/>
  <c r="AS73" i="9"/>
  <c r="AR73" i="9"/>
  <c r="AS61" i="9"/>
  <c r="AR61" i="9"/>
  <c r="AS78" i="9"/>
  <c r="AR78" i="9"/>
  <c r="AS62" i="9"/>
  <c r="AR62" i="9"/>
  <c r="AS71" i="9"/>
  <c r="AR71" i="9"/>
  <c r="AS69" i="9"/>
  <c r="AR69" i="9"/>
  <c r="AS59" i="9"/>
  <c r="AR59" i="9"/>
  <c r="AS54" i="10"/>
  <c r="AS57" i="10"/>
  <c r="AS56" i="10"/>
  <c r="AS82" i="9"/>
  <c r="AS83" i="9"/>
  <c r="AR83" i="9"/>
  <c r="AR82" i="9"/>
  <c r="AS84" i="9"/>
  <c r="AR84" i="9"/>
  <c r="AS60" i="9" l="1"/>
  <c r="AR60" i="9"/>
  <c r="AS70" i="9"/>
  <c r="AR70" i="9"/>
  <c r="AS63" i="9"/>
  <c r="AR63" i="9"/>
  <c r="AS80" i="9"/>
  <c r="AR80" i="9"/>
  <c r="AS87" i="9"/>
  <c r="AR87" i="9"/>
  <c r="AS86" i="9"/>
  <c r="AR86" i="9"/>
  <c r="AS53" i="9"/>
  <c r="AR53" i="9"/>
  <c r="AS50" i="9"/>
  <c r="AR50" i="9"/>
  <c r="AS49" i="9"/>
  <c r="AR49" i="9"/>
  <c r="AS48" i="9"/>
  <c r="AR48" i="9"/>
  <c r="AS52" i="9"/>
  <c r="AR52" i="9"/>
  <c r="G47" i="10"/>
  <c r="AS55" i="9"/>
  <c r="AR55" i="9"/>
  <c r="AS54" i="9"/>
  <c r="AR54" i="9"/>
  <c r="AS30" i="7"/>
  <c r="AR30" i="7"/>
  <c r="G39" i="7" l="1"/>
  <c r="F39" i="7"/>
  <c r="G81" i="9"/>
  <c r="F81" i="9"/>
  <c r="G84" i="9"/>
  <c r="F84" i="9"/>
  <c r="G56" i="10"/>
  <c r="G62" i="9"/>
  <c r="F62" i="9"/>
  <c r="G63" i="9"/>
  <c r="F63" i="9"/>
  <c r="G76" i="9"/>
  <c r="F76" i="9"/>
  <c r="G35" i="7"/>
  <c r="F35" i="7"/>
  <c r="G37" i="7"/>
  <c r="F37" i="7"/>
  <c r="G36" i="7"/>
  <c r="F36" i="7"/>
  <c r="G31" i="7"/>
  <c r="F31" i="7"/>
  <c r="F27" i="7"/>
  <c r="G71" i="9"/>
  <c r="F71" i="9"/>
  <c r="G70" i="9"/>
  <c r="F70" i="9"/>
  <c r="G69" i="9"/>
  <c r="F69" i="9"/>
  <c r="F83" i="9"/>
  <c r="G89" i="9"/>
  <c r="F89" i="9"/>
  <c r="G88" i="9"/>
  <c r="F88" i="9"/>
  <c r="G86" i="9"/>
  <c r="F86" i="9"/>
  <c r="G87" i="9"/>
  <c r="F87" i="9"/>
  <c r="G85" i="9"/>
  <c r="G83" i="9"/>
  <c r="G82" i="9"/>
  <c r="G78" i="9"/>
  <c r="G55" i="9"/>
  <c r="G54" i="9"/>
  <c r="G50" i="9"/>
  <c r="G49" i="9"/>
  <c r="G48" i="9"/>
  <c r="F85" i="9"/>
  <c r="F82" i="9"/>
  <c r="F78" i="9"/>
  <c r="F55" i="9"/>
  <c r="F54" i="9"/>
  <c r="F50" i="9"/>
  <c r="F49" i="9"/>
  <c r="F48" i="9"/>
  <c r="G38" i="7"/>
  <c r="F38" i="7"/>
  <c r="G55" i="6"/>
  <c r="G34" i="7"/>
  <c r="F34" i="7"/>
  <c r="G53" i="10"/>
  <c r="G59" i="9"/>
  <c r="G60" i="9"/>
  <c r="F60" i="9"/>
  <c r="F59" i="9"/>
  <c r="G67" i="9"/>
  <c r="F67" i="9"/>
  <c r="G61" i="9"/>
  <c r="F61" i="9"/>
  <c r="G19" i="10"/>
  <c r="F73" i="9"/>
  <c r="F25" i="7"/>
  <c r="G34" i="9"/>
  <c r="F34" i="9"/>
  <c r="G26" i="7"/>
  <c r="F26" i="7"/>
  <c r="G33" i="7"/>
  <c r="F33" i="7"/>
  <c r="J76" i="10" l="1"/>
  <c r="N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H76" i="10"/>
  <c r="AL76" i="10"/>
  <c r="AM76" i="10"/>
  <c r="AN76" i="10"/>
  <c r="AO76" i="10"/>
  <c r="AP76" i="10"/>
  <c r="AT76" i="10"/>
  <c r="AU76" i="10"/>
  <c r="AV76" i="10"/>
  <c r="AW76" i="10"/>
  <c r="AX76" i="10"/>
  <c r="AY76" i="10"/>
  <c r="N94" i="9"/>
  <c r="O94" i="9"/>
  <c r="P94" i="9"/>
  <c r="R94" i="9"/>
  <c r="U94" i="9"/>
  <c r="V94" i="9"/>
  <c r="Y94" i="9"/>
  <c r="Z94" i="9"/>
  <c r="AC94" i="9"/>
  <c r="AD94" i="9"/>
  <c r="AE94" i="9"/>
  <c r="AH94" i="9"/>
  <c r="AJ94" i="9"/>
  <c r="AL94" i="9"/>
  <c r="AM94" i="9"/>
  <c r="AN94" i="9"/>
  <c r="AO94" i="9"/>
  <c r="AP94" i="9"/>
  <c r="AQ94" i="9"/>
  <c r="AT94" i="9"/>
  <c r="AU94" i="9"/>
  <c r="AV94" i="9"/>
  <c r="AW94" i="9"/>
  <c r="AX94" i="9"/>
  <c r="AY94" i="9"/>
  <c r="G57" i="10"/>
  <c r="D71" i="10" l="1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5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D37" i="10"/>
  <c r="D75" i="10" s="1"/>
  <c r="E57" i="10" l="1"/>
  <c r="E54" i="10"/>
  <c r="E56" i="10"/>
  <c r="E89" i="9"/>
  <c r="E88" i="9"/>
  <c r="E87" i="9"/>
  <c r="E86" i="9"/>
  <c r="E85" i="9"/>
  <c r="E84" i="9"/>
  <c r="E83" i="9"/>
  <c r="E82" i="9"/>
  <c r="D82" i="9"/>
  <c r="D90" i="9" s="1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8" i="9"/>
  <c r="E57" i="9"/>
  <c r="E56" i="9"/>
  <c r="E55" i="9"/>
  <c r="E54" i="9"/>
  <c r="E53" i="9"/>
  <c r="E52" i="9"/>
  <c r="E51" i="9"/>
  <c r="E50" i="9"/>
  <c r="E49" i="9"/>
  <c r="E48" i="9"/>
  <c r="E36" i="10"/>
  <c r="E35" i="10"/>
  <c r="E34" i="10"/>
  <c r="E33" i="10"/>
  <c r="E32" i="10"/>
  <c r="E31" i="10"/>
  <c r="E30" i="10"/>
  <c r="AS29" i="10"/>
  <c r="AK29" i="10"/>
  <c r="AG29" i="10"/>
  <c r="AF29" i="10"/>
  <c r="K29" i="10"/>
  <c r="H29" i="10"/>
  <c r="AS28" i="10"/>
  <c r="AR28" i="10"/>
  <c r="AI28" i="10"/>
  <c r="AI76" i="10" s="1"/>
  <c r="AG28" i="10"/>
  <c r="AF28" i="10"/>
  <c r="M28" i="10"/>
  <c r="H28" i="10"/>
  <c r="H76" i="10" s="1"/>
  <c r="G28" i="10"/>
  <c r="F28" i="10"/>
  <c r="F76" i="10" s="1"/>
  <c r="E27" i="10"/>
  <c r="E26" i="10"/>
  <c r="E25" i="10"/>
  <c r="E24" i="10"/>
  <c r="E23" i="10"/>
  <c r="AS22" i="10"/>
  <c r="O22" i="10"/>
  <c r="M22" i="10"/>
  <c r="L22" i="10"/>
  <c r="G22" i="10"/>
  <c r="AS21" i="10"/>
  <c r="AQ21" i="10"/>
  <c r="AQ76" i="10" s="1"/>
  <c r="AK21" i="10"/>
  <c r="AK76" i="10" s="1"/>
  <c r="AJ21" i="10"/>
  <c r="AJ76" i="10" s="1"/>
  <c r="O21" i="10"/>
  <c r="O76" i="10" s="1"/>
  <c r="M21" i="10"/>
  <c r="L21" i="10"/>
  <c r="K21" i="10"/>
  <c r="G21" i="10"/>
  <c r="E20" i="10"/>
  <c r="AS19" i="10"/>
  <c r="AR19" i="10"/>
  <c r="M19" i="10"/>
  <c r="L19" i="10"/>
  <c r="M18" i="10"/>
  <c r="L18" i="10"/>
  <c r="L76" i="10" s="1"/>
  <c r="I18" i="10"/>
  <c r="I76" i="10" s="1"/>
  <c r="E17" i="10"/>
  <c r="AS16" i="10"/>
  <c r="AR16" i="10"/>
  <c r="AR76" i="10" s="1"/>
  <c r="E15" i="10"/>
  <c r="E14" i="10"/>
  <c r="AS13" i="10"/>
  <c r="G13" i="10"/>
  <c r="AS12" i="10"/>
  <c r="G12" i="10"/>
  <c r="G11" i="10"/>
  <c r="E11" i="10" s="1"/>
  <c r="G10" i="10"/>
  <c r="E10" i="10" s="1"/>
  <c r="G9" i="10"/>
  <c r="E9" i="10" s="1"/>
  <c r="G8" i="10"/>
  <c r="E8" i="10" s="1"/>
  <c r="G7" i="10"/>
  <c r="E7" i="10" s="1"/>
  <c r="E6" i="10"/>
  <c r="G5" i="10"/>
  <c r="E5" i="10" s="1"/>
  <c r="G4" i="10"/>
  <c r="AS45" i="9"/>
  <c r="AG45" i="9"/>
  <c r="AF45" i="9"/>
  <c r="AS44" i="9"/>
  <c r="AG44" i="9"/>
  <c r="AF44" i="9"/>
  <c r="I44" i="9"/>
  <c r="H44" i="9"/>
  <c r="AG43" i="9"/>
  <c r="AF43" i="9"/>
  <c r="M43" i="9"/>
  <c r="L43" i="9"/>
  <c r="K43" i="9"/>
  <c r="AG42" i="9"/>
  <c r="AF42" i="9"/>
  <c r="M42" i="9"/>
  <c r="L42" i="9"/>
  <c r="L94" i="9" s="1"/>
  <c r="K42" i="9"/>
  <c r="I42" i="9"/>
  <c r="H42" i="9"/>
  <c r="AS41" i="9"/>
  <c r="AK41" i="9"/>
  <c r="AG41" i="9"/>
  <c r="AF41" i="9"/>
  <c r="K41" i="9"/>
  <c r="H41" i="9"/>
  <c r="AS40" i="9"/>
  <c r="AR40" i="9"/>
  <c r="AI40" i="9"/>
  <c r="AG40" i="9"/>
  <c r="AF40" i="9"/>
  <c r="M40" i="9"/>
  <c r="H40" i="9"/>
  <c r="H94" i="9" s="1"/>
  <c r="G40" i="9"/>
  <c r="F40" i="9"/>
  <c r="AG39" i="9"/>
  <c r="AF39" i="9"/>
  <c r="AB39" i="9"/>
  <c r="AB94" i="9" s="1"/>
  <c r="J39" i="9"/>
  <c r="F39" i="9"/>
  <c r="F94" i="9" s="1"/>
  <c r="AR38" i="9"/>
  <c r="T38" i="9"/>
  <c r="T94" i="9" s="1"/>
  <c r="J38" i="9"/>
  <c r="D38" i="9"/>
  <c r="S37" i="9"/>
  <c r="Q37" i="9"/>
  <c r="Q94" i="9" s="1"/>
  <c r="M37" i="9"/>
  <c r="E36" i="9"/>
  <c r="E35" i="9"/>
  <c r="AS34" i="9"/>
  <c r="AR34" i="9"/>
  <c r="AG34" i="9"/>
  <c r="AF34" i="9"/>
  <c r="X34" i="9"/>
  <c r="AS33" i="9"/>
  <c r="AR33" i="9"/>
  <c r="AG33" i="9"/>
  <c r="AF33" i="9"/>
  <c r="X33" i="9"/>
  <c r="M33" i="9"/>
  <c r="I33" i="9"/>
  <c r="AG32" i="9"/>
  <c r="AF32" i="9"/>
  <c r="E31" i="9"/>
  <c r="E30" i="9"/>
  <c r="E29" i="9"/>
  <c r="E28" i="9"/>
  <c r="AS27" i="9"/>
  <c r="AR27" i="9"/>
  <c r="AG27" i="9"/>
  <c r="AF27" i="9"/>
  <c r="X27" i="9"/>
  <c r="AK26" i="9"/>
  <c r="AG26" i="9"/>
  <c r="AF26" i="9"/>
  <c r="X26" i="9"/>
  <c r="M26" i="9"/>
  <c r="K26" i="9"/>
  <c r="I26" i="9"/>
  <c r="I94" i="9" s="1"/>
  <c r="AG25" i="9"/>
  <c r="AF25" i="9"/>
  <c r="AA25" i="9"/>
  <c r="AA94" i="9" s="1"/>
  <c r="X25" i="9"/>
  <c r="M25" i="9"/>
  <c r="E24" i="9"/>
  <c r="E23" i="9"/>
  <c r="E22" i="9"/>
  <c r="E21" i="9"/>
  <c r="E20" i="9"/>
  <c r="AS19" i="9"/>
  <c r="AR19" i="9"/>
  <c r="AG19" i="9"/>
  <c r="AF19" i="9"/>
  <c r="AG18" i="9"/>
  <c r="AF18" i="9"/>
  <c r="X17" i="9"/>
  <c r="E17" i="9" s="1"/>
  <c r="AS16" i="9"/>
  <c r="AR16" i="9"/>
  <c r="M16" i="9"/>
  <c r="AS15" i="9"/>
  <c r="AR15" i="9"/>
  <c r="AK15" i="9"/>
  <c r="AI15" i="9"/>
  <c r="AG15" i="9"/>
  <c r="AF15" i="9"/>
  <c r="AF94" i="9" s="1"/>
  <c r="X15" i="9"/>
  <c r="W15" i="9"/>
  <c r="W94" i="9" s="1"/>
  <c r="S15" i="9"/>
  <c r="M15" i="9"/>
  <c r="K15" i="9"/>
  <c r="E14" i="9"/>
  <c r="E13" i="9"/>
  <c r="AS12" i="9"/>
  <c r="S12" i="9"/>
  <c r="K12" i="9"/>
  <c r="G12" i="9"/>
  <c r="AS11" i="9"/>
  <c r="K11" i="9"/>
  <c r="G11" i="9"/>
  <c r="S10" i="9"/>
  <c r="S94" i="9" s="1"/>
  <c r="K10" i="9"/>
  <c r="G10" i="9"/>
  <c r="AI9" i="9"/>
  <c r="G9" i="9"/>
  <c r="AI8" i="9"/>
  <c r="M8" i="9"/>
  <c r="K8" i="9"/>
  <c r="G8" i="9"/>
  <c r="E7" i="9"/>
  <c r="M6" i="9"/>
  <c r="G6" i="9"/>
  <c r="AI5" i="9"/>
  <c r="G5" i="9"/>
  <c r="AI4" i="9"/>
  <c r="M4" i="9"/>
  <c r="G4" i="9"/>
  <c r="G94" i="9" s="1"/>
  <c r="K94" i="9" l="1"/>
  <c r="E4" i="10"/>
  <c r="G76" i="10"/>
  <c r="AS76" i="10"/>
  <c r="AS94" i="9"/>
  <c r="M76" i="10"/>
  <c r="AG94" i="9"/>
  <c r="AI94" i="9"/>
  <c r="AR94" i="9"/>
  <c r="M94" i="9"/>
  <c r="AG76" i="10"/>
  <c r="J94" i="9"/>
  <c r="AF76" i="10"/>
  <c r="AK94" i="9"/>
  <c r="X94" i="9"/>
  <c r="K76" i="10"/>
  <c r="E71" i="10"/>
  <c r="E59" i="9"/>
  <c r="E90" i="9" s="1"/>
  <c r="D46" i="9"/>
  <c r="D93" i="9" s="1"/>
  <c r="E16" i="10"/>
  <c r="E12" i="10"/>
  <c r="E29" i="10"/>
  <c r="E19" i="10"/>
  <c r="E22" i="10"/>
  <c r="E13" i="10"/>
  <c r="E28" i="10"/>
  <c r="E18" i="10"/>
  <c r="E21" i="10"/>
  <c r="E18" i="9"/>
  <c r="E5" i="9"/>
  <c r="E37" i="9"/>
  <c r="E39" i="9"/>
  <c r="E27" i="9"/>
  <c r="E12" i="9"/>
  <c r="E44" i="9"/>
  <c r="E6" i="9"/>
  <c r="E9" i="9"/>
  <c r="E11" i="9"/>
  <c r="E34" i="9"/>
  <c r="E19" i="9"/>
  <c r="E38" i="9"/>
  <c r="E16" i="9"/>
  <c r="E26" i="9"/>
  <c r="E4" i="9"/>
  <c r="E15" i="9"/>
  <c r="E25" i="9"/>
  <c r="E33" i="9"/>
  <c r="E45" i="9"/>
  <c r="E32" i="9"/>
  <c r="E40" i="9"/>
  <c r="E43" i="9"/>
  <c r="E42" i="9"/>
  <c r="E8" i="9"/>
  <c r="E41" i="9"/>
  <c r="E10" i="9"/>
  <c r="AS26" i="7"/>
  <c r="AR26" i="7"/>
  <c r="AS24" i="7"/>
  <c r="AR24" i="7"/>
  <c r="AS33" i="7"/>
  <c r="AR33" i="7"/>
  <c r="AS31" i="7"/>
  <c r="AR31" i="7"/>
  <c r="AS34" i="7"/>
  <c r="AR34" i="7"/>
  <c r="AS35" i="7"/>
  <c r="AR35" i="7"/>
  <c r="AR37" i="7"/>
  <c r="AS36" i="7"/>
  <c r="AS37" i="7" s="1"/>
  <c r="AR36" i="7"/>
  <c r="AS27" i="7"/>
  <c r="AR27" i="7"/>
  <c r="AS25" i="7"/>
  <c r="AR25" i="7"/>
  <c r="AS29" i="7"/>
  <c r="AR29" i="7"/>
  <c r="AS38" i="7"/>
  <c r="AR38" i="7"/>
  <c r="AS39" i="7"/>
  <c r="AR39" i="7"/>
  <c r="E37" i="10" l="1"/>
  <c r="D76" i="10" s="1"/>
  <c r="E46" i="9"/>
  <c r="D94" i="9" s="1"/>
  <c r="AG27" i="7"/>
  <c r="AF27" i="7"/>
  <c r="AG37" i="7"/>
  <c r="AF37" i="7"/>
  <c r="AG36" i="7"/>
  <c r="AF36" i="7"/>
  <c r="AG35" i="7"/>
  <c r="AF35" i="7"/>
  <c r="AG34" i="7"/>
  <c r="AF34" i="7"/>
  <c r="AG29" i="7"/>
  <c r="AF29" i="7"/>
  <c r="AG25" i="7"/>
  <c r="AF25" i="7"/>
  <c r="AG31" i="7"/>
  <c r="AF31" i="7"/>
  <c r="AG33" i="7"/>
  <c r="AF33" i="7"/>
  <c r="AG39" i="7" l="1"/>
  <c r="AF39" i="7"/>
  <c r="AG38" i="7"/>
  <c r="AF38" i="7"/>
  <c r="AG26" i="7"/>
  <c r="AF26" i="7"/>
  <c r="H36" i="7" l="1"/>
  <c r="I38" i="7"/>
  <c r="H38" i="7"/>
  <c r="I39" i="7"/>
  <c r="H39" i="7"/>
  <c r="I31" i="7" l="1"/>
  <c r="H31" i="7"/>
  <c r="H37" i="7"/>
  <c r="Y37" i="7" l="1"/>
  <c r="Y36" i="7"/>
  <c r="X37" i="7"/>
  <c r="X36" i="7"/>
  <c r="Y24" i="7"/>
  <c r="X24" i="7"/>
  <c r="Y35" i="7"/>
  <c r="X35" i="7"/>
  <c r="Y34" i="7"/>
  <c r="X34" i="7"/>
  <c r="Y31" i="7"/>
  <c r="X31" i="7"/>
  <c r="Y33" i="7"/>
  <c r="X33" i="7"/>
  <c r="AS55" i="6" l="1"/>
  <c r="AR55" i="6"/>
  <c r="M55" i="6"/>
  <c r="L55" i="6"/>
  <c r="K55" i="6"/>
  <c r="J55" i="6"/>
  <c r="E55" i="6"/>
  <c r="D55" i="6"/>
  <c r="E54" i="6"/>
  <c r="K27" i="7" l="1"/>
  <c r="J27" i="7"/>
  <c r="M39" i="7" l="1"/>
  <c r="L39" i="7"/>
  <c r="M29" i="7"/>
  <c r="L29" i="7"/>
  <c r="M38" i="7"/>
  <c r="L38" i="7"/>
  <c r="M25" i="7"/>
  <c r="L25" i="7"/>
  <c r="M27" i="7"/>
  <c r="L27" i="7"/>
  <c r="M35" i="7"/>
  <c r="L35" i="7"/>
  <c r="M34" i="7"/>
  <c r="L34" i="7"/>
  <c r="M36" i="7"/>
  <c r="L36" i="7"/>
  <c r="M31" i="7"/>
  <c r="L31" i="7"/>
  <c r="M33" i="7"/>
  <c r="L33" i="7"/>
  <c r="T39" i="7" l="1"/>
  <c r="T38" i="7"/>
  <c r="T34" i="7"/>
  <c r="T33" i="7"/>
  <c r="T27" i="7"/>
  <c r="T25" i="7"/>
  <c r="U39" i="7"/>
  <c r="U38" i="7"/>
  <c r="U25" i="7"/>
  <c r="U27" i="7"/>
  <c r="U34" i="7"/>
  <c r="U33" i="7"/>
  <c r="K35" i="7"/>
  <c r="J35" i="7"/>
  <c r="K31" i="7"/>
  <c r="J31" i="7"/>
  <c r="J36" i="7"/>
  <c r="K36" i="7"/>
  <c r="K39" i="7"/>
  <c r="K38" i="7"/>
  <c r="J39" i="7"/>
  <c r="J38" i="7"/>
  <c r="K37" i="7" l="1"/>
  <c r="J37" i="7"/>
  <c r="K29" i="7"/>
  <c r="J29" i="7"/>
  <c r="M37" i="7"/>
  <c r="E20" i="7"/>
  <c r="E19" i="7"/>
  <c r="L37" i="7"/>
  <c r="E39" i="7" l="1"/>
  <c r="E38" i="7"/>
  <c r="E24" i="7"/>
  <c r="E25" i="7"/>
  <c r="E26" i="7"/>
  <c r="E27" i="7"/>
  <c r="E28" i="7"/>
  <c r="E30" i="7"/>
  <c r="E31" i="7"/>
  <c r="E32" i="7"/>
  <c r="E33" i="7"/>
  <c r="E34" i="7"/>
  <c r="E35" i="7"/>
  <c r="E36" i="7"/>
  <c r="E37" i="7"/>
  <c r="E23" i="7"/>
  <c r="G47" i="5"/>
  <c r="F47" i="5"/>
  <c r="G24" i="5"/>
  <c r="F24" i="5"/>
  <c r="G41" i="5"/>
  <c r="F41" i="5"/>
  <c r="E29" i="7" l="1"/>
  <c r="E40" i="7" s="1"/>
  <c r="D29" i="7"/>
  <c r="D40" i="7" s="1"/>
  <c r="AU44" i="7"/>
  <c r="AT44" i="7"/>
  <c r="AP44" i="7"/>
  <c r="AO44" i="7"/>
  <c r="AN44" i="7"/>
  <c r="AM44" i="7"/>
  <c r="AL44" i="7"/>
  <c r="AJ44" i="7"/>
  <c r="AH44" i="7"/>
  <c r="AE44" i="7"/>
  <c r="AD44" i="7"/>
  <c r="Z44" i="7"/>
  <c r="V44" i="7"/>
  <c r="U44" i="7"/>
  <c r="T44" i="7"/>
  <c r="R44" i="7"/>
  <c r="P44" i="7"/>
  <c r="N44" i="7"/>
  <c r="L44" i="7"/>
  <c r="H44" i="7"/>
  <c r="AB44" i="7"/>
  <c r="Q44" i="7"/>
  <c r="AG18" i="7"/>
  <c r="AF18" i="7"/>
  <c r="Y18" i="7"/>
  <c r="X18" i="7"/>
  <c r="K18" i="7"/>
  <c r="J18" i="7"/>
  <c r="G18" i="7"/>
  <c r="F18" i="7"/>
  <c r="AG17" i="7"/>
  <c r="AF17" i="7"/>
  <c r="Y17" i="7"/>
  <c r="X17" i="7"/>
  <c r="K17" i="7"/>
  <c r="J17" i="7"/>
  <c r="G17" i="7"/>
  <c r="F17" i="7"/>
  <c r="AS16" i="7"/>
  <c r="AR16" i="7"/>
  <c r="AG16" i="7"/>
  <c r="AF16" i="7"/>
  <c r="Y16" i="7"/>
  <c r="X16" i="7"/>
  <c r="O16" i="7"/>
  <c r="AS15" i="7"/>
  <c r="AR15" i="7"/>
  <c r="AG15" i="7"/>
  <c r="AF15" i="7"/>
  <c r="Y15" i="7"/>
  <c r="X15" i="7"/>
  <c r="AQ44" i="7"/>
  <c r="AS14" i="7"/>
  <c r="AR14" i="7"/>
  <c r="AG14" i="7"/>
  <c r="AF14" i="7"/>
  <c r="X14" i="7"/>
  <c r="W14" i="7"/>
  <c r="G14" i="7"/>
  <c r="E13" i="7"/>
  <c r="AG12" i="7"/>
  <c r="AF12" i="7"/>
  <c r="X12" i="7"/>
  <c r="O12" i="7"/>
  <c r="K12" i="7"/>
  <c r="G12" i="7"/>
  <c r="AA44" i="7"/>
  <c r="AS11" i="7"/>
  <c r="Y11" i="7"/>
  <c r="S11" i="7"/>
  <c r="K11" i="7"/>
  <c r="G11" i="7"/>
  <c r="AG10" i="7"/>
  <c r="AF10" i="7"/>
  <c r="I10" i="7"/>
  <c r="D10" i="7"/>
  <c r="E9" i="7"/>
  <c r="AS8" i="7"/>
  <c r="AR8" i="7"/>
  <c r="AG8" i="7"/>
  <c r="AF8" i="7"/>
  <c r="K8" i="7"/>
  <c r="G8" i="7"/>
  <c r="F8" i="7"/>
  <c r="G7" i="7"/>
  <c r="E7" i="7" s="1"/>
  <c r="AS6" i="7"/>
  <c r="AR6" i="7"/>
  <c r="AG6" i="7"/>
  <c r="AF6" i="7"/>
  <c r="G6" i="7"/>
  <c r="F6" i="7"/>
  <c r="G5" i="7"/>
  <c r="E5" i="7" s="1"/>
  <c r="AC44" i="7"/>
  <c r="E4" i="7"/>
  <c r="D21" i="7" l="1"/>
  <c r="D43" i="7" s="1"/>
  <c r="O44" i="7"/>
  <c r="W44" i="7"/>
  <c r="AI44" i="7"/>
  <c r="I44" i="7"/>
  <c r="F44" i="7"/>
  <c r="AK44" i="7"/>
  <c r="AG44" i="7"/>
  <c r="AS44" i="7"/>
  <c r="E12" i="7"/>
  <c r="S44" i="7"/>
  <c r="E11" i="7"/>
  <c r="E16" i="7"/>
  <c r="AR44" i="7"/>
  <c r="E14" i="7"/>
  <c r="E8" i="7"/>
  <c r="G44" i="7"/>
  <c r="Y44" i="7"/>
  <c r="X44" i="7"/>
  <c r="E17" i="7"/>
  <c r="E18" i="7"/>
  <c r="M44" i="7"/>
  <c r="AF44" i="7"/>
  <c r="E10" i="7"/>
  <c r="E15" i="7"/>
  <c r="J44" i="7"/>
  <c r="K44" i="7"/>
  <c r="E6" i="7"/>
  <c r="E21" i="7" l="1"/>
  <c r="D44" i="7" s="1"/>
  <c r="D56" i="6" l="1"/>
  <c r="D52" i="6"/>
  <c r="D48" i="6"/>
  <c r="D31" i="6"/>
  <c r="D14" i="6"/>
  <c r="D8" i="6"/>
  <c r="D58" i="6" s="1"/>
  <c r="E56" i="6"/>
  <c r="E52" i="6"/>
  <c r="E19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13" i="6"/>
  <c r="E12" i="6"/>
  <c r="E11" i="6"/>
  <c r="E10" i="6"/>
  <c r="E4" i="6"/>
  <c r="E48" i="6" l="1"/>
  <c r="E14" i="6"/>
  <c r="AY59" i="6"/>
  <c r="AX59" i="6"/>
  <c r="AW59" i="6"/>
  <c r="AV59" i="6"/>
  <c r="AU59" i="6"/>
  <c r="AT59" i="6"/>
  <c r="AP59" i="6"/>
  <c r="AO59" i="6"/>
  <c r="AN59" i="6"/>
  <c r="AM59" i="6"/>
  <c r="AL59" i="6"/>
  <c r="AH59" i="6"/>
  <c r="AE59" i="6"/>
  <c r="AD59" i="6"/>
  <c r="Z59" i="6"/>
  <c r="V59" i="6"/>
  <c r="U59" i="6"/>
  <c r="R59" i="6"/>
  <c r="P59" i="6"/>
  <c r="N59" i="6"/>
  <c r="AB59" i="6"/>
  <c r="T59" i="6"/>
  <c r="AQ59" i="6"/>
  <c r="AJ59" i="6"/>
  <c r="O59" i="6"/>
  <c r="AA59" i="6"/>
  <c r="AK59" i="6"/>
  <c r="W59" i="6"/>
  <c r="AI59" i="6"/>
  <c r="E30" i="6"/>
  <c r="E29" i="6"/>
  <c r="E28" i="6"/>
  <c r="E27" i="6"/>
  <c r="E26" i="6"/>
  <c r="E25" i="6"/>
  <c r="AC24" i="6"/>
  <c r="AC59" i="6" s="1"/>
  <c r="E23" i="6"/>
  <c r="E22" i="6"/>
  <c r="E21" i="6"/>
  <c r="E20" i="6"/>
  <c r="E18" i="6"/>
  <c r="E17" i="6"/>
  <c r="E16" i="6"/>
  <c r="E7" i="6"/>
  <c r="E6" i="6"/>
  <c r="E5" i="6"/>
  <c r="E8" i="6" l="1"/>
  <c r="Y59" i="6"/>
  <c r="E24" i="6"/>
  <c r="E31" i="6" s="1"/>
  <c r="I59" i="6"/>
  <c r="J59" i="6"/>
  <c r="L59" i="6"/>
  <c r="M59" i="6"/>
  <c r="X59" i="6"/>
  <c r="G59" i="6"/>
  <c r="S59" i="6"/>
  <c r="AF59" i="6"/>
  <c r="AG59" i="6"/>
  <c r="AS59" i="6"/>
  <c r="K59" i="6"/>
  <c r="AR59" i="6"/>
  <c r="F59" i="6"/>
  <c r="H59" i="6"/>
  <c r="Q59" i="6"/>
  <c r="AK97" i="5"/>
  <c r="D59" i="6" l="1"/>
  <c r="I90" i="5"/>
  <c r="H90" i="5"/>
  <c r="I100" i="5"/>
  <c r="H100" i="5"/>
  <c r="I104" i="5"/>
  <c r="H104" i="5"/>
  <c r="H97" i="5"/>
  <c r="I71" i="5"/>
  <c r="AG91" i="5" l="1"/>
  <c r="AG90" i="5"/>
  <c r="AG88" i="5"/>
  <c r="AF91" i="5"/>
  <c r="AF90" i="5"/>
  <c r="AG87" i="5"/>
  <c r="AF87" i="5"/>
  <c r="AG72" i="5"/>
  <c r="AF72" i="5"/>
  <c r="AG39" i="5"/>
  <c r="AF39" i="5"/>
  <c r="AF88" i="5"/>
  <c r="AG41" i="5"/>
  <c r="AF41" i="5"/>
  <c r="AG30" i="5"/>
  <c r="AF30" i="5"/>
  <c r="AG74" i="5"/>
  <c r="AF74" i="5"/>
  <c r="K88" i="5" l="1"/>
  <c r="K91" i="5"/>
  <c r="J91" i="5"/>
  <c r="K90" i="5"/>
  <c r="J90" i="5"/>
  <c r="J88" i="5"/>
  <c r="K87" i="5"/>
  <c r="J87" i="5"/>
  <c r="K74" i="5"/>
  <c r="J74" i="5"/>
  <c r="K72" i="5"/>
  <c r="J72" i="5"/>
  <c r="K41" i="5"/>
  <c r="J41" i="5"/>
  <c r="K39" i="5"/>
  <c r="J39" i="5"/>
  <c r="K30" i="5"/>
  <c r="J30" i="5"/>
  <c r="K10" i="5"/>
  <c r="J10" i="5"/>
  <c r="AF106" i="5" l="1"/>
  <c r="AG97" i="5"/>
  <c r="AF97" i="5"/>
  <c r="AG105" i="5"/>
  <c r="AF105" i="5"/>
  <c r="AG104" i="5"/>
  <c r="AF104" i="5"/>
  <c r="AG101" i="5"/>
  <c r="AF101" i="5"/>
  <c r="AG95" i="5"/>
  <c r="AF95" i="5"/>
  <c r="AG96" i="5"/>
  <c r="AF96" i="5"/>
  <c r="AF100" i="5"/>
  <c r="AG100" i="5"/>
  <c r="O77" i="5" l="1"/>
  <c r="O78" i="5"/>
  <c r="M101" i="5"/>
  <c r="L101" i="5"/>
  <c r="M100" i="5"/>
  <c r="L100" i="5"/>
  <c r="M75" i="5"/>
  <c r="L75" i="5"/>
  <c r="M78" i="5"/>
  <c r="L78" i="5"/>
  <c r="M77" i="5"/>
  <c r="L77" i="5"/>
  <c r="M71" i="5"/>
  <c r="L71" i="5"/>
  <c r="K101" i="5"/>
  <c r="K100" i="5"/>
  <c r="K97" i="5"/>
  <c r="AY113" i="5" l="1"/>
  <c r="AX113" i="5"/>
  <c r="AS78" i="5"/>
  <c r="AS77" i="5"/>
  <c r="AS75" i="5"/>
  <c r="AR94" i="5"/>
  <c r="AR96" i="5"/>
  <c r="AS96" i="5"/>
  <c r="AQ77" i="5" l="1"/>
  <c r="AJ77" i="5"/>
  <c r="AK77" i="5"/>
  <c r="G78" i="5"/>
  <c r="G77" i="5"/>
  <c r="K77" i="5" l="1"/>
  <c r="G96" i="5" l="1"/>
  <c r="M96" i="5" l="1"/>
  <c r="H96" i="5"/>
  <c r="AI96" i="5"/>
  <c r="F96" i="5"/>
  <c r="G93" i="1"/>
  <c r="J95" i="5" l="1"/>
  <c r="J94" i="5"/>
  <c r="F95" i="5"/>
  <c r="T94" i="5"/>
  <c r="AB95" i="5"/>
  <c r="AW113" i="5" l="1"/>
  <c r="AV113" i="5"/>
  <c r="S93" i="5" l="1"/>
  <c r="M93" i="5" l="1"/>
  <c r="Q93" i="5"/>
  <c r="AU113" i="5" l="1"/>
  <c r="AT113" i="5"/>
  <c r="AP113" i="5"/>
  <c r="AO113" i="5"/>
  <c r="AN113" i="5"/>
  <c r="AM113" i="5"/>
  <c r="AL113" i="5"/>
  <c r="AJ113" i="5"/>
  <c r="AH113" i="5"/>
  <c r="AE113" i="5"/>
  <c r="AD113" i="5"/>
  <c r="Z113" i="5"/>
  <c r="V113" i="5"/>
  <c r="U113" i="5"/>
  <c r="T113" i="5"/>
  <c r="R113" i="5"/>
  <c r="P113" i="5"/>
  <c r="N113" i="5"/>
  <c r="L113" i="5"/>
  <c r="H113" i="5"/>
  <c r="E110" i="5"/>
  <c r="E109" i="5"/>
  <c r="E108" i="5"/>
  <c r="E107" i="5"/>
  <c r="E106" i="5"/>
  <c r="AS105" i="5"/>
  <c r="E105" i="5"/>
  <c r="AS104" i="5"/>
  <c r="E104" i="5" s="1"/>
  <c r="E103" i="5"/>
  <c r="E102" i="5"/>
  <c r="E101" i="5"/>
  <c r="E100" i="5"/>
  <c r="E99" i="5"/>
  <c r="E98" i="5"/>
  <c r="AS97" i="5"/>
  <c r="E96" i="5"/>
  <c r="AB113" i="5"/>
  <c r="E94" i="5"/>
  <c r="D94" i="5"/>
  <c r="Q113" i="5"/>
  <c r="E93" i="5"/>
  <c r="E92" i="5"/>
  <c r="Y91" i="5"/>
  <c r="X91" i="5"/>
  <c r="Y90" i="5"/>
  <c r="X90" i="5"/>
  <c r="E89" i="5"/>
  <c r="AS88" i="5"/>
  <c r="AR88" i="5"/>
  <c r="Y88" i="5"/>
  <c r="X88" i="5"/>
  <c r="O88" i="5"/>
  <c r="AS87" i="5"/>
  <c r="AR87" i="5"/>
  <c r="Y87" i="5"/>
  <c r="X87" i="5"/>
  <c r="AS86" i="5"/>
  <c r="AR86" i="5"/>
  <c r="AG86" i="5"/>
  <c r="AF86" i="5"/>
  <c r="X86" i="5"/>
  <c r="AS85" i="5"/>
  <c r="AR85" i="5"/>
  <c r="AG85" i="5"/>
  <c r="AF85" i="5"/>
  <c r="X85" i="5"/>
  <c r="M85" i="5"/>
  <c r="K85" i="5"/>
  <c r="I85" i="5"/>
  <c r="E84" i="5"/>
  <c r="E83" i="5"/>
  <c r="E82" i="5"/>
  <c r="E81" i="5"/>
  <c r="AG80" i="5"/>
  <c r="AF80" i="5"/>
  <c r="E80" i="5" s="1"/>
  <c r="E79" i="5"/>
  <c r="AQ113" i="5"/>
  <c r="E77" i="5"/>
  <c r="E76" i="5"/>
  <c r="AR75" i="5"/>
  <c r="AS74" i="5"/>
  <c r="AR74" i="5"/>
  <c r="X74" i="5"/>
  <c r="W74" i="5"/>
  <c r="E73" i="5"/>
  <c r="X72" i="5"/>
  <c r="O72" i="5"/>
  <c r="O113" i="5" s="1"/>
  <c r="E71" i="5"/>
  <c r="J113" i="5"/>
  <c r="E70" i="5"/>
  <c r="E69" i="5"/>
  <c r="E68" i="5"/>
  <c r="E67" i="5"/>
  <c r="E66" i="5"/>
  <c r="AS65" i="5"/>
  <c r="AR65" i="5"/>
  <c r="AS64" i="5"/>
  <c r="AR64" i="5"/>
  <c r="AG64" i="5"/>
  <c r="AF64" i="5"/>
  <c r="X64" i="5"/>
  <c r="E64" i="5"/>
  <c r="AK63" i="5"/>
  <c r="E63" i="5" s="1"/>
  <c r="AG63" i="5"/>
  <c r="AF63" i="5"/>
  <c r="X63" i="5"/>
  <c r="M63" i="5"/>
  <c r="K63" i="5"/>
  <c r="I63" i="5"/>
  <c r="AG62" i="5"/>
  <c r="AF62" i="5"/>
  <c r="AA62" i="5"/>
  <c r="AA113" i="5" s="1"/>
  <c r="X62" i="5"/>
  <c r="M62" i="5"/>
  <c r="E61" i="5"/>
  <c r="E60" i="5"/>
  <c r="E59" i="5"/>
  <c r="E58" i="5"/>
  <c r="E57" i="5"/>
  <c r="E56" i="5"/>
  <c r="E55" i="5"/>
  <c r="AS54" i="5"/>
  <c r="AR54" i="5"/>
  <c r="AG54" i="5"/>
  <c r="AF54" i="5"/>
  <c r="AF113" i="5" s="1"/>
  <c r="AG53" i="5"/>
  <c r="AF53" i="5"/>
  <c r="X52" i="5"/>
  <c r="E52" i="5" s="1"/>
  <c r="AS51" i="5"/>
  <c r="AR51" i="5"/>
  <c r="M51" i="5"/>
  <c r="AS50" i="5"/>
  <c r="AR50" i="5"/>
  <c r="AK50" i="5"/>
  <c r="AI50" i="5"/>
  <c r="AG50" i="5"/>
  <c r="AF50" i="5"/>
  <c r="X50" i="5"/>
  <c r="W50" i="5"/>
  <c r="W113" i="5" s="1"/>
  <c r="S50" i="5"/>
  <c r="M50" i="5"/>
  <c r="K50" i="5"/>
  <c r="E49" i="5"/>
  <c r="E48" i="5"/>
  <c r="AS47" i="5"/>
  <c r="Y47" i="5"/>
  <c r="S47" i="5"/>
  <c r="K47" i="5"/>
  <c r="E47" i="5"/>
  <c r="AS46" i="5"/>
  <c r="G46" i="5"/>
  <c r="AS45" i="5"/>
  <c r="S45" i="5"/>
  <c r="K45" i="5"/>
  <c r="G45" i="5"/>
  <c r="E45" i="5" s="1"/>
  <c r="AS44" i="5"/>
  <c r="G44" i="5"/>
  <c r="AS43" i="5"/>
  <c r="K43" i="5"/>
  <c r="G43" i="5"/>
  <c r="S42" i="5"/>
  <c r="K42" i="5"/>
  <c r="G42" i="5"/>
  <c r="E41" i="5"/>
  <c r="D41" i="5"/>
  <c r="E40" i="5"/>
  <c r="AS39" i="5"/>
  <c r="AR39" i="5"/>
  <c r="E39" i="5" s="1"/>
  <c r="G38" i="5"/>
  <c r="E38" i="5" s="1"/>
  <c r="G37" i="5"/>
  <c r="E37" i="5" s="1"/>
  <c r="G36" i="5"/>
  <c r="E36" i="5"/>
  <c r="G35" i="5"/>
  <c r="E35" i="5" s="1"/>
  <c r="E34" i="5"/>
  <c r="G33" i="5"/>
  <c r="E33" i="5" s="1"/>
  <c r="AI32" i="5"/>
  <c r="G32" i="5"/>
  <c r="E32" i="5" s="1"/>
  <c r="AI31" i="5"/>
  <c r="M31" i="5"/>
  <c r="K31" i="5"/>
  <c r="G31" i="5"/>
  <c r="AS30" i="5"/>
  <c r="AR30" i="5"/>
  <c r="E29" i="5"/>
  <c r="E28" i="5"/>
  <c r="G27" i="5"/>
  <c r="E27" i="5" s="1"/>
  <c r="G26" i="5"/>
  <c r="E26" i="5" s="1"/>
  <c r="M25" i="5"/>
  <c r="G25" i="5"/>
  <c r="E24" i="5"/>
  <c r="AI23" i="5"/>
  <c r="G23" i="5"/>
  <c r="E23" i="5" s="1"/>
  <c r="AI22" i="5"/>
  <c r="M22" i="5"/>
  <c r="G22" i="5"/>
  <c r="E21" i="5"/>
  <c r="E20" i="5"/>
  <c r="E19" i="5"/>
  <c r="E18" i="5"/>
  <c r="E17" i="5"/>
  <c r="E16" i="5"/>
  <c r="AC15" i="5"/>
  <c r="AC113" i="5" s="1"/>
  <c r="E14" i="5"/>
  <c r="E13" i="5"/>
  <c r="E12" i="5"/>
  <c r="E11" i="5"/>
  <c r="E10" i="5"/>
  <c r="E9" i="5"/>
  <c r="E8" i="5"/>
  <c r="E7" i="5"/>
  <c r="E6" i="5"/>
  <c r="E5" i="5"/>
  <c r="E4" i="5"/>
  <c r="E3" i="5"/>
  <c r="E62" i="5" l="1"/>
  <c r="E53" i="5"/>
  <c r="E25" i="5"/>
  <c r="E44" i="5"/>
  <c r="E51" i="5"/>
  <c r="E91" i="5"/>
  <c r="E97" i="5"/>
  <c r="AS113" i="5"/>
  <c r="E42" i="5"/>
  <c r="Y113" i="5"/>
  <c r="E87" i="5"/>
  <c r="AG113" i="5"/>
  <c r="E54" i="5"/>
  <c r="AR113" i="5"/>
  <c r="S113" i="5"/>
  <c r="E31" i="5"/>
  <c r="E75" i="5"/>
  <c r="E78" i="5"/>
  <c r="M113" i="5"/>
  <c r="D112" i="5"/>
  <c r="E43" i="5"/>
  <c r="E74" i="5"/>
  <c r="E86" i="5"/>
  <c r="G113" i="5"/>
  <c r="E90" i="5"/>
  <c r="AI113" i="5"/>
  <c r="E88" i="5"/>
  <c r="I113" i="5"/>
  <c r="E46" i="5"/>
  <c r="E50" i="5"/>
  <c r="AK113" i="5"/>
  <c r="E65" i="5"/>
  <c r="E72" i="5"/>
  <c r="E85" i="5"/>
  <c r="X113" i="5"/>
  <c r="E15" i="5"/>
  <c r="E22" i="5"/>
  <c r="K113" i="5"/>
  <c r="E30" i="5"/>
  <c r="E4" i="1" l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8" i="1"/>
  <c r="E29" i="1"/>
  <c r="E40" i="1"/>
  <c r="E48" i="1"/>
  <c r="E49" i="1"/>
  <c r="E55" i="1"/>
  <c r="E56" i="1"/>
  <c r="E57" i="1"/>
  <c r="E58" i="1"/>
  <c r="E59" i="1"/>
  <c r="E60" i="1"/>
  <c r="E61" i="1"/>
  <c r="E66" i="1"/>
  <c r="E67" i="1"/>
  <c r="E68" i="1"/>
  <c r="E69" i="1"/>
  <c r="E70" i="1"/>
  <c r="E73" i="1"/>
  <c r="E76" i="1"/>
  <c r="E79" i="1"/>
  <c r="E81" i="1"/>
  <c r="E82" i="1"/>
  <c r="E83" i="1"/>
  <c r="E84" i="1"/>
  <c r="E89" i="1"/>
  <c r="E92" i="1"/>
  <c r="E98" i="1"/>
  <c r="E99" i="1"/>
  <c r="E102" i="1"/>
  <c r="E103" i="1"/>
  <c r="E106" i="1"/>
  <c r="E107" i="1"/>
  <c r="E108" i="1"/>
  <c r="E109" i="1"/>
  <c r="E110" i="1"/>
  <c r="E3" i="1"/>
  <c r="H113" i="1" l="1"/>
  <c r="L113" i="1"/>
  <c r="N113" i="1"/>
  <c r="P113" i="1"/>
  <c r="R113" i="1"/>
  <c r="T113" i="1"/>
  <c r="U113" i="1"/>
  <c r="V113" i="1"/>
  <c r="Z113" i="1"/>
  <c r="AD113" i="1"/>
  <c r="AE113" i="1"/>
  <c r="AH113" i="1"/>
  <c r="AJ113" i="1"/>
  <c r="AL113" i="1"/>
  <c r="AM113" i="1"/>
  <c r="AN113" i="1"/>
  <c r="AO113" i="1"/>
  <c r="AP113" i="1"/>
  <c r="AT113" i="1"/>
  <c r="AU113" i="1"/>
  <c r="AI50" i="1"/>
  <c r="I85" i="1"/>
  <c r="I63" i="1"/>
  <c r="Y91" i="1" l="1"/>
  <c r="S45" i="1"/>
  <c r="S47" i="1"/>
  <c r="AG91" i="1"/>
  <c r="AF91" i="1"/>
  <c r="AG90" i="1"/>
  <c r="AF90" i="1"/>
  <c r="AG88" i="1"/>
  <c r="AF88" i="1"/>
  <c r="AG87" i="1"/>
  <c r="AF87" i="1"/>
  <c r="AG86" i="1"/>
  <c r="AF86" i="1"/>
  <c r="AG85" i="1"/>
  <c r="AF85" i="1"/>
  <c r="AG80" i="1"/>
  <c r="AF80" i="1"/>
  <c r="E80" i="1" s="1"/>
  <c r="AG74" i="1"/>
  <c r="AF74" i="1"/>
  <c r="AG72" i="1"/>
  <c r="AF72" i="1"/>
  <c r="AG64" i="1"/>
  <c r="AF64" i="1"/>
  <c r="AG63" i="1"/>
  <c r="AF63" i="1"/>
  <c r="AG62" i="1"/>
  <c r="AF62" i="1"/>
  <c r="AG54" i="1"/>
  <c r="AF54" i="1"/>
  <c r="AG53" i="1"/>
  <c r="AF53" i="1"/>
  <c r="E53" i="1" s="1"/>
  <c r="AG50" i="1"/>
  <c r="AF50" i="1"/>
  <c r="AG41" i="1"/>
  <c r="AF41" i="1"/>
  <c r="AG39" i="1"/>
  <c r="AF39" i="1"/>
  <c r="AG30" i="1"/>
  <c r="AF30" i="1"/>
  <c r="AF113" i="1" l="1"/>
  <c r="G97" i="1"/>
  <c r="K77" i="1"/>
  <c r="G105" i="1"/>
  <c r="G101" i="1"/>
  <c r="G104" i="1"/>
  <c r="G100" i="1"/>
  <c r="K78" i="1"/>
  <c r="AK78" i="1"/>
  <c r="AK77" i="1"/>
  <c r="AK63" i="1"/>
  <c r="K104" i="1"/>
  <c r="K100" i="1"/>
  <c r="K97" i="1"/>
  <c r="K63" i="1"/>
  <c r="M63" i="1"/>
  <c r="M62" i="1"/>
  <c r="M51" i="1"/>
  <c r="M50" i="1"/>
  <c r="M31" i="1"/>
  <c r="M25" i="1"/>
  <c r="M22" i="1"/>
  <c r="M85" i="1" l="1"/>
  <c r="K85" i="1"/>
  <c r="K50" i="1"/>
  <c r="AS47" i="1"/>
  <c r="AS46" i="1"/>
  <c r="AS45" i="1"/>
  <c r="AS44" i="1"/>
  <c r="AS43" i="1"/>
  <c r="AK50" i="1"/>
  <c r="AK113" i="1" s="1"/>
  <c r="M97" i="1"/>
  <c r="M113" i="1" s="1"/>
  <c r="AS105" i="1" l="1"/>
  <c r="E105" i="1" s="1"/>
  <c r="AS104" i="1"/>
  <c r="E104" i="1" s="1"/>
  <c r="AS101" i="1"/>
  <c r="E101" i="1" s="1"/>
  <c r="AS100" i="1"/>
  <c r="E100" i="1" s="1"/>
  <c r="AS97" i="1"/>
  <c r="F39" i="1" l="1"/>
  <c r="G39" i="1"/>
  <c r="K72" i="1"/>
  <c r="K39" i="1"/>
  <c r="AS88" i="1"/>
  <c r="AS87" i="1"/>
  <c r="AR88" i="1"/>
  <c r="AR87" i="1"/>
  <c r="AS85" i="1"/>
  <c r="AR85" i="1"/>
  <c r="AS86" i="1"/>
  <c r="AR86" i="1"/>
  <c r="AS75" i="1"/>
  <c r="AS74" i="1"/>
  <c r="AR75" i="1"/>
  <c r="E75" i="1" s="1"/>
  <c r="AR74" i="1"/>
  <c r="AS65" i="1"/>
  <c r="AR65" i="1"/>
  <c r="AS64" i="1"/>
  <c r="AR64" i="1"/>
  <c r="AS54" i="1"/>
  <c r="AR54" i="1"/>
  <c r="E54" i="1" s="1"/>
  <c r="AS51" i="1"/>
  <c r="AR51" i="1"/>
  <c r="E51" i="1" s="1"/>
  <c r="AS50" i="1"/>
  <c r="AR50" i="1"/>
  <c r="AS39" i="1"/>
  <c r="AR39" i="1"/>
  <c r="AS30" i="1"/>
  <c r="AR30" i="1"/>
  <c r="AS113" i="1" l="1"/>
  <c r="E65" i="1"/>
  <c r="AR113" i="1"/>
  <c r="E39" i="1"/>
  <c r="K31" i="1"/>
  <c r="G38" i="1"/>
  <c r="E38" i="1" s="1"/>
  <c r="G37" i="1"/>
  <c r="E37" i="1" s="1"/>
  <c r="G36" i="1"/>
  <c r="E36" i="1" s="1"/>
  <c r="G35" i="1"/>
  <c r="E35" i="1" s="1"/>
  <c r="G34" i="1"/>
  <c r="E34" i="1" s="1"/>
  <c r="G33" i="1"/>
  <c r="E33" i="1" s="1"/>
  <c r="G32" i="1"/>
  <c r="G31" i="1"/>
  <c r="G27" i="1"/>
  <c r="E27" i="1" s="1"/>
  <c r="G26" i="1"/>
  <c r="E26" i="1" s="1"/>
  <c r="G25" i="1"/>
  <c r="E25" i="1" s="1"/>
  <c r="G24" i="1"/>
  <c r="E24" i="1" s="1"/>
  <c r="G23" i="1"/>
  <c r="G22" i="1"/>
  <c r="G72" i="1"/>
  <c r="AI32" i="1"/>
  <c r="AI31" i="1"/>
  <c r="AI23" i="1"/>
  <c r="AI22" i="1"/>
  <c r="O72" i="1"/>
  <c r="E31" i="1" l="1"/>
  <c r="E22" i="1"/>
  <c r="E32" i="1"/>
  <c r="E23" i="1"/>
  <c r="G91" i="1"/>
  <c r="G90" i="1"/>
  <c r="F91" i="1"/>
  <c r="F90" i="1"/>
  <c r="G74" i="1"/>
  <c r="G30" i="1"/>
  <c r="F30" i="1"/>
  <c r="E30" i="1" l="1"/>
  <c r="AQ77" i="1"/>
  <c r="AQ113" i="1" s="1"/>
  <c r="K47" i="1"/>
  <c r="K45" i="1"/>
  <c r="K43" i="1"/>
  <c r="K42" i="1"/>
  <c r="AG97" i="1"/>
  <c r="S42" i="1"/>
  <c r="AC15" i="1"/>
  <c r="G96" i="1"/>
  <c r="E96" i="1" s="1"/>
  <c r="Y47" i="1"/>
  <c r="E15" i="1" l="1"/>
  <c r="AC113" i="1"/>
  <c r="AG113" i="1"/>
  <c r="E97" i="1"/>
  <c r="D94" i="1"/>
  <c r="G42" i="1" l="1"/>
  <c r="G47" i="1"/>
  <c r="E47" i="1" s="1"/>
  <c r="G46" i="1"/>
  <c r="E46" i="1" s="1"/>
  <c r="G45" i="1"/>
  <c r="E45" i="1" s="1"/>
  <c r="G44" i="1"/>
  <c r="E44" i="1" s="1"/>
  <c r="G43" i="1"/>
  <c r="E43" i="1" s="1"/>
  <c r="G95" i="1"/>
  <c r="G94" i="1"/>
  <c r="F95" i="1"/>
  <c r="F94" i="1"/>
  <c r="K91" i="1"/>
  <c r="J91" i="1"/>
  <c r="K90" i="1"/>
  <c r="J90" i="1"/>
  <c r="F113" i="1" l="1"/>
  <c r="E42" i="1"/>
  <c r="S50" i="1"/>
  <c r="AI95" i="1"/>
  <c r="AI94" i="1"/>
  <c r="AI113" i="1" s="1"/>
  <c r="X86" i="1"/>
  <c r="E86" i="1" s="1"/>
  <c r="X85" i="1"/>
  <c r="E85" i="1" s="1"/>
  <c r="X74" i="1"/>
  <c r="X72" i="1"/>
  <c r="E72" i="1" s="1"/>
  <c r="X64" i="1"/>
  <c r="E64" i="1" s="1"/>
  <c r="X63" i="1"/>
  <c r="E63" i="1" s="1"/>
  <c r="X62" i="1"/>
  <c r="X52" i="1"/>
  <c r="E52" i="1" s="1"/>
  <c r="X50" i="1"/>
  <c r="AA62" i="1"/>
  <c r="AA113" i="1" s="1"/>
  <c r="S113" i="1" l="1"/>
  <c r="E94" i="1"/>
  <c r="E62" i="1"/>
  <c r="O88" i="1"/>
  <c r="O77" i="1"/>
  <c r="W50" i="1"/>
  <c r="E77" i="1" l="1"/>
  <c r="O113" i="1"/>
  <c r="W113" i="1"/>
  <c r="E50" i="1"/>
  <c r="G78" i="1"/>
  <c r="W74" i="1"/>
  <c r="E74" i="1" s="1"/>
  <c r="E78" i="1" l="1"/>
  <c r="G113" i="1"/>
  <c r="Y90" i="1"/>
  <c r="Y88" i="1"/>
  <c r="Y87" i="1"/>
  <c r="Y113" i="1" s="1"/>
  <c r="X91" i="1"/>
  <c r="E91" i="1" s="1"/>
  <c r="X90" i="1"/>
  <c r="E90" i="1" s="1"/>
  <c r="X88" i="1"/>
  <c r="E88" i="1" s="1"/>
  <c r="X87" i="1"/>
  <c r="E87" i="1" l="1"/>
  <c r="X113" i="1"/>
  <c r="AB95" i="1"/>
  <c r="Q93" i="1"/>
  <c r="E93" i="1" l="1"/>
  <c r="Q113" i="1"/>
  <c r="AB113" i="1"/>
  <c r="E95" i="1"/>
  <c r="K71" i="1"/>
  <c r="K113" i="1" s="1"/>
  <c r="J71" i="1"/>
  <c r="E71" i="1" l="1"/>
  <c r="J113" i="1"/>
  <c r="I41" i="1"/>
  <c r="D41" i="1"/>
  <c r="E41" i="1" l="1"/>
  <c r="I113" i="1"/>
  <c r="D113" i="1" s="1"/>
  <c r="D112" i="1"/>
  <c r="E95" i="5" l="1"/>
  <c r="F113" i="5"/>
  <c r="D1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51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7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8" authorId="0" shapeId="0" xr:uid="{00000000-0006-0000-0000-000003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9" authorId="0" shapeId="0" xr:uid="{00000000-0006-0000-0000-000004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5" authorId="0" shapeId="0" xr:uid="{00000000-0006-0000-0000-000005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6" authorId="0" shapeId="0" xr:uid="{00000000-0006-0000-0000-000006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7" authorId="0" shapeId="0" xr:uid="{00000000-0006-0000-0000-000007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9" authorId="0" shapeId="0" xr:uid="{00000000-0006-0000-0000-000008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80" authorId="0" shapeId="0" xr:uid="{00000000-0006-0000-0000-000009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3" authorId="0" shapeId="0" xr:uid="{00000000-0006-0000-0000-00000A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3" authorId="0" shapeId="0" xr:uid="{00000000-0006-0000-0000-00000B00000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4" authorId="0" shapeId="0" xr:uid="{00000000-0006-0000-0000-00000C00000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51" authorId="0" shapeId="0" xr:uid="{00000000-0006-0000-0200-000001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7" authorId="0" shapeId="0" xr:uid="{00000000-0006-0000-0200-000002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8" authorId="0" shapeId="0" xr:uid="{00000000-0006-0000-0200-000003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9" authorId="0" shapeId="0" xr:uid="{00000000-0006-0000-0200-000004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5" authorId="0" shapeId="0" xr:uid="{00000000-0006-0000-0200-000005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6" authorId="0" shapeId="0" xr:uid="{00000000-0006-0000-0200-000006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7" authorId="0" shapeId="0" xr:uid="{00000000-0006-0000-0200-000007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9" authorId="0" shapeId="0" xr:uid="{00000000-0006-0000-0200-000008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80" authorId="0" shapeId="0" xr:uid="{00000000-0006-0000-0200-000009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3" authorId="0" shapeId="0" xr:uid="{00000000-0006-0000-0200-00000A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3" authorId="0" shapeId="0" xr:uid="{00000000-0006-0000-0200-00000B00000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4" authorId="0" shapeId="0" xr:uid="{00000000-0006-0000-0200-00000C00000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16" authorId="0" shapeId="0" xr:uid="{00000000-0006-0000-0600-000001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22" authorId="0" shapeId="0" xr:uid="{00000000-0006-0000-0600-000002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23" authorId="0" shapeId="0" xr:uid="{00000000-0006-0000-0600-000003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24" authorId="0" shapeId="0" xr:uid="{00000000-0006-0000-0600-000004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28" authorId="0" shapeId="0" xr:uid="{00000000-0006-0000-0600-000005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29" authorId="0" shapeId="0" xr:uid="{00000000-0006-0000-0600-000006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31" authorId="0" shapeId="0" xr:uid="{00000000-0006-0000-0600-000007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32" authorId="0" shapeId="0" xr:uid="{00000000-0006-0000-0600-000008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37" authorId="0" shapeId="0" xr:uid="{00000000-0006-0000-0600-000009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44" authorId="0" shapeId="0" xr:uid="{00000000-0006-0000-0600-00000A00000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  <comment ref="B60" authorId="0" shapeId="0" xr:uid="{00000000-0006-0000-0600-00000B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66" authorId="0" shapeId="0" xr:uid="{00000000-0006-0000-0600-00000C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
</t>
        </r>
      </text>
    </comment>
    <comment ref="B67" authorId="0" shapeId="0" xr:uid="{00000000-0006-0000-0600-00000D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68" authorId="0" shapeId="0" xr:uid="{00000000-0006-0000-0600-00000E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72" authorId="0" shapeId="0" xr:uid="{00000000-0006-0000-0600-00000F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73" authorId="0" shapeId="0" xr:uid="{00000000-0006-0000-0600-000010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75" authorId="0" shapeId="0" xr:uid="{00000000-0006-0000-0600-000011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76" authorId="0" shapeId="0" xr:uid="{00000000-0006-0000-0600-00001200000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81" authorId="0" shapeId="0" xr:uid="{00000000-0006-0000-0600-000013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88" authorId="0" shapeId="0" xr:uid="{00000000-0006-0000-0600-00001400000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16" authorId="0" shapeId="0" xr:uid="{00000000-0006-0000-0700-000001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D33" authorId="0" shapeId="0" xr:uid="{00000000-0006-0000-0700-00000200000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B51" authorId="0" shapeId="0" xr:uid="{00000000-0006-0000-0700-000003000000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D67" authorId="0" shapeId="0" xr:uid="{00000000-0006-0000-0700-00000400000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</commentList>
</comments>
</file>

<file path=xl/sharedStrings.xml><?xml version="1.0" encoding="utf-8"?>
<sst xmlns="http://schemas.openxmlformats.org/spreadsheetml/2006/main" count="1927" uniqueCount="551">
  <si>
    <t>№ п/п</t>
  </si>
  <si>
    <t>Наименование</t>
  </si>
  <si>
    <t>Адрес</t>
  </si>
  <si>
    <t>Площадь, кв.м.</t>
  </si>
  <si>
    <t>Учебный корпус</t>
  </si>
  <si>
    <t>Липецкая область, г. Елец, пер. Мельничный, д. 17</t>
  </si>
  <si>
    <t>Подземное хранилище</t>
  </si>
  <si>
    <t>Уборная</t>
  </si>
  <si>
    <t>Штаб школы (2-этажное здание)</t>
  </si>
  <si>
    <t>Здание административно-учебного корпуса</t>
  </si>
  <si>
    <t>Московская обл., Пушкинский р-н, город Пушкино, м-н Мамонтовка, ул. Октябрьская, 23</t>
  </si>
  <si>
    <t>Здание спального корпуса № 1</t>
  </si>
  <si>
    <t>Московская область, г. Пушкино, мкр-н Мамонтовка, ул. Октябрьская, д. 23</t>
  </si>
  <si>
    <t>Здание спального корпуса № 2</t>
  </si>
  <si>
    <t>Здание общежития № 3 (Здание спальный корпус № 3)</t>
  </si>
  <si>
    <t>Здание башни (пожарная вышка)</t>
  </si>
  <si>
    <t>Здание санитарного узла дворового</t>
  </si>
  <si>
    <t>Здание столярной мастерской</t>
  </si>
  <si>
    <t>Здание трансформаторной подстанции</t>
  </si>
  <si>
    <t>Здание котельной с пристроенным душем</t>
  </si>
  <si>
    <t>Здание склада</t>
  </si>
  <si>
    <t>Здание гаража</t>
  </si>
  <si>
    <t>Здание сарая для стоянки автомашин</t>
  </si>
  <si>
    <t>Здание котельной</t>
  </si>
  <si>
    <t>Здание КПП</t>
  </si>
  <si>
    <t>Здание овощехранилища</t>
  </si>
  <si>
    <t>Московская обл., г. Пушкино, мрн.Мамонтовка, ул. Октябрьская, 23</t>
  </si>
  <si>
    <t>Здание учебного корпуса</t>
  </si>
  <si>
    <t>129626, г. Москва, р-н Алексеевский, Кучин пер., д. 14,стр. 1</t>
  </si>
  <si>
    <t>129626, г. Москва,р-н Алексеевский, Кучин пер., д. 14, стр. 2</t>
  </si>
  <si>
    <t>Здание общежития</t>
  </si>
  <si>
    <t>129626, г. Москва, р-н Алексеевский,Кучин пер., д. 14, стр. 9</t>
  </si>
  <si>
    <t>Здание учебного корпуса (стр. 15)</t>
  </si>
  <si>
    <t>129626, г. Москва, р-н Алексеевский, Кучин пер., д. 14,стр. 15</t>
  </si>
  <si>
    <t>Здание проходной</t>
  </si>
  <si>
    <t>129626, г. Москва, р-н Алексеевский,Кучин пер., д. 14,стр. 4</t>
  </si>
  <si>
    <t>129626, г. Москва, р-н Алексеевский, Кучин пер., д. 14,стр. 6</t>
  </si>
  <si>
    <t xml:space="preserve">Здание учебного корпуса </t>
  </si>
  <si>
    <t>127635, г. Москва, р-н Западное Дегунино, ул. Талдомская, д. 5</t>
  </si>
  <si>
    <t>Здание ТП</t>
  </si>
  <si>
    <t>127635, г. Москва, ул. Талдомская, д. 5 стр. 2</t>
  </si>
  <si>
    <t>127635, г. Москва, р-н Западное Дегунино, ул. Новая, д. 4</t>
  </si>
  <si>
    <t>109382, г. Москва, р-н Люблино, ул. Люблинская, д. 88, стр. 1</t>
  </si>
  <si>
    <t>Здание учебной мастерской (строение №2)</t>
  </si>
  <si>
    <t>109382, г. Москва, р-н Люблино, ул. Люблинская, д. 88, стр. 2</t>
  </si>
  <si>
    <t>Строение бойлерной (стр. 3)</t>
  </si>
  <si>
    <t>109382, г. Москва, р-н Люблино, ул. Люблинская, д. 88, стр. 3</t>
  </si>
  <si>
    <t>109382, г. Москва, р-н Люблино, ул. Люблинская, д. 88, стр. 4</t>
  </si>
  <si>
    <t>Здание сарая</t>
  </si>
  <si>
    <t>г. Москва, ул. Люблинская, д. 88, стр. 6</t>
  </si>
  <si>
    <t>г. Москва, ул. Люблинская, д. 88, стр. 10</t>
  </si>
  <si>
    <t>г. Москва, ул. Люблинская, д. 88, стр. 11</t>
  </si>
  <si>
    <t>109382, г. Москва, ул. Люблинская, д. 88, стр. 13</t>
  </si>
  <si>
    <t>Здание общежития "Лось"</t>
  </si>
  <si>
    <t>129347, г. Москва, р-н Ярославский, ул. Палехская, д. 145</t>
  </si>
  <si>
    <t>Здание общежития "Кратово-I"</t>
  </si>
  <si>
    <t>140100, МО, Раменский район, пос. Кратово, ул. Муромская, д. 2</t>
  </si>
  <si>
    <t>Здание общежития "Кратово-II"</t>
  </si>
  <si>
    <t>140100, МО, Раменский район, пос. Кратово, ул. Симбирская, д. 13</t>
  </si>
  <si>
    <t>125315 г. Москва, р-н Аэропорт, ул. Часовая д. 22/2 стр. 1</t>
  </si>
  <si>
    <t>Здание учебного корпуса №2</t>
  </si>
  <si>
    <t>125315, г. Москва, р-н Аэропорт, ул. Часовая д. 22/2 стр. 2</t>
  </si>
  <si>
    <t>Здание столовой</t>
  </si>
  <si>
    <t>125315 г. Москва, р-н Аэропорт, ул. Часовая д. 22/2 стр. 3</t>
  </si>
  <si>
    <t>Здание учебно-лабораторного корпуса</t>
  </si>
  <si>
    <t xml:space="preserve">125315 Москва, р-н Аэропорт, 3-й Балтийский пер., д. 3 </t>
  </si>
  <si>
    <t>Здание под склад</t>
  </si>
  <si>
    <t xml:space="preserve">г. Москва, 3-й Балтийский пер., д. 3, стр. 2 </t>
  </si>
  <si>
    <t>125315 Москва, р-н Аэропорт, 3-й Балтийский пер., д. 4, корп. 5</t>
  </si>
  <si>
    <t>125635 Москва, р-н Западное Дегунино, ул. Новая, д. 6а</t>
  </si>
  <si>
    <t>125635 Москва, р-н Западное Дегунино, ул. Новая, д. 6</t>
  </si>
  <si>
    <t>Здание учебного корпуса № 1</t>
  </si>
  <si>
    <t>127994 Москва, р-н Марьина Роща,  ул. Образцова, д. 9, стр. 9</t>
  </si>
  <si>
    <t>Учебно-административное здание</t>
  </si>
  <si>
    <t>127055 Москва, р-н Марьина Роща,  ул. Образцова, д. 9, стр 1</t>
  </si>
  <si>
    <t>Здание учебного корпуса № 8</t>
  </si>
  <si>
    <t>127055 Москва, р-н Марьина Роща,  ул. Образцова, д. 9, стр 2</t>
  </si>
  <si>
    <t>Здание уче6но-лабораторного корпуса № 5</t>
  </si>
  <si>
    <t>127055 Москва, р-н Марьина Роща,  ул. Образцова, д. 9, стр 3</t>
  </si>
  <si>
    <t>Здание учебного корпуса № 6</t>
  </si>
  <si>
    <t>127055 Москва, р-н Марьина Роща,  ул. Образцова, д. 9, стр 4</t>
  </si>
  <si>
    <t>Учебно-лабораторное здание</t>
  </si>
  <si>
    <t>127055 Москва, р-н Марьина Роща,  ул. Образцова, д. 9, стр 5</t>
  </si>
  <si>
    <t>127055 Москва, р-н Марьина Роща,  ул. Образцова, д. 9, стр 6</t>
  </si>
  <si>
    <t>127055 Москва, р-н Марьина Роща,  ул. Образцова, д. 9, стр 7</t>
  </si>
  <si>
    <t>127055 Москва, р-н Марьина Роща,  ул. Образцова, д. 9, стр 8</t>
  </si>
  <si>
    <t>127055 Москва, р-н Марьина Роща,  ул. Образцова, д. 9, стр 12</t>
  </si>
  <si>
    <t>127055 Москва, р-н Марьина Роща,  ул. Образцова, д. 9, стр 10</t>
  </si>
  <si>
    <t>127055 Москва, р-н Марьина Роща, ул. Новосущевская, д. 22, стр 9</t>
  </si>
  <si>
    <t>127055 Москва, р-н Марьина Роща, ул. Новосущевская, д. 22, стр 1</t>
  </si>
  <si>
    <t>Здание учебного корпуса №3</t>
  </si>
  <si>
    <t>127055 Москва, р-н Марьина Роща, ул. Новосущевская, д. 22, стр 2</t>
  </si>
  <si>
    <t>Здание учебного корпуса №4</t>
  </si>
  <si>
    <t>127055 Москва, р-н Марьина Роща, ул. Новосущевская, д. 22, стр 3</t>
  </si>
  <si>
    <t>Вспомогательное здание</t>
  </si>
  <si>
    <t>127055 Москва, р-н Марьина Роща, ул. Новосущевская, д. 22, стр 4</t>
  </si>
  <si>
    <t>127055 Москва, р-н Марьина Роща, ул. Новосущевская, д. 22, стр 5</t>
  </si>
  <si>
    <t>127055 Москва, р-н Марьина Роща, ул. Новосущевская, д. 22, стр 7</t>
  </si>
  <si>
    <t>Здание криогенной лаборатории</t>
  </si>
  <si>
    <t>127055 Москва, р-н Марьина Роща, ул. Новосущевская, д. 22, стр 8</t>
  </si>
  <si>
    <t>127055 Москва, р-н Марьина Роща, ул. Новосущевская, д. 22, стр 11</t>
  </si>
  <si>
    <t xml:space="preserve">Здание распределительного пункта №12142 </t>
  </si>
  <si>
    <t>127055, г. Москва, ул. Новосущевская, д. 22, стр. 6</t>
  </si>
  <si>
    <t>127018 Москва, р-н Марьина Роща, ул. Образцова, д. 21</t>
  </si>
  <si>
    <t>Здание общежития № 2</t>
  </si>
  <si>
    <t>127055 Москва, р-н Марьина Роща, ул. Образцова, д. 22</t>
  </si>
  <si>
    <t>Нежилое помещение (Здание общежития № 1)</t>
  </si>
  <si>
    <t>г. Москва, 2-й Вышеславцев пер., д. 17</t>
  </si>
  <si>
    <t>Жилые помещения (Здание общежития № 1)</t>
  </si>
  <si>
    <t>Здание дворца культуры</t>
  </si>
  <si>
    <t>127018, Москва, р-н Марьина Роща, пер. Новосущевский, д. 6, стр. 1</t>
  </si>
  <si>
    <t>Гараж-пристройка к профилакторию</t>
  </si>
  <si>
    <t>г. Москва, 2-й Вышеславцев пер., д. 15</t>
  </si>
  <si>
    <t>Здание дворца спорта с бассейном</t>
  </si>
  <si>
    <t>127055, Москва, р-н Марьина Роща, ул. Новосущевская, д. 24, стр. 1</t>
  </si>
  <si>
    <t>Здание дворца спорта (манеж)</t>
  </si>
  <si>
    <t>127055, Москва, р-н Марьина Роща, ул. Новосущевская, д. 24, стр. 2</t>
  </si>
  <si>
    <t>Здание тира</t>
  </si>
  <si>
    <t>127018, Москва, р-н Марьина Роща, Новосущевский пер., д. 6, стр. 2</t>
  </si>
  <si>
    <t>Здание Института международных транспортных коммуникаций</t>
  </si>
  <si>
    <t>г. Москва, ул. Новосущевская, д. 26а</t>
  </si>
  <si>
    <t xml:space="preserve">Склад </t>
  </si>
  <si>
    <t>г. Москва, ул. Новосущевская, д. 26а, стр 10</t>
  </si>
  <si>
    <t>Склад</t>
  </si>
  <si>
    <t>г. Москва, ул. Новосущевская, д. 26а, стр 7</t>
  </si>
  <si>
    <t>г. Москва, ул. Новосущевская, д. 26а, стр 6</t>
  </si>
  <si>
    <t>Гараж</t>
  </si>
  <si>
    <t>г. Москва, ул. Новосущевская, д. 26а, стр 8</t>
  </si>
  <si>
    <t xml:space="preserve">Здание учебно-медико профилактического корпуса </t>
  </si>
  <si>
    <t>127055, Москва, р-н Марьина Роща, ул. Новосущевская, д. 18</t>
  </si>
  <si>
    <t xml:space="preserve">Здание учебного корпуса №7 </t>
  </si>
  <si>
    <t>127055, Москва, р-н Марьина Роща, Минаевский пер., д. 2</t>
  </si>
  <si>
    <t>Здание общежития № 4</t>
  </si>
  <si>
    <t>127322, Москва, р-н Бутырский, Огородный проезд, д. 25/20</t>
  </si>
  <si>
    <t xml:space="preserve">Здание общежития № 5 </t>
  </si>
  <si>
    <t>129301, Москва, р-н Алексеевский, ул. Космонавтов, д. 11</t>
  </si>
  <si>
    <t>Учебно-спортивное здание</t>
  </si>
  <si>
    <t>129301, Москва, р-н Алексеевский, ул. Космонавтов, д. 11, стр. 2</t>
  </si>
  <si>
    <t xml:space="preserve">Здание общежития № 6 </t>
  </si>
  <si>
    <t>129323, Москва, р-н Свиблово, ул. Снежная, д. 16, корп. 3</t>
  </si>
  <si>
    <t>Здание общежития № 7</t>
  </si>
  <si>
    <t>129323, Москва, р-н Свиблово, ул. Снежная, д. 16, корп. 4</t>
  </si>
  <si>
    <t>Учебно-спортивные помещения</t>
  </si>
  <si>
    <t>г. Москва, ул. Снежная, д. 16, корп. 5</t>
  </si>
  <si>
    <t>Здание Российской академии путей сообщения (РАПС)</t>
  </si>
  <si>
    <t xml:space="preserve">127018, Москва, р-н Марьина Роща, Октябрьский пер., д. 7 </t>
  </si>
  <si>
    <t>Здание №1 гимназии</t>
  </si>
  <si>
    <t>129626, Москва, р-н Алексеевский, ул. Мытищинская 3-я, д. 12, стр. 1</t>
  </si>
  <si>
    <t>Здание №2 гимназии</t>
  </si>
  <si>
    <t xml:space="preserve">107014, Москва, р-н Сокольники, просек Лучевой 2-й, д. 5а </t>
  </si>
  <si>
    <t xml:space="preserve">Здание медицинского колледжа со спортивным залом </t>
  </si>
  <si>
    <t>129128, Москва, р-н Ростокино, ул. Будайская, д. 2, стр. 18</t>
  </si>
  <si>
    <t>Нежилое здание (Учебно-лабораторный корпус)</t>
  </si>
  <si>
    <t>117105, Москва, р-н Донской, Новоданиловская наб., д. 2, корп. 1</t>
  </si>
  <si>
    <t>Склад-ангар</t>
  </si>
  <si>
    <t>Москва, Новоданиловская наб., д. 2, корп. 1, стр. 3</t>
  </si>
  <si>
    <t>Трансформаторная подстанция</t>
  </si>
  <si>
    <t>Москва, Новоданиловская наб., д. 2, корп. 1, стр. 4</t>
  </si>
  <si>
    <t>учебный корпус</t>
  </si>
  <si>
    <t xml:space="preserve">Москва, р-н Нагатинский Затон, ул. Судостроительная, д. 44, строен. 1 </t>
  </si>
  <si>
    <t>Москва, р-н Нагатинский Затон, ул. Судостроительная, д. 44, строен. 2</t>
  </si>
  <si>
    <t>Ангар № 1 (сооружение)</t>
  </si>
  <si>
    <t>Москва, ул. Судостроительная, д. 44, строен. 3</t>
  </si>
  <si>
    <t>Ангар № 2 сборно-разборный металлический утепленный</t>
  </si>
  <si>
    <t>Москва, ул. Судостроительная, д. 44, строен. 4</t>
  </si>
  <si>
    <t>Здание-учебный корпус</t>
  </si>
  <si>
    <t xml:space="preserve">Москва, р-н Нагатинский Затон, ул. Судостроительная, д. 46, строен. 1 </t>
  </si>
  <si>
    <t>лабораторный корпус</t>
  </si>
  <si>
    <t>Москва, р-н Нагатинский Затон, ул. Судостроительная, д. 46, строен. 2</t>
  </si>
  <si>
    <t>Нежилое здание (Смешанное здание)</t>
  </si>
  <si>
    <t>г. Москва, ул. Судостроительная, д. 32, корп. 2</t>
  </si>
  <si>
    <t>Нежилое здание (Столовая)</t>
  </si>
  <si>
    <t>Москва, Нагатинский Затон, ул. Судостроительная, д. 42</t>
  </si>
  <si>
    <t>Нежилое здание</t>
  </si>
  <si>
    <t>Москва, ул. Судостроительная, д. 42, строен. 2</t>
  </si>
  <si>
    <t>Жилой дом</t>
  </si>
  <si>
    <t>г. Москва, р-н Южнопортовый, 2-й Южнопортовый проезд, д. 5, корп. 2</t>
  </si>
  <si>
    <t>Жилое помещение</t>
  </si>
  <si>
    <t>г. Москва, ул. Бутырская, д. 79</t>
  </si>
  <si>
    <t>ИТОГО</t>
  </si>
  <si>
    <t>Количество, ед.</t>
  </si>
  <si>
    <t xml:space="preserve">* - </t>
  </si>
  <si>
    <t>Обращение к губернатору Московской области по вопросу передачи зданий из собственности Российской Федерации в собственность субъекта РФ</t>
  </si>
  <si>
    <t xml:space="preserve">** - </t>
  </si>
  <si>
    <t>Принятие решения о сносе по результатам проектных и исследовательских работ</t>
  </si>
  <si>
    <t xml:space="preserve"> Первый проректор</t>
  </si>
  <si>
    <t>Вывоз мусора</t>
  </si>
  <si>
    <t>Уборка</t>
  </si>
  <si>
    <t>бюджет</t>
  </si>
  <si>
    <t>внебюджет</t>
  </si>
  <si>
    <t>Дератизация и дезинфекция</t>
  </si>
  <si>
    <t>ТО кондиционеров</t>
  </si>
  <si>
    <t>Очистка от снега,наледи и сосулек</t>
  </si>
  <si>
    <t>ТО лифтов</t>
  </si>
  <si>
    <t>Охрана и ТО, пожарная сигнализация</t>
  </si>
  <si>
    <t>ТО сантехнического оборудования</t>
  </si>
  <si>
    <t>ТО газовой котельни, оборудовани\</t>
  </si>
  <si>
    <t>ТО ворот и шлагбаумов</t>
  </si>
  <si>
    <t>ТО инженерных сетей</t>
  </si>
  <si>
    <t>Ремонт</t>
  </si>
  <si>
    <t>ТО вентиляции, системы дымоудаления</t>
  </si>
  <si>
    <t>ТО и ремонт ПТ 23603 и КЛ ТП 23603-ТП 11347</t>
  </si>
  <si>
    <t>ТО инфраструктуры центра обработки данных</t>
  </si>
  <si>
    <t>ТО СКУД, ТО турникетов Стрелец-Мониторинг, ТО комплекс систем безопасности, пожарных кранов</t>
  </si>
  <si>
    <t>Круглосусточное сервисное обслуживание системы бесперебойного электропитания, обслуживание АИИС К учета электроэнергии, ТО УУТЭ</t>
  </si>
  <si>
    <t>ТО водоподготовки, канализации, лабораторные исследования воды</t>
  </si>
  <si>
    <t>Подготовка к зиме</t>
  </si>
  <si>
    <t>Огнезащитная обработка</t>
  </si>
  <si>
    <t>Утилизация отходов, обезвреживание, утилизация объектов</t>
  </si>
  <si>
    <t>Сумма, руб.</t>
  </si>
  <si>
    <t>Всего, руб.</t>
  </si>
  <si>
    <t>Вид</t>
  </si>
  <si>
    <t xml:space="preserve">ул.Образцова д.9 стр.2 </t>
  </si>
  <si>
    <t>ГУК-8 (Технопарк, АВИШ, АБП)</t>
  </si>
  <si>
    <t>ул.Образцова д.9 стр.1</t>
  </si>
  <si>
    <t>Администрация</t>
  </si>
  <si>
    <t>ул.Образцова д.9 стр.7</t>
  </si>
  <si>
    <t>ГУК-13</t>
  </si>
  <si>
    <t>ул.Образцова д.9 стр.3</t>
  </si>
  <si>
    <t>дом химии</t>
  </si>
  <si>
    <t>ул.Образцова д.9 стр.4</t>
  </si>
  <si>
    <t>ЮИ</t>
  </si>
  <si>
    <t>ул.Образцова д.9 стр.9</t>
  </si>
  <si>
    <t>ИУЦТ</t>
  </si>
  <si>
    <t>ул.Образцова д.9 стр.8</t>
  </si>
  <si>
    <t>дом физики</t>
  </si>
  <si>
    <t>ул.Образцова д.9 стр.12</t>
  </si>
  <si>
    <t>ул. Образцова д.9 стр.10</t>
  </si>
  <si>
    <t>КПП-1</t>
  </si>
  <si>
    <t>ул.Новосущевская д.22 стр.1</t>
  </si>
  <si>
    <t>ИТТСУ</t>
  </si>
  <si>
    <t>ул.Новосущевская д.22 стр.2</t>
  </si>
  <si>
    <t>ИЭФ</t>
  </si>
  <si>
    <t>ул.Новосущевская д.22 стр.3</t>
  </si>
  <si>
    <t>ул. Новосущевская д.22 стр.5</t>
  </si>
  <si>
    <t>ул. Новосущевская д.22 стр.4</t>
  </si>
  <si>
    <t>ул. Новосущевская д.22 стр.9</t>
  </si>
  <si>
    <t>КПП-2</t>
  </si>
  <si>
    <t>2-й Минаевский пер. д.2</t>
  </si>
  <si>
    <t>ИПСС</t>
  </si>
  <si>
    <t>ул.Новосущевская д.26А</t>
  </si>
  <si>
    <t>ИМТК</t>
  </si>
  <si>
    <t>Октябрьский пер.д.7</t>
  </si>
  <si>
    <t>РАПС</t>
  </si>
  <si>
    <t>ул. 3-я Мытищинская д.12</t>
  </si>
  <si>
    <t>Гимназия</t>
  </si>
  <si>
    <t>2-й Лучевой просек 5А</t>
  </si>
  <si>
    <t>ул. Судостроительная д.44 стр.1</t>
  </si>
  <si>
    <t>АВТ колледж</t>
  </si>
  <si>
    <t>ул. Судостроительная д.44 стр.2</t>
  </si>
  <si>
    <t>ул. Судостроительная д.46 стр.1</t>
  </si>
  <si>
    <t>АВТ ВО</t>
  </si>
  <si>
    <t>ул. Судостроительная д.46 стр.2</t>
  </si>
  <si>
    <t>Новоданиловская наб.д.2к.4</t>
  </si>
  <si>
    <t>ул.Будайская д.2 к.8</t>
  </si>
  <si>
    <t>Мед.колледж</t>
  </si>
  <si>
    <t>ул.Новосущевская д.24</t>
  </si>
  <si>
    <t>ДФ/ДС</t>
  </si>
  <si>
    <t>Новосущевский пер.д6. стр.1</t>
  </si>
  <si>
    <t>ДК</t>
  </si>
  <si>
    <t>ул.Образцова д.21</t>
  </si>
  <si>
    <t>ДМ</t>
  </si>
  <si>
    <t>ул.Новосущевская д. 18</t>
  </si>
  <si>
    <t>Поликлиника</t>
  </si>
  <si>
    <t>2-й Вышеславцев пер д.17 стр.1</t>
  </si>
  <si>
    <t>Общ 1</t>
  </si>
  <si>
    <t>ул.Образцова д.22</t>
  </si>
  <si>
    <t>Общ 2</t>
  </si>
  <si>
    <t>ул. Снежная д.16 к3</t>
  </si>
  <si>
    <t>Общаги 3</t>
  </si>
  <si>
    <t>ул. Снежная д.16 к4</t>
  </si>
  <si>
    <t>ул. Снежная д.16 к5</t>
  </si>
  <si>
    <t>Огородный проезд 25/20</t>
  </si>
  <si>
    <t>Общ 4</t>
  </si>
  <si>
    <t>ул. Палехская д.145</t>
  </si>
  <si>
    <t>Общ 8</t>
  </si>
  <si>
    <t>ул.Космонавтов д.11</t>
  </si>
  <si>
    <t>Общ 5</t>
  </si>
  <si>
    <t>ул.Новая д.4</t>
  </si>
  <si>
    <t>Общ Новая</t>
  </si>
  <si>
    <t>ул. Симбирская д.13</t>
  </si>
  <si>
    <t>общ КРАТОВО</t>
  </si>
  <si>
    <t>3-й Балтийский пер. д.4 к.5</t>
  </si>
  <si>
    <t>Общаги РОАТ</t>
  </si>
  <si>
    <t>ул. Судостроительная, д. 32, корпус 2</t>
  </si>
  <si>
    <t>АВТ общ</t>
  </si>
  <si>
    <t>2-й Южнопортовый проезд  д.5, к.2</t>
  </si>
  <si>
    <t>ул. Бутырская д. 79</t>
  </si>
  <si>
    <t>Общ</t>
  </si>
  <si>
    <t>ул. Люблинская д. 88 стр. 4</t>
  </si>
  <si>
    <t>Общ МКТ</t>
  </si>
  <si>
    <t>ТО кранов</t>
  </si>
  <si>
    <t>ТО  и ремонт копировальной техники</t>
  </si>
  <si>
    <t>Дом молодежи</t>
  </si>
  <si>
    <t>ТО инженерных сетей/ электросетей</t>
  </si>
  <si>
    <t xml:space="preserve">образцова 9, новосущевская 22- внутри забора </t>
  </si>
  <si>
    <t xml:space="preserve">Здание общежития "Лось" </t>
  </si>
  <si>
    <t>Уборка ( вкл дератизация общежитий)</t>
  </si>
  <si>
    <t>2020 год</t>
  </si>
  <si>
    <t>2021 год</t>
  </si>
  <si>
    <t>Итог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</si>
  <si>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</si>
  <si>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</si>
  <si>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</si>
  <si>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</si>
  <si>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</si>
  <si>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</si>
  <si>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</si>
  <si>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</si>
  <si>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</si>
  <si>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</si>
  <si>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</si>
  <si>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</si>
  <si>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</si>
  <si>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</si>
  <si>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</si>
  <si>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</si>
  <si>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2021год</t>
  </si>
  <si>
    <t>Итого</t>
  </si>
  <si>
    <t>Наименование структурного подразделения</t>
  </si>
  <si>
    <t>Занимаемая площадь, кв.м</t>
  </si>
  <si>
    <t>количество работников</t>
  </si>
  <si>
    <t>количество студентов</t>
  </si>
  <si>
    <t xml:space="preserve">Академия базовой подготовки, АБП </t>
  </si>
  <si>
    <r>
      <t>127055, г. Москва, ул Образцова, д. 9, стр. 2</t>
    </r>
    <r>
      <rPr>
        <sz val="11"/>
        <color rgb="FFFF0000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127055, г. Москва, ул Образцова, д. 9, стр. 2</t>
    </r>
    <r>
      <rPr>
        <sz val="11"/>
        <color rgb="FF0070C0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127055, г. Москва, ул Новосущёвская, д. 22, стр. 1</t>
    </r>
  </si>
  <si>
    <t xml:space="preserve">Академия водного транспорта, АВТ </t>
  </si>
  <si>
    <t>127055, г. Москва, ул Новосущёвская, д. 22, стр. 3 
г. Москва, Новоданиловская наб., д. 2, корп. 1</t>
  </si>
  <si>
    <t xml:space="preserve">Академия "Высшая инженерная школа", АВИШ </t>
  </si>
  <si>
    <t xml:space="preserve">127055, г. Москва, ул Образцова, д. 9, стр. 2 </t>
  </si>
  <si>
    <t xml:space="preserve">Академия интеллектуальных транспортных систем в автомобильно-дорожном комплексе, Академия ИТСвАДК </t>
  </si>
  <si>
    <t>127055, г. Москва, ул Образцова, д. 9, стр. 2</t>
  </si>
  <si>
    <t xml:space="preserve">Институт международных транспортных коммуникаций, ИМТК </t>
  </si>
  <si>
    <t>127055, г. Москва, ул Новосущёвская, д. 26А</t>
  </si>
  <si>
    <t xml:space="preserve">Институт пути, строительства и сооружений, ИПСС </t>
  </si>
  <si>
    <r>
      <t>127055, г. Москва, Минаевский пер, д. 2</t>
    </r>
    <r>
      <rPr>
        <sz val="11"/>
        <color theme="1"/>
        <rFont val="Calibri"/>
        <family val="2"/>
        <charset val="204"/>
        <scheme val="minor"/>
      </rPr>
      <t xml:space="preserve">
127055, г. Москва, ул Новосущёвская, д. 22, стр. 2</t>
    </r>
  </si>
  <si>
    <t>16895,7</t>
  </si>
  <si>
    <t xml:space="preserve">Институт транспортной техники и систем управления, ИТТСУ </t>
  </si>
  <si>
    <t>127055, г. Москва, ул Новосущёвская, д. 22, стр. 1</t>
  </si>
  <si>
    <t>30290,9</t>
  </si>
  <si>
    <t xml:space="preserve">Институт управления и цифровых технологий, ИУЦТ </t>
  </si>
  <si>
    <t>127055, г. Москва, ул Образцова, д. 9, стр. 9</t>
  </si>
  <si>
    <t>16186,7</t>
  </si>
  <si>
    <t xml:space="preserve">Институт экономики и финансов, ИЭФ </t>
  </si>
  <si>
    <t>127055, г. Москва, ул Новосущёвская, д. 22, стр. 2</t>
  </si>
  <si>
    <t>14183,7</t>
  </si>
  <si>
    <t xml:space="preserve">Научно-исследовательский институт транспорта и транспортного строительства, НИИ ТТС </t>
  </si>
  <si>
    <t xml:space="preserve">127055, г. Москва, ул Образцова, д. 9, стр. 9 </t>
  </si>
  <si>
    <t xml:space="preserve">Российская академия путей сообщения, РАПС </t>
  </si>
  <si>
    <t xml:space="preserve">127018, г. Москва, Октябрьский пер, д. 7 </t>
  </si>
  <si>
    <t xml:space="preserve">Российская открытая академия транспорта, РОАТ </t>
  </si>
  <si>
    <t xml:space="preserve">125315, г. Москва, ул Часовая, д. 22/2, стр. 1 </t>
  </si>
  <si>
    <t>21889,4</t>
  </si>
  <si>
    <t xml:space="preserve">Юридический институт, ЮИ </t>
  </si>
  <si>
    <t>127055, г. Москва, ул Образцова, д. 9, стр. 4</t>
  </si>
  <si>
    <t xml:space="preserve">Отраслевой центр подготовки научно-педагогических кадров высшей квалификации, ОЦПНПКВК </t>
  </si>
  <si>
    <t xml:space="preserve"> 127055, г. Москва, ул Новосущёвская, д. 22, стр. 1</t>
  </si>
  <si>
    <t xml:space="preserve">Гимназия </t>
  </si>
  <si>
    <t>3-я Мытищинская ул., д. 12, стр. 1
г. Москва, 2-й Лучевой просек, 5А</t>
  </si>
  <si>
    <t>5174,2</t>
  </si>
  <si>
    <t xml:space="preserve">Колледж Академии водного транспорта им. Министра речного флота Л.В. Багрова, Колледж АВТ </t>
  </si>
  <si>
    <t>127055, г. Москва, ул Новосущёвская, д. 22, стр. 3
г. Москва, ул. Судостроительная, д. 44, стр. 1</t>
  </si>
  <si>
    <t xml:space="preserve">Колледж международных транспортных коммуникаций, Колледж МТК </t>
  </si>
  <si>
    <t xml:space="preserve">Медицинский колледж, Мед. колледж </t>
  </si>
  <si>
    <t>ул. Будайская, д. 2, стр. 18
127055, г. Москва, ул Новосущёвская, д. 18</t>
  </si>
  <si>
    <t xml:space="preserve">Московский колледж транспорта, МКТ </t>
  </si>
  <si>
    <t xml:space="preserve">129626, г. Москва, Кучин пер, д. 14, стр. 1 </t>
  </si>
  <si>
    <t>29156,1</t>
  </si>
  <si>
    <t xml:space="preserve">Правовой колледж Юридического института, ПК ЮИ </t>
  </si>
  <si>
    <t xml:space="preserve">127055, г. Москва, ул Образцова, д. 9, стр. 4 </t>
  </si>
  <si>
    <t>69,8</t>
  </si>
  <si>
    <t xml:space="preserve">Военный учебный центр, ВУЦ </t>
  </si>
  <si>
    <t>127055, г. Москва, ул Новосущёвская, д. 26А
г. Москва, 2-й Вышеславцев пер., д. 17</t>
  </si>
  <si>
    <t xml:space="preserve">Лингвистический центр, ЛЦ </t>
  </si>
  <si>
    <t>58,7</t>
  </si>
  <si>
    <t xml:space="preserve">Центр «Высшая школа педагогического мастерства», ЦВШПМ </t>
  </si>
  <si>
    <t xml:space="preserve">127055, г. Москва, ул Новосущёвская, д. 22, стр. 1 </t>
  </si>
  <si>
    <t xml:space="preserve">Центр изучения русского языка как иностранного, ЦИРКИ </t>
  </si>
  <si>
    <t>127055, г. Москва, ул Новосущёвская, д. 22, стр. 8</t>
  </si>
  <si>
    <t xml:space="preserve">Центр подготовки научных сотрудников, ЦПНС </t>
  </si>
  <si>
    <t xml:space="preserve">127055, г. Москва, ул Образцова, д. 9, стр. 1 </t>
  </si>
  <si>
    <t xml:space="preserve">Издательство "Транспорт РУТ" </t>
  </si>
  <si>
    <t xml:space="preserve">127055, г. Москва, ул Образцова, д. 9, стр. 7 </t>
  </si>
  <si>
    <t xml:space="preserve">Межкафедральная учебно-научная лаборатория высокопроизводительных параллельных вычислений, МУНЛ ВПВ </t>
  </si>
  <si>
    <t>формируется</t>
  </si>
  <si>
    <t xml:space="preserve">Научно-исследовательский центр экспертиз на транспорте, НИЦЭТ </t>
  </si>
  <si>
    <t>г. Москва, Октябрьский пер, д. 7</t>
  </si>
  <si>
    <t xml:space="preserve">Научно-образовательный центр воздушного транспорта, НОЦ ВТ </t>
  </si>
  <si>
    <t xml:space="preserve">Научно-образовательный центр морского, внутреннего водного транспорта и технологий автономного судовождения, НОЦ МВВТиТАС </t>
  </si>
  <si>
    <t xml:space="preserve">г. Москва, Новоданиловская наб., д. 2, корп. 1 </t>
  </si>
  <si>
    <t xml:space="preserve">Научно-образовательный центр Повышения квалификации, профессиональной переподготовки и сертификации кадров для национального проекта "Безопасные и качественные автомобильные дороги", НОЦ ПКППС </t>
  </si>
  <si>
    <t xml:space="preserve">Отраслевой центр мониторинга и контроля качества транспортного образования, ОЦМиККТО </t>
  </si>
  <si>
    <t xml:space="preserve">Управление научно-исследовательской работы, УНИР </t>
  </si>
  <si>
    <t>127055, г. Москва, ул Образцова, д. 9, стр. 9
127055, г. Москва, ул Образцова, д. 9, стр. 1
г.Москва, 2-й Вышеславцев пер., д. 17</t>
  </si>
  <si>
    <t xml:space="preserve">Центр комплексных проектов, ЦКП </t>
  </si>
  <si>
    <t>127055, г. Москва, Минаевский пер, д. 2</t>
  </si>
  <si>
    <t xml:space="preserve">Центр координации деятельности диссертационных советов, ЦКДДС </t>
  </si>
  <si>
    <t>127055, г. Москва, ул Новосущёвская, д. 22, стр. 3</t>
  </si>
  <si>
    <t xml:space="preserve">Центр научно-технологического предпринимательства, Центр НТП </t>
  </si>
  <si>
    <t>г. Москва, Новоданиловская наб., д. 2, корп. 1</t>
  </si>
  <si>
    <t xml:space="preserve">Центр по продвижению в Международной морской организации, иных международных организациях, в иностранных государствах технологий автономного судовождения и внедрению стандартов правового регулирования, направленных на реализацию проектов автономного судовождения (Центр по продвижению технологий автономного судовождения МАРИНЕТ РУТ(МИИТ), Центр МАРИНЕТ РУТ(МИИТ) </t>
  </si>
  <si>
    <t xml:space="preserve">Центр стратегических программ, ЦСП </t>
  </si>
  <si>
    <t>103,2</t>
  </si>
  <si>
    <t xml:space="preserve">Центр стратегического анализа, ЦСА </t>
  </si>
  <si>
    <t>дистант</t>
  </si>
  <si>
    <t xml:space="preserve">Библиотека Гимназии, БГ </t>
  </si>
  <si>
    <t>129626, г. Москва, ул Мытищинская 3-я, д. 12, стр. 1</t>
  </si>
  <si>
    <t xml:space="preserve">Библиотека Московского колледжа транспорта, Библиотека МКТ </t>
  </si>
  <si>
    <t>109382, г. Москва, ул Люблинская, д. 88, стр. 1;
127055, г. Москва, ул Образцова, д. 9, стр. 9 
 г. Москва, Кучин пер., д. 14, стр. 1</t>
  </si>
  <si>
    <t xml:space="preserve">Библиотека Российской открытой академии транспорта, Библиотека РОАТ </t>
  </si>
  <si>
    <t xml:space="preserve">Издательство, типография и библиотека учебной литературы и учебно-методических пособий для студентов Юридического института, ИТБ УЛУПС </t>
  </si>
  <si>
    <t>291,7</t>
  </si>
  <si>
    <t xml:space="preserve">Научно-техническая библиотека, НТБ </t>
  </si>
  <si>
    <t xml:space="preserve">127055, г. Москва, Минаевский пер, д. 2;
127055, г. Москва, ул Новосущёвская, д. 22, стр. 1;
127055, г. Москва, ул Новосущёвская, д. 22, стр. 2;
127055, г. Москва, ул Новосущёвская, д. 22, стр. 3;
127055, г. Москва, ул Образцова, д. 9, стр. 2;
127055, г. Москва, ул Образцова, д. 9, стр. 9 </t>
  </si>
  <si>
    <t xml:space="preserve">Административное управление, АУ </t>
  </si>
  <si>
    <t>127055, г. Москва, ул Образцова, д. 9, стр. 9 
127055, г. Москва, ул Новосущёвская, д. 22, стр. 1
127055, г. Москва, ул Новосущёвская, д. 22, стр. 3
г. Москва, Новоданиловская наб., д. 2, корпус 1</t>
  </si>
  <si>
    <t xml:space="preserve">Второй отдел, 2 отдел </t>
  </si>
  <si>
    <t xml:space="preserve"> 127055, г. Москва, ул Образцова, д. 9, стр. 1 </t>
  </si>
  <si>
    <t>51,0</t>
  </si>
  <si>
    <t xml:space="preserve">Дирекция по развитию, ДР </t>
  </si>
  <si>
    <t xml:space="preserve">Единый общеуниверситетский многофункциональный центр предоставления административных услуг, МФЦ РУТ </t>
  </si>
  <si>
    <t xml:space="preserve">Испытательный центр, ИЦ РУТ (МИИТ) </t>
  </si>
  <si>
    <t xml:space="preserve">127055, г. Москва, Минаевский пер, д. 2 </t>
  </si>
  <si>
    <t xml:space="preserve">Научно-образовательный центр автомобильных дорог, НОЦ АД </t>
  </si>
  <si>
    <t xml:space="preserve">Первый отдел, 1 отдел </t>
  </si>
  <si>
    <t>53,4</t>
  </si>
  <si>
    <t xml:space="preserve">Планово-финансовое управление, ПФУ </t>
  </si>
  <si>
    <t xml:space="preserve"> 127055, г. Москва, ул Образцова, д. 9, стр. 1</t>
  </si>
  <si>
    <t xml:space="preserve">Правовое управление, ПУ </t>
  </si>
  <si>
    <t xml:space="preserve">Ремонтно-эксплуатационное управление, РЭУ </t>
  </si>
  <si>
    <t>г. Москва, ул. Судостроительная, д. 46, стр. 1</t>
  </si>
  <si>
    <t xml:space="preserve">Служба охраны труда, экологии и управления профессиональными рисками, СОТЭиУПР </t>
  </si>
  <si>
    <t>127055, г. Москва, ул Новосущёвская, д. 22, стр. 1
г. Москва, Новоданиловская наб., д. 2, корпус 1
127055, г. Москва, ул Новосущёвская, д. 22, стр. 3</t>
  </si>
  <si>
    <t xml:space="preserve">Транспортный отдел, ТО </t>
  </si>
  <si>
    <t>127055, г. Москва, ул Новосущёвская, д. 22, стр. 4</t>
  </si>
  <si>
    <t xml:space="preserve">Управление безопасности, УБ </t>
  </si>
  <si>
    <t>127055, г. Москва, ул Образцова, д. 9, стр. 1
127055, г. Москва, ул Образцова, д. 9, стр. 7
127055, г. Москва, ул Новосущёвская, д. 22, стр. 3</t>
  </si>
  <si>
    <t xml:space="preserve">Управление имущественным комплексом, УИК </t>
  </si>
  <si>
    <r>
      <t>127055, г. Москва, ул Образцова, д. 9, стр. 1</t>
    </r>
    <r>
      <rPr>
        <sz val="11"/>
        <rFont val="Calibri"/>
        <family val="2"/>
        <charset val="204"/>
        <scheme val="minor"/>
      </rPr>
      <t/>
    </r>
  </si>
  <si>
    <t xml:space="preserve">Управление информатизации, УИ </t>
  </si>
  <si>
    <t xml:space="preserve"> 127055, г. Москва, ул Образцова, д. 9, стр. 4
127055, г. Москва, ул Образцова, д. 9, стр. 9 
 127055, г. Москва, ул Образцова, д. 9, стр. 7</t>
  </si>
  <si>
    <t xml:space="preserve">Управление кадров, УК </t>
  </si>
  <si>
    <t xml:space="preserve">Управление контрактной службы, УКС </t>
  </si>
  <si>
    <t>27055, г. Москва, ул Образцова, д. 9, стр. 7</t>
  </si>
  <si>
    <t xml:space="preserve">Управление материально-технического обеспечения, УМТО </t>
  </si>
  <si>
    <t>127055, г. Москва, ул Новосущёвская, д. 22, стр. 7
г. Москва, ул. Судостроительная, д. 46, стр. 1</t>
  </si>
  <si>
    <t xml:space="preserve">Управление международного сотрудничества, УМС </t>
  </si>
  <si>
    <t xml:space="preserve">Управление мониторинга и контроля исполнения поручений, УМКИП </t>
  </si>
  <si>
    <t>42,6</t>
  </si>
  <si>
    <t xml:space="preserve">Управление по взаимодействию с ассоциациями и иными структурами, УВАИС </t>
  </si>
  <si>
    <t xml:space="preserve">Управление продвижения и новых сервисов Российской открытой академии транспорта, УПиНС </t>
  </si>
  <si>
    <t xml:space="preserve">Управление развития профессионального образования, УРПО </t>
  </si>
  <si>
    <t xml:space="preserve">Управление среднего профессионального образования, Управление СПО РУТ (МИИТ) </t>
  </si>
  <si>
    <t>127055, г. Москва, ул Образцова, д. 9, стр. 1 
г. Москва, Кучин пер., д.14</t>
  </si>
  <si>
    <t xml:space="preserve">Управление талантами, УТ </t>
  </si>
  <si>
    <t>127055, г. Москва, ул Новосущёвская, д. 22, стр. 3
127055, г. Москва, ул Образцова, д. 9, стр. 2</t>
  </si>
  <si>
    <t xml:space="preserve">Управление финансов и бухгалтерского учёта, УФБУ </t>
  </si>
  <si>
    <t>127055, г. Москва, ул Образцова, д. 9, стр. 1 
г. Москва, Октябрьский пер., д. 7</t>
  </si>
  <si>
    <t xml:space="preserve">Учебно-методический центр «Наследие митрополита Питирима», УМЦ НМП </t>
  </si>
  <si>
    <t xml:space="preserve">127055, г. Москва, ул Новосущёвская, д. 22, стр. 3 </t>
  </si>
  <si>
    <t>34,3</t>
  </si>
  <si>
    <t xml:space="preserve">Учебно-методическое управление, УМУ </t>
  </si>
  <si>
    <t xml:space="preserve">127055, г. Москва, ул Новосущёвская, д. 22, стр. 1;
127055, г. Москва, ул Образцова, д. 9, стр. 1;
127055, г. Москва, ул Образцова, д. 9, стр. 2 </t>
  </si>
  <si>
    <t xml:space="preserve">Центр обеспечения учебного процесса "Пушкино" - обособленное структурное подразделение, ЦОУП "Пушкино" - ОСП МИИТ </t>
  </si>
  <si>
    <t>Московская область, г. Пушкино, мкр. Мамонтовка, ул. Октябрьская, д. 23</t>
  </si>
  <si>
    <t xml:space="preserve">Центр переводов ИКАО, ЦП ИКАО </t>
  </si>
  <si>
    <t xml:space="preserve">Центр по взаимодействию с ОАО "РЖД", ЦПВ ОАО "РЖД" </t>
  </si>
  <si>
    <t xml:space="preserve">Центр по связям с общественностью, ЦСО </t>
  </si>
  <si>
    <t>127055, г. Москва, ул Образцова, д. 9, стр. 2
127055, г. Москва, ул Образцова, д. 9, стр. 7</t>
  </si>
  <si>
    <t xml:space="preserve">Центр по связям с производством и целевого обучения, ЦСПЦО </t>
  </si>
  <si>
    <t>127055, г. Москва, ул Образцова, д. 9, стр. 1 
127055, г. Москва, ул Новосущёвская, д. 22, стр. 2</t>
  </si>
  <si>
    <t xml:space="preserve">Центр развития высшего образования, ЦРВО </t>
  </si>
  <si>
    <t>127055, г. Москва, ул Образцова, д. 9, стр. 2
127055, г. Москва, ул Образцова, д. 9, стр. 9</t>
  </si>
  <si>
    <t xml:space="preserve">Комплекс общежитий № 3 управления по взаимодействию с проживающими, Общ3 </t>
  </si>
  <si>
    <t>129323, г. Москва, ул. Снежная, д. 16, корп. 3, 4</t>
  </si>
  <si>
    <t xml:space="preserve">Общежитие Российской академии путей сообщения, Общ РАПС </t>
  </si>
  <si>
    <t xml:space="preserve">Общежитие "Дмитровское" управления по взаимодействию с проживающими, Дмитровское </t>
  </si>
  <si>
    <t xml:space="preserve">Общежитие "Кратово" управления по взаимодействию с проживающими, Кратово </t>
  </si>
  <si>
    <t xml:space="preserve">140130, Московская область, Раменский р-н, Кратово дп, ул Симбирская, д. 13 </t>
  </si>
  <si>
    <t xml:space="preserve">Общежитие "Люблино" управления по взаимодействию с проживающими, Люблино </t>
  </si>
  <si>
    <t>109382, г. Москва, ул. Люблинская, д. 88, стр. 4</t>
  </si>
  <si>
    <t xml:space="preserve">Общежитие "Новое" управления по взаимодействию с проживающими, Новое </t>
  </si>
  <si>
    <t xml:space="preserve">125635, г. Москва, ул Новая, д. 4 </t>
  </si>
  <si>
    <t xml:space="preserve">Общежитие Российской открытой академии транспорта, Общежитие РОАТ </t>
  </si>
  <si>
    <t>125315, г. Москва, Балтийский 3-й пер, д. 4, к. 5</t>
  </si>
  <si>
    <t xml:space="preserve">Общежитие "Судостроительное" управления по взаимодействию с проживающими, Судостроительное </t>
  </si>
  <si>
    <t>115407, г. Москва, ул. Судостроительная, д. 32, корпус 2</t>
  </si>
  <si>
    <t xml:space="preserve">Общежитие "Южнопортовое" управления по взаимодействию с проживающими, Южнопортовое </t>
  </si>
  <si>
    <t>г. Москва, 2-й Южнопортовый пр., д. 5, корп. 2</t>
  </si>
  <si>
    <t xml:space="preserve">Общежитие №1 управления по взаимодействию с проживающими, Общ1 </t>
  </si>
  <si>
    <t>127018, г. Москва, Вышеславцев 2-й пер, д. 17</t>
  </si>
  <si>
    <t xml:space="preserve">Общежитие №2 управления по взаимодействию с проживающими, Общ2 </t>
  </si>
  <si>
    <t>127055, г. Москва, ул Образцова, д. 9, стр. 22</t>
  </si>
  <si>
    <t xml:space="preserve">Общежитие №4 управления по взаимодействию с проживающими, Общ4 </t>
  </si>
  <si>
    <t>127322, г. Москва, Огородный проезд, д. 25/20</t>
  </si>
  <si>
    <t xml:space="preserve">Общежитие №5 управления по взаимодействию с проживающими, Общ5 </t>
  </si>
  <si>
    <t>129301, г. Москва, ул. Космонавтов, д. 11</t>
  </si>
  <si>
    <t xml:space="preserve">Общежитие №8 управления по взаимодействию с проживающими, Общ8 </t>
  </si>
  <si>
    <t>129347, г. Москва, ул. Палехская, д. 145</t>
  </si>
  <si>
    <t xml:space="preserve">Сочинский институт транспорта - филиал федерального государственного автономного образовательного учреждения высшего образования "Российский университет транспорта", Сочинский филиал РУТ (МИИТ) </t>
  </si>
  <si>
    <t xml:space="preserve">354002, Краснодарский край, г Сочи, Хостинский р-н, ул Я.Фабрициуса, д. 26а/1 </t>
  </si>
  <si>
    <t xml:space="preserve">Дворец культуры, ДК </t>
  </si>
  <si>
    <t xml:space="preserve">127018, г. Москва, Новосущёвский пер, д. 6, стр. 1 </t>
  </si>
  <si>
    <t>5491,1</t>
  </si>
  <si>
    <t xml:space="preserve">Дом физкультуры, ДФ </t>
  </si>
  <si>
    <t>127055, г. Москва, ул Новосущёвская, д. 24, стр. 1 
г. Москва, ул. Судостроительная,  д. 44, стр. 1
г. Москва, ул. Судостроительная,  д. 46, стр. 1
г. Москва, ул. Судостроительная,  д. 46, стр. 2</t>
  </si>
  <si>
    <t xml:space="preserve">Музей </t>
  </si>
  <si>
    <t xml:space="preserve"> 127055, г. Москва, ул Образцова, д. 9, стр. 9 </t>
  </si>
  <si>
    <t>437,2</t>
  </si>
  <si>
    <t xml:space="preserve">Поликлиника </t>
  </si>
  <si>
    <t>127055, г. Москва, ул Новосущёвская, д. 18</t>
  </si>
  <si>
    <t xml:space="preserve">Ресурсный учебно-методический центр по обучению инвалидов и лиц с ограниченными возможностями здоровья, РУМЦ </t>
  </si>
  <si>
    <t xml:space="preserve">127055, г. Москва, ул Новосущёвская, д. 26А </t>
  </si>
  <si>
    <t xml:space="preserve">Спортивный клуб, СК РУТ (МИИТ) </t>
  </si>
  <si>
    <t xml:space="preserve">127055, г. Москва, ул Новосущёвская, д. 24 </t>
  </si>
  <si>
    <t>95,7</t>
  </si>
  <si>
    <t xml:space="preserve">Столовая </t>
  </si>
  <si>
    <t xml:space="preserve">Управление по взаимодействию с проживающими, УВП </t>
  </si>
  <si>
    <t>г. Москва, Новосущевский пер, д. 6, стр. 1</t>
  </si>
  <si>
    <t xml:space="preserve">Центр организационного обеспечения социальной работы, ЦООСР </t>
  </si>
  <si>
    <t xml:space="preserve">Центр по социальной и молодежной политике, ЦСМП </t>
  </si>
  <si>
    <t>17</t>
  </si>
  <si>
    <t>Нежилое здание (Смешанное здание) АВТ Общ</t>
  </si>
  <si>
    <t>Жилой дом АВТ общ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</si>
  <si>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</si>
  <si>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</si>
  <si>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</si>
  <si>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</si>
  <si>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</si>
  <si>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</si>
  <si>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</si>
  <si>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</si>
  <si>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</si>
  <si>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</si>
  <si>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</si>
  <si>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</si>
  <si>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</si>
  <si>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</si>
  <si>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</si>
  <si>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</si>
  <si>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</si>
  <si>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</si>
  <si>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</si>
  <si>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</si>
  <si>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</si>
  <si>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</si>
  <si>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</si>
  <si>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</si>
  <si>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</si>
  <si>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</si>
  <si>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УИК</t>
  </si>
  <si>
    <t>Уборка комплексная и прилегающая территория ( вкл дератизация общежитий)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</si>
</sst>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sz val="20"/>
      <name val="Times New Roman"/>
      <family val="1"/>
      <charset val="204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sz val="10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59">
    <xf numFmtId="0" fontId="0" fillId="0" borderId="0" xfId="0"/>
    <xf numFmtId="4" fontId="1" fillId="0" borderId="0" xfId="0" applyNumberFormat="1" applyFont="1" applyFill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 applyProtection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right" vertical="center" wrapText="1"/>
    </xf>
    <xf numFmtId="4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0" fontId="11" fillId="0" borderId="0" xfId="0" applyFont="1" applyFill="1"/>
    <xf numFmtId="0" fontId="11" fillId="0" borderId="1" xfId="0" applyFont="1" applyFill="1" applyBorder="1"/>
    <xf numFmtId="0" fontId="11" fillId="0" borderId="1" xfId="0" applyFont="1" applyFill="1" applyBorder="1" applyAlignment="1">
      <alignment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 applyProtection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 applyProtection="1">
      <alignment horizontal="center" vertical="center" wrapText="1"/>
    </xf>
    <xf numFmtId="4" fontId="14" fillId="0" borderId="0" xfId="0" applyNumberFormat="1" applyFont="1" applyFill="1" applyAlignment="1">
      <alignment horizontal="center" vertical="center" wrapText="1"/>
    </xf>
    <xf numFmtId="4" fontId="12" fillId="0" borderId="0" xfId="0" applyNumberFormat="1" applyFont="1" applyFill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" fontId="13" fillId="2" borderId="1" xfId="0" applyNumberFormat="1" applyFont="1" applyFill="1" applyBorder="1" applyAlignment="1">
      <alignment horizontal="center" vertical="center" wrapText="1"/>
    </xf>
    <xf numFmtId="4" fontId="12" fillId="2" borderId="0" xfId="0" applyNumberFormat="1" applyFont="1" applyFill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5" fillId="0" borderId="1" xfId="0" applyNumberFormat="1" applyFont="1" applyFill="1" applyBorder="1" applyAlignment="1">
      <alignment horizontal="center" vertical="center" wrapText="1"/>
    </xf>
    <xf numFmtId="4" fontId="15" fillId="0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Fill="1" applyAlignment="1">
      <alignment horizontal="right" vertical="center" wrapText="1"/>
    </xf>
    <xf numFmtId="4" fontId="12" fillId="0" borderId="0" xfId="0" applyNumberFormat="1" applyFont="1" applyFill="1" applyAlignment="1">
      <alignment horizontal="left" vertical="center" wrapText="1"/>
    </xf>
    <xf numFmtId="4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 applyProtection="1">
      <alignment horizontal="center" vertical="center" wrapText="1"/>
    </xf>
    <xf numFmtId="4" fontId="3" fillId="0" borderId="0" xfId="0" applyNumberFormat="1" applyFont="1" applyFill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 wrapText="1"/>
    </xf>
    <xf numFmtId="4" fontId="15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3" fillId="0" borderId="14" xfId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3" fillId="0" borderId="1" xfId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3" fillId="5" borderId="1" xfId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3" fillId="0" borderId="20" xfId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Fill="1" applyBorder="1" applyAlignment="1">
      <alignment horizontal="center" vertical="center" wrapText="1"/>
    </xf>
    <xf numFmtId="4" fontId="1" fillId="0" borderId="23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Alignment="1">
      <alignment horizontal="left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4" fontId="13" fillId="0" borderId="5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4" fontId="5" fillId="0" borderId="4" xfId="0" applyNumberFormat="1" applyFont="1" applyFill="1" applyBorder="1" applyAlignment="1">
      <alignment horizontal="center" vertical="center" wrapText="1"/>
    </xf>
    <xf numFmtId="4" fontId="5" fillId="0" borderId="5" xfId="0" applyNumberFormat="1" applyFont="1" applyFill="1" applyBorder="1" applyAlignment="1">
      <alignment horizontal="center" vertical="center" wrapText="1"/>
    </xf>
    <xf numFmtId="4" fontId="4" fillId="0" borderId="4" xfId="0" applyNumberFormat="1" applyFont="1" applyFill="1" applyBorder="1" applyAlignment="1">
      <alignment horizontal="center" vertical="center" wrapText="1"/>
    </xf>
    <xf numFmtId="4" fontId="4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4" fontId="12" fillId="0" borderId="1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4" fontId="12" fillId="0" borderId="5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 wrapText="1"/>
    </xf>
    <xf numFmtId="4" fontId="16" fillId="0" borderId="2" xfId="0" applyNumberFormat="1" applyFont="1" applyFill="1" applyBorder="1" applyAlignment="1">
      <alignment horizontal="center" vertical="center" wrapText="1"/>
    </xf>
    <xf numFmtId="4" fontId="16" fillId="0" borderId="6" xfId="0" applyNumberFormat="1" applyFont="1" applyFill="1" applyBorder="1" applyAlignment="1">
      <alignment horizontal="center" vertical="center" wrapText="1"/>
    </xf>
    <xf numFmtId="4" fontId="16" fillId="0" borderId="3" xfId="0" applyNumberFormat="1" applyFont="1" applyFill="1" applyBorder="1" applyAlignment="1">
      <alignment horizontal="center" vertical="center" wrapText="1"/>
    </xf>
    <xf numFmtId="4" fontId="17" fillId="0" borderId="4" xfId="0" applyNumberFormat="1" applyFont="1" applyFill="1" applyBorder="1" applyAlignment="1">
      <alignment horizontal="center" vertical="center" wrapText="1"/>
    </xf>
    <xf numFmtId="4" fontId="17" fillId="0" borderId="5" xfId="0" applyNumberFormat="1" applyFont="1" applyFill="1" applyBorder="1" applyAlignment="1">
      <alignment horizontal="center" vertical="center" wrapText="1"/>
    </xf>
    <xf numFmtId="4" fontId="15" fillId="0" borderId="4" xfId="0" applyNumberFormat="1" applyFont="1" applyFill="1" applyBorder="1" applyAlignment="1">
      <alignment horizontal="center" vertical="center" wrapText="1"/>
    </xf>
    <xf numFmtId="4" fontId="15" fillId="0" borderId="5" xfId="0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Alignment="1">
      <alignment horizontal="left" vertical="center" wrapText="1"/>
    </xf>
    <xf numFmtId="4" fontId="12" fillId="0" borderId="4" xfId="0" applyNumberFormat="1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U121"/>
  <sheetViews>
    <sheetView zoomScale="70" zoomScaleNormal="70" workbookViewId="0">
      <pane ySplit="2" topLeftCell="A105" activePane="bottomLeft" state="frozen"/>
      <selection pane="bottomLeft" activeCell="D133" sqref="D133"/>
    </sheetView>
  </sheetViews>
  <sheetFormatPr defaultColWidth="9.109375" defaultRowHeight="18" x14ac:dyDescent="0.3"/>
  <cols>
    <col min="1" max="1" width="7" style="11" customWidth="1"/>
    <col min="2" max="2" width="38.44140625" style="1" customWidth="1"/>
    <col min="3" max="3" width="49.5546875" style="1" customWidth="1"/>
    <col min="4" max="4" width="23.6640625" style="1" customWidth="1"/>
    <col min="5" max="5" width="20.109375" style="1" customWidth="1"/>
    <col min="6" max="6" width="18.33203125" style="1" customWidth="1"/>
    <col min="7" max="7" width="20.109375" style="1" customWidth="1"/>
    <col min="8" max="9" width="18.33203125" style="1" customWidth="1"/>
    <col min="10" max="11" width="20.109375" style="1" customWidth="1"/>
    <col min="12" max="13" width="16" style="1" customWidth="1"/>
    <col min="14" max="14" width="11.5546875" style="1" customWidth="1"/>
    <col min="15" max="15" width="18.33203125" style="1" customWidth="1"/>
    <col min="16" max="16" width="13.44140625" style="1" customWidth="1"/>
    <col min="17" max="17" width="18.33203125" style="1" customWidth="1"/>
    <col min="18" max="18" width="11.88671875" style="1" customWidth="1"/>
    <col min="19" max="19" width="16" style="1" customWidth="1"/>
    <col min="20" max="21" width="18.33203125" style="1" customWidth="1"/>
    <col min="22" max="22" width="16" style="1" customWidth="1"/>
    <col min="23" max="25" width="18.33203125" style="1" customWidth="1"/>
    <col min="26" max="26" width="13.44140625" style="1" customWidth="1"/>
    <col min="27" max="27" width="18.33203125" style="1" customWidth="1"/>
    <col min="28" max="29" width="16" style="1" customWidth="1"/>
    <col min="30" max="30" width="13.5546875" style="1" customWidth="1"/>
    <col min="31" max="31" width="16" style="1" customWidth="1"/>
    <col min="32" max="33" width="18.33203125" style="1" customWidth="1"/>
    <col min="34" max="34" width="14.109375" style="1" customWidth="1"/>
    <col min="35" max="35" width="16" style="1" customWidth="1"/>
    <col min="36" max="36" width="18.33203125" style="1" customWidth="1"/>
    <col min="37" max="37" width="20.109375" style="1" customWidth="1"/>
    <col min="38" max="38" width="14.109375" style="1" customWidth="1"/>
    <col min="39" max="39" width="16" style="1" customWidth="1"/>
    <col min="40" max="40" width="12.109375" style="1" customWidth="1"/>
    <col min="41" max="41" width="18.33203125" style="1" customWidth="1"/>
    <col min="42" max="42" width="15.44140625" style="1" customWidth="1"/>
    <col min="43" max="43" width="18.33203125" style="1" customWidth="1"/>
    <col min="44" max="45" width="20.109375" style="1" customWidth="1"/>
    <col min="46" max="47" width="16" style="1" customWidth="1"/>
    <col min="48" max="16384" width="9.109375" style="1"/>
  </cols>
  <sheetData>
    <row r="1" spans="1:47" ht="37.5" customHeight="1" x14ac:dyDescent="0.3">
      <c r="A1" s="121" t="s">
        <v>0</v>
      </c>
      <c r="B1" s="123" t="s">
        <v>1</v>
      </c>
      <c r="C1" s="123" t="s">
        <v>2</v>
      </c>
      <c r="D1" s="123" t="s">
        <v>3</v>
      </c>
      <c r="E1" s="123" t="s">
        <v>210</v>
      </c>
      <c r="F1" s="117" t="s">
        <v>194</v>
      </c>
      <c r="G1" s="117"/>
      <c r="H1" s="117" t="s">
        <v>186</v>
      </c>
      <c r="I1" s="117"/>
      <c r="J1" s="117" t="s">
        <v>187</v>
      </c>
      <c r="K1" s="117"/>
      <c r="L1" s="118" t="s">
        <v>190</v>
      </c>
      <c r="M1" s="119"/>
      <c r="N1" s="118" t="s">
        <v>200</v>
      </c>
      <c r="O1" s="119"/>
      <c r="P1" s="117" t="s">
        <v>191</v>
      </c>
      <c r="Q1" s="117"/>
      <c r="R1" s="117" t="s">
        <v>204</v>
      </c>
      <c r="S1" s="117"/>
      <c r="T1" s="118" t="s">
        <v>192</v>
      </c>
      <c r="U1" s="119"/>
      <c r="V1" s="117" t="s">
        <v>203</v>
      </c>
      <c r="W1" s="117"/>
      <c r="X1" s="118" t="s">
        <v>193</v>
      </c>
      <c r="Y1" s="119"/>
      <c r="Z1" s="117" t="s">
        <v>195</v>
      </c>
      <c r="AA1" s="117"/>
      <c r="AB1" s="117" t="s">
        <v>196</v>
      </c>
      <c r="AC1" s="117"/>
      <c r="AD1" s="117" t="s">
        <v>197</v>
      </c>
      <c r="AE1" s="117"/>
      <c r="AF1" s="117" t="s">
        <v>198</v>
      </c>
      <c r="AG1" s="117"/>
      <c r="AH1" s="117" t="s">
        <v>208</v>
      </c>
      <c r="AI1" s="117"/>
      <c r="AJ1" s="117" t="s">
        <v>199</v>
      </c>
      <c r="AK1" s="117"/>
      <c r="AL1" s="117" t="s">
        <v>201</v>
      </c>
      <c r="AM1" s="117"/>
      <c r="AN1" s="117" t="s">
        <v>202</v>
      </c>
      <c r="AO1" s="117"/>
      <c r="AP1" s="118" t="s">
        <v>205</v>
      </c>
      <c r="AQ1" s="119"/>
      <c r="AR1" s="117" t="s">
        <v>206</v>
      </c>
      <c r="AS1" s="117"/>
      <c r="AT1" s="117" t="s">
        <v>207</v>
      </c>
      <c r="AU1" s="117"/>
    </row>
    <row r="2" spans="1:47" x14ac:dyDescent="0.3">
      <c r="A2" s="122"/>
      <c r="B2" s="124"/>
      <c r="C2" s="124"/>
      <c r="D2" s="124"/>
      <c r="E2" s="124"/>
      <c r="F2" s="2" t="s">
        <v>188</v>
      </c>
      <c r="G2" s="2" t="s">
        <v>189</v>
      </c>
      <c r="H2" s="2" t="s">
        <v>188</v>
      </c>
      <c r="I2" s="2" t="s">
        <v>189</v>
      </c>
      <c r="J2" s="2" t="s">
        <v>188</v>
      </c>
      <c r="K2" s="2" t="s">
        <v>189</v>
      </c>
      <c r="L2" s="2" t="s">
        <v>188</v>
      </c>
      <c r="M2" s="2" t="s">
        <v>189</v>
      </c>
      <c r="N2" s="2" t="s">
        <v>188</v>
      </c>
      <c r="O2" s="2" t="s">
        <v>189</v>
      </c>
      <c r="P2" s="2" t="s">
        <v>188</v>
      </c>
      <c r="Q2" s="2" t="s">
        <v>189</v>
      </c>
      <c r="R2" s="2" t="s">
        <v>188</v>
      </c>
      <c r="S2" s="2" t="s">
        <v>189</v>
      </c>
      <c r="T2" s="2" t="s">
        <v>188</v>
      </c>
      <c r="U2" s="2" t="s">
        <v>189</v>
      </c>
      <c r="V2" s="2" t="s">
        <v>188</v>
      </c>
      <c r="W2" s="2" t="s">
        <v>189</v>
      </c>
      <c r="X2" s="2" t="s">
        <v>188</v>
      </c>
      <c r="Y2" s="2" t="s">
        <v>189</v>
      </c>
      <c r="Z2" s="2" t="s">
        <v>188</v>
      </c>
      <c r="AA2" s="2" t="s">
        <v>189</v>
      </c>
      <c r="AB2" s="2" t="s">
        <v>188</v>
      </c>
      <c r="AC2" s="2" t="s">
        <v>189</v>
      </c>
      <c r="AD2" s="2" t="s">
        <v>188</v>
      </c>
      <c r="AE2" s="2" t="s">
        <v>189</v>
      </c>
      <c r="AF2" s="2" t="s">
        <v>188</v>
      </c>
      <c r="AG2" s="2" t="s">
        <v>189</v>
      </c>
      <c r="AH2" s="2" t="s">
        <v>188</v>
      </c>
      <c r="AI2" s="2" t="s">
        <v>189</v>
      </c>
      <c r="AJ2" s="2" t="s">
        <v>188</v>
      </c>
      <c r="AK2" s="2" t="s">
        <v>189</v>
      </c>
      <c r="AL2" s="2" t="s">
        <v>188</v>
      </c>
      <c r="AM2" s="2" t="s">
        <v>189</v>
      </c>
      <c r="AN2" s="2" t="s">
        <v>188</v>
      </c>
      <c r="AO2" s="2" t="s">
        <v>189</v>
      </c>
      <c r="AP2" s="2" t="s">
        <v>188</v>
      </c>
      <c r="AQ2" s="2" t="s">
        <v>189</v>
      </c>
      <c r="AR2" s="2" t="s">
        <v>188</v>
      </c>
      <c r="AS2" s="2" t="s">
        <v>189</v>
      </c>
      <c r="AT2" s="2" t="s">
        <v>188</v>
      </c>
      <c r="AU2" s="2" t="s">
        <v>189</v>
      </c>
    </row>
    <row r="3" spans="1:47" ht="36" x14ac:dyDescent="0.3">
      <c r="A3" s="3">
        <v>1</v>
      </c>
      <c r="B3" s="2" t="s">
        <v>4</v>
      </c>
      <c r="C3" s="2" t="s">
        <v>5</v>
      </c>
      <c r="D3" s="2">
        <v>896.1</v>
      </c>
      <c r="E3" s="4">
        <f>SUM(F3:AU3)</f>
        <v>535097.6291738305</v>
      </c>
      <c r="F3" s="2">
        <v>0</v>
      </c>
      <c r="G3" s="2">
        <v>535097.6291738305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36" x14ac:dyDescent="0.3">
      <c r="A4" s="3">
        <v>2</v>
      </c>
      <c r="B4" s="2" t="s">
        <v>6</v>
      </c>
      <c r="C4" s="2" t="s">
        <v>5</v>
      </c>
      <c r="D4" s="2">
        <v>189</v>
      </c>
      <c r="E4" s="4">
        <f t="shared" ref="E4:E67" si="0">SUM(F4:AU4)</f>
        <v>112859.5602207945</v>
      </c>
      <c r="F4" s="2">
        <v>0</v>
      </c>
      <c r="G4" s="2">
        <v>112859.5602207945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36" x14ac:dyDescent="0.3">
      <c r="A5" s="3">
        <v>3</v>
      </c>
      <c r="B5" s="2" t="s">
        <v>7</v>
      </c>
      <c r="C5" s="2" t="s">
        <v>5</v>
      </c>
      <c r="D5" s="2">
        <v>20</v>
      </c>
      <c r="E5" s="4">
        <f t="shared" si="0"/>
        <v>11942.81060537508</v>
      </c>
      <c r="F5" s="2">
        <v>0</v>
      </c>
      <c r="G5" s="2">
        <v>11942.81060537508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36" x14ac:dyDescent="0.3">
      <c r="A6" s="3">
        <v>4</v>
      </c>
      <c r="B6" s="2" t="s">
        <v>8</v>
      </c>
      <c r="C6" s="2" t="s">
        <v>5</v>
      </c>
      <c r="D6" s="2">
        <v>243</v>
      </c>
      <c r="E6" s="4">
        <f t="shared" si="0"/>
        <v>7561.0928459142087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0</v>
      </c>
      <c r="S6" s="2">
        <v>6545.454545454545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v>0</v>
      </c>
      <c r="AI6" s="2">
        <v>1015.6383004596636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t="54" x14ac:dyDescent="0.3">
      <c r="A7" s="3">
        <v>5</v>
      </c>
      <c r="B7" s="2" t="s">
        <v>9</v>
      </c>
      <c r="C7" s="2" t="s">
        <v>10</v>
      </c>
      <c r="D7" s="2">
        <v>7098.7</v>
      </c>
      <c r="E7" s="4">
        <f t="shared" si="0"/>
        <v>402372.72810159979</v>
      </c>
      <c r="F7" s="2"/>
      <c r="G7" s="2"/>
      <c r="H7" s="2">
        <v>0</v>
      </c>
      <c r="I7" s="2">
        <v>13594.866730341048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v>0</v>
      </c>
      <c r="AI7" s="2">
        <v>2969.0865668145902</v>
      </c>
      <c r="AJ7" s="2"/>
      <c r="AK7" s="2"/>
      <c r="AL7" s="2"/>
      <c r="AM7" s="2"/>
      <c r="AN7" s="2"/>
      <c r="AO7" s="2"/>
      <c r="AP7" s="2"/>
      <c r="AQ7" s="2"/>
      <c r="AR7" s="2">
        <v>235082.01970278387</v>
      </c>
      <c r="AS7" s="2">
        <v>150726.75510166027</v>
      </c>
      <c r="AT7" s="2"/>
      <c r="AU7" s="2"/>
    </row>
    <row r="8" spans="1:47" ht="36" x14ac:dyDescent="0.3">
      <c r="A8" s="3">
        <v>6</v>
      </c>
      <c r="B8" s="2" t="s">
        <v>11</v>
      </c>
      <c r="C8" s="2" t="s">
        <v>12</v>
      </c>
      <c r="D8" s="2">
        <v>1070.3</v>
      </c>
      <c r="E8" s="4">
        <f t="shared" si="0"/>
        <v>60667.380067778926</v>
      </c>
      <c r="F8" s="2"/>
      <c r="G8" s="2"/>
      <c r="H8" s="2">
        <v>0</v>
      </c>
      <c r="I8" s="2">
        <v>2049.7535973465597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v>0</v>
      </c>
      <c r="AI8" s="2">
        <v>447.66131157277471</v>
      </c>
      <c r="AJ8" s="2"/>
      <c r="AK8" s="2"/>
      <c r="AL8" s="2"/>
      <c r="AM8" s="2"/>
      <c r="AN8" s="2"/>
      <c r="AO8" s="2"/>
      <c r="AP8" s="2"/>
      <c r="AQ8" s="2"/>
      <c r="AR8" s="2">
        <v>35444.276513712313</v>
      </c>
      <c r="AS8" s="2">
        <v>22725.688645147278</v>
      </c>
      <c r="AT8" s="2"/>
      <c r="AU8" s="2"/>
    </row>
    <row r="9" spans="1:47" ht="36" x14ac:dyDescent="0.3">
      <c r="A9" s="3">
        <v>7</v>
      </c>
      <c r="B9" s="2" t="s">
        <v>13</v>
      </c>
      <c r="C9" s="2" t="s">
        <v>12</v>
      </c>
      <c r="D9" s="2">
        <v>1076.9000000000001</v>
      </c>
      <c r="E9" s="4">
        <f t="shared" si="0"/>
        <v>61041.485186388061</v>
      </c>
      <c r="F9" s="2"/>
      <c r="G9" s="2"/>
      <c r="H9" s="2">
        <v>0</v>
      </c>
      <c r="I9" s="2">
        <v>2062.3933934247507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0</v>
      </c>
      <c r="AI9" s="2">
        <v>450.42181298021222</v>
      </c>
      <c r="AJ9" s="2"/>
      <c r="AK9" s="2"/>
      <c r="AL9" s="2"/>
      <c r="AM9" s="2"/>
      <c r="AN9" s="2"/>
      <c r="AO9" s="2"/>
      <c r="AP9" s="2"/>
      <c r="AQ9" s="2"/>
      <c r="AR9" s="2">
        <v>35662.843480908901</v>
      </c>
      <c r="AS9" s="2">
        <v>22865.826499074192</v>
      </c>
      <c r="AT9" s="2"/>
      <c r="AU9" s="2"/>
    </row>
    <row r="10" spans="1:47" ht="36" x14ac:dyDescent="0.3">
      <c r="A10" s="3">
        <v>8</v>
      </c>
      <c r="B10" s="2" t="s">
        <v>14</v>
      </c>
      <c r="C10" s="2" t="s">
        <v>12</v>
      </c>
      <c r="D10" s="2">
        <v>1909.4</v>
      </c>
      <c r="E10" s="4">
        <f t="shared" si="0"/>
        <v>108229.74446549293</v>
      </c>
      <c r="F10" s="2"/>
      <c r="G10" s="2"/>
      <c r="H10" s="2">
        <v>0</v>
      </c>
      <c r="I10" s="2">
        <v>3656.7313078328712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v>0</v>
      </c>
      <c r="AI10" s="2">
        <v>798.62142232743736</v>
      </c>
      <c r="AJ10" s="2"/>
      <c r="AK10" s="2"/>
      <c r="AL10" s="2"/>
      <c r="AM10" s="2"/>
      <c r="AN10" s="2"/>
      <c r="AO10" s="2"/>
      <c r="AP10" s="2"/>
      <c r="AQ10" s="2"/>
      <c r="AR10" s="2">
        <v>63232.085934114075</v>
      </c>
      <c r="AS10" s="2">
        <v>40542.30580121855</v>
      </c>
      <c r="AT10" s="2"/>
      <c r="AU10" s="2"/>
    </row>
    <row r="11" spans="1:47" ht="54" x14ac:dyDescent="0.3">
      <c r="A11" s="3">
        <v>9</v>
      </c>
      <c r="B11" s="2" t="s">
        <v>15</v>
      </c>
      <c r="C11" s="2" t="s">
        <v>10</v>
      </c>
      <c r="D11" s="2">
        <v>161.19999999999999</v>
      </c>
      <c r="E11" s="4">
        <f t="shared" si="0"/>
        <v>9137.2341090591071</v>
      </c>
      <c r="F11" s="2"/>
      <c r="G11" s="2"/>
      <c r="H11" s="2">
        <v>0</v>
      </c>
      <c r="I11" s="2">
        <v>308.71744360671346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v>0</v>
      </c>
      <c r="AI11" s="2">
        <v>67.423155587714916</v>
      </c>
      <c r="AJ11" s="2"/>
      <c r="AK11" s="2"/>
      <c r="AL11" s="2"/>
      <c r="AM11" s="2"/>
      <c r="AN11" s="2"/>
      <c r="AO11" s="2"/>
      <c r="AP11" s="2"/>
      <c r="AQ11" s="2"/>
      <c r="AR11" s="2">
        <v>5338.3325927407495</v>
      </c>
      <c r="AS11" s="2">
        <v>3422.7609171239287</v>
      </c>
      <c r="AT11" s="2"/>
      <c r="AU11" s="2"/>
    </row>
    <row r="12" spans="1:47" ht="54" x14ac:dyDescent="0.3">
      <c r="A12" s="3">
        <v>10</v>
      </c>
      <c r="B12" s="2" t="s">
        <v>16</v>
      </c>
      <c r="C12" s="2" t="s">
        <v>10</v>
      </c>
      <c r="D12" s="2">
        <v>32.200000000000003</v>
      </c>
      <c r="E12" s="4">
        <f t="shared" si="0"/>
        <v>1825.1795180626755</v>
      </c>
      <c r="F12" s="2"/>
      <c r="G12" s="2"/>
      <c r="H12" s="2">
        <v>0</v>
      </c>
      <c r="I12" s="2">
        <v>61.666883896626395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>
        <v>0</v>
      </c>
      <c r="AI12" s="2">
        <v>13.46790080598276</v>
      </c>
      <c r="AJ12" s="2"/>
      <c r="AK12" s="2"/>
      <c r="AL12" s="2"/>
      <c r="AM12" s="2"/>
      <c r="AN12" s="2"/>
      <c r="AO12" s="2"/>
      <c r="AP12" s="2"/>
      <c r="AQ12" s="2"/>
      <c r="AR12" s="2">
        <v>1066.3418702621102</v>
      </c>
      <c r="AS12" s="2">
        <v>683.70286309795608</v>
      </c>
      <c r="AT12" s="2"/>
      <c r="AU12" s="2"/>
    </row>
    <row r="13" spans="1:47" ht="36" x14ac:dyDescent="0.3">
      <c r="A13" s="3">
        <v>11</v>
      </c>
      <c r="B13" s="2" t="s">
        <v>17</v>
      </c>
      <c r="C13" s="2" t="s">
        <v>12</v>
      </c>
      <c r="D13" s="2">
        <v>67.099999999999994</v>
      </c>
      <c r="E13" s="4">
        <f t="shared" si="0"/>
        <v>3803.4020391927179</v>
      </c>
      <c r="F13" s="2"/>
      <c r="G13" s="2"/>
      <c r="H13" s="2">
        <v>0</v>
      </c>
      <c r="I13" s="2">
        <v>128.50459346160343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v>0</v>
      </c>
      <c r="AI13" s="2">
        <v>28.06509764228084</v>
      </c>
      <c r="AJ13" s="2"/>
      <c r="AK13" s="2"/>
      <c r="AL13" s="2"/>
      <c r="AM13" s="2"/>
      <c r="AN13" s="2"/>
      <c r="AO13" s="2"/>
      <c r="AP13" s="2"/>
      <c r="AQ13" s="2"/>
      <c r="AR13" s="2">
        <v>2222.0974998319125</v>
      </c>
      <c r="AS13" s="2">
        <v>1424.7348482569207</v>
      </c>
      <c r="AT13" s="2"/>
      <c r="AU13" s="2"/>
    </row>
    <row r="14" spans="1:47" ht="36" x14ac:dyDescent="0.3">
      <c r="A14" s="3">
        <v>12</v>
      </c>
      <c r="B14" s="2" t="s">
        <v>18</v>
      </c>
      <c r="C14" s="2" t="s">
        <v>12</v>
      </c>
      <c r="D14" s="2">
        <v>43.9</v>
      </c>
      <c r="E14" s="4">
        <f t="shared" si="0"/>
        <v>2488.365864687933</v>
      </c>
      <c r="F14" s="2"/>
      <c r="G14" s="2"/>
      <c r="H14" s="2">
        <v>0</v>
      </c>
      <c r="I14" s="2">
        <v>84.07379512614591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v>0</v>
      </c>
      <c r="AI14" s="2">
        <v>18.361516937349165</v>
      </c>
      <c r="AJ14" s="2"/>
      <c r="AK14" s="2"/>
      <c r="AL14" s="2"/>
      <c r="AM14" s="2"/>
      <c r="AN14" s="2"/>
      <c r="AO14" s="2"/>
      <c r="AP14" s="2"/>
      <c r="AQ14" s="2"/>
      <c r="AR14" s="2">
        <v>1453.8014939287775</v>
      </c>
      <c r="AS14" s="2">
        <v>932.12905869566066</v>
      </c>
      <c r="AT14" s="2"/>
      <c r="AU14" s="2"/>
    </row>
    <row r="15" spans="1:47" ht="54" x14ac:dyDescent="0.3">
      <c r="A15" s="3">
        <v>13</v>
      </c>
      <c r="B15" s="2" t="s">
        <v>19</v>
      </c>
      <c r="C15" s="2" t="s">
        <v>10</v>
      </c>
      <c r="D15" s="2">
        <v>93.8</v>
      </c>
      <c r="E15" s="4">
        <f t="shared" si="0"/>
        <v>282516.82729174785</v>
      </c>
      <c r="F15" s="2"/>
      <c r="G15" s="2"/>
      <c r="H15" s="2">
        <v>0</v>
      </c>
      <c r="I15" s="2">
        <v>179.63831395973773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>
        <v>0</v>
      </c>
      <c r="AC15" s="2">
        <f>187200+90000</f>
        <v>277200</v>
      </c>
      <c r="AD15" s="2"/>
      <c r="AE15" s="2"/>
      <c r="AF15" s="2"/>
      <c r="AG15" s="2"/>
      <c r="AH15" s="2">
        <v>0</v>
      </c>
      <c r="AI15" s="2">
        <v>39.232580608732384</v>
      </c>
      <c r="AJ15" s="2"/>
      <c r="AK15" s="2"/>
      <c r="AL15" s="2"/>
      <c r="AM15" s="2"/>
      <c r="AN15" s="2"/>
      <c r="AO15" s="2"/>
      <c r="AP15" s="2"/>
      <c r="AQ15" s="2"/>
      <c r="AR15" s="2">
        <v>3106.3002307635384</v>
      </c>
      <c r="AS15" s="2">
        <v>1991.656166415785</v>
      </c>
      <c r="AT15" s="2"/>
      <c r="AU15" s="2"/>
    </row>
    <row r="16" spans="1:47" ht="54" x14ac:dyDescent="0.3">
      <c r="A16" s="3">
        <v>14</v>
      </c>
      <c r="B16" s="2" t="s">
        <v>20</v>
      </c>
      <c r="C16" s="2" t="s">
        <v>10</v>
      </c>
      <c r="D16" s="2">
        <v>53.7</v>
      </c>
      <c r="E16" s="4">
        <f t="shared" si="0"/>
        <v>3043.8552832287478</v>
      </c>
      <c r="F16" s="2"/>
      <c r="G16" s="2"/>
      <c r="H16" s="2">
        <v>0</v>
      </c>
      <c r="I16" s="2">
        <v>102.84197718164091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v>0</v>
      </c>
      <c r="AI16" s="2">
        <v>22.460443269604788</v>
      </c>
      <c r="AJ16" s="2"/>
      <c r="AK16" s="2"/>
      <c r="AL16" s="2"/>
      <c r="AM16" s="2"/>
      <c r="AN16" s="2"/>
      <c r="AO16" s="2"/>
      <c r="AP16" s="2"/>
      <c r="AQ16" s="2"/>
      <c r="AR16" s="2">
        <v>1778.3403240085502</v>
      </c>
      <c r="AS16" s="2">
        <v>1140.2125387689516</v>
      </c>
      <c r="AT16" s="2"/>
      <c r="AU16" s="2"/>
    </row>
    <row r="17" spans="1:47" ht="36" x14ac:dyDescent="0.3">
      <c r="A17" s="3">
        <v>15</v>
      </c>
      <c r="B17" s="2" t="s">
        <v>21</v>
      </c>
      <c r="C17" s="2" t="s">
        <v>12</v>
      </c>
      <c r="D17" s="2">
        <v>454.3</v>
      </c>
      <c r="E17" s="4">
        <f t="shared" si="0"/>
        <v>25750.902330927747</v>
      </c>
      <c r="F17" s="2"/>
      <c r="G17" s="2"/>
      <c r="H17" s="2">
        <v>0</v>
      </c>
      <c r="I17" s="2">
        <v>870.03929671544631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>
        <v>0</v>
      </c>
      <c r="AI17" s="2">
        <v>190.01451354527848</v>
      </c>
      <c r="AJ17" s="2"/>
      <c r="AK17" s="2"/>
      <c r="AL17" s="2"/>
      <c r="AM17" s="2"/>
      <c r="AN17" s="2"/>
      <c r="AO17" s="2"/>
      <c r="AP17" s="2"/>
      <c r="AQ17" s="2"/>
      <c r="AR17" s="2">
        <v>15044.692908698033</v>
      </c>
      <c r="AS17" s="2">
        <v>9646.1556119689885</v>
      </c>
      <c r="AT17" s="2"/>
      <c r="AU17" s="2"/>
    </row>
    <row r="18" spans="1:47" ht="54" x14ac:dyDescent="0.3">
      <c r="A18" s="3">
        <v>16</v>
      </c>
      <c r="B18" s="2" t="s">
        <v>22</v>
      </c>
      <c r="C18" s="2" t="s">
        <v>10</v>
      </c>
      <c r="D18" s="2">
        <v>91</v>
      </c>
      <c r="E18" s="4">
        <f t="shared" si="0"/>
        <v>5158.1160293075609</v>
      </c>
      <c r="F18" s="2"/>
      <c r="G18" s="2"/>
      <c r="H18" s="2">
        <v>0</v>
      </c>
      <c r="I18" s="2">
        <v>174.27597622959632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>
        <v>0</v>
      </c>
      <c r="AI18" s="2">
        <v>38.061458799516487</v>
      </c>
      <c r="AJ18" s="2"/>
      <c r="AK18" s="2"/>
      <c r="AL18" s="2"/>
      <c r="AM18" s="2"/>
      <c r="AN18" s="2"/>
      <c r="AO18" s="2"/>
      <c r="AP18" s="2"/>
      <c r="AQ18" s="2"/>
      <c r="AR18" s="2">
        <v>3013.5748507407461</v>
      </c>
      <c r="AS18" s="2">
        <v>1932.2037435377019</v>
      </c>
      <c r="AT18" s="2"/>
      <c r="AU18" s="2"/>
    </row>
    <row r="19" spans="1:47" ht="36" x14ac:dyDescent="0.3">
      <c r="A19" s="3">
        <v>17</v>
      </c>
      <c r="B19" s="2" t="s">
        <v>23</v>
      </c>
      <c r="C19" s="2" t="s">
        <v>12</v>
      </c>
      <c r="D19" s="2">
        <v>420.5</v>
      </c>
      <c r="E19" s="4">
        <f t="shared" si="0"/>
        <v>53835.030662899226</v>
      </c>
      <c r="F19" s="2"/>
      <c r="G19" s="2"/>
      <c r="H19" s="2">
        <v>0</v>
      </c>
      <c r="I19" s="2">
        <v>805.30821983016756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0</v>
      </c>
      <c r="AC19" s="2">
        <v>30000</v>
      </c>
      <c r="AD19" s="2"/>
      <c r="AE19" s="2"/>
      <c r="AF19" s="2"/>
      <c r="AG19" s="2"/>
      <c r="AH19" s="2">
        <v>0</v>
      </c>
      <c r="AI19" s="2">
        <v>175.87740027688665</v>
      </c>
      <c r="AJ19" s="2"/>
      <c r="AK19" s="2"/>
      <c r="AL19" s="2"/>
      <c r="AM19" s="2"/>
      <c r="AN19" s="2"/>
      <c r="AO19" s="2"/>
      <c r="AP19" s="2"/>
      <c r="AQ19" s="2"/>
      <c r="AR19" s="2">
        <v>13925.365106994328</v>
      </c>
      <c r="AS19" s="2">
        <v>8928.4799357978427</v>
      </c>
      <c r="AT19" s="2"/>
      <c r="AU19" s="2"/>
    </row>
    <row r="20" spans="1:47" ht="54" x14ac:dyDescent="0.3">
      <c r="A20" s="3">
        <v>18</v>
      </c>
      <c r="B20" s="2" t="s">
        <v>24</v>
      </c>
      <c r="C20" s="2" t="s">
        <v>10</v>
      </c>
      <c r="D20" s="2">
        <v>9.8000000000000007</v>
      </c>
      <c r="E20" s="4">
        <f t="shared" si="0"/>
        <v>15628.660150248134</v>
      </c>
      <c r="F20" s="2"/>
      <c r="G20" s="2"/>
      <c r="H20" s="2">
        <v>0</v>
      </c>
      <c r="I20" s="2">
        <v>18.768182055494989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>
        <v>0</v>
      </c>
      <c r="AE20" s="2">
        <v>15073.170731707318</v>
      </c>
      <c r="AF20" s="2"/>
      <c r="AG20" s="2"/>
      <c r="AH20" s="2">
        <v>0</v>
      </c>
      <c r="AI20" s="2">
        <v>4.0989263322556226</v>
      </c>
      <c r="AJ20" s="2"/>
      <c r="AK20" s="2"/>
      <c r="AL20" s="2"/>
      <c r="AM20" s="2"/>
      <c r="AN20" s="2"/>
      <c r="AO20" s="2"/>
      <c r="AP20" s="2"/>
      <c r="AQ20" s="2"/>
      <c r="AR20" s="2">
        <v>324.53883007977265</v>
      </c>
      <c r="AS20" s="2">
        <v>208.08348007329099</v>
      </c>
      <c r="AT20" s="2"/>
      <c r="AU20" s="2"/>
    </row>
    <row r="21" spans="1:47" ht="36" x14ac:dyDescent="0.3">
      <c r="A21" s="3">
        <v>19</v>
      </c>
      <c r="B21" s="2" t="s">
        <v>25</v>
      </c>
      <c r="C21" s="2" t="s">
        <v>26</v>
      </c>
      <c r="D21" s="2">
        <v>441.8</v>
      </c>
      <c r="E21" s="4">
        <f t="shared" si="0"/>
        <v>25042.369909319565</v>
      </c>
      <c r="F21" s="2"/>
      <c r="G21" s="2"/>
      <c r="H21" s="2">
        <v>0</v>
      </c>
      <c r="I21" s="2">
        <v>846.10028899160056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>
        <v>0</v>
      </c>
      <c r="AI21" s="2">
        <v>184.78629118270754</v>
      </c>
      <c r="AJ21" s="2"/>
      <c r="AK21" s="2"/>
      <c r="AL21" s="2"/>
      <c r="AM21" s="2"/>
      <c r="AN21" s="2"/>
      <c r="AO21" s="2"/>
      <c r="AP21" s="2"/>
      <c r="AQ21" s="2"/>
      <c r="AR21" s="2">
        <v>14630.740319310567</v>
      </c>
      <c r="AS21" s="2">
        <v>9380.7430098346886</v>
      </c>
      <c r="AT21" s="2"/>
      <c r="AU21" s="2"/>
    </row>
    <row r="22" spans="1:47" ht="36" x14ac:dyDescent="0.3">
      <c r="A22" s="3">
        <v>20</v>
      </c>
      <c r="B22" s="2" t="s">
        <v>27</v>
      </c>
      <c r="C22" s="2" t="s">
        <v>28</v>
      </c>
      <c r="D22" s="2">
        <v>4528.3999999999996</v>
      </c>
      <c r="E22" s="4">
        <f t="shared" si="0"/>
        <v>1619086.2866281325</v>
      </c>
      <c r="F22" s="2">
        <v>73451.22121333034</v>
      </c>
      <c r="G22" s="2">
        <f>22533.046706214+207622.118140006+306421.563099132+7147.77283202323</f>
        <v>543724.50077737519</v>
      </c>
      <c r="H22" s="2">
        <v>25207.001450053856</v>
      </c>
      <c r="I22" s="2">
        <v>27072.319557357841</v>
      </c>
      <c r="J22" s="2">
        <v>0</v>
      </c>
      <c r="K22" s="2">
        <v>2980.1011310491226</v>
      </c>
      <c r="L22" s="2">
        <v>0</v>
      </c>
      <c r="M22" s="2">
        <f>6352.16436541357+5073.98</f>
        <v>11426.144365413569</v>
      </c>
      <c r="N22" s="2">
        <v>0</v>
      </c>
      <c r="O22" s="2">
        <v>41000</v>
      </c>
      <c r="P22" s="2">
        <v>0</v>
      </c>
      <c r="Q22" s="2">
        <v>16000</v>
      </c>
      <c r="R22" s="2">
        <v>0</v>
      </c>
      <c r="S22" s="2">
        <v>6545.454545454545</v>
      </c>
      <c r="T22" s="2">
        <v>20379.761552049386</v>
      </c>
      <c r="U22" s="2">
        <v>2207.8075014720166</v>
      </c>
      <c r="V22" s="2">
        <v>24515.383921320943</v>
      </c>
      <c r="W22" s="2">
        <v>11810.956371103519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>
        <v>0</v>
      </c>
      <c r="AI22" s="2">
        <f>885+6125</f>
        <v>7010</v>
      </c>
      <c r="AJ22" s="2">
        <v>0</v>
      </c>
      <c r="AK22" s="2">
        <v>460983.03281321691</v>
      </c>
      <c r="AL22" s="2"/>
      <c r="AM22" s="2"/>
      <c r="AN22" s="2"/>
      <c r="AO22" s="2"/>
      <c r="AP22" s="2"/>
      <c r="AQ22" s="2"/>
      <c r="AR22" s="2">
        <v>12823.061348737769</v>
      </c>
      <c r="AS22" s="2">
        <v>281466.19660479401</v>
      </c>
      <c r="AT22" s="2">
        <v>50483.343475403446</v>
      </c>
      <c r="AU22" s="2">
        <v>0</v>
      </c>
    </row>
    <row r="23" spans="1:47" ht="36" x14ac:dyDescent="0.3">
      <c r="A23" s="3">
        <v>21</v>
      </c>
      <c r="B23" s="2" t="s">
        <v>27</v>
      </c>
      <c r="C23" s="2" t="s">
        <v>29</v>
      </c>
      <c r="D23" s="2">
        <v>4779.7</v>
      </c>
      <c r="E23" s="4">
        <f t="shared" si="0"/>
        <v>1123806.2552423037</v>
      </c>
      <c r="F23" s="2">
        <v>77527.339023353736</v>
      </c>
      <c r="G23" s="2">
        <f>23783.5004287809+219143.944455831+323426.186985452+7544.43286927424</f>
        <v>573898.06473933824</v>
      </c>
      <c r="H23" s="2">
        <v>26605.844190182495</v>
      </c>
      <c r="I23" s="2">
        <v>28574.676660256002</v>
      </c>
      <c r="J23" s="2"/>
      <c r="K23" s="2"/>
      <c r="L23" s="2">
        <v>0</v>
      </c>
      <c r="M23" s="2">
        <v>6704.6727359259885</v>
      </c>
      <c r="N23" s="2"/>
      <c r="O23" s="2"/>
      <c r="P23" s="2"/>
      <c r="Q23" s="2"/>
      <c r="R23" s="2">
        <v>0</v>
      </c>
      <c r="S23" s="2">
        <v>3272.7272727272725</v>
      </c>
      <c r="T23" s="2">
        <v>21510.720406839158</v>
      </c>
      <c r="U23" s="2">
        <v>2330.3280440742424</v>
      </c>
      <c r="V23" s="2">
        <v>0</v>
      </c>
      <c r="W23" s="2">
        <v>12466.396114955282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v>0</v>
      </c>
      <c r="AI23" s="2">
        <f>885+6125</f>
        <v>7010</v>
      </c>
      <c r="AJ23" s="2"/>
      <c r="AK23" s="2"/>
      <c r="AL23" s="2"/>
      <c r="AM23" s="2"/>
      <c r="AN23" s="2"/>
      <c r="AO23" s="2"/>
      <c r="AP23" s="2"/>
      <c r="AQ23" s="2"/>
      <c r="AR23" s="2">
        <v>13534.667063104391</v>
      </c>
      <c r="AS23" s="2">
        <v>297085.9420351414</v>
      </c>
      <c r="AT23" s="2">
        <v>53284.876956405322</v>
      </c>
      <c r="AU23" s="2">
        <v>0</v>
      </c>
    </row>
    <row r="24" spans="1:47" ht="36" x14ac:dyDescent="0.3">
      <c r="A24" s="3">
        <v>22</v>
      </c>
      <c r="B24" s="2" t="s">
        <v>30</v>
      </c>
      <c r="C24" s="2" t="s">
        <v>31</v>
      </c>
      <c r="D24" s="2">
        <v>3918.8</v>
      </c>
      <c r="E24" s="4">
        <f t="shared" si="0"/>
        <v>983062.64654940763</v>
      </c>
      <c r="F24" s="2">
        <v>63563.432049023708</v>
      </c>
      <c r="G24" s="2">
        <f>19499.7136808391+179672.634168151+265171.986015563+6185.5605013101</f>
        <v>470529.89436586323</v>
      </c>
      <c r="H24" s="2">
        <v>21813.708436196241</v>
      </c>
      <c r="I24" s="2">
        <v>23427.922860474762</v>
      </c>
      <c r="J24" s="2">
        <v>0</v>
      </c>
      <c r="K24" s="2">
        <v>29031.243490663041</v>
      </c>
      <c r="L24" s="2">
        <v>0</v>
      </c>
      <c r="M24" s="2">
        <v>5497.0545259214532</v>
      </c>
      <c r="N24" s="2"/>
      <c r="O24" s="2"/>
      <c r="P24" s="2"/>
      <c r="Q24" s="2"/>
      <c r="R24" s="2">
        <v>0</v>
      </c>
      <c r="S24" s="2">
        <v>6545.454545454545</v>
      </c>
      <c r="T24" s="2"/>
      <c r="U24" s="2"/>
      <c r="V24" s="2">
        <v>0</v>
      </c>
      <c r="W24" s="2">
        <v>10220.999873483011</v>
      </c>
      <c r="X24" s="2">
        <v>81466.7</v>
      </c>
      <c r="Y24" s="2">
        <v>16293.34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>
        <v>11096.858231038243</v>
      </c>
      <c r="AS24" s="2">
        <v>243576.03817128943</v>
      </c>
      <c r="AT24" s="2"/>
      <c r="AU24" s="2"/>
    </row>
    <row r="25" spans="1:47" ht="36" x14ac:dyDescent="0.3">
      <c r="A25" s="3">
        <v>23</v>
      </c>
      <c r="B25" s="2" t="s">
        <v>32</v>
      </c>
      <c r="C25" s="2" t="s">
        <v>33</v>
      </c>
      <c r="D25" s="2">
        <v>4394.6000000000004</v>
      </c>
      <c r="E25" s="4">
        <f t="shared" si="0"/>
        <v>989550.44883426174</v>
      </c>
      <c r="F25" s="2">
        <v>71280.968276676431</v>
      </c>
      <c r="G25" s="2">
        <f>21867.2659339123+201487.536520199+297367.768129018+6936.57859014427</f>
        <v>527659.14917327359</v>
      </c>
      <c r="H25" s="2">
        <v>24462.213711776054</v>
      </c>
      <c r="I25" s="2">
        <v>26272.417526447483</v>
      </c>
      <c r="J25" s="2">
        <v>0</v>
      </c>
      <c r="K25" s="2">
        <v>29471.110816279146</v>
      </c>
      <c r="L25" s="2">
        <v>0</v>
      </c>
      <c r="M25" s="2">
        <f>6164.47785536757+3911.47</f>
        <v>10075.947855367569</v>
      </c>
      <c r="N25" s="2"/>
      <c r="O25" s="2"/>
      <c r="P25" s="2"/>
      <c r="Q25" s="2"/>
      <c r="R25" s="2">
        <v>0</v>
      </c>
      <c r="S25" s="2">
        <v>3272.7272727272725</v>
      </c>
      <c r="T25" s="2"/>
      <c r="U25" s="2"/>
      <c r="V25" s="2">
        <v>0</v>
      </c>
      <c r="W25" s="2">
        <v>11461.97969888957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>
        <v>12444.180152628524</v>
      </c>
      <c r="AS25" s="2">
        <v>273149.7543501961</v>
      </c>
      <c r="AT25" s="2"/>
      <c r="AU25" s="2"/>
    </row>
    <row r="26" spans="1:47" ht="36" x14ac:dyDescent="0.3">
      <c r="A26" s="3">
        <v>24</v>
      </c>
      <c r="B26" s="2" t="s">
        <v>34</v>
      </c>
      <c r="C26" s="2" t="s">
        <v>35</v>
      </c>
      <c r="D26" s="2">
        <v>17.5</v>
      </c>
      <c r="E26" s="4">
        <f t="shared" si="0"/>
        <v>1525.4488760220804</v>
      </c>
      <c r="F26" s="2">
        <v>0</v>
      </c>
      <c r="G26" s="2">
        <f>87.0789500394722+1184.16600879666+27.6225652681756</f>
        <v>1298.8675241043077</v>
      </c>
      <c r="H26" s="2">
        <v>97.412447084167141</v>
      </c>
      <c r="I26" s="2">
        <v>104.62096816839551</v>
      </c>
      <c r="J26" s="2"/>
      <c r="K26" s="2"/>
      <c r="L26" s="2">
        <v>0</v>
      </c>
      <c r="M26" s="2">
        <v>24.547936665210123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t="36" x14ac:dyDescent="0.3">
      <c r="A27" s="3">
        <v>25</v>
      </c>
      <c r="B27" s="2" t="s">
        <v>21</v>
      </c>
      <c r="C27" s="2" t="s">
        <v>36</v>
      </c>
      <c r="D27" s="2">
        <v>95</v>
      </c>
      <c r="E27" s="4">
        <f t="shared" si="0"/>
        <v>11553.735456847147</v>
      </c>
      <c r="F27" s="2">
        <v>0</v>
      </c>
      <c r="G27" s="2">
        <f>472.714300214278+6428.32976203902+149.951068598668</f>
        <v>7050.9951308519667</v>
      </c>
      <c r="H27" s="2">
        <v>528.81042702833588</v>
      </c>
      <c r="I27" s="2">
        <v>567.94239862843267</v>
      </c>
      <c r="J27" s="2"/>
      <c r="K27" s="2"/>
      <c r="L27" s="2">
        <v>0</v>
      </c>
      <c r="M27" s="2">
        <v>133.26022761114066</v>
      </c>
      <c r="N27" s="2"/>
      <c r="O27" s="2"/>
      <c r="P27" s="2"/>
      <c r="Q27" s="2"/>
      <c r="R27" s="2">
        <v>0</v>
      </c>
      <c r="S27" s="2">
        <v>3272.7272727272725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ht="36" x14ac:dyDescent="0.3">
      <c r="A28" s="3">
        <v>26</v>
      </c>
      <c r="B28" s="2" t="s">
        <v>37</v>
      </c>
      <c r="C28" s="2" t="s">
        <v>38</v>
      </c>
      <c r="D28" s="2">
        <v>4151.6000000000004</v>
      </c>
      <c r="E28" s="4">
        <f t="shared" si="0"/>
        <v>597449.7480775658</v>
      </c>
      <c r="F28" s="2"/>
      <c r="G28" s="2"/>
      <c r="H28" s="2">
        <v>23109.572303693047</v>
      </c>
      <c r="I28" s="2">
        <v>24819.680654166332</v>
      </c>
      <c r="J28" s="2">
        <v>0</v>
      </c>
      <c r="K28" s="2">
        <v>249914.07811507981</v>
      </c>
      <c r="L28" s="2">
        <v>0</v>
      </c>
      <c r="M28" s="2">
        <v>5823.6122205306483</v>
      </c>
      <c r="N28" s="2"/>
      <c r="O28" s="2"/>
      <c r="P28" s="2"/>
      <c r="Q28" s="2"/>
      <c r="R28" s="2">
        <v>0</v>
      </c>
      <c r="S28" s="2">
        <v>3272.7272727272725</v>
      </c>
      <c r="T28" s="2">
        <v>18683.998334839733</v>
      </c>
      <c r="U28" s="2">
        <v>2024.0998196076375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>
        <v>11756.077531891999</v>
      </c>
      <c r="AS28" s="2">
        <v>258045.90182502937</v>
      </c>
      <c r="AT28" s="2"/>
      <c r="AU28" s="2"/>
    </row>
    <row r="29" spans="1:47" ht="36" x14ac:dyDescent="0.3">
      <c r="A29" s="3">
        <v>27</v>
      </c>
      <c r="B29" s="2" t="s">
        <v>39</v>
      </c>
      <c r="C29" s="2" t="s">
        <v>40</v>
      </c>
      <c r="D29" s="2">
        <v>101.1</v>
      </c>
      <c r="E29" s="4">
        <f t="shared" si="0"/>
        <v>17237.875186773555</v>
      </c>
      <c r="F29" s="2"/>
      <c r="G29" s="2"/>
      <c r="H29" s="2">
        <v>562.76562286910269</v>
      </c>
      <c r="I29" s="2">
        <v>604.41027896141622</v>
      </c>
      <c r="J29" s="2">
        <v>0</v>
      </c>
      <c r="K29" s="2">
        <v>6085.921884920167</v>
      </c>
      <c r="L29" s="2">
        <v>0</v>
      </c>
      <c r="M29" s="2">
        <v>141.81693696301389</v>
      </c>
      <c r="N29" s="2"/>
      <c r="O29" s="2"/>
      <c r="P29" s="2"/>
      <c r="Q29" s="2"/>
      <c r="R29" s="2">
        <v>0</v>
      </c>
      <c r="S29" s="2">
        <v>3272.7272727272725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>
        <v>286.28467060272692</v>
      </c>
      <c r="AS29" s="2">
        <v>6283.9485197298563</v>
      </c>
      <c r="AT29" s="2"/>
      <c r="AU29" s="2"/>
    </row>
    <row r="30" spans="1:47" ht="36" x14ac:dyDescent="0.3">
      <c r="A30" s="3">
        <v>28</v>
      </c>
      <c r="B30" s="2" t="s">
        <v>30</v>
      </c>
      <c r="C30" s="2" t="s">
        <v>41</v>
      </c>
      <c r="D30" s="2">
        <v>1239.3</v>
      </c>
      <c r="E30" s="4">
        <f t="shared" si="0"/>
        <v>792545.08616020321</v>
      </c>
      <c r="F30" s="2">
        <f>235276.283618582+51432.9896907217</f>
        <v>286709.27330930368</v>
      </c>
      <c r="G30" s="2">
        <f>100196.122947957+51432.9896907217</f>
        <v>151629.11263867869</v>
      </c>
      <c r="H30" s="5">
        <v>94323.37</v>
      </c>
      <c r="I30" s="2">
        <v>0</v>
      </c>
      <c r="J30" s="2"/>
      <c r="K30" s="2"/>
      <c r="L30" s="2">
        <v>7450</v>
      </c>
      <c r="M30" s="2">
        <v>2660</v>
      </c>
      <c r="N30" s="2">
        <v>0</v>
      </c>
      <c r="O30" s="2">
        <v>60000</v>
      </c>
      <c r="P30" s="2"/>
      <c r="Q30" s="2"/>
      <c r="R30" s="2">
        <v>0</v>
      </c>
      <c r="S30" s="2">
        <v>3272.7272727272725</v>
      </c>
      <c r="T30" s="2"/>
      <c r="U30" s="2"/>
      <c r="V30" s="2">
        <v>7081.0134501094772</v>
      </c>
      <c r="W30" s="2">
        <v>3034.7200500469189</v>
      </c>
      <c r="X30" s="2"/>
      <c r="Y30" s="2"/>
      <c r="Z30" s="2"/>
      <c r="AA30" s="2"/>
      <c r="AB30" s="2"/>
      <c r="AC30" s="2"/>
      <c r="AD30" s="2"/>
      <c r="AE30" s="2"/>
      <c r="AF30" s="2">
        <f>18528.9680320555+4655.29933311886</f>
        <v>23184.267365174361</v>
      </c>
      <c r="AG30" s="2">
        <f>19734.1671255245+4655.29933311886</f>
        <v>24389.466458643357</v>
      </c>
      <c r="AH30" s="2">
        <v>0</v>
      </c>
      <c r="AI30" s="2">
        <v>5179.7553323442844</v>
      </c>
      <c r="AJ30" s="2"/>
      <c r="AK30" s="2"/>
      <c r="AL30" s="2"/>
      <c r="AM30" s="2"/>
      <c r="AN30" s="2"/>
      <c r="AO30" s="2"/>
      <c r="AP30" s="2"/>
      <c r="AQ30" s="2"/>
      <c r="AR30" s="2">
        <f>46781.2146603117+41040.9155222308</f>
        <v>87822.130182542503</v>
      </c>
      <c r="AS30" s="2">
        <f>9495.18307462956+26314.067026003</f>
        <v>35809.250100632562</v>
      </c>
      <c r="AT30" s="2"/>
      <c r="AU30" s="2"/>
    </row>
    <row r="31" spans="1:47" ht="36" x14ac:dyDescent="0.3">
      <c r="A31" s="3">
        <v>29</v>
      </c>
      <c r="B31" s="2" t="s">
        <v>27</v>
      </c>
      <c r="C31" s="2" t="s">
        <v>42</v>
      </c>
      <c r="D31" s="2">
        <v>11233.4</v>
      </c>
      <c r="E31" s="4">
        <f t="shared" si="0"/>
        <v>4205787.0735264393</v>
      </c>
      <c r="F31" s="2">
        <v>182207.16994475399</v>
      </c>
      <c r="G31" s="2">
        <f>515038.932495791+960353.783260417+88243.32+17731.1614104871</f>
        <v>1581367.1971666953</v>
      </c>
      <c r="H31" s="2">
        <v>62529.884747159034</v>
      </c>
      <c r="I31" s="2">
        <v>67157.096218448802</v>
      </c>
      <c r="J31" s="2">
        <v>0</v>
      </c>
      <c r="K31" s="2">
        <f>45000+40643.7408869283</f>
        <v>85643.74088692831</v>
      </c>
      <c r="L31" s="2">
        <v>0</v>
      </c>
      <c r="M31" s="2">
        <f>15757.5309562841+11621.81</f>
        <v>27379.340956284097</v>
      </c>
      <c r="N31" s="2">
        <v>0</v>
      </c>
      <c r="O31" s="2">
        <v>41000</v>
      </c>
      <c r="P31" s="2"/>
      <c r="Q31" s="2"/>
      <c r="R31" s="2">
        <v>0</v>
      </c>
      <c r="S31" s="2">
        <v>6545.454545454545</v>
      </c>
      <c r="T31" s="2">
        <v>50555.165934721219</v>
      </c>
      <c r="U31" s="2">
        <v>5476.8096429281322</v>
      </c>
      <c r="V31" s="2">
        <v>60814.219976540648</v>
      </c>
      <c r="W31" s="2">
        <v>29298.912927116478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v>0</v>
      </c>
      <c r="AI31" s="2">
        <f>885+6125</f>
        <v>7010</v>
      </c>
      <c r="AJ31" s="2">
        <v>0</v>
      </c>
      <c r="AK31" s="2">
        <v>1143540.0584762811</v>
      </c>
      <c r="AL31" s="2"/>
      <c r="AM31" s="2"/>
      <c r="AN31" s="2"/>
      <c r="AO31" s="2"/>
      <c r="AP31" s="2"/>
      <c r="AQ31" s="2"/>
      <c r="AR31" s="2">
        <v>31809.596624615948</v>
      </c>
      <c r="AS31" s="2">
        <v>698220.64591032011</v>
      </c>
      <c r="AT31" s="2">
        <v>125231.77956819121</v>
      </c>
      <c r="AU31" s="2">
        <v>0</v>
      </c>
    </row>
    <row r="32" spans="1:47" ht="36" x14ac:dyDescent="0.3">
      <c r="A32" s="3">
        <v>30</v>
      </c>
      <c r="B32" s="2" t="s">
        <v>43</v>
      </c>
      <c r="C32" s="2" t="s">
        <v>44</v>
      </c>
      <c r="D32" s="2">
        <v>235.9</v>
      </c>
      <c r="E32" s="4">
        <f t="shared" si="0"/>
        <v>73221.448658842521</v>
      </c>
      <c r="F32" s="2">
        <v>0</v>
      </c>
      <c r="G32" s="2">
        <f>20167.3097611705+372.352179815008</f>
        <v>20539.661940985508</v>
      </c>
      <c r="H32" s="2">
        <v>1313.1197866945731</v>
      </c>
      <c r="I32" s="2">
        <v>1410.2906509099714</v>
      </c>
      <c r="J32" s="2"/>
      <c r="K32" s="2"/>
      <c r="L32" s="2">
        <v>0</v>
      </c>
      <c r="M32" s="2">
        <v>330.90618624703245</v>
      </c>
      <c r="N32" s="2"/>
      <c r="O32" s="2"/>
      <c r="P32" s="2"/>
      <c r="Q32" s="2"/>
      <c r="R32" s="2">
        <v>0</v>
      </c>
      <c r="S32" s="2">
        <v>3272.7272727272725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0</v>
      </c>
      <c r="AI32" s="2">
        <f>885+6125</f>
        <v>7010</v>
      </c>
      <c r="AJ32" s="2">
        <v>0</v>
      </c>
      <c r="AK32" s="2">
        <v>24014.198710502136</v>
      </c>
      <c r="AL32" s="2"/>
      <c r="AM32" s="2"/>
      <c r="AN32" s="2"/>
      <c r="AO32" s="2"/>
      <c r="AP32" s="2"/>
      <c r="AQ32" s="2"/>
      <c r="AR32" s="2">
        <v>667.99756473969614</v>
      </c>
      <c r="AS32" s="2">
        <v>14662.546546036332</v>
      </c>
      <c r="AT32" s="2"/>
      <c r="AU32" s="2"/>
    </row>
    <row r="33" spans="1:47" ht="36" x14ac:dyDescent="0.3">
      <c r="A33" s="3">
        <v>31</v>
      </c>
      <c r="B33" s="2" t="s">
        <v>45</v>
      </c>
      <c r="C33" s="2" t="s">
        <v>46</v>
      </c>
      <c r="D33" s="2">
        <v>173.4</v>
      </c>
      <c r="E33" s="4">
        <f t="shared" si="0"/>
        <v>17342.924472839128</v>
      </c>
      <c r="F33" s="2">
        <v>0</v>
      </c>
      <c r="G33" s="2">
        <f>14824.1268019795+273.700161000095</f>
        <v>15097.826962979596</v>
      </c>
      <c r="H33" s="2">
        <v>965.2181899654048</v>
      </c>
      <c r="I33" s="2">
        <v>1036.6443360228448</v>
      </c>
      <c r="J33" s="2"/>
      <c r="K33" s="2"/>
      <c r="L33" s="2">
        <v>0</v>
      </c>
      <c r="M33" s="2">
        <v>243.23498387128203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ht="36" x14ac:dyDescent="0.3">
      <c r="A34" s="3">
        <v>32</v>
      </c>
      <c r="B34" s="2" t="s">
        <v>30</v>
      </c>
      <c r="C34" s="2" t="s">
        <v>47</v>
      </c>
      <c r="D34" s="2">
        <v>1971</v>
      </c>
      <c r="E34" s="4">
        <f t="shared" si="0"/>
        <v>576379.61650882964</v>
      </c>
      <c r="F34" s="2">
        <v>31969.869492861519</v>
      </c>
      <c r="G34" s="2">
        <f>90368.1642200228+168502.617801047+88243.32+3111.0900653471</f>
        <v>350225.19208641688</v>
      </c>
      <c r="H34" s="2">
        <v>10971.424754451054</v>
      </c>
      <c r="I34" s="2">
        <v>11783.310186280432</v>
      </c>
      <c r="J34" s="2">
        <v>0</v>
      </c>
      <c r="K34" s="2">
        <v>8386.8036750804349</v>
      </c>
      <c r="L34" s="2">
        <v>0</v>
      </c>
      <c r="M34" s="2">
        <v>2764.7990381216655</v>
      </c>
      <c r="N34" s="2"/>
      <c r="O34" s="2"/>
      <c r="P34" s="2"/>
      <c r="Q34" s="2"/>
      <c r="R34" s="2">
        <v>0</v>
      </c>
      <c r="S34" s="2">
        <v>6545.454545454545</v>
      </c>
      <c r="T34" s="2">
        <v>8870.3537715505117</v>
      </c>
      <c r="U34" s="2">
        <v>960.95499191797205</v>
      </c>
      <c r="V34" s="2">
        <v>10670.396102138411</v>
      </c>
      <c r="W34" s="2">
        <v>5140.7550144521329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>
        <v>5581.2768126407</v>
      </c>
      <c r="AS34" s="2">
        <v>122509.02603746337</v>
      </c>
      <c r="AT34" s="2"/>
      <c r="AU34" s="2"/>
    </row>
    <row r="35" spans="1:47" x14ac:dyDescent="0.3">
      <c r="A35" s="3">
        <v>33</v>
      </c>
      <c r="B35" s="2" t="s">
        <v>48</v>
      </c>
      <c r="C35" s="2" t="s">
        <v>49</v>
      </c>
      <c r="D35" s="2">
        <v>126.6</v>
      </c>
      <c r="E35" s="4">
        <f t="shared" si="0"/>
        <v>12662.135168751076</v>
      </c>
      <c r="F35" s="2">
        <v>0</v>
      </c>
      <c r="G35" s="2">
        <f>10823.1514021373+199.829529311488</f>
        <v>11022.980931448788</v>
      </c>
      <c r="H35" s="2">
        <v>704.70947433460333</v>
      </c>
      <c r="I35" s="2">
        <v>756.85797543536398</v>
      </c>
      <c r="J35" s="2"/>
      <c r="K35" s="2"/>
      <c r="L35" s="2">
        <v>0</v>
      </c>
      <c r="M35" s="2">
        <v>177.58678753232007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 x14ac:dyDescent="0.3">
      <c r="A36" s="3">
        <v>34</v>
      </c>
      <c r="B36" s="2" t="s">
        <v>48</v>
      </c>
      <c r="C36" s="2" t="s">
        <v>50</v>
      </c>
      <c r="D36" s="2">
        <v>71</v>
      </c>
      <c r="E36" s="4">
        <f t="shared" si="0"/>
        <v>7101.1974485096734</v>
      </c>
      <c r="F36" s="2">
        <v>0</v>
      </c>
      <c r="G36" s="2">
        <f>6069.85584164097+112.068693373741</f>
        <v>6181.9245350147103</v>
      </c>
      <c r="H36" s="2">
        <v>395.21621388433527</v>
      </c>
      <c r="I36" s="2">
        <v>424.46221371177609</v>
      </c>
      <c r="J36" s="2"/>
      <c r="K36" s="2"/>
      <c r="L36" s="2">
        <v>0</v>
      </c>
      <c r="M36" s="2">
        <v>99.594485898852497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 x14ac:dyDescent="0.3">
      <c r="A37" s="3">
        <v>35</v>
      </c>
      <c r="B37" s="2" t="s">
        <v>48</v>
      </c>
      <c r="C37" s="2" t="s">
        <v>51</v>
      </c>
      <c r="D37" s="2">
        <v>34.700000000000003</v>
      </c>
      <c r="E37" s="4">
        <f t="shared" si="0"/>
        <v>3470.5852318772536</v>
      </c>
      <c r="F37" s="2">
        <v>0</v>
      </c>
      <c r="G37" s="2">
        <f>2966.53517894283+54.7716008460397</f>
        <v>3021.3067797888698</v>
      </c>
      <c r="H37" s="2">
        <v>193.15496650403429</v>
      </c>
      <c r="I37" s="2">
        <v>207.44843402533283</v>
      </c>
      <c r="J37" s="2"/>
      <c r="K37" s="2"/>
      <c r="L37" s="2">
        <v>0</v>
      </c>
      <c r="M37" s="2">
        <v>48.675051559016644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36" x14ac:dyDescent="0.3">
      <c r="A38" s="3">
        <v>36</v>
      </c>
      <c r="B38" s="2" t="s">
        <v>48</v>
      </c>
      <c r="C38" s="2" t="s">
        <v>52</v>
      </c>
      <c r="D38" s="2">
        <v>97</v>
      </c>
      <c r="E38" s="4">
        <f t="shared" si="0"/>
        <v>9701.6359507808211</v>
      </c>
      <c r="F38" s="2">
        <v>0</v>
      </c>
      <c r="G38" s="2">
        <f>8292.61995266442+153.107933200745</f>
        <v>8445.7278858651644</v>
      </c>
      <c r="H38" s="2">
        <v>539.9432781236693</v>
      </c>
      <c r="I38" s="2">
        <v>579.89908070482079</v>
      </c>
      <c r="J38" s="2"/>
      <c r="K38" s="2"/>
      <c r="L38" s="2">
        <v>0</v>
      </c>
      <c r="M38" s="2">
        <v>136.06570608716467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36" x14ac:dyDescent="0.3">
      <c r="A39" s="3">
        <v>37</v>
      </c>
      <c r="B39" s="2" t="s">
        <v>53</v>
      </c>
      <c r="C39" s="2" t="s">
        <v>54</v>
      </c>
      <c r="D39" s="2">
        <v>971.9</v>
      </c>
      <c r="E39" s="4">
        <f t="shared" si="0"/>
        <v>2492753.0047662822</v>
      </c>
      <c r="F39" s="2">
        <f>16458.5567010309+440000</f>
        <v>456458.55670103087</v>
      </c>
      <c r="G39" s="2">
        <f>16458.5567010309+220000+220000+220000+120645+440000</f>
        <v>1237103.556701031</v>
      </c>
      <c r="H39" s="2"/>
      <c r="I39" s="2"/>
      <c r="J39" s="2">
        <v>86756.364167525506</v>
      </c>
      <c r="K39" s="2">
        <f>298500+86756.3641675255</f>
        <v>385256.36416752549</v>
      </c>
      <c r="L39" s="2">
        <v>5970</v>
      </c>
      <c r="M39" s="2">
        <v>2130</v>
      </c>
      <c r="N39" s="2"/>
      <c r="O39" s="2"/>
      <c r="P39" s="2"/>
      <c r="Q39" s="2"/>
      <c r="R39" s="2">
        <v>0</v>
      </c>
      <c r="S39" s="2">
        <v>3272.7272727272725</v>
      </c>
      <c r="T39" s="2"/>
      <c r="U39" s="2"/>
      <c r="V39" s="2">
        <v>5110.4160150140751</v>
      </c>
      <c r="W39" s="2">
        <v>2190.1782921488893</v>
      </c>
      <c r="X39" s="2"/>
      <c r="Y39" s="2"/>
      <c r="Z39" s="2"/>
      <c r="AA39" s="2"/>
      <c r="AB39" s="2"/>
      <c r="AC39" s="2"/>
      <c r="AD39" s="2"/>
      <c r="AE39" s="2"/>
      <c r="AF39" s="2">
        <f>14531.0288310778+3650.83952381039</f>
        <v>18181.868354888189</v>
      </c>
      <c r="AG39" s="2">
        <f>15476.1857736603+170178+3650.83952381039</f>
        <v>189305.02529747071</v>
      </c>
      <c r="AH39" s="2">
        <v>0</v>
      </c>
      <c r="AI39" s="2">
        <v>4062.1352436903176</v>
      </c>
      <c r="AJ39" s="2"/>
      <c r="AK39" s="2"/>
      <c r="AL39" s="2"/>
      <c r="AM39" s="2"/>
      <c r="AN39" s="2"/>
      <c r="AO39" s="2"/>
      <c r="AP39" s="2"/>
      <c r="AQ39" s="2"/>
      <c r="AR39" s="2">
        <f>36687.3739436431+32185.6417300542</f>
        <v>68873.0156736973</v>
      </c>
      <c r="AS39" s="2">
        <f>7446.43623838656+20636.3606411461</f>
        <v>28082.79687953266</v>
      </c>
      <c r="AT39" s="2"/>
      <c r="AU39" s="2"/>
    </row>
    <row r="40" spans="1:47" ht="36" x14ac:dyDescent="0.3">
      <c r="A40" s="3">
        <v>38</v>
      </c>
      <c r="B40" s="2" t="s">
        <v>55</v>
      </c>
      <c r="C40" s="2" t="s">
        <v>56</v>
      </c>
      <c r="D40" s="2">
        <v>637.79999999999995</v>
      </c>
      <c r="E40" s="4">
        <f t="shared" si="0"/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36" x14ac:dyDescent="0.3">
      <c r="A41" s="3">
        <v>39</v>
      </c>
      <c r="B41" s="2" t="s">
        <v>57</v>
      </c>
      <c r="C41" s="2" t="s">
        <v>58</v>
      </c>
      <c r="D41" s="2">
        <f>676.6</f>
        <v>676.6</v>
      </c>
      <c r="E41" s="4">
        <f t="shared" si="0"/>
        <v>92532.639921035981</v>
      </c>
      <c r="F41" s="2">
        <v>2057.319587628866</v>
      </c>
      <c r="G41" s="2">
        <v>2057.319587628866</v>
      </c>
      <c r="H41" s="2">
        <v>0</v>
      </c>
      <c r="I41" s="2">
        <f>33378.82</f>
        <v>33378.82</v>
      </c>
      <c r="J41" s="2"/>
      <c r="K41" s="2"/>
      <c r="L41" s="2">
        <v>3478</v>
      </c>
      <c r="M41" s="2">
        <v>1240</v>
      </c>
      <c r="N41" s="2"/>
      <c r="O41" s="2"/>
      <c r="P41" s="2"/>
      <c r="Q41" s="2"/>
      <c r="R41" s="2">
        <v>0</v>
      </c>
      <c r="S41" s="2">
        <v>3272.7272727272725</v>
      </c>
      <c r="T41" s="2"/>
      <c r="U41" s="2"/>
      <c r="V41" s="2">
        <v>1655.3018454801379</v>
      </c>
      <c r="W41" s="2">
        <v>709.41507663434481</v>
      </c>
      <c r="X41" s="2"/>
      <c r="Y41" s="2"/>
      <c r="Z41" s="2"/>
      <c r="AA41" s="2"/>
      <c r="AB41" s="2"/>
      <c r="AC41" s="2"/>
      <c r="AD41" s="2"/>
      <c r="AE41" s="2"/>
      <c r="AF41" s="2">
        <f>2541.57631629809</f>
        <v>2541.5763162980902</v>
      </c>
      <c r="AG41" s="2">
        <f>2541.57631629809</f>
        <v>2541.5763162980902</v>
      </c>
      <c r="AH41" s="2">
        <v>0</v>
      </c>
      <c r="AI41" s="2">
        <v>2827.9048316502403</v>
      </c>
      <c r="AJ41" s="2"/>
      <c r="AK41" s="2"/>
      <c r="AL41" s="2"/>
      <c r="AM41" s="2"/>
      <c r="AN41" s="2"/>
      <c r="AO41" s="2"/>
      <c r="AP41" s="2"/>
      <c r="AQ41" s="2"/>
      <c r="AR41" s="2">
        <v>22406.425758364716</v>
      </c>
      <c r="AS41" s="2">
        <v>14366.253328325376</v>
      </c>
      <c r="AT41" s="2"/>
      <c r="AU41" s="2"/>
    </row>
    <row r="42" spans="1:47" ht="36" x14ac:dyDescent="0.3">
      <c r="A42" s="3">
        <v>40</v>
      </c>
      <c r="B42" s="2" t="s">
        <v>27</v>
      </c>
      <c r="C42" s="2" t="s">
        <v>59</v>
      </c>
      <c r="D42" s="2">
        <v>16237.4</v>
      </c>
      <c r="E42" s="4">
        <f t="shared" si="0"/>
        <v>12267885.421505038</v>
      </c>
      <c r="F42" s="2">
        <v>0</v>
      </c>
      <c r="G42" s="2">
        <f>120247+90298.2+2550000+67116.24</f>
        <v>2827661.4400000004</v>
      </c>
      <c r="H42" s="2"/>
      <c r="I42" s="2"/>
      <c r="J42" s="2">
        <v>0</v>
      </c>
      <c r="K42" s="2">
        <f>898500+5432962.95801644</f>
        <v>6331462.9580164403</v>
      </c>
      <c r="L42" s="2">
        <v>0</v>
      </c>
      <c r="M42" s="2">
        <v>25701.473755173123</v>
      </c>
      <c r="N42" s="2"/>
      <c r="O42" s="2"/>
      <c r="P42" s="2">
        <v>0</v>
      </c>
      <c r="Q42" s="2">
        <v>286599.05660377361</v>
      </c>
      <c r="R42" s="2">
        <v>0</v>
      </c>
      <c r="S42" s="2">
        <f>6545.45454545455+40000</f>
        <v>46545.454545454551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>
        <v>0</v>
      </c>
      <c r="AS42" s="2">
        <v>2749915.0385841941</v>
      </c>
      <c r="AT42" s="2"/>
      <c r="AU42" s="2"/>
    </row>
    <row r="43" spans="1:47" ht="36" x14ac:dyDescent="0.3">
      <c r="A43" s="3">
        <v>41</v>
      </c>
      <c r="B43" s="2" t="s">
        <v>60</v>
      </c>
      <c r="C43" s="2" t="s">
        <v>61</v>
      </c>
      <c r="D43" s="2">
        <v>3051</v>
      </c>
      <c r="E43" s="4">
        <f t="shared" si="0"/>
        <v>4438477.4308331525</v>
      </c>
      <c r="F43" s="2">
        <v>0</v>
      </c>
      <c r="G43" s="2">
        <f>22595+2550000</f>
        <v>2572595</v>
      </c>
      <c r="H43" s="2">
        <v>0</v>
      </c>
      <c r="I43" s="2">
        <v>184260</v>
      </c>
      <c r="J43" s="2">
        <v>0</v>
      </c>
      <c r="K43" s="2">
        <f>586396.181384248+247550.397169464</f>
        <v>833946.578553712</v>
      </c>
      <c r="L43" s="2">
        <v>0</v>
      </c>
      <c r="M43" s="2">
        <v>4799.23596936387</v>
      </c>
      <c r="N43" s="2"/>
      <c r="O43" s="2"/>
      <c r="P43" s="2">
        <v>0</v>
      </c>
      <c r="Q43" s="2">
        <v>36509.433962264156</v>
      </c>
      <c r="R43" s="2"/>
      <c r="S43" s="2"/>
      <c r="T43" s="2"/>
      <c r="U43" s="2"/>
      <c r="V43" s="2">
        <v>0</v>
      </c>
      <c r="W43" s="2">
        <v>36000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>
        <v>0</v>
      </c>
      <c r="AS43" s="2">
        <f>253659.41+516707.772347813</f>
        <v>770367.18234781304</v>
      </c>
      <c r="AT43" s="2"/>
      <c r="AU43" s="2"/>
    </row>
    <row r="44" spans="1:47" ht="36" x14ac:dyDescent="0.3">
      <c r="A44" s="3">
        <v>42</v>
      </c>
      <c r="B44" s="2" t="s">
        <v>62</v>
      </c>
      <c r="C44" s="2" t="s">
        <v>63</v>
      </c>
      <c r="D44" s="2">
        <v>1467.1</v>
      </c>
      <c r="E44" s="4">
        <f t="shared" si="0"/>
        <v>3090151.6340127387</v>
      </c>
      <c r="F44" s="2">
        <v>0</v>
      </c>
      <c r="G44" s="2">
        <f>10865+2550000</f>
        <v>2560865</v>
      </c>
      <c r="H44" s="2"/>
      <c r="I44" s="2"/>
      <c r="J44" s="2"/>
      <c r="K44" s="2"/>
      <c r="L44" s="2"/>
      <c r="M44" s="2"/>
      <c r="N44" s="2"/>
      <c r="O44" s="2"/>
      <c r="P44" s="2">
        <v>0</v>
      </c>
      <c r="Q44" s="2">
        <v>25556.603773584906</v>
      </c>
      <c r="R44" s="2">
        <v>0</v>
      </c>
      <c r="S44" s="2">
        <v>6545.454545454545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>
        <v>0</v>
      </c>
      <c r="AS44" s="2">
        <f>248721.13+248463.445693699</f>
        <v>497184.57569369901</v>
      </c>
      <c r="AT44" s="2"/>
      <c r="AU44" s="2"/>
    </row>
    <row r="45" spans="1:47" ht="36" x14ac:dyDescent="0.3">
      <c r="A45" s="3">
        <v>43</v>
      </c>
      <c r="B45" s="2" t="s">
        <v>64</v>
      </c>
      <c r="C45" s="2" t="s">
        <v>65</v>
      </c>
      <c r="D45" s="2">
        <v>1779.1</v>
      </c>
      <c r="E45" s="4">
        <f t="shared" si="0"/>
        <v>1910993.9379249774</v>
      </c>
      <c r="F45" s="2">
        <v>0</v>
      </c>
      <c r="G45" s="2">
        <f>13175+637500</f>
        <v>650675</v>
      </c>
      <c r="H45" s="2">
        <v>0</v>
      </c>
      <c r="I45" s="2">
        <v>24900</v>
      </c>
      <c r="J45" s="2">
        <v>0</v>
      </c>
      <c r="K45" s="2">
        <f>193603.818615752+435791.13366536</f>
        <v>629394.95228111197</v>
      </c>
      <c r="L45" s="2">
        <v>0</v>
      </c>
      <c r="M45" s="2">
        <v>2810.6439954307971</v>
      </c>
      <c r="N45" s="2"/>
      <c r="O45" s="2"/>
      <c r="P45" s="2">
        <v>0</v>
      </c>
      <c r="Q45" s="2">
        <v>31033.018867924526</v>
      </c>
      <c r="R45" s="2">
        <v>0</v>
      </c>
      <c r="S45" s="2">
        <f>3272.72727272727+40000+3498</f>
        <v>46770.727272727272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>
        <v>0</v>
      </c>
      <c r="AS45" s="2">
        <f>224106.810262292+301302.785245491</f>
        <v>525409.595507783</v>
      </c>
      <c r="AT45" s="2"/>
      <c r="AU45" s="2"/>
    </row>
    <row r="46" spans="1:47" x14ac:dyDescent="0.3">
      <c r="A46" s="3">
        <v>44</v>
      </c>
      <c r="B46" s="2" t="s">
        <v>66</v>
      </c>
      <c r="C46" s="2" t="s">
        <v>67</v>
      </c>
      <c r="D46" s="2">
        <v>561.79999999999995</v>
      </c>
      <c r="E46" s="4">
        <f t="shared" si="0"/>
        <v>808751.88358930836</v>
      </c>
      <c r="F46" s="2">
        <v>0</v>
      </c>
      <c r="G46" s="2">
        <f>4160+637500</f>
        <v>641660</v>
      </c>
      <c r="H46" s="2"/>
      <c r="I46" s="2"/>
      <c r="J46" s="2"/>
      <c r="K46" s="2"/>
      <c r="L46" s="2">
        <v>0</v>
      </c>
      <c r="M46" s="2">
        <v>1179.281286867287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>
        <v>0</v>
      </c>
      <c r="AS46" s="2">
        <f>70767.9197377077+95144.6825647333</f>
        <v>165912.60230244102</v>
      </c>
      <c r="AT46" s="2"/>
      <c r="AU46" s="2"/>
    </row>
    <row r="47" spans="1:47" ht="36" x14ac:dyDescent="0.3">
      <c r="A47" s="3">
        <v>45</v>
      </c>
      <c r="B47" s="2" t="s">
        <v>30</v>
      </c>
      <c r="C47" s="2" t="s">
        <v>68</v>
      </c>
      <c r="D47" s="2">
        <v>4466.7</v>
      </c>
      <c r="E47" s="4">
        <f t="shared" si="0"/>
        <v>5437443.7630438823</v>
      </c>
      <c r="F47" s="2">
        <v>0</v>
      </c>
      <c r="G47" s="2">
        <f>33078+1275000</f>
        <v>1308078</v>
      </c>
      <c r="H47" s="2"/>
      <c r="I47" s="2"/>
      <c r="J47" s="2">
        <v>0</v>
      </c>
      <c r="K47" s="2">
        <f>359000+860250+1385701.76114874</f>
        <v>2604951.7611487401</v>
      </c>
      <c r="L47" s="2">
        <v>0</v>
      </c>
      <c r="M47" s="2">
        <v>7509.3649931649215</v>
      </c>
      <c r="N47" s="2"/>
      <c r="O47" s="2"/>
      <c r="P47" s="2">
        <v>0</v>
      </c>
      <c r="Q47" s="2">
        <v>7301.8867924528295</v>
      </c>
      <c r="R47" s="2">
        <v>0</v>
      </c>
      <c r="S47" s="2">
        <f>6545.45454545455+30000+28604.4</f>
        <v>65149.854545454553</v>
      </c>
      <c r="T47" s="2"/>
      <c r="U47" s="2"/>
      <c r="V47" s="2">
        <v>0</v>
      </c>
      <c r="W47" s="2">
        <v>36000</v>
      </c>
      <c r="X47" s="2">
        <v>0</v>
      </c>
      <c r="Y47" s="2">
        <f>79585.5+284582.98</f>
        <v>364168.48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>
        <v>0</v>
      </c>
      <c r="AS47" s="2">
        <f>287818.14+756466.275564069</f>
        <v>1044284.4155640691</v>
      </c>
      <c r="AT47" s="2"/>
      <c r="AU47" s="2"/>
    </row>
    <row r="48" spans="1:47" ht="36" x14ac:dyDescent="0.3">
      <c r="A48" s="3">
        <v>46</v>
      </c>
      <c r="B48" s="2" t="s">
        <v>37</v>
      </c>
      <c r="C48" s="2" t="s">
        <v>69</v>
      </c>
      <c r="D48" s="2">
        <v>912.3</v>
      </c>
      <c r="E48" s="4">
        <f t="shared" si="0"/>
        <v>759261.14424041065</v>
      </c>
      <c r="F48" s="2">
        <v>173196.60578167695</v>
      </c>
      <c r="G48" s="2">
        <v>73758.511228452247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</v>
      </c>
      <c r="U48" s="2">
        <v>448541.66666666669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>
        <v>0</v>
      </c>
      <c r="AK48" s="2">
        <v>63764.36056361474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36" x14ac:dyDescent="0.3">
      <c r="A49" s="3">
        <v>47</v>
      </c>
      <c r="B49" s="2" t="s">
        <v>37</v>
      </c>
      <c r="C49" s="2" t="s">
        <v>70</v>
      </c>
      <c r="D49" s="2">
        <v>1610.7</v>
      </c>
      <c r="E49" s="4">
        <f t="shared" si="0"/>
        <v>997820.27022693108</v>
      </c>
      <c r="F49" s="2">
        <v>305785.12872141518</v>
      </c>
      <c r="G49" s="2">
        <v>130223.42873579748</v>
      </c>
      <c r="H49" s="2">
        <v>0</v>
      </c>
      <c r="I49" s="2">
        <v>90400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0</v>
      </c>
      <c r="U49" s="2">
        <v>358833.33333333331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>
        <v>0</v>
      </c>
      <c r="AK49" s="2">
        <v>112578.37943638526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36" x14ac:dyDescent="0.3">
      <c r="A50" s="3">
        <v>48</v>
      </c>
      <c r="B50" s="5" t="s">
        <v>71</v>
      </c>
      <c r="C50" s="5" t="s">
        <v>72</v>
      </c>
      <c r="D50" s="5">
        <v>18956.5</v>
      </c>
      <c r="E50" s="4">
        <f t="shared" si="0"/>
        <v>7376624.3519296702</v>
      </c>
      <c r="F50" s="2">
        <v>172563.66824289903</v>
      </c>
      <c r="G50" s="2">
        <v>0</v>
      </c>
      <c r="H50" s="2"/>
      <c r="I50" s="2"/>
      <c r="J50" s="2">
        <v>0</v>
      </c>
      <c r="K50" s="2">
        <f>1190250+290000</f>
        <v>1480250</v>
      </c>
      <c r="L50" s="2">
        <v>12803.821878744808</v>
      </c>
      <c r="M50" s="2">
        <f>9602.86640905861+4838.83</f>
        <v>14441.69640905861</v>
      </c>
      <c r="N50" s="2">
        <v>0</v>
      </c>
      <c r="O50" s="2">
        <v>42606.741573033709</v>
      </c>
      <c r="P50" s="2">
        <v>0</v>
      </c>
      <c r="Q50" s="2">
        <v>299000</v>
      </c>
      <c r="R50" s="2">
        <v>0</v>
      </c>
      <c r="S50" s="2">
        <f>298248+13090.9090909091</f>
        <v>311338.90909090912</v>
      </c>
      <c r="T50" s="2">
        <v>452096.1080645161</v>
      </c>
      <c r="U50" s="2">
        <v>0</v>
      </c>
      <c r="V50" s="2">
        <v>0</v>
      </c>
      <c r="W50" s="2">
        <f>214920+127805.309734513</f>
        <v>342725.30973451299</v>
      </c>
      <c r="X50" s="2">
        <f>22634.6153846154+75000</f>
        <v>97634.615384615405</v>
      </c>
      <c r="Y50" s="2">
        <v>71020.782500000001</v>
      </c>
      <c r="Z50" s="2">
        <v>0</v>
      </c>
      <c r="AA50" s="2">
        <v>101498</v>
      </c>
      <c r="AB50" s="2"/>
      <c r="AC50" s="2"/>
      <c r="AD50" s="2">
        <v>0</v>
      </c>
      <c r="AE50" s="2">
        <v>22609.756097560974</v>
      </c>
      <c r="AF50" s="2">
        <f>283421.594851658+71208.0866684964</f>
        <v>354629.68152015435</v>
      </c>
      <c r="AG50" s="2">
        <f>301856.48278464+71208.0866684964</f>
        <v>373064.56945313641</v>
      </c>
      <c r="AH50" s="2">
        <v>0</v>
      </c>
      <c r="AI50" s="2">
        <f>79230.2363895622+7928.70377728609</f>
        <v>87158.94016684829</v>
      </c>
      <c r="AJ50" s="2">
        <v>0</v>
      </c>
      <c r="AK50" s="2">
        <f>892546.67+295000</f>
        <v>1187546.67</v>
      </c>
      <c r="AL50" s="2"/>
      <c r="AM50" s="2"/>
      <c r="AN50" s="2"/>
      <c r="AO50" s="2"/>
      <c r="AP50" s="2">
        <v>0</v>
      </c>
      <c r="AQ50" s="2">
        <v>59500</v>
      </c>
      <c r="AR50" s="2">
        <f>715571.770925683+627767.380857879</f>
        <v>1343339.1517835618</v>
      </c>
      <c r="AS50" s="2">
        <f>145239.601350936+402503.519388708</f>
        <v>547743.12073964393</v>
      </c>
      <c r="AT50" s="2">
        <v>3052.8092904743239</v>
      </c>
      <c r="AU50" s="2">
        <v>0</v>
      </c>
    </row>
    <row r="51" spans="1:47" ht="36" x14ac:dyDescent="0.3">
      <c r="A51" s="3">
        <v>49</v>
      </c>
      <c r="B51" s="5" t="s">
        <v>73</v>
      </c>
      <c r="C51" s="5" t="s">
        <v>74</v>
      </c>
      <c r="D51" s="5">
        <v>2378.5</v>
      </c>
      <c r="E51" s="4">
        <f t="shared" si="0"/>
        <v>2022801.0633419217</v>
      </c>
      <c r="F51" s="2">
        <v>21651.817841676224</v>
      </c>
      <c r="G51" s="2">
        <v>61304.34782608696</v>
      </c>
      <c r="H51" s="2">
        <v>0</v>
      </c>
      <c r="I51" s="2">
        <v>45200</v>
      </c>
      <c r="J51" s="2"/>
      <c r="K51" s="2"/>
      <c r="L51" s="2">
        <v>1606.5144060662321</v>
      </c>
      <c r="M51" s="2">
        <f>1204.88580454967+3312</f>
        <v>4516.88580454967</v>
      </c>
      <c r="N51" s="2"/>
      <c r="O51" s="2"/>
      <c r="P51" s="2">
        <v>0</v>
      </c>
      <c r="Q51" s="2">
        <v>318000</v>
      </c>
      <c r="R51" s="2">
        <v>0</v>
      </c>
      <c r="S51" s="2">
        <v>6545.454545454545</v>
      </c>
      <c r="T51" s="2">
        <v>388226.92720235052</v>
      </c>
      <c r="U51" s="2">
        <v>712071.02179032797</v>
      </c>
      <c r="V51" s="2"/>
      <c r="W51" s="2"/>
      <c r="X51" s="2"/>
      <c r="Y51" s="2"/>
      <c r="Z51" s="2">
        <v>0</v>
      </c>
      <c r="AA51" s="2">
        <v>101498</v>
      </c>
      <c r="AB51" s="2"/>
      <c r="AC51" s="2"/>
      <c r="AD51" s="2">
        <v>0</v>
      </c>
      <c r="AE51" s="2">
        <v>7536.5853658536589</v>
      </c>
      <c r="AF51" s="2">
        <v>35561.325316100985</v>
      </c>
      <c r="AG51" s="2">
        <v>37874.377881110282</v>
      </c>
      <c r="AH51" s="2">
        <v>0</v>
      </c>
      <c r="AI51" s="2">
        <v>994.82615114999976</v>
      </c>
      <c r="AJ51" s="2"/>
      <c r="AK51" s="2"/>
      <c r="AL51" s="2"/>
      <c r="AM51" s="2"/>
      <c r="AN51" s="2"/>
      <c r="AO51" s="2"/>
      <c r="AP51" s="2">
        <v>0</v>
      </c>
      <c r="AQ51" s="2">
        <v>10500</v>
      </c>
      <c r="AR51" s="2">
        <f>89783.8449685721+78766.8987086469</f>
        <v>168550.743677219</v>
      </c>
      <c r="AS51" s="2">
        <f>18223.4268885713+50502.7099341146</f>
        <v>68726.136822685905</v>
      </c>
      <c r="AT51" s="2">
        <v>32436.098711289691</v>
      </c>
      <c r="AU51" s="2">
        <v>0</v>
      </c>
    </row>
    <row r="52" spans="1:47" ht="36" x14ac:dyDescent="0.3">
      <c r="A52" s="3">
        <v>50</v>
      </c>
      <c r="B52" s="5" t="s">
        <v>75</v>
      </c>
      <c r="C52" s="5" t="s">
        <v>76</v>
      </c>
      <c r="D52" s="5">
        <v>6733.6</v>
      </c>
      <c r="E52" s="4">
        <f t="shared" si="0"/>
        <v>946471.19775403978</v>
      </c>
      <c r="F52" s="2">
        <v>61296.901668577266</v>
      </c>
      <c r="G52" s="2">
        <v>0</v>
      </c>
      <c r="H52" s="2"/>
      <c r="I52" s="2"/>
      <c r="J52" s="2">
        <v>0</v>
      </c>
      <c r="K52" s="2">
        <v>148998.18322167807</v>
      </c>
      <c r="L52" s="2">
        <v>4548.0871997845616</v>
      </c>
      <c r="M52" s="2">
        <v>3411.0653998384214</v>
      </c>
      <c r="N52" s="2">
        <v>0</v>
      </c>
      <c r="O52" s="2">
        <v>15977.528089887641</v>
      </c>
      <c r="P52" s="2"/>
      <c r="Q52" s="2"/>
      <c r="R52" s="2">
        <v>0</v>
      </c>
      <c r="S52" s="2">
        <v>6545.454545454545</v>
      </c>
      <c r="T52" s="2"/>
      <c r="U52" s="2"/>
      <c r="V52" s="2"/>
      <c r="W52" s="2"/>
      <c r="X52" s="2">
        <f>20576.9230769231+75000</f>
        <v>95576.923076923093</v>
      </c>
      <c r="Y52" s="2">
        <v>71020.782500000001</v>
      </c>
      <c r="Z52" s="2"/>
      <c r="AA52" s="2"/>
      <c r="AB52" s="2"/>
      <c r="AC52" s="2"/>
      <c r="AD52" s="2">
        <v>0</v>
      </c>
      <c r="AE52" s="2">
        <v>22609.756097560974</v>
      </c>
      <c r="AF52" s="2">
        <v>100675.10622177742</v>
      </c>
      <c r="AG52" s="2">
        <v>107223.42270348717</v>
      </c>
      <c r="AH52" s="2">
        <v>0</v>
      </c>
      <c r="AI52" s="2">
        <v>2816.3806480486182</v>
      </c>
      <c r="AJ52" s="2"/>
      <c r="AK52" s="2"/>
      <c r="AL52" s="2"/>
      <c r="AM52" s="2"/>
      <c r="AN52" s="2"/>
      <c r="AO52" s="2"/>
      <c r="AP52" s="2"/>
      <c r="AQ52" s="2"/>
      <c r="AR52" s="2">
        <v>254180.5753543734</v>
      </c>
      <c r="AS52" s="2">
        <v>51591.031026648598</v>
      </c>
      <c r="AT52" s="2"/>
      <c r="AU52" s="2"/>
    </row>
    <row r="53" spans="1:47" ht="36" x14ac:dyDescent="0.3">
      <c r="A53" s="3">
        <v>51</v>
      </c>
      <c r="B53" s="5" t="s">
        <v>77</v>
      </c>
      <c r="C53" s="5" t="s">
        <v>78</v>
      </c>
      <c r="D53" s="5">
        <v>1557</v>
      </c>
      <c r="E53" s="4">
        <f t="shared" si="0"/>
        <v>361065.35272919619</v>
      </c>
      <c r="F53" s="2">
        <v>14173.588555598013</v>
      </c>
      <c r="G53" s="2">
        <v>0</v>
      </c>
      <c r="H53" s="2"/>
      <c r="I53" s="2"/>
      <c r="J53" s="2"/>
      <c r="K53" s="2"/>
      <c r="L53" s="2">
        <v>1051.6472273471193</v>
      </c>
      <c r="M53" s="2">
        <v>788.73542051033951</v>
      </c>
      <c r="N53" s="2">
        <v>0</v>
      </c>
      <c r="O53" s="2">
        <v>111842.69662921347</v>
      </c>
      <c r="P53" s="2"/>
      <c r="Q53" s="2"/>
      <c r="R53" s="2">
        <v>0</v>
      </c>
      <c r="S53" s="2">
        <v>6545.454545454545</v>
      </c>
      <c r="T53" s="2">
        <v>96190.661290322576</v>
      </c>
      <c r="U53" s="2">
        <v>0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>
        <f>23278.9503961191+5848.7057707303</f>
        <v>29127.6561668494</v>
      </c>
      <c r="AG53" s="2">
        <f>24793.1075723728+5848.7057707303</f>
        <v>30641.813343103098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>
        <v>58773.784576862206</v>
      </c>
      <c r="AS53" s="2">
        <v>11929.314973935467</v>
      </c>
      <c r="AT53" s="2"/>
      <c r="AU53" s="2"/>
    </row>
    <row r="54" spans="1:47" ht="36" x14ac:dyDescent="0.3">
      <c r="A54" s="3">
        <v>52</v>
      </c>
      <c r="B54" s="5" t="s">
        <v>79</v>
      </c>
      <c r="C54" s="5" t="s">
        <v>80</v>
      </c>
      <c r="D54" s="5">
        <v>5057.3</v>
      </c>
      <c r="E54" s="4">
        <f t="shared" si="0"/>
        <v>3621228.7780256099</v>
      </c>
      <c r="F54" s="2">
        <v>46037.308543497646</v>
      </c>
      <c r="G54" s="2">
        <v>0</v>
      </c>
      <c r="H54" s="2"/>
      <c r="I54" s="2"/>
      <c r="J54" s="2"/>
      <c r="K54" s="2"/>
      <c r="L54" s="2">
        <v>3415.8609652296641</v>
      </c>
      <c r="M54" s="2">
        <v>2561.8957239222477</v>
      </c>
      <c r="N54" s="2"/>
      <c r="O54" s="2"/>
      <c r="P54" s="2"/>
      <c r="Q54" s="2"/>
      <c r="R54" s="2">
        <v>0</v>
      </c>
      <c r="S54" s="2">
        <v>6545.454545454545</v>
      </c>
      <c r="T54" s="2">
        <v>38476.264516129027</v>
      </c>
      <c r="U54" s="2">
        <v>0</v>
      </c>
      <c r="V54" s="2"/>
      <c r="W54" s="2"/>
      <c r="X54" s="2"/>
      <c r="Y54" s="2"/>
      <c r="Z54" s="2">
        <v>0</v>
      </c>
      <c r="AA54" s="2">
        <v>101498</v>
      </c>
      <c r="AB54" s="2"/>
      <c r="AC54" s="2"/>
      <c r="AD54" s="2"/>
      <c r="AE54" s="2"/>
      <c r="AF54" s="2">
        <f>75612.4828762319+18997.212391981</f>
        <v>94609.69526821289</v>
      </c>
      <c r="AG54" s="2">
        <f>80530.6248720366+18997.212391981</f>
        <v>99527.837264017595</v>
      </c>
      <c r="AH54" s="2"/>
      <c r="AI54" s="2"/>
      <c r="AJ54" s="2">
        <v>0</v>
      </c>
      <c r="AK54" s="2">
        <v>2724045.06</v>
      </c>
      <c r="AL54" s="2"/>
      <c r="AM54" s="2"/>
      <c r="AN54" s="2"/>
      <c r="AO54" s="2"/>
      <c r="AP54" s="2"/>
      <c r="AQ54" s="2"/>
      <c r="AR54" s="2">
        <f>190903.442993298+167478.594424738</f>
        <v>358382.03741803602</v>
      </c>
      <c r="AS54" s="2">
        <f>38747.6715592061+107381.692221904</f>
        <v>146129.36378111009</v>
      </c>
      <c r="AT54" s="2"/>
      <c r="AU54" s="2"/>
    </row>
    <row r="55" spans="1:47" ht="36" x14ac:dyDescent="0.3">
      <c r="A55" s="3">
        <v>53</v>
      </c>
      <c r="B55" s="5" t="s">
        <v>81</v>
      </c>
      <c r="C55" s="5" t="s">
        <v>82</v>
      </c>
      <c r="D55" s="5">
        <v>286.89999999999998</v>
      </c>
      <c r="E55" s="4">
        <f t="shared" si="0"/>
        <v>2950.8081812918272</v>
      </c>
      <c r="F55" s="2">
        <v>2611.6907877977328</v>
      </c>
      <c r="G55" s="2">
        <v>0</v>
      </c>
      <c r="H55" s="2"/>
      <c r="I55" s="2"/>
      <c r="J55" s="2"/>
      <c r="K55" s="2"/>
      <c r="L55" s="2">
        <v>193.78136771091104</v>
      </c>
      <c r="M55" s="2">
        <v>145.33602578318326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36" x14ac:dyDescent="0.3">
      <c r="A56" s="3">
        <v>54</v>
      </c>
      <c r="B56" s="5" t="s">
        <v>81</v>
      </c>
      <c r="C56" s="5" t="s">
        <v>83</v>
      </c>
      <c r="D56" s="5">
        <v>155.69999999999999</v>
      </c>
      <c r="E56" s="4">
        <f t="shared" si="0"/>
        <v>4534561.3971203454</v>
      </c>
      <c r="F56" s="2">
        <v>1417.3588555598014</v>
      </c>
      <c r="G56" s="2">
        <v>0</v>
      </c>
      <c r="H56" s="2"/>
      <c r="I56" s="2"/>
      <c r="J56" s="2"/>
      <c r="K56" s="2"/>
      <c r="L56" s="2">
        <v>105.16472273471193</v>
      </c>
      <c r="M56" s="2">
        <v>78.873542051033951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>
        <v>0</v>
      </c>
      <c r="AK56" s="2">
        <v>4532960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36" x14ac:dyDescent="0.3">
      <c r="A57" s="3">
        <v>55</v>
      </c>
      <c r="B57" s="5" t="s">
        <v>81</v>
      </c>
      <c r="C57" s="5" t="s">
        <v>84</v>
      </c>
      <c r="D57" s="5">
        <v>1142.7</v>
      </c>
      <c r="E57" s="4">
        <f t="shared" si="0"/>
        <v>1770688.5833999906</v>
      </c>
      <c r="F57" s="2">
        <v>10402.157766526558</v>
      </c>
      <c r="G57" s="2">
        <v>7826.086956521739</v>
      </c>
      <c r="H57" s="2"/>
      <c r="I57" s="2"/>
      <c r="J57" s="2"/>
      <c r="K57" s="2"/>
      <c r="L57" s="2">
        <v>771.8158552919416</v>
      </c>
      <c r="M57" s="2">
        <v>578.86189146895629</v>
      </c>
      <c r="N57" s="2">
        <v>0</v>
      </c>
      <c r="O57" s="2">
        <v>37280.898876404492</v>
      </c>
      <c r="P57" s="2"/>
      <c r="Q57" s="2"/>
      <c r="R57" s="2">
        <v>0</v>
      </c>
      <c r="S57" s="2">
        <v>6545.454545454545</v>
      </c>
      <c r="T57" s="2">
        <v>186515.41295527678</v>
      </c>
      <c r="U57" s="2">
        <v>342099.45621181739</v>
      </c>
      <c r="V57" s="2"/>
      <c r="W57" s="2"/>
      <c r="X57" s="2"/>
      <c r="Y57" s="2"/>
      <c r="Z57" s="2">
        <v>0</v>
      </c>
      <c r="AA57" s="2">
        <v>101498</v>
      </c>
      <c r="AB57" s="2"/>
      <c r="AC57" s="2"/>
      <c r="AD57" s="2"/>
      <c r="AE57" s="2"/>
      <c r="AF57" s="2">
        <v>17084.686331178724</v>
      </c>
      <c r="AG57" s="2">
        <v>18195.94349579345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>
        <v>43134.748642248196</v>
      </c>
      <c r="AS57" s="2">
        <v>8755.0598720077433</v>
      </c>
      <c r="AT57" s="2">
        <v>0</v>
      </c>
      <c r="AU57" s="2">
        <v>990000</v>
      </c>
    </row>
    <row r="58" spans="1:47" ht="36" x14ac:dyDescent="0.3">
      <c r="A58" s="3">
        <v>56</v>
      </c>
      <c r="B58" s="5" t="s">
        <v>81</v>
      </c>
      <c r="C58" s="5" t="s">
        <v>85</v>
      </c>
      <c r="D58" s="5">
        <v>1186.4000000000001</v>
      </c>
      <c r="E58" s="4">
        <f t="shared" si="0"/>
        <v>235520.64547636756</v>
      </c>
      <c r="F58" s="2">
        <v>10799.964972614955</v>
      </c>
      <c r="G58" s="2">
        <v>0</v>
      </c>
      <c r="H58" s="2"/>
      <c r="I58" s="2"/>
      <c r="J58" s="2"/>
      <c r="K58" s="2"/>
      <c r="L58" s="2">
        <v>801.33222255916667</v>
      </c>
      <c r="M58" s="2">
        <v>600.99916691937494</v>
      </c>
      <c r="N58" s="2">
        <v>0</v>
      </c>
      <c r="O58" s="2">
        <v>53258.426966292136</v>
      </c>
      <c r="P58" s="2"/>
      <c r="Q58" s="2"/>
      <c r="R58" s="2">
        <v>0</v>
      </c>
      <c r="S58" s="2">
        <v>6545.454545454545</v>
      </c>
      <c r="T58" s="2"/>
      <c r="U58" s="2"/>
      <c r="V58" s="2"/>
      <c r="W58" s="2"/>
      <c r="X58" s="2">
        <v>37500</v>
      </c>
      <c r="Y58" s="2">
        <v>35510.391250000001</v>
      </c>
      <c r="Z58" s="2"/>
      <c r="AA58" s="2"/>
      <c r="AB58" s="2"/>
      <c r="AC58" s="2"/>
      <c r="AD58" s="2"/>
      <c r="AE58" s="2"/>
      <c r="AF58" s="2">
        <v>17738.051862527729</v>
      </c>
      <c r="AG58" s="2">
        <v>18891.806566386058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>
        <v>44784.340412324549</v>
      </c>
      <c r="AS58" s="2">
        <v>9089.8775112890416</v>
      </c>
      <c r="AT58" s="2"/>
      <c r="AU58" s="2"/>
    </row>
    <row r="59" spans="1:47" ht="36" x14ac:dyDescent="0.3">
      <c r="A59" s="3">
        <v>57</v>
      </c>
      <c r="B59" s="5" t="s">
        <v>81</v>
      </c>
      <c r="C59" s="5" t="s">
        <v>86</v>
      </c>
      <c r="D59" s="5">
        <v>122.7</v>
      </c>
      <c r="E59" s="4">
        <f t="shared" si="0"/>
        <v>1261.9873260526567</v>
      </c>
      <c r="F59" s="2">
        <v>1116.9552445548338</v>
      </c>
      <c r="G59" s="2">
        <v>0</v>
      </c>
      <c r="H59" s="2"/>
      <c r="I59" s="2"/>
      <c r="J59" s="2"/>
      <c r="K59" s="2"/>
      <c r="L59" s="2">
        <v>82.875475141613066</v>
      </c>
      <c r="M59" s="2">
        <v>62.156606356209799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36" x14ac:dyDescent="0.3">
      <c r="A60" s="3">
        <v>58</v>
      </c>
      <c r="B60" s="5" t="s">
        <v>34</v>
      </c>
      <c r="C60" s="5" t="s">
        <v>87</v>
      </c>
      <c r="D60" s="5">
        <v>52.6</v>
      </c>
      <c r="E60" s="4">
        <f t="shared" si="0"/>
        <v>936.17131174218707</v>
      </c>
      <c r="F60" s="2">
        <v>478.82514966246345</v>
      </c>
      <c r="G60" s="2">
        <v>0</v>
      </c>
      <c r="H60" s="2"/>
      <c r="I60" s="2"/>
      <c r="J60" s="2"/>
      <c r="K60" s="2"/>
      <c r="L60" s="2">
        <v>35.527709799909104</v>
      </c>
      <c r="M60" s="2">
        <v>26.645782349931828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>
        <v>197.58633496494139</v>
      </c>
      <c r="AG60" s="2">
        <v>197.58633496494139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36" x14ac:dyDescent="0.3">
      <c r="A61" s="3">
        <v>59</v>
      </c>
      <c r="B61" s="5" t="s">
        <v>34</v>
      </c>
      <c r="C61" s="5" t="s">
        <v>88</v>
      </c>
      <c r="D61" s="5">
        <v>54.9</v>
      </c>
      <c r="E61" s="4">
        <f t="shared" si="0"/>
        <v>146479.52814677978</v>
      </c>
      <c r="F61" s="2">
        <v>499.76237103553694</v>
      </c>
      <c r="G61" s="2">
        <v>0</v>
      </c>
      <c r="H61" s="2">
        <v>0</v>
      </c>
      <c r="I61" s="2">
        <v>68.793268981875869</v>
      </c>
      <c r="J61" s="2"/>
      <c r="K61" s="2"/>
      <c r="L61" s="2">
        <v>37.081202813973569</v>
      </c>
      <c r="M61" s="2">
        <v>27.810902110480175</v>
      </c>
      <c r="N61" s="2"/>
      <c r="O61" s="2"/>
      <c r="P61" s="2"/>
      <c r="Q61" s="2"/>
      <c r="R61" s="2"/>
      <c r="S61" s="2"/>
      <c r="T61" s="2"/>
      <c r="U61" s="2"/>
      <c r="V61" s="2">
        <v>0</v>
      </c>
      <c r="W61" s="2">
        <v>145433.62831858409</v>
      </c>
      <c r="X61" s="2"/>
      <c r="Y61" s="2"/>
      <c r="AB61" s="2"/>
      <c r="AC61" s="2"/>
      <c r="AD61" s="2"/>
      <c r="AE61" s="2"/>
      <c r="AF61" s="2">
        <v>206.22604162690649</v>
      </c>
      <c r="AG61" s="2">
        <v>206.22604162690649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36" x14ac:dyDescent="0.3">
      <c r="A62" s="3">
        <v>60</v>
      </c>
      <c r="B62" s="5" t="s">
        <v>60</v>
      </c>
      <c r="C62" s="5" t="s">
        <v>89</v>
      </c>
      <c r="D62" s="5">
        <v>11053.9</v>
      </c>
      <c r="E62" s="4">
        <f t="shared" si="0"/>
        <v>7193616.6157902842</v>
      </c>
      <c r="F62" s="2"/>
      <c r="G62" s="2"/>
      <c r="H62" s="2">
        <v>0</v>
      </c>
      <c r="I62" s="2">
        <v>13851.255300523817</v>
      </c>
      <c r="J62" s="2">
        <v>3609883.8517911453</v>
      </c>
      <c r="K62" s="2">
        <v>642398.67138219427</v>
      </c>
      <c r="L62" s="2">
        <v>7466.15496876835</v>
      </c>
      <c r="M62" s="2">
        <f>5599.61622657626+3192.8</f>
        <v>8792.4162265762607</v>
      </c>
      <c r="N62" s="2">
        <v>0</v>
      </c>
      <c r="O62" s="2">
        <v>15977.528089887641</v>
      </c>
      <c r="P62" s="2"/>
      <c r="Q62" s="2"/>
      <c r="R62" s="2">
        <v>0</v>
      </c>
      <c r="S62" s="2">
        <v>6545.454545454545</v>
      </c>
      <c r="T62" s="2">
        <v>96190.661290322576</v>
      </c>
      <c r="U62" s="2">
        <v>0</v>
      </c>
      <c r="V62" s="2"/>
      <c r="W62" s="2"/>
      <c r="X62" s="2">
        <f>11317.3076923077+37500</f>
        <v>48817.307692307702</v>
      </c>
      <c r="Y62" s="2">
        <v>35510.391250000001</v>
      </c>
      <c r="Z62" s="2">
        <v>0</v>
      </c>
      <c r="AA62" s="2">
        <f>101498+94350.85</f>
        <v>195848.85</v>
      </c>
      <c r="AB62" s="2"/>
      <c r="AC62" s="2"/>
      <c r="AD62" s="2"/>
      <c r="AE62" s="2"/>
      <c r="AF62" s="2">
        <f>165268.586887386+41522.8058568244</f>
        <v>206791.39274421037</v>
      </c>
      <c r="AG62" s="2">
        <f>176018.324851799+41522.8058568244</f>
        <v>217541.13070862339</v>
      </c>
      <c r="AH62" s="2"/>
      <c r="AI62" s="2"/>
      <c r="AJ62" s="2">
        <v>0</v>
      </c>
      <c r="AK62" s="2">
        <v>98047.2</v>
      </c>
      <c r="AL62" s="2"/>
      <c r="AM62" s="2"/>
      <c r="AN62" s="2">
        <v>0</v>
      </c>
      <c r="AO62" s="2">
        <v>1351680.56</v>
      </c>
      <c r="AP62" s="2"/>
      <c r="AQ62" s="2"/>
      <c r="AR62" s="2">
        <v>417263.6720193816</v>
      </c>
      <c r="AS62" s="2">
        <v>84692.006930241012</v>
      </c>
      <c r="AT62" s="2">
        <v>136318.1108506468</v>
      </c>
      <c r="AU62" s="2">
        <v>0</v>
      </c>
    </row>
    <row r="63" spans="1:47" ht="36" x14ac:dyDescent="0.3">
      <c r="A63" s="3">
        <v>61</v>
      </c>
      <c r="B63" s="5" t="s">
        <v>90</v>
      </c>
      <c r="C63" s="5" t="s">
        <v>91</v>
      </c>
      <c r="D63" s="5">
        <v>17563.900000000001</v>
      </c>
      <c r="E63" s="4">
        <f t="shared" si="0"/>
        <v>3058110.9581608297</v>
      </c>
      <c r="F63" s="2"/>
      <c r="G63" s="2"/>
      <c r="H63" s="2">
        <v>0</v>
      </c>
      <c r="I63" s="2">
        <f>67800+22008.7085076643</f>
        <v>89808.708507664298</v>
      </c>
      <c r="J63" s="2">
        <v>0</v>
      </c>
      <c r="K63" s="2">
        <f>99973+199000</f>
        <v>298973</v>
      </c>
      <c r="L63" s="2">
        <v>11863.215630316037</v>
      </c>
      <c r="M63" s="2">
        <f>8897.41172273703+60192.3</f>
        <v>69089.711722737033</v>
      </c>
      <c r="N63" s="2"/>
      <c r="O63" s="2"/>
      <c r="P63" s="2"/>
      <c r="Q63" s="2"/>
      <c r="R63" s="2">
        <v>0</v>
      </c>
      <c r="S63" s="2">
        <v>6545.454545454545</v>
      </c>
      <c r="T63" s="2">
        <v>163524.12419354837</v>
      </c>
      <c r="U63" s="2">
        <v>0</v>
      </c>
      <c r="V63" s="2"/>
      <c r="W63" s="2"/>
      <c r="X63" s="2">
        <f>22634.6153846154+75000</f>
        <v>97634.615384615405</v>
      </c>
      <c r="Y63" s="2">
        <v>71020.782500000001</v>
      </c>
      <c r="Z63" s="2"/>
      <c r="AA63" s="2"/>
      <c r="AB63" s="2"/>
      <c r="AC63" s="2"/>
      <c r="AD63" s="2">
        <v>0</v>
      </c>
      <c r="AE63" s="2">
        <v>15073.170731707318</v>
      </c>
      <c r="AF63" s="2">
        <f>262600.614555168+65976.9321043866</f>
        <v>328577.54665955459</v>
      </c>
      <c r="AG63" s="2">
        <f>279681.221638021+65976.9321043866</f>
        <v>345658.15374240757</v>
      </c>
      <c r="AH63" s="2">
        <v>0</v>
      </c>
      <c r="AI63" s="2">
        <v>7346.2379803167878</v>
      </c>
      <c r="AJ63" s="2">
        <v>0</v>
      </c>
      <c r="AK63" s="2">
        <f>133618.24+247260+260064</f>
        <v>640942.24</v>
      </c>
      <c r="AL63" s="2"/>
      <c r="AM63" s="2"/>
      <c r="AN63" s="2"/>
      <c r="AO63" s="2"/>
      <c r="AP63" s="2"/>
      <c r="AQ63" s="2"/>
      <c r="AR63" s="2">
        <v>663003.77323670534</v>
      </c>
      <c r="AS63" s="2">
        <v>134569.8749330155</v>
      </c>
      <c r="AT63" s="2">
        <v>114480.34839278714</v>
      </c>
      <c r="AU63" s="2">
        <v>0</v>
      </c>
    </row>
    <row r="64" spans="1:47" ht="36" x14ac:dyDescent="0.3">
      <c r="A64" s="3">
        <v>62</v>
      </c>
      <c r="B64" s="5" t="s">
        <v>92</v>
      </c>
      <c r="C64" s="5" t="s">
        <v>93</v>
      </c>
      <c r="D64" s="5">
        <v>21448.3</v>
      </c>
      <c r="E64" s="4">
        <f t="shared" si="0"/>
        <v>6830478.2706842134</v>
      </c>
      <c r="F64" s="2"/>
      <c r="G64" s="2"/>
      <c r="H64" s="2">
        <v>0</v>
      </c>
      <c r="I64" s="2">
        <v>26876.114227758979</v>
      </c>
      <c r="J64" s="2">
        <v>2959761.6282088547</v>
      </c>
      <c r="K64" s="2">
        <v>526705.84861780563</v>
      </c>
      <c r="L64" s="2">
        <v>14486.862701547345</v>
      </c>
      <c r="M64" s="2">
        <v>10865.14702616051</v>
      </c>
      <c r="N64" s="2">
        <v>0</v>
      </c>
      <c r="O64" s="2">
        <v>10651.685393258427</v>
      </c>
      <c r="P64" s="2"/>
      <c r="Q64" s="2"/>
      <c r="R64" s="2">
        <v>0</v>
      </c>
      <c r="S64" s="2">
        <v>26181.81818181818</v>
      </c>
      <c r="T64" s="2">
        <v>76952.529032258055</v>
      </c>
      <c r="U64" s="2">
        <v>0</v>
      </c>
      <c r="V64" s="2"/>
      <c r="W64" s="2"/>
      <c r="X64" s="2">
        <f>11317.3076923077+37500</f>
        <v>48817.307692307702</v>
      </c>
      <c r="Y64" s="2">
        <v>35510.391250000001</v>
      </c>
      <c r="Z64" s="2">
        <v>0</v>
      </c>
      <c r="AA64" s="2">
        <v>101498</v>
      </c>
      <c r="AB64" s="2"/>
      <c r="AC64" s="2"/>
      <c r="AD64" s="2">
        <v>0</v>
      </c>
      <c r="AE64" s="2">
        <v>7536.5853658536589</v>
      </c>
      <c r="AF64" s="2">
        <f>320676.886179243+80568.2697381854</f>
        <v>401245.15591742838</v>
      </c>
      <c r="AG64" s="2">
        <f>341535.009084472+80568.2697381854</f>
        <v>422103.27882265742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>
        <f>809632.475105918+710286.345836733</f>
        <v>1519918.820942651</v>
      </c>
      <c r="AS64" s="2">
        <f>164331.102347759+455411.929148568</f>
        <v>619743.03149632702</v>
      </c>
      <c r="AT64" s="2">
        <v>21624.065807526462</v>
      </c>
      <c r="AU64" s="2">
        <v>0</v>
      </c>
    </row>
    <row r="65" spans="1:47" ht="36" x14ac:dyDescent="0.3">
      <c r="A65" s="3">
        <v>63</v>
      </c>
      <c r="B65" s="5" t="s">
        <v>94</v>
      </c>
      <c r="C65" s="5" t="s">
        <v>95</v>
      </c>
      <c r="D65" s="5">
        <v>348.4</v>
      </c>
      <c r="E65" s="4">
        <f t="shared" si="0"/>
        <v>207531.61154151248</v>
      </c>
      <c r="F65" s="2"/>
      <c r="G65" s="2"/>
      <c r="H65" s="2">
        <v>0</v>
      </c>
      <c r="I65" s="2">
        <v>436.56784905802459</v>
      </c>
      <c r="J65" s="2"/>
      <c r="K65" s="2"/>
      <c r="L65" s="2">
        <v>235.32042004350438</v>
      </c>
      <c r="M65" s="2">
        <v>176.49031503262827</v>
      </c>
      <c r="N65" s="2"/>
      <c r="O65" s="2"/>
      <c r="P65" s="2"/>
      <c r="Q65" s="2"/>
      <c r="R65" s="2"/>
      <c r="S65" s="2"/>
      <c r="T65" s="2">
        <v>56867.04285780908</v>
      </c>
      <c r="U65" s="2">
        <v>104303.36093830156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>
        <v>5208.9828632035233</v>
      </c>
      <c r="AG65" s="2">
        <v>5547.7961966696748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>
        <f>13151.4364461007+11537.6865714074</f>
        <v>24689.1230175081</v>
      </c>
      <c r="AS65" s="2">
        <f>2669.34703719918+7397.5800466872</f>
        <v>10066.927083886379</v>
      </c>
      <c r="AT65" s="2"/>
      <c r="AU65" s="2"/>
    </row>
    <row r="66" spans="1:47" ht="36" x14ac:dyDescent="0.3">
      <c r="A66" s="3">
        <v>64</v>
      </c>
      <c r="B66" s="5" t="s">
        <v>81</v>
      </c>
      <c r="C66" s="5" t="s">
        <v>96</v>
      </c>
      <c r="D66" s="5">
        <v>60.7</v>
      </c>
      <c r="E66" s="4">
        <f t="shared" si="0"/>
        <v>182258.43169766787</v>
      </c>
      <c r="F66" s="2"/>
      <c r="G66" s="2"/>
      <c r="H66" s="2">
        <v>0</v>
      </c>
      <c r="I66" s="2">
        <v>76.061046032784432</v>
      </c>
      <c r="J66" s="2"/>
      <c r="K66" s="2"/>
      <c r="L66" s="2">
        <v>40.998706936397006</v>
      </c>
      <c r="M66" s="2">
        <v>30.749030202297757</v>
      </c>
      <c r="N66" s="2"/>
      <c r="O66" s="2"/>
      <c r="P66" s="2"/>
      <c r="Q66" s="2"/>
      <c r="R66" s="2"/>
      <c r="S66" s="2"/>
      <c r="T66" s="2">
        <v>9907.6621741360832</v>
      </c>
      <c r="U66" s="2">
        <v>18172.256053257479</v>
      </c>
      <c r="V66" s="2"/>
      <c r="W66" s="2"/>
      <c r="X66" s="2"/>
      <c r="Y66" s="2"/>
      <c r="Z66" s="2"/>
      <c r="AA66" s="2"/>
      <c r="AB66" s="2"/>
      <c r="AC66" s="2"/>
      <c r="AD66" s="2">
        <v>0</v>
      </c>
      <c r="AE66" s="2">
        <v>150731.70731707316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>
        <v>2010.1537740655308</v>
      </c>
      <c r="AS66" s="2">
        <v>1288.8435959641595</v>
      </c>
      <c r="AT66" s="2"/>
      <c r="AU66" s="2"/>
    </row>
    <row r="67" spans="1:47" ht="36" x14ac:dyDescent="0.3">
      <c r="A67" s="3">
        <v>65</v>
      </c>
      <c r="B67" s="5" t="s">
        <v>73</v>
      </c>
      <c r="C67" s="5" t="s">
        <v>97</v>
      </c>
      <c r="D67" s="5">
        <v>358.3</v>
      </c>
      <c r="E67" s="4">
        <f t="shared" si="0"/>
        <v>200500.88045263203</v>
      </c>
      <c r="F67" s="2"/>
      <c r="G67" s="2"/>
      <c r="H67" s="2">
        <v>0</v>
      </c>
      <c r="I67" s="2">
        <v>448.97319264492029</v>
      </c>
      <c r="J67" s="2"/>
      <c r="K67" s="2"/>
      <c r="L67" s="2">
        <v>242.00719432143407</v>
      </c>
      <c r="M67" s="2">
        <v>181.50539574107555</v>
      </c>
      <c r="N67" s="2"/>
      <c r="O67" s="2"/>
      <c r="P67" s="2"/>
      <c r="Q67" s="2"/>
      <c r="R67" s="2">
        <v>0</v>
      </c>
      <c r="S67" s="2">
        <v>6545.454545454545</v>
      </c>
      <c r="T67" s="2">
        <v>58482.954810427655</v>
      </c>
      <c r="U67" s="2">
        <v>107267.20500629579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>
        <v>5356.9993108089056</v>
      </c>
      <c r="AG67" s="2">
        <v>5705.4402332570171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>
        <v>13525.142590809075</v>
      </c>
      <c r="AS67" s="2">
        <v>2745.1981728715978</v>
      </c>
      <c r="AT67" s="2"/>
      <c r="AU67" s="2"/>
    </row>
    <row r="68" spans="1:47" ht="36" x14ac:dyDescent="0.3">
      <c r="A68" s="3">
        <v>66</v>
      </c>
      <c r="B68" s="5" t="s">
        <v>98</v>
      </c>
      <c r="C68" s="5" t="s">
        <v>99</v>
      </c>
      <c r="D68" s="5">
        <v>196.6</v>
      </c>
      <c r="E68" s="4">
        <f t="shared" ref="E68:E110" si="1">SUM(F68:AU68)</f>
        <v>478.7348726773115</v>
      </c>
      <c r="F68" s="2"/>
      <c r="G68" s="2"/>
      <c r="H68" s="2">
        <v>0</v>
      </c>
      <c r="I68" s="2">
        <v>246.35258072562468</v>
      </c>
      <c r="J68" s="2"/>
      <c r="K68" s="2"/>
      <c r="L68" s="2">
        <v>132.78988111524961</v>
      </c>
      <c r="M68" s="2">
        <v>99.59241083643721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36" x14ac:dyDescent="0.3">
      <c r="A69" s="3">
        <v>67</v>
      </c>
      <c r="B69" s="5" t="s">
        <v>81</v>
      </c>
      <c r="C69" s="5" t="s">
        <v>100</v>
      </c>
      <c r="D69" s="5">
        <v>54.4</v>
      </c>
      <c r="E69" s="4">
        <f t="shared" si="1"/>
        <v>132.4678386248512</v>
      </c>
      <c r="F69" s="2"/>
      <c r="G69" s="2"/>
      <c r="H69" s="2">
        <v>0</v>
      </c>
      <c r="I69" s="2">
        <v>68.166736477487191</v>
      </c>
      <c r="J69" s="2"/>
      <c r="K69" s="2"/>
      <c r="L69" s="2">
        <v>36.743486941350859</v>
      </c>
      <c r="M69" s="2">
        <v>27.557615206013146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ht="36" x14ac:dyDescent="0.3">
      <c r="A70" s="3">
        <v>68</v>
      </c>
      <c r="B70" s="5" t="s">
        <v>101</v>
      </c>
      <c r="C70" s="5" t="s">
        <v>102</v>
      </c>
      <c r="D70" s="5">
        <v>217</v>
      </c>
      <c r="E70" s="4">
        <f t="shared" si="1"/>
        <v>2158.6853953324398</v>
      </c>
      <c r="F70" s="2"/>
      <c r="G70" s="2"/>
      <c r="H70" s="2">
        <v>0</v>
      </c>
      <c r="I70" s="2">
        <v>271.91510690468237</v>
      </c>
      <c r="J70" s="2"/>
      <c r="K70" s="2"/>
      <c r="L70" s="2">
        <v>146.56868871825617</v>
      </c>
      <c r="M70" s="2">
        <v>109.92651653869213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>
        <v>815.13754158540451</v>
      </c>
      <c r="AG70" s="2">
        <v>815.13754158540451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36" x14ac:dyDescent="0.3">
      <c r="A71" s="3">
        <v>69</v>
      </c>
      <c r="B71" s="5" t="s">
        <v>293</v>
      </c>
      <c r="C71" s="5" t="s">
        <v>103</v>
      </c>
      <c r="D71" s="5">
        <v>482.8</v>
      </c>
      <c r="E71" s="4">
        <f t="shared" si="1"/>
        <v>6727930.2553862138</v>
      </c>
      <c r="F71" s="2"/>
      <c r="G71" s="2"/>
      <c r="H71" s="2"/>
      <c r="I71" s="2"/>
      <c r="J71" s="2">
        <f>450000</f>
        <v>450000</v>
      </c>
      <c r="K71" s="2">
        <f>6358</f>
        <v>6358</v>
      </c>
      <c r="L71" s="2">
        <v>326.09844660448891</v>
      </c>
      <c r="M71" s="2">
        <v>244.57383495336668</v>
      </c>
      <c r="N71" s="2"/>
      <c r="O71" s="2"/>
      <c r="P71" s="2"/>
      <c r="Q71" s="2"/>
      <c r="R71" s="2">
        <v>0</v>
      </c>
      <c r="S71" s="2">
        <v>3272.7272727272725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>
        <v>7218.4182731190049</v>
      </c>
      <c r="AG71" s="2">
        <v>7687.9334206432814</v>
      </c>
      <c r="AH71" s="2"/>
      <c r="AI71" s="2"/>
      <c r="AJ71" s="2">
        <v>6230898.6399999997</v>
      </c>
      <c r="AK71" s="2">
        <v>0</v>
      </c>
      <c r="AL71" s="2"/>
      <c r="AM71" s="2"/>
      <c r="AN71" s="2"/>
      <c r="AO71" s="2"/>
      <c r="AP71" s="2"/>
      <c r="AQ71" s="2"/>
      <c r="AR71" s="2">
        <v>18224.780471232545</v>
      </c>
      <c r="AS71" s="2">
        <v>3699.0836669338746</v>
      </c>
      <c r="AT71" s="2"/>
      <c r="AU71" s="2"/>
    </row>
    <row r="72" spans="1:47" ht="36" x14ac:dyDescent="0.3">
      <c r="A72" s="3">
        <v>70</v>
      </c>
      <c r="B72" s="5" t="s">
        <v>104</v>
      </c>
      <c r="C72" s="5" t="s">
        <v>105</v>
      </c>
      <c r="D72" s="5">
        <v>11351</v>
      </c>
      <c r="E72" s="4">
        <f t="shared" si="1"/>
        <v>7705535.2201394243</v>
      </c>
      <c r="F72" s="2">
        <v>197502.68041237112</v>
      </c>
      <c r="G72" s="2">
        <f>197502.680412371+60201+260000+1509900</f>
        <v>2027603.6804123709</v>
      </c>
      <c r="H72" s="5">
        <v>814567.61</v>
      </c>
      <c r="I72" s="2">
        <v>185432.39</v>
      </c>
      <c r="J72" s="2">
        <v>1013243.63583247</v>
      </c>
      <c r="K72" s="2">
        <f>297000+295000+1013243.63583247</f>
        <v>1605243.6358324699</v>
      </c>
      <c r="L72" s="2">
        <v>52210</v>
      </c>
      <c r="M72" s="2">
        <v>18630</v>
      </c>
      <c r="N72" s="2">
        <v>0</v>
      </c>
      <c r="O72" s="2">
        <f>26629.2134831461+199500</f>
        <v>226129.2134831461</v>
      </c>
      <c r="P72" s="2"/>
      <c r="Q72" s="2"/>
      <c r="R72" s="2">
        <v>0</v>
      </c>
      <c r="S72" s="2">
        <v>6545.454545454545</v>
      </c>
      <c r="T72" s="2"/>
      <c r="U72" s="2"/>
      <c r="V72" s="2">
        <v>43931.185486393493</v>
      </c>
      <c r="W72" s="2">
        <v>18827.650922740071</v>
      </c>
      <c r="X72" s="2">
        <f>51442.3076923077+225000</f>
        <v>276442.30769230769</v>
      </c>
      <c r="Y72" s="2">
        <v>213062.3475</v>
      </c>
      <c r="Z72" s="2"/>
      <c r="AA72" s="2"/>
      <c r="AB72" s="2"/>
      <c r="AC72" s="2"/>
      <c r="AD72" s="2">
        <v>0</v>
      </c>
      <c r="AE72" s="2">
        <v>7536.5853658536589</v>
      </c>
      <c r="AF72" s="2">
        <f>169710.57543118+42638.8305738983</f>
        <v>212349.40600507832</v>
      </c>
      <c r="AG72" s="2">
        <f>180749.238313426+42638.8305738983</f>
        <v>223388.06888732431</v>
      </c>
      <c r="AH72" s="2">
        <v>0</v>
      </c>
      <c r="AI72" s="2">
        <v>47442.429417768071</v>
      </c>
      <c r="AJ72" s="2"/>
      <c r="AK72" s="2"/>
      <c r="AL72" s="2"/>
      <c r="AM72" s="2"/>
      <c r="AN72" s="2"/>
      <c r="AO72" s="2"/>
      <c r="AP72" s="2"/>
      <c r="AQ72" s="2"/>
      <c r="AR72" s="2">
        <v>428478.63117017527</v>
      </c>
      <c r="AS72" s="2">
        <v>86968.307173501264</v>
      </c>
      <c r="AT72" s="2"/>
      <c r="AU72" s="2"/>
    </row>
    <row r="73" spans="1:47" ht="36" x14ac:dyDescent="0.3">
      <c r="A73" s="3">
        <v>71</v>
      </c>
      <c r="B73" s="5" t="s">
        <v>106</v>
      </c>
      <c r="C73" s="5" t="s">
        <v>107</v>
      </c>
      <c r="D73" s="5">
        <v>8800.7000000000007</v>
      </c>
      <c r="E73" s="4">
        <f t="shared" si="1"/>
        <v>6545.454545454545</v>
      </c>
      <c r="F73" s="2"/>
      <c r="G73" s="2"/>
      <c r="H73" s="5"/>
      <c r="I73" s="2"/>
      <c r="J73" s="2"/>
      <c r="K73" s="2"/>
      <c r="L73" s="2"/>
      <c r="M73" s="2"/>
      <c r="N73" s="2"/>
      <c r="O73" s="2"/>
      <c r="P73" s="2"/>
      <c r="Q73" s="2"/>
      <c r="R73" s="2">
        <v>0</v>
      </c>
      <c r="S73" s="2">
        <v>6545.454545454545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36" x14ac:dyDescent="0.3">
      <c r="A74" s="3">
        <v>72</v>
      </c>
      <c r="B74" s="5" t="s">
        <v>108</v>
      </c>
      <c r="C74" s="5" t="s">
        <v>107</v>
      </c>
      <c r="D74" s="5">
        <v>6435.4</v>
      </c>
      <c r="E74" s="4">
        <f t="shared" si="1"/>
        <v>3403933.1940787206</v>
      </c>
      <c r="F74" s="2">
        <v>164585.56701030899</v>
      </c>
      <c r="G74" s="2">
        <f>696000+164585.567010309</f>
        <v>860585.56701030897</v>
      </c>
      <c r="H74" s="5">
        <v>447525</v>
      </c>
      <c r="I74" s="2">
        <v>0</v>
      </c>
      <c r="J74" s="2">
        <v>0</v>
      </c>
      <c r="K74" s="2">
        <v>705500</v>
      </c>
      <c r="L74" s="2">
        <v>20400</v>
      </c>
      <c r="M74" s="2">
        <v>7300</v>
      </c>
      <c r="N74" s="2">
        <v>0</v>
      </c>
      <c r="O74" s="2">
        <v>10651.685393258427</v>
      </c>
      <c r="P74" s="2">
        <v>0</v>
      </c>
      <c r="Q74" s="2">
        <v>79990</v>
      </c>
      <c r="R74" s="2">
        <v>0</v>
      </c>
      <c r="S74" s="2">
        <v>6545.454545454545</v>
      </c>
      <c r="T74" s="2"/>
      <c r="U74" s="2"/>
      <c r="V74" s="2">
        <v>19272.44291523303</v>
      </c>
      <c r="W74" s="2">
        <f>21600+8259.6</f>
        <v>29859.599999999999</v>
      </c>
      <c r="X74" s="2">
        <f>11317.3076923077+37500</f>
        <v>48817.307692307702</v>
      </c>
      <c r="Y74" s="2">
        <v>35510.391250000001</v>
      </c>
      <c r="Z74" s="2">
        <v>0</v>
      </c>
      <c r="AA74" s="2">
        <v>51464.1</v>
      </c>
      <c r="AB74" s="2"/>
      <c r="AC74" s="2"/>
      <c r="AD74" s="2"/>
      <c r="AE74" s="2"/>
      <c r="AF74" s="2">
        <f>96216.6714060274+24173.8992401784</f>
        <v>120390.5706462058</v>
      </c>
      <c r="AG74" s="2">
        <f>102474.993237796+24173.8992401784</f>
        <v>126648.89247797441</v>
      </c>
      <c r="AH74" s="2">
        <v>0</v>
      </c>
      <c r="AI74" s="2">
        <v>26897.278678099257</v>
      </c>
      <c r="AJ74" s="2"/>
      <c r="AK74" s="2"/>
      <c r="AL74" s="2"/>
      <c r="AM74" s="2"/>
      <c r="AN74" s="2"/>
      <c r="AO74" s="2"/>
      <c r="AP74" s="2"/>
      <c r="AQ74" s="2"/>
      <c r="AR74" s="2">
        <f>242924.093298612+213116.039499527</f>
        <v>456040.13279813901</v>
      </c>
      <c r="AS74" s="2">
        <f>49306.3028794247+136642.900782006</f>
        <v>185949.20366143071</v>
      </c>
      <c r="AT74" s="2"/>
      <c r="AU74" s="2"/>
    </row>
    <row r="75" spans="1:47" ht="36" x14ac:dyDescent="0.3">
      <c r="A75" s="3">
        <v>73</v>
      </c>
      <c r="B75" s="5" t="s">
        <v>109</v>
      </c>
      <c r="C75" s="5" t="s">
        <v>110</v>
      </c>
      <c r="D75" s="5">
        <v>6896.7</v>
      </c>
      <c r="E75" s="4">
        <f t="shared" si="1"/>
        <v>1520094.9861697925</v>
      </c>
      <c r="F75" s="18">
        <v>498000</v>
      </c>
      <c r="G75" s="18">
        <v>7826.086956521739</v>
      </c>
      <c r="H75" s="5"/>
      <c r="I75" s="18"/>
      <c r="J75" s="18"/>
      <c r="K75" s="18"/>
      <c r="L75" s="18">
        <v>4658.2501174340896</v>
      </c>
      <c r="M75" s="18">
        <v>3493.6875880755674</v>
      </c>
      <c r="N75" s="18">
        <v>0</v>
      </c>
      <c r="O75" s="18">
        <v>5325.8426966292136</v>
      </c>
      <c r="P75" s="18"/>
      <c r="Q75" s="18"/>
      <c r="R75" s="18">
        <v>0</v>
      </c>
      <c r="S75" s="18">
        <v>6545.454545454545</v>
      </c>
      <c r="T75" s="18">
        <v>76952.529032258055</v>
      </c>
      <c r="U75" s="18">
        <v>0</v>
      </c>
      <c r="V75" s="18">
        <v>0</v>
      </c>
      <c r="W75" s="18">
        <v>8814.1592920353978</v>
      </c>
      <c r="X75" s="18"/>
      <c r="Y75" s="18"/>
      <c r="Z75" s="18"/>
      <c r="AA75" s="18"/>
      <c r="AB75" s="18"/>
      <c r="AC75" s="18"/>
      <c r="AD75" s="18">
        <v>0</v>
      </c>
      <c r="AE75" s="18">
        <v>7536.5853658536589</v>
      </c>
      <c r="AF75" s="18">
        <v>103113.63981818526</v>
      </c>
      <c r="AG75" s="18">
        <v>109820.56839716346</v>
      </c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>
        <f>260337.289718205+228392.545858282</f>
        <v>488729.83557648701</v>
      </c>
      <c r="AS75" s="18">
        <f>52840.6593325246+146437.68745117</f>
        <v>199278.34678369461</v>
      </c>
      <c r="AT75" s="18"/>
      <c r="AU75" s="18"/>
    </row>
    <row r="76" spans="1:47" ht="36" x14ac:dyDescent="0.3">
      <c r="A76" s="3">
        <v>74</v>
      </c>
      <c r="B76" s="5" t="s">
        <v>111</v>
      </c>
      <c r="C76" s="5" t="s">
        <v>112</v>
      </c>
      <c r="D76" s="5">
        <v>38.4</v>
      </c>
      <c r="E76" s="4">
        <f t="shared" si="1"/>
        <v>0</v>
      </c>
      <c r="F76" s="2"/>
      <c r="G76" s="2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36" x14ac:dyDescent="0.3">
      <c r="A77" s="3">
        <v>75</v>
      </c>
      <c r="B77" s="5" t="s">
        <v>113</v>
      </c>
      <c r="C77" s="5" t="s">
        <v>114</v>
      </c>
      <c r="D77" s="5">
        <v>3455.5</v>
      </c>
      <c r="E77" s="4">
        <f t="shared" si="1"/>
        <v>4615474.9020478055</v>
      </c>
      <c r="F77" s="2">
        <v>27098.639999999999</v>
      </c>
      <c r="G77" s="2">
        <v>551706.75020210177</v>
      </c>
      <c r="H77" s="5">
        <v>0</v>
      </c>
      <c r="I77" s="2">
        <v>4329.9661378300925</v>
      </c>
      <c r="J77" s="2">
        <v>0</v>
      </c>
      <c r="K77" s="2">
        <f>165317.15347201+76461.8067783219+139500+280000</f>
        <v>661278.9602503319</v>
      </c>
      <c r="L77" s="2">
        <v>2333.9543956955495</v>
      </c>
      <c r="M77" s="2">
        <v>1750.4657967716621</v>
      </c>
      <c r="N77" s="2">
        <v>0</v>
      </c>
      <c r="O77" s="2">
        <f>318720+5325.84</f>
        <v>324045.84000000003</v>
      </c>
      <c r="P77" s="2"/>
      <c r="Q77" s="2"/>
      <c r="R77" s="2">
        <v>0</v>
      </c>
      <c r="S77" s="2">
        <v>3272.7272727272725</v>
      </c>
      <c r="T77" s="2">
        <v>76952.529032258055</v>
      </c>
      <c r="U77" s="2">
        <v>0</v>
      </c>
      <c r="V77" s="2"/>
      <c r="W77" s="2"/>
      <c r="X77" s="2"/>
      <c r="Y77" s="2"/>
      <c r="Z77" s="2">
        <v>0</v>
      </c>
      <c r="AA77" s="2">
        <v>247500</v>
      </c>
      <c r="AB77" s="2"/>
      <c r="AC77" s="2"/>
      <c r="AD77" s="2"/>
      <c r="AE77" s="2"/>
      <c r="AF77" s="2">
        <v>51663.720676807621</v>
      </c>
      <c r="AG77" s="2">
        <v>55024.138225005918</v>
      </c>
      <c r="AH77" s="2"/>
      <c r="AI77" s="2"/>
      <c r="AJ77" s="2">
        <v>0</v>
      </c>
      <c r="AK77" s="2">
        <f>144910.317299919+146693.237974939</f>
        <v>291603.55527485802</v>
      </c>
      <c r="AL77" s="2"/>
      <c r="AM77" s="2"/>
      <c r="AN77" s="2"/>
      <c r="AO77" s="2"/>
      <c r="AP77" s="2">
        <v>0</v>
      </c>
      <c r="AQ77" s="2">
        <f>490000*4+200000</f>
        <v>2160000</v>
      </c>
      <c r="AR77" s="2">
        <v>130438.543741392</v>
      </c>
      <c r="AS77" s="2">
        <v>26475.111042025688</v>
      </c>
      <c r="AT77" s="2"/>
      <c r="AU77" s="2"/>
    </row>
    <row r="78" spans="1:47" ht="36" x14ac:dyDescent="0.3">
      <c r="A78" s="3">
        <v>76</v>
      </c>
      <c r="B78" s="5" t="s">
        <v>115</v>
      </c>
      <c r="C78" s="5" t="s">
        <v>116</v>
      </c>
      <c r="D78" s="5">
        <v>2482.1</v>
      </c>
      <c r="E78" s="4">
        <f t="shared" si="1"/>
        <v>2447833.1396115543</v>
      </c>
      <c r="F78" s="2">
        <v>27098.639999999999</v>
      </c>
      <c r="G78" s="2">
        <f>7826.08695652174+396293.249797898</f>
        <v>404119.33675441972</v>
      </c>
      <c r="H78" s="5">
        <v>0</v>
      </c>
      <c r="I78" s="2">
        <v>3110.2326582862306</v>
      </c>
      <c r="J78" s="2">
        <v>0</v>
      </c>
      <c r="K78" s="2">
        <f>831282.84652799+139500</f>
        <v>970782.84652798995</v>
      </c>
      <c r="L78" s="2">
        <v>1676.4891348736573</v>
      </c>
      <c r="M78" s="2">
        <v>1257.366851155243</v>
      </c>
      <c r="N78" s="2">
        <v>0</v>
      </c>
      <c r="O78" s="2">
        <v>149400</v>
      </c>
      <c r="P78" s="2"/>
      <c r="Q78" s="2"/>
      <c r="R78" s="2">
        <v>0</v>
      </c>
      <c r="S78" s="2">
        <v>3272.7272727272725</v>
      </c>
      <c r="T78" s="2">
        <v>76952.529032258055</v>
      </c>
      <c r="U78" s="2">
        <v>0</v>
      </c>
      <c r="V78" s="2">
        <v>0</v>
      </c>
      <c r="W78" s="2">
        <v>66106.194690265489</v>
      </c>
      <c r="X78" s="2"/>
      <c r="Y78" s="2"/>
      <c r="Z78" s="2">
        <v>0</v>
      </c>
      <c r="AA78" s="2">
        <v>247500</v>
      </c>
      <c r="AB78" s="2"/>
      <c r="AC78" s="2"/>
      <c r="AD78" s="2"/>
      <c r="AE78" s="2"/>
      <c r="AF78" s="2">
        <v>37110.26511124416</v>
      </c>
      <c r="AG78" s="2">
        <v>39524.066991256601</v>
      </c>
      <c r="AH78" s="2"/>
      <c r="AI78" s="2"/>
      <c r="AJ78" s="2">
        <v>0</v>
      </c>
      <c r="AK78" s="2">
        <f>97750.67+104089.682700081+105370.362025061</f>
        <v>307210.714725142</v>
      </c>
      <c r="AL78" s="2"/>
      <c r="AM78" s="2"/>
      <c r="AN78" s="2"/>
      <c r="AO78" s="2"/>
      <c r="AP78" s="2"/>
      <c r="AQ78" s="2"/>
      <c r="AR78" s="2">
        <v>93694.547654611219</v>
      </c>
      <c r="AS78" s="2">
        <v>19017.182207325124</v>
      </c>
      <c r="AT78" s="2"/>
      <c r="AU78" s="2"/>
    </row>
    <row r="79" spans="1:47" ht="36" x14ac:dyDescent="0.3">
      <c r="A79" s="3">
        <v>77</v>
      </c>
      <c r="B79" s="5" t="s">
        <v>117</v>
      </c>
      <c r="C79" s="5" t="s">
        <v>118</v>
      </c>
      <c r="D79" s="5">
        <v>404.9</v>
      </c>
      <c r="E79" s="4">
        <f t="shared" si="1"/>
        <v>57589.244515489387</v>
      </c>
      <c r="F79" s="2">
        <v>54197.279999999999</v>
      </c>
      <c r="G79" s="2">
        <v>0</v>
      </c>
      <c r="H79" s="5">
        <v>0</v>
      </c>
      <c r="I79" s="2">
        <v>507.36602205394416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>
        <v>0</v>
      </c>
      <c r="AI79" s="2">
        <v>2884.5984934354437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54" x14ac:dyDescent="0.3">
      <c r="A80" s="3">
        <v>78</v>
      </c>
      <c r="B80" s="5" t="s">
        <v>119</v>
      </c>
      <c r="C80" s="5" t="s">
        <v>120</v>
      </c>
      <c r="D80" s="5">
        <v>5741.2</v>
      </c>
      <c r="E80" s="4">
        <f t="shared" si="1"/>
        <v>614391.87994284742</v>
      </c>
      <c r="F80" s="2"/>
      <c r="G80" s="2"/>
      <c r="H80" s="5">
        <v>0</v>
      </c>
      <c r="I80" s="2">
        <v>7194.096828392454</v>
      </c>
      <c r="J80" s="2"/>
      <c r="K80" s="2"/>
      <c r="L80" s="2">
        <v>3877.7887358030061</v>
      </c>
      <c r="M80" s="2">
        <v>2908.3415518522547</v>
      </c>
      <c r="N80" s="2"/>
      <c r="O80" s="2"/>
      <c r="P80" s="2"/>
      <c r="Q80" s="2"/>
      <c r="R80" s="2">
        <v>0</v>
      </c>
      <c r="S80" s="2">
        <v>6545.454545454545</v>
      </c>
      <c r="T80" s="2">
        <v>19238.132258064514</v>
      </c>
      <c r="U80" s="2">
        <v>0</v>
      </c>
      <c r="V80" s="2"/>
      <c r="W80" s="2"/>
      <c r="X80" s="2"/>
      <c r="Y80" s="2"/>
      <c r="Z80" s="2"/>
      <c r="AA80" s="2"/>
      <c r="AB80" s="2"/>
      <c r="AC80" s="2"/>
      <c r="AD80" s="2">
        <v>0</v>
      </c>
      <c r="AE80" s="2">
        <v>15073.170731707318</v>
      </c>
      <c r="AF80" s="2">
        <f>85837.5786860622+21566.2103859453</f>
        <v>107403.78907200749</v>
      </c>
      <c r="AG80" s="2">
        <f>91420.8023086106+21566.2103859453</f>
        <v>112987.01269455589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>
        <v>216719.36545451594</v>
      </c>
      <c r="AS80" s="2">
        <v>43987.529305303979</v>
      </c>
      <c r="AT80" s="2">
        <v>78457.198765190129</v>
      </c>
      <c r="AU80" s="2">
        <v>0</v>
      </c>
    </row>
    <row r="81" spans="1:47" ht="36" x14ac:dyDescent="0.3">
      <c r="A81" s="3">
        <v>79</v>
      </c>
      <c r="B81" s="5" t="s">
        <v>121</v>
      </c>
      <c r="C81" s="5" t="s">
        <v>122</v>
      </c>
      <c r="D81" s="5">
        <v>9.1999999999999993</v>
      </c>
      <c r="E81" s="4">
        <f t="shared" si="1"/>
        <v>91.52030247492371</v>
      </c>
      <c r="F81" s="2"/>
      <c r="G81" s="2"/>
      <c r="H81" s="5">
        <v>0</v>
      </c>
      <c r="I81" s="2">
        <v>11.52819808075151</v>
      </c>
      <c r="J81" s="2"/>
      <c r="K81" s="2"/>
      <c r="L81" s="2">
        <v>6.213972056257866</v>
      </c>
      <c r="M81" s="2">
        <v>4.6604790421933995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>
        <v>34.558826647860464</v>
      </c>
      <c r="AG81" s="2">
        <v>34.558826647860464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3">
      <c r="A82" s="3">
        <v>80</v>
      </c>
      <c r="B82" s="5" t="s">
        <v>123</v>
      </c>
      <c r="C82" s="5" t="s">
        <v>124</v>
      </c>
      <c r="D82" s="5">
        <v>43</v>
      </c>
      <c r="E82" s="4">
        <f t="shared" si="1"/>
        <v>427.75793548062165</v>
      </c>
      <c r="F82" s="2"/>
      <c r="G82" s="2"/>
      <c r="H82" s="5">
        <v>0</v>
      </c>
      <c r="I82" s="2">
        <v>53.88179537742554</v>
      </c>
      <c r="J82" s="2"/>
      <c r="K82" s="2"/>
      <c r="L82" s="2">
        <v>29.04356504555307</v>
      </c>
      <c r="M82" s="2">
        <v>21.782673784164803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>
        <v>161.52495063673913</v>
      </c>
      <c r="AG82" s="2">
        <v>161.52495063673913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3">
      <c r="A83" s="3">
        <v>81</v>
      </c>
      <c r="B83" s="5" t="s">
        <v>123</v>
      </c>
      <c r="C83" s="5" t="s">
        <v>125</v>
      </c>
      <c r="D83" s="5">
        <v>31.6</v>
      </c>
      <c r="E83" s="4">
        <f t="shared" si="1"/>
        <v>314.35234328343364</v>
      </c>
      <c r="F83" s="2"/>
      <c r="G83" s="2"/>
      <c r="H83" s="5">
        <v>0</v>
      </c>
      <c r="I83" s="2">
        <v>39.596854277363889</v>
      </c>
      <c r="J83" s="2"/>
      <c r="K83" s="2"/>
      <c r="L83" s="2">
        <v>21.34364314975528</v>
      </c>
      <c r="M83" s="2">
        <v>16.00773236231646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>
        <v>118.70205674699901</v>
      </c>
      <c r="AG83" s="2">
        <v>118.70205674699901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3">
      <c r="A84" s="3">
        <v>82</v>
      </c>
      <c r="B84" s="5" t="s">
        <v>126</v>
      </c>
      <c r="C84" s="5" t="s">
        <v>127</v>
      </c>
      <c r="D84" s="5">
        <v>147.5</v>
      </c>
      <c r="E84" s="4">
        <f t="shared" si="1"/>
        <v>1467.3091972881789</v>
      </c>
      <c r="F84" s="2"/>
      <c r="G84" s="2"/>
      <c r="H84" s="5">
        <v>0</v>
      </c>
      <c r="I84" s="2">
        <v>184.82708879465739</v>
      </c>
      <c r="J84" s="2"/>
      <c r="K84" s="2"/>
      <c r="L84" s="2">
        <v>99.626182423699476</v>
      </c>
      <c r="M84" s="2">
        <v>74.7196368177746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>
        <v>554.06814462602381</v>
      </c>
      <c r="AG84" s="2">
        <v>554.06814462602381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ht="36" x14ac:dyDescent="0.3">
      <c r="A85" s="3">
        <v>83</v>
      </c>
      <c r="B85" s="5" t="s">
        <v>128</v>
      </c>
      <c r="C85" s="5" t="s">
        <v>129</v>
      </c>
      <c r="D85" s="5">
        <v>3106.9</v>
      </c>
      <c r="E85" s="4">
        <f t="shared" si="1"/>
        <v>1096399.0126575837</v>
      </c>
      <c r="F85" s="2"/>
      <c r="G85" s="2"/>
      <c r="H85" s="5">
        <v>33656</v>
      </c>
      <c r="I85" s="2">
        <f>50000+3893.14767577031</f>
        <v>53893.147675770313</v>
      </c>
      <c r="J85" s="2">
        <v>0</v>
      </c>
      <c r="K85" s="2">
        <f>161290.32+98000</f>
        <v>259290.32</v>
      </c>
      <c r="L85" s="2">
        <v>2098.4988893029963</v>
      </c>
      <c r="M85" s="2">
        <f>1573.87416697725</f>
        <v>1573.8741669772501</v>
      </c>
      <c r="N85" s="2">
        <v>0</v>
      </c>
      <c r="O85" s="2">
        <v>15977.528089887641</v>
      </c>
      <c r="P85" s="2"/>
      <c r="Q85" s="2"/>
      <c r="R85" s="2">
        <v>0</v>
      </c>
      <c r="S85" s="2">
        <v>6545.454545454545</v>
      </c>
      <c r="T85" s="2">
        <v>19238.132258064514</v>
      </c>
      <c r="U85" s="2">
        <v>0</v>
      </c>
      <c r="V85" s="2">
        <v>0</v>
      </c>
      <c r="W85" s="2">
        <v>70513.274336283182</v>
      </c>
      <c r="X85" s="2">
        <f>22634.6153846154+75000</f>
        <v>97634.615384615405</v>
      </c>
      <c r="Y85" s="2">
        <v>71020.782500000001</v>
      </c>
      <c r="Z85" s="2"/>
      <c r="AA85" s="2"/>
      <c r="AB85" s="2"/>
      <c r="AC85" s="2"/>
      <c r="AD85" s="2">
        <v>0</v>
      </c>
      <c r="AE85" s="2">
        <v>7536.5853658536589</v>
      </c>
      <c r="AF85" s="2">
        <f>46451.7475823394+11670.7411426345</f>
        <v>58122.488724973897</v>
      </c>
      <c r="AG85" s="2">
        <f>49473.1573003244+11670.7411426345</f>
        <v>61143.898442958896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f>117279.557676206+102888.743997433</f>
        <v>220168.30167363898</v>
      </c>
      <c r="AS85" s="2">
        <f>23804.2316586513+65968.8330856845</f>
        <v>89773.064744335803</v>
      </c>
      <c r="AT85" s="2">
        <v>28213.045859466878</v>
      </c>
      <c r="AU85" s="2">
        <v>0</v>
      </c>
    </row>
    <row r="86" spans="1:47" ht="36" x14ac:dyDescent="0.3">
      <c r="A86" s="3">
        <v>84</v>
      </c>
      <c r="B86" s="5" t="s">
        <v>130</v>
      </c>
      <c r="C86" s="5" t="s">
        <v>131</v>
      </c>
      <c r="D86" s="5">
        <v>18213.3</v>
      </c>
      <c r="E86" s="4">
        <f t="shared" si="1"/>
        <v>2719313.3131367676</v>
      </c>
      <c r="F86" s="2"/>
      <c r="G86" s="2"/>
      <c r="H86" s="5">
        <v>0</v>
      </c>
      <c r="I86" s="2">
        <v>22822.448924364293</v>
      </c>
      <c r="J86" s="2"/>
      <c r="K86" s="2"/>
      <c r="L86" s="2">
        <v>12301.841005678411</v>
      </c>
      <c r="M86" s="2">
        <v>9226.3807542588074</v>
      </c>
      <c r="N86" s="2">
        <v>0</v>
      </c>
      <c r="O86" s="2">
        <v>21303.370786516854</v>
      </c>
      <c r="P86" s="2"/>
      <c r="Q86" s="2"/>
      <c r="R86" s="2">
        <v>0</v>
      </c>
      <c r="S86" s="2">
        <v>13090.90909090909</v>
      </c>
      <c r="T86" s="2"/>
      <c r="U86" s="2"/>
      <c r="V86" s="2">
        <v>0</v>
      </c>
      <c r="W86" s="2">
        <v>79327.433628318584</v>
      </c>
      <c r="X86" s="2">
        <f>40125+187500</f>
        <v>227625</v>
      </c>
      <c r="Y86" s="2">
        <v>177551.95625000002</v>
      </c>
      <c r="Z86" s="2"/>
      <c r="AA86" s="2"/>
      <c r="AB86" s="2"/>
      <c r="AC86" s="2"/>
      <c r="AD86" s="2">
        <v>0</v>
      </c>
      <c r="AE86" s="2">
        <v>7536.5853658536589</v>
      </c>
      <c r="AF86" s="2">
        <f>272309.895471828+68416.3344984214</f>
        <v>340726.22997024941</v>
      </c>
      <c r="AG86" s="2">
        <f>290022.033492548+68416.3344984214</f>
        <v>358438.36799096939</v>
      </c>
      <c r="AH86" s="2"/>
      <c r="AI86" s="2"/>
      <c r="AJ86" s="2">
        <v>0</v>
      </c>
      <c r="AK86" s="2">
        <v>622300</v>
      </c>
      <c r="AL86" s="2"/>
      <c r="AM86" s="2"/>
      <c r="AN86" s="2"/>
      <c r="AO86" s="2"/>
      <c r="AP86" s="2"/>
      <c r="AQ86" s="2"/>
      <c r="AR86" s="2">
        <f>687517.386405758</f>
        <v>687517.38640575798</v>
      </c>
      <c r="AS86" s="2">
        <f>139545.402963891</f>
        <v>139545.40296389101</v>
      </c>
      <c r="AT86" s="2"/>
      <c r="AU86" s="2"/>
    </row>
    <row r="87" spans="1:47" ht="36" x14ac:dyDescent="0.3">
      <c r="A87" s="3">
        <v>85</v>
      </c>
      <c r="B87" s="5" t="s">
        <v>132</v>
      </c>
      <c r="C87" s="5" t="s">
        <v>133</v>
      </c>
      <c r="D87" s="5">
        <v>14009.5</v>
      </c>
      <c r="E87" s="4">
        <f t="shared" si="1"/>
        <v>4260629.8191586649</v>
      </c>
      <c r="F87" s="2">
        <v>347687.01030927838</v>
      </c>
      <c r="G87" s="2">
        <v>347687.01030927838</v>
      </c>
      <c r="H87" s="5">
        <v>560000</v>
      </c>
      <c r="I87" s="2">
        <v>0</v>
      </c>
      <c r="J87" s="2"/>
      <c r="L87" s="2">
        <v>55640</v>
      </c>
      <c r="M87" s="2">
        <v>19860</v>
      </c>
      <c r="N87" s="2"/>
      <c r="O87" s="2"/>
      <c r="P87" s="2"/>
      <c r="Q87" s="2"/>
      <c r="R87" s="2">
        <v>0</v>
      </c>
      <c r="S87" s="2">
        <v>13090.90909090909</v>
      </c>
      <c r="T87" s="2"/>
      <c r="U87" s="2"/>
      <c r="V87" s="2"/>
      <c r="W87" s="2"/>
      <c r="X87" s="2">
        <f>20155+299055.2</f>
        <v>319210.2</v>
      </c>
      <c r="Y87" s="2">
        <f>7455+104080.68</f>
        <v>111535.67999999999</v>
      </c>
      <c r="Z87" s="2"/>
      <c r="AA87" s="2"/>
      <c r="AB87" s="2"/>
      <c r="AC87" s="2"/>
      <c r="AD87" s="2"/>
      <c r="AE87" s="2"/>
      <c r="AF87" s="2">
        <f>209458.224517938+52625.2045568697</f>
        <v>262083.4290748077</v>
      </c>
      <c r="AG87" s="2">
        <f>223082.235411148+52625.2045568697</f>
        <v>275707.43996801769</v>
      </c>
      <c r="AH87" s="2">
        <v>0</v>
      </c>
      <c r="AI87" s="2">
        <v>58553.846791315467</v>
      </c>
      <c r="AJ87" s="2"/>
      <c r="AK87" s="2"/>
      <c r="AL87" s="2">
        <v>0</v>
      </c>
      <c r="AM87" s="2">
        <v>492000</v>
      </c>
      <c r="AN87" s="2"/>
      <c r="AO87" s="2"/>
      <c r="AP87" s="2"/>
      <c r="AQ87" s="2"/>
      <c r="AR87" s="2">
        <f>528831.942857772+463941.504081895</f>
        <v>992773.44693966699</v>
      </c>
      <c r="AS87" s="2">
        <f>107337.018707353+297463.827968038</f>
        <v>404800.84667539096</v>
      </c>
      <c r="AT87" s="2"/>
      <c r="AU87" s="2"/>
    </row>
    <row r="88" spans="1:47" ht="36" x14ac:dyDescent="0.3">
      <c r="A88" s="3">
        <v>86</v>
      </c>
      <c r="B88" s="5" t="s">
        <v>134</v>
      </c>
      <c r="C88" s="5" t="s">
        <v>135</v>
      </c>
      <c r="D88" s="5">
        <v>11408</v>
      </c>
      <c r="E88" s="4">
        <f t="shared" si="1"/>
        <v>4136203.9876294956</v>
      </c>
      <c r="F88" s="2">
        <v>197502.68041237112</v>
      </c>
      <c r="G88" s="2">
        <v>197502.68041237112</v>
      </c>
      <c r="H88" s="5">
        <v>447525</v>
      </c>
      <c r="I88" s="2">
        <v>0</v>
      </c>
      <c r="J88" s="2"/>
      <c r="K88" s="2"/>
      <c r="L88" s="2">
        <v>49670</v>
      </c>
      <c r="M88" s="2">
        <v>17730</v>
      </c>
      <c r="N88" s="2">
        <v>0</v>
      </c>
      <c r="O88" s="2">
        <f>29880+5325.84</f>
        <v>35205.839999999997</v>
      </c>
      <c r="P88" s="2"/>
      <c r="Q88" s="2"/>
      <c r="R88" s="2">
        <v>0</v>
      </c>
      <c r="S88" s="2">
        <v>9818.181818181818</v>
      </c>
      <c r="T88" s="2"/>
      <c r="U88" s="2"/>
      <c r="V88" s="2"/>
      <c r="W88" s="2"/>
      <c r="X88" s="2">
        <f>34266+299055.2</f>
        <v>333321.2</v>
      </c>
      <c r="Y88" s="2">
        <f>12673.76+104080.68</f>
        <v>116754.43999999999</v>
      </c>
      <c r="Z88" s="2"/>
      <c r="AA88" s="2"/>
      <c r="AB88" s="2"/>
      <c r="AC88" s="2"/>
      <c r="AD88" s="2">
        <v>0</v>
      </c>
      <c r="AE88" s="2">
        <v>7536.5853658536589</v>
      </c>
      <c r="AF88" s="2">
        <f>170562.791341635+42852.945043347</f>
        <v>213415.73638498198</v>
      </c>
      <c r="AG88" s="2">
        <f>181656.885796807+42852.945043347</f>
        <v>224509.830840154</v>
      </c>
      <c r="AH88" s="2">
        <v>0</v>
      </c>
      <c r="AI88" s="2">
        <v>47680.665562320341</v>
      </c>
      <c r="AJ88" s="2">
        <v>0</v>
      </c>
      <c r="AK88" s="2">
        <v>1099980</v>
      </c>
      <c r="AL88" s="2"/>
      <c r="AM88" s="2"/>
      <c r="AN88" s="2"/>
      <c r="AO88" s="2"/>
      <c r="AP88" s="2"/>
      <c r="AQ88" s="2"/>
      <c r="AR88" s="2">
        <f>430630.272609405+377789.691178576</f>
        <v>808419.96378798096</v>
      </c>
      <c r="AS88" s="2">
        <f>87405.0258334334+242226.157211847</f>
        <v>329631.1830452804</v>
      </c>
      <c r="AT88" s="2"/>
      <c r="AU88" s="2"/>
    </row>
    <row r="89" spans="1:47" ht="36" x14ac:dyDescent="0.3">
      <c r="A89" s="3">
        <v>87</v>
      </c>
      <c r="B89" s="5" t="s">
        <v>136</v>
      </c>
      <c r="C89" s="5" t="s">
        <v>137</v>
      </c>
      <c r="D89" s="5">
        <v>1318.7</v>
      </c>
      <c r="E89" s="4">
        <f t="shared" si="1"/>
        <v>0</v>
      </c>
      <c r="F89" s="2"/>
      <c r="G89" s="2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ht="36" x14ac:dyDescent="0.3">
      <c r="A90" s="3">
        <v>88</v>
      </c>
      <c r="B90" s="5" t="s">
        <v>138</v>
      </c>
      <c r="C90" s="5" t="s">
        <v>139</v>
      </c>
      <c r="D90" s="5">
        <v>7858.3</v>
      </c>
      <c r="E90" s="4">
        <f t="shared" si="1"/>
        <v>7197079.490148142</v>
      </c>
      <c r="F90" s="2">
        <f>1491867.68301453+209846.597938144</f>
        <v>1701714.2809526739</v>
      </c>
      <c r="G90" s="2">
        <f>635335.425612788+209846.597938144</f>
        <v>845182.02355093195</v>
      </c>
      <c r="H90" s="5">
        <v>447525</v>
      </c>
      <c r="I90" s="2">
        <v>0</v>
      </c>
      <c r="J90" s="2">
        <f>117714.6+1932991.1493528</f>
        <v>2050705.7493528002</v>
      </c>
      <c r="K90" s="2">
        <f>117714.6+818797.274890011</f>
        <v>936511.87489001092</v>
      </c>
      <c r="L90" s="2">
        <v>42215</v>
      </c>
      <c r="M90" s="2">
        <v>15075</v>
      </c>
      <c r="N90" s="2">
        <v>0</v>
      </c>
      <c r="O90" s="2">
        <v>37280.898876404492</v>
      </c>
      <c r="P90" s="2"/>
      <c r="Q90" s="2"/>
      <c r="R90" s="2">
        <v>0</v>
      </c>
      <c r="S90" s="2">
        <v>9818.181818181818</v>
      </c>
      <c r="T90" s="2"/>
      <c r="U90" s="2"/>
      <c r="V90" s="2"/>
      <c r="W90" s="2"/>
      <c r="X90" s="2">
        <f>12461.8+299055.2</f>
        <v>311517</v>
      </c>
      <c r="Y90" s="2">
        <f>4104.2+104080.68</f>
        <v>108184.87999999999</v>
      </c>
      <c r="Z90" s="2"/>
      <c r="AA90" s="2"/>
      <c r="AB90" s="2"/>
      <c r="AC90" s="2"/>
      <c r="AD90" s="2"/>
      <c r="AE90" s="2"/>
      <c r="AF90" s="2">
        <f>117490.671739128+29518.8725485741</f>
        <v>147009.5442877021</v>
      </c>
      <c r="AG90" s="2">
        <f>125132.740678213+29518.8725485741</f>
        <v>154651.6132267871</v>
      </c>
      <c r="AH90" s="2">
        <v>0</v>
      </c>
      <c r="AI90" s="2">
        <v>32844.405170790844</v>
      </c>
      <c r="AJ90" s="2"/>
      <c r="AK90" s="2"/>
      <c r="AL90" s="2"/>
      <c r="AM90" s="2"/>
      <c r="AN90" s="2"/>
      <c r="AO90" s="2"/>
      <c r="AP90" s="2"/>
      <c r="AQ90" s="2"/>
      <c r="AR90" s="2">
        <v>296635.85827897</v>
      </c>
      <c r="AS90" s="2">
        <v>60208.179742888293</v>
      </c>
      <c r="AT90" s="2"/>
      <c r="AU90" s="2"/>
    </row>
    <row r="91" spans="1:47" ht="36" x14ac:dyDescent="0.3">
      <c r="A91" s="3">
        <v>89</v>
      </c>
      <c r="B91" s="5" t="s">
        <v>140</v>
      </c>
      <c r="C91" s="5" t="s">
        <v>141</v>
      </c>
      <c r="D91" s="5">
        <v>7847.8</v>
      </c>
      <c r="E91" s="4">
        <f t="shared" si="1"/>
        <v>7279636.5849520294</v>
      </c>
      <c r="F91" s="2">
        <f>1489874.2988638+209846.597938144</f>
        <v>1699720.8968019439</v>
      </c>
      <c r="G91" s="2">
        <f>634486.511475006+209846.597938144</f>
        <v>844333.10941315</v>
      </c>
      <c r="H91" s="5">
        <v>447525</v>
      </c>
      <c r="I91" s="2">
        <v>0</v>
      </c>
      <c r="J91" s="2">
        <f>117714.6+1930408.3506472</f>
        <v>2048122.9506472</v>
      </c>
      <c r="K91" s="2">
        <f>117714.6+817703.225109989</f>
        <v>935417.82510998903</v>
      </c>
      <c r="L91" s="2">
        <v>42215</v>
      </c>
      <c r="M91" s="2">
        <v>15075</v>
      </c>
      <c r="N91" s="2">
        <v>0</v>
      </c>
      <c r="O91" s="2">
        <v>37280.898876404492</v>
      </c>
      <c r="P91" s="2"/>
      <c r="Q91" s="2"/>
      <c r="R91" s="2">
        <v>0</v>
      </c>
      <c r="S91" s="2">
        <v>9818.181818181818</v>
      </c>
      <c r="T91" s="2"/>
      <c r="U91" s="2"/>
      <c r="V91" s="2"/>
      <c r="W91" s="2"/>
      <c r="X91" s="2">
        <f>12461.8+299055.2</f>
        <v>311517</v>
      </c>
      <c r="Y91" s="2">
        <f>4104.2+104080.68+45000+45000</f>
        <v>198184.88</v>
      </c>
      <c r="Z91" s="2"/>
      <c r="AA91" s="2"/>
      <c r="AB91" s="2"/>
      <c r="AC91" s="2"/>
      <c r="AD91" s="2"/>
      <c r="AE91" s="2"/>
      <c r="AF91" s="2">
        <f>117333.684597729+29479.4304094651</f>
        <v>146813.11500719411</v>
      </c>
      <c r="AG91" s="2">
        <f>124965.54245759+29479.4304094651</f>
        <v>154444.9728670551</v>
      </c>
      <c r="AH91" s="2">
        <v>0</v>
      </c>
      <c r="AI91" s="2">
        <v>32800.519565215422</v>
      </c>
      <c r="AJ91" s="2"/>
      <c r="AK91" s="2"/>
      <c r="AL91" s="2"/>
      <c r="AM91" s="2"/>
      <c r="AN91" s="2"/>
      <c r="AO91" s="2"/>
      <c r="AP91" s="2"/>
      <c r="AQ91" s="2"/>
      <c r="AR91" s="2">
        <v>296239.50327700662</v>
      </c>
      <c r="AS91" s="2">
        <v>60127.731568690273</v>
      </c>
      <c r="AT91" s="2"/>
      <c r="AU91" s="2"/>
    </row>
    <row r="92" spans="1:47" x14ac:dyDescent="0.3">
      <c r="A92" s="3">
        <v>90</v>
      </c>
      <c r="B92" s="5" t="s">
        <v>142</v>
      </c>
      <c r="C92" s="5" t="s">
        <v>143</v>
      </c>
      <c r="D92" s="5">
        <v>1453.6</v>
      </c>
      <c r="E92" s="4">
        <f t="shared" si="1"/>
        <v>134629.92201791145</v>
      </c>
      <c r="F92" s="2"/>
      <c r="G92" s="2"/>
      <c r="H92" s="2"/>
      <c r="I92" s="2"/>
      <c r="J92" s="2"/>
      <c r="K92" s="2"/>
      <c r="L92" s="2"/>
      <c r="M92" s="2"/>
      <c r="N92" s="2">
        <v>0</v>
      </c>
      <c r="O92" s="2">
        <v>10651.685393258427</v>
      </c>
      <c r="P92" s="2"/>
      <c r="Q92" s="2"/>
      <c r="R92" s="2">
        <v>0</v>
      </c>
      <c r="S92" s="2">
        <v>13090.90909090909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>
        <v>21733.00083224065</v>
      </c>
      <c r="AG92" s="2">
        <v>23146.603190238344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>
        <v>54870.631509908097</v>
      </c>
      <c r="AS92" s="2">
        <v>11137.092001356836</v>
      </c>
      <c r="AT92" s="2"/>
      <c r="AU92" s="2"/>
    </row>
    <row r="93" spans="1:47" ht="36" x14ac:dyDescent="0.3">
      <c r="A93" s="3">
        <v>91</v>
      </c>
      <c r="B93" s="5" t="s">
        <v>144</v>
      </c>
      <c r="C93" s="5" t="s">
        <v>145</v>
      </c>
      <c r="D93" s="5">
        <v>6172.3</v>
      </c>
      <c r="E93" s="4">
        <f t="shared" si="1"/>
        <v>3646243.6583465342</v>
      </c>
      <c r="F93" s="2">
        <v>0</v>
      </c>
      <c r="G93" s="2">
        <f>137850+768000</f>
        <v>905850</v>
      </c>
      <c r="H93" s="2">
        <v>0</v>
      </c>
      <c r="I93" s="2">
        <v>86786</v>
      </c>
      <c r="J93" s="2">
        <v>0</v>
      </c>
      <c r="K93" s="2">
        <v>1033793.85</v>
      </c>
      <c r="L93" s="2">
        <v>0</v>
      </c>
      <c r="M93" s="2">
        <v>26200</v>
      </c>
      <c r="N93" s="2">
        <v>0</v>
      </c>
      <c r="O93" s="2">
        <v>260000</v>
      </c>
      <c r="P93" s="2">
        <v>0</v>
      </c>
      <c r="Q93" s="2">
        <f>287040+499000</f>
        <v>786040</v>
      </c>
      <c r="R93" s="2">
        <v>0</v>
      </c>
      <c r="S93" s="2">
        <v>6545.454545454545</v>
      </c>
      <c r="T93" s="2">
        <v>0</v>
      </c>
      <c r="U93" s="2">
        <v>32400</v>
      </c>
      <c r="V93" s="2">
        <v>0</v>
      </c>
      <c r="W93" s="2">
        <v>199200</v>
      </c>
      <c r="X93" s="2">
        <v>37500</v>
      </c>
      <c r="Y93" s="2">
        <v>35510.391250000001</v>
      </c>
      <c r="Z93" s="2"/>
      <c r="AA93" s="2"/>
      <c r="AB93" s="2"/>
      <c r="AC93" s="2"/>
      <c r="AD93" s="2"/>
      <c r="AE93" s="2"/>
      <c r="AF93" s="2"/>
      <c r="AG93" s="2"/>
      <c r="AH93" s="2">
        <v>0</v>
      </c>
      <c r="AI93" s="2">
        <v>2581.6125510797324</v>
      </c>
      <c r="AJ93" s="2"/>
      <c r="AK93" s="2"/>
      <c r="AL93" s="2"/>
      <c r="AM93" s="2"/>
      <c r="AN93" s="2"/>
      <c r="AO93" s="2"/>
      <c r="AP93" s="2">
        <v>0</v>
      </c>
      <c r="AQ93" s="2">
        <v>64636.35</v>
      </c>
      <c r="AR93" s="2">
        <v>0</v>
      </c>
      <c r="AS93" s="2">
        <v>169200</v>
      </c>
      <c r="AT93" s="2"/>
      <c r="AU93" s="2"/>
    </row>
    <row r="94" spans="1:47" ht="36" x14ac:dyDescent="0.3">
      <c r="A94" s="3">
        <v>92</v>
      </c>
      <c r="B94" s="5" t="s">
        <v>146</v>
      </c>
      <c r="C94" s="5" t="s">
        <v>147</v>
      </c>
      <c r="D94" s="5">
        <f>3618.1+54197.28</f>
        <v>57815.38</v>
      </c>
      <c r="E94" s="4">
        <f t="shared" si="1"/>
        <v>5782730.7025529593</v>
      </c>
      <c r="F94" s="2">
        <f>157500+681776.409879788</f>
        <v>839276.40987978806</v>
      </c>
      <c r="G94" s="2">
        <f>5217.39130434783+1022839.42928375</f>
        <v>1028056.8205880978</v>
      </c>
      <c r="H94" s="2">
        <v>167500</v>
      </c>
      <c r="I94" s="2">
        <v>0</v>
      </c>
      <c r="J94" s="2">
        <v>71573.597794766101</v>
      </c>
      <c r="K94" s="2">
        <v>0</v>
      </c>
      <c r="L94" s="2">
        <v>28800</v>
      </c>
      <c r="M94" s="2">
        <v>49867.199999999997</v>
      </c>
      <c r="N94" s="2">
        <v>0</v>
      </c>
      <c r="O94" s="2">
        <v>5325.8426966292136</v>
      </c>
      <c r="P94" s="2"/>
      <c r="Q94" s="2"/>
      <c r="R94" s="2">
        <v>0</v>
      </c>
      <c r="S94" s="2">
        <v>6545.454545454545</v>
      </c>
      <c r="T94" s="2">
        <v>89820</v>
      </c>
      <c r="U94" s="2">
        <v>159680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>
        <v>0</v>
      </c>
      <c r="AI94" s="2">
        <f>1770+15122.1437649922</f>
        <v>16892.143764992201</v>
      </c>
      <c r="AJ94" s="2"/>
      <c r="AK94" s="2"/>
      <c r="AL94" s="2"/>
      <c r="AM94" s="2"/>
      <c r="AN94" s="2"/>
      <c r="AO94" s="2"/>
      <c r="AP94" s="2">
        <v>0</v>
      </c>
      <c r="AQ94" s="2">
        <v>177172.69675494215</v>
      </c>
      <c r="AR94" s="2">
        <v>1914626.1005936211</v>
      </c>
      <c r="AS94" s="2">
        <v>1227594.4359346679</v>
      </c>
      <c r="AT94" s="2"/>
      <c r="AU94" s="2"/>
    </row>
    <row r="95" spans="1:47" ht="36" x14ac:dyDescent="0.3">
      <c r="A95" s="3">
        <v>93</v>
      </c>
      <c r="B95" s="5" t="s">
        <v>148</v>
      </c>
      <c r="C95" s="5" t="s">
        <v>149</v>
      </c>
      <c r="D95" s="5">
        <v>1556.1</v>
      </c>
      <c r="E95" s="4">
        <f t="shared" si="1"/>
        <v>1695336.1442372717</v>
      </c>
      <c r="F95" s="2">
        <f>89551.92+67500+293223.590120212</f>
        <v>450275.51012021198</v>
      </c>
      <c r="G95" s="2">
        <f>439910.570716246</f>
        <v>439910.57071624597</v>
      </c>
      <c r="H95" s="2">
        <v>128000</v>
      </c>
      <c r="I95" s="2">
        <v>0</v>
      </c>
      <c r="J95" s="2">
        <v>1926.4022052338935</v>
      </c>
      <c r="K95" s="2">
        <v>0</v>
      </c>
      <c r="L95" s="2">
        <v>12211.2</v>
      </c>
      <c r="M95" s="2">
        <v>49867.199999999997</v>
      </c>
      <c r="N95" s="2">
        <v>0</v>
      </c>
      <c r="O95" s="2">
        <v>5325.8426966292136</v>
      </c>
      <c r="P95" s="2"/>
      <c r="Q95" s="2"/>
      <c r="R95" s="2">
        <v>0</v>
      </c>
      <c r="S95" s="2">
        <v>6545.454545454545</v>
      </c>
      <c r="T95" s="2">
        <v>38484</v>
      </c>
      <c r="U95" s="2">
        <v>68416</v>
      </c>
      <c r="V95" s="2"/>
      <c r="W95" s="2"/>
      <c r="X95" s="2"/>
      <c r="Y95" s="2"/>
      <c r="Z95" s="2"/>
      <c r="AA95" s="2"/>
      <c r="AB95" s="2">
        <f>119500+259200</f>
        <v>378700</v>
      </c>
      <c r="AC95" s="2">
        <v>0</v>
      </c>
      <c r="AD95" s="2"/>
      <c r="AE95" s="2"/>
      <c r="AF95" s="2"/>
      <c r="AG95" s="2"/>
      <c r="AH95" s="2">
        <v>0</v>
      </c>
      <c r="AI95" s="2">
        <f>1770+6503.84674627688</f>
        <v>8273.8467462768804</v>
      </c>
      <c r="AJ95" s="2"/>
      <c r="AK95" s="2"/>
      <c r="AL95" s="2"/>
      <c r="AM95" s="2"/>
      <c r="AN95" s="2"/>
      <c r="AO95" s="2"/>
      <c r="AP95" s="2">
        <v>0</v>
      </c>
      <c r="AQ95" s="2">
        <v>22827.303245057814</v>
      </c>
      <c r="AR95" s="2">
        <v>51532.129947666755</v>
      </c>
      <c r="AS95" s="2">
        <v>33040.684014494698</v>
      </c>
      <c r="AT95" s="2"/>
      <c r="AU95" s="2"/>
    </row>
    <row r="96" spans="1:47" ht="36" x14ac:dyDescent="0.3">
      <c r="A96" s="3">
        <v>94</v>
      </c>
      <c r="B96" s="5" t="s">
        <v>150</v>
      </c>
      <c r="C96" s="5" t="s">
        <v>151</v>
      </c>
      <c r="D96" s="5">
        <v>2615.5</v>
      </c>
      <c r="E96" s="4">
        <f t="shared" si="1"/>
        <v>1656781.2022378356</v>
      </c>
      <c r="F96" s="2">
        <v>1000000</v>
      </c>
      <c r="G96" s="2">
        <f>130000+26400+215500+85204.8</f>
        <v>457104.8</v>
      </c>
      <c r="H96" s="2">
        <v>105704</v>
      </c>
      <c r="I96" s="2">
        <v>50000</v>
      </c>
      <c r="J96" s="2"/>
      <c r="K96" s="2"/>
      <c r="L96" s="2"/>
      <c r="M96" s="2"/>
      <c r="N96" s="2"/>
      <c r="O96" s="2"/>
      <c r="P96" s="2"/>
      <c r="Q96" s="2"/>
      <c r="R96" s="2">
        <v>0</v>
      </c>
      <c r="S96" s="2">
        <v>6545.454545454545</v>
      </c>
      <c r="T96" s="2"/>
      <c r="U96" s="2"/>
      <c r="V96" s="2"/>
      <c r="W96" s="2"/>
      <c r="X96" s="2"/>
      <c r="Y96" s="2"/>
      <c r="Z96" s="2">
        <v>0</v>
      </c>
      <c r="AA96" s="2">
        <v>25732.05</v>
      </c>
      <c r="AB96" s="2"/>
      <c r="AC96" s="2"/>
      <c r="AD96" s="2"/>
      <c r="AE96" s="2"/>
      <c r="AF96" s="2"/>
      <c r="AG96" s="2"/>
      <c r="AH96" s="2">
        <v>0</v>
      </c>
      <c r="AI96" s="2">
        <v>10931.695369762347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>
        <v>763.20232261858098</v>
      </c>
      <c r="AU96" s="2">
        <v>0</v>
      </c>
    </row>
    <row r="97" spans="1:47" ht="36" x14ac:dyDescent="0.3">
      <c r="A97" s="3">
        <v>95</v>
      </c>
      <c r="B97" s="2" t="s">
        <v>152</v>
      </c>
      <c r="C97" s="2" t="s">
        <v>153</v>
      </c>
      <c r="D97" s="5">
        <v>22228.9</v>
      </c>
      <c r="E97" s="4">
        <f t="shared" si="1"/>
        <v>15632676.529370461</v>
      </c>
      <c r="F97" s="2">
        <v>0</v>
      </c>
      <c r="G97" s="2">
        <f>687077.914516959+300000+300000+300000+3400000</f>
        <v>4987077.9145169593</v>
      </c>
      <c r="H97" s="2"/>
      <c r="I97" s="2"/>
      <c r="J97" s="2">
        <v>0</v>
      </c>
      <c r="K97" s="2">
        <f>180560+160628.119620553+1055691.13292275</f>
        <v>1396879.252543303</v>
      </c>
      <c r="L97" s="2">
        <v>0</v>
      </c>
      <c r="M97" s="2">
        <f>70440+5732.66518775968</f>
        <v>76172.665187759674</v>
      </c>
      <c r="N97" s="2"/>
      <c r="O97" s="2"/>
      <c r="P97" s="2"/>
      <c r="Q97" s="2"/>
      <c r="R97" s="2">
        <v>0</v>
      </c>
      <c r="S97" s="2">
        <v>32727.272727272728</v>
      </c>
      <c r="T97" s="2"/>
      <c r="U97" s="2"/>
      <c r="V97" s="2">
        <v>0</v>
      </c>
      <c r="W97" s="2">
        <v>354974.56912338495</v>
      </c>
      <c r="X97" s="2">
        <v>0</v>
      </c>
      <c r="Y97" s="2">
        <v>600000</v>
      </c>
      <c r="Z97" s="2"/>
      <c r="AA97" s="2"/>
      <c r="AB97" s="2"/>
      <c r="AC97" s="2"/>
      <c r="AD97" s="2">
        <v>0</v>
      </c>
      <c r="AE97" s="2">
        <v>7536.5853658536589</v>
      </c>
      <c r="AF97" s="2">
        <v>0</v>
      </c>
      <c r="AG97" s="2">
        <f>3180000+720000</f>
        <v>3900000</v>
      </c>
      <c r="AH97" s="2">
        <v>0</v>
      </c>
      <c r="AI97" s="2">
        <v>92907.49883575234</v>
      </c>
      <c r="AJ97" s="2">
        <v>0</v>
      </c>
      <c r="AK97" s="2">
        <v>1403749.2</v>
      </c>
      <c r="AL97" s="2"/>
      <c r="AM97" s="2"/>
      <c r="AN97" s="2"/>
      <c r="AO97" s="2"/>
      <c r="AP97" s="2"/>
      <c r="AQ97" s="2"/>
      <c r="AR97" s="2">
        <v>0</v>
      </c>
      <c r="AS97" s="2">
        <f>11472.6670121583+257315.35+2511863.55405802</f>
        <v>2780651.5710701784</v>
      </c>
      <c r="AT97" s="2"/>
      <c r="AU97" s="2"/>
    </row>
    <row r="98" spans="1:47" ht="36" x14ac:dyDescent="0.3">
      <c r="A98" s="3">
        <v>96</v>
      </c>
      <c r="B98" s="2" t="s">
        <v>154</v>
      </c>
      <c r="C98" s="2" t="s">
        <v>155</v>
      </c>
      <c r="D98" s="5">
        <v>481.3</v>
      </c>
      <c r="E98" s="4">
        <f t="shared" si="1"/>
        <v>16821.085600637649</v>
      </c>
      <c r="F98" s="2"/>
      <c r="G98" s="2"/>
      <c r="H98" s="2"/>
      <c r="I98" s="2"/>
      <c r="J98" s="2"/>
      <c r="K98" s="2">
        <v>3477.9190141379913</v>
      </c>
      <c r="L98" s="2">
        <v>0</v>
      </c>
      <c r="M98" s="2">
        <v>13343.166586499658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ht="36" x14ac:dyDescent="0.3">
      <c r="A99" s="3">
        <v>97</v>
      </c>
      <c r="B99" s="2" t="s">
        <v>156</v>
      </c>
      <c r="C99" s="2" t="s">
        <v>157</v>
      </c>
      <c r="D99" s="5">
        <v>140.9</v>
      </c>
      <c r="E99" s="4">
        <f t="shared" si="1"/>
        <v>7861.2382073837234</v>
      </c>
      <c r="F99" s="2"/>
      <c r="G99" s="2"/>
      <c r="H99" s="2"/>
      <c r="I99" s="2"/>
      <c r="J99" s="2"/>
      <c r="K99" s="2">
        <v>1018.1566363848805</v>
      </c>
      <c r="L99" s="2">
        <v>0</v>
      </c>
      <c r="M99" s="2">
        <v>6843.0815709988428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ht="36" x14ac:dyDescent="0.3">
      <c r="A100" s="3">
        <v>98</v>
      </c>
      <c r="B100" s="2" t="s">
        <v>158</v>
      </c>
      <c r="C100" s="2" t="s">
        <v>159</v>
      </c>
      <c r="D100" s="2">
        <v>7998.2</v>
      </c>
      <c r="E100" s="4">
        <f t="shared" si="1"/>
        <v>3049316.5551219559</v>
      </c>
      <c r="F100" s="2">
        <v>0</v>
      </c>
      <c r="G100" s="2">
        <f>247218.106873914+196317.832084032+175912.034425005+10710+633333.333333333</f>
        <v>1263491.306716284</v>
      </c>
      <c r="H100" s="2"/>
      <c r="I100" s="2"/>
      <c r="J100" s="2"/>
      <c r="K100" s="2">
        <f>57795.7445644681+341639.081352787</f>
        <v>399434.82591725508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>
        <v>0</v>
      </c>
      <c r="W100" s="2">
        <v>127723.71096917335</v>
      </c>
      <c r="X100" s="2"/>
      <c r="Y100" s="2"/>
      <c r="Z100" s="2"/>
      <c r="AA100" s="2"/>
      <c r="AB100" s="2"/>
      <c r="AC100" s="2"/>
      <c r="AD100" s="2"/>
      <c r="AE100" s="2"/>
      <c r="AF100" s="2">
        <v>0</v>
      </c>
      <c r="AG100" s="2">
        <v>268672.88912349741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>
        <v>0</v>
      </c>
      <c r="AS100" s="2">
        <f>4127.99037724065+82070.0041517704+903795.827866735</f>
        <v>989993.82239574613</v>
      </c>
      <c r="AT100" s="2"/>
      <c r="AU100" s="2"/>
    </row>
    <row r="101" spans="1:47" ht="36" x14ac:dyDescent="0.3">
      <c r="A101" s="3">
        <v>99</v>
      </c>
      <c r="B101" s="2" t="s">
        <v>158</v>
      </c>
      <c r="C101" s="2" t="s">
        <v>160</v>
      </c>
      <c r="D101" s="2">
        <v>4101.8999999999996</v>
      </c>
      <c r="E101" s="4">
        <f t="shared" si="1"/>
        <v>1479822.3578999322</v>
      </c>
      <c r="F101" s="2">
        <v>0</v>
      </c>
      <c r="G101" s="2">
        <f>126786.521040497+100682.167915968+90216.9955749953+4590+316666.666666667</f>
        <v>638942.35119812726</v>
      </c>
      <c r="H101" s="2"/>
      <c r="I101" s="2"/>
      <c r="J101" s="2"/>
      <c r="K101" s="2">
        <v>129865.66922521795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>
        <v>0</v>
      </c>
      <c r="W101" s="2">
        <v>65503.474534826855</v>
      </c>
      <c r="X101" s="2"/>
      <c r="Y101" s="2"/>
      <c r="Z101" s="2"/>
      <c r="AA101" s="2"/>
      <c r="AB101" s="2"/>
      <c r="AC101" s="2"/>
      <c r="AD101" s="2"/>
      <c r="AE101" s="2"/>
      <c r="AF101" s="2">
        <v>0</v>
      </c>
      <c r="AG101" s="2">
        <v>137789.66816229577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>
        <v>0</v>
      </c>
      <c r="AS101" s="2">
        <f>2117.05180270604+42089.8389675361+463514.304009222</f>
        <v>507721.19477946416</v>
      </c>
      <c r="AT101" s="2"/>
      <c r="AU101" s="2"/>
    </row>
    <row r="102" spans="1:47" ht="36" x14ac:dyDescent="0.3">
      <c r="A102" s="3">
        <v>100</v>
      </c>
      <c r="B102" s="2" t="s">
        <v>161</v>
      </c>
      <c r="C102" s="2" t="s">
        <v>162</v>
      </c>
      <c r="D102" s="2">
        <v>489.2</v>
      </c>
      <c r="E102" s="4">
        <f t="shared" si="1"/>
        <v>10329.554408999693</v>
      </c>
      <c r="F102" s="2"/>
      <c r="G102" s="2"/>
      <c r="H102" s="2"/>
      <c r="I102" s="2"/>
      <c r="J102" s="2"/>
      <c r="K102" s="2"/>
      <c r="L102" s="2">
        <v>0</v>
      </c>
      <c r="M102" s="2">
        <v>10329.554408999693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ht="36" x14ac:dyDescent="0.3">
      <c r="A103" s="3">
        <v>101</v>
      </c>
      <c r="B103" s="2" t="s">
        <v>163</v>
      </c>
      <c r="C103" s="2" t="s">
        <v>164</v>
      </c>
      <c r="D103" s="2">
        <v>482.4</v>
      </c>
      <c r="E103" s="4">
        <f t="shared" si="1"/>
        <v>2700.2322457421274</v>
      </c>
      <c r="F103" s="2"/>
      <c r="G103" s="2"/>
      <c r="H103" s="2"/>
      <c r="I103" s="2"/>
      <c r="J103" s="2"/>
      <c r="K103" s="2"/>
      <c r="L103" s="2">
        <v>0</v>
      </c>
      <c r="M103" s="2">
        <v>2700.2322457421274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ht="36" x14ac:dyDescent="0.3">
      <c r="A104" s="3">
        <v>102</v>
      </c>
      <c r="B104" s="2" t="s">
        <v>165</v>
      </c>
      <c r="C104" s="2" t="s">
        <v>166</v>
      </c>
      <c r="D104" s="2">
        <v>10231.5</v>
      </c>
      <c r="E104" s="4">
        <f t="shared" si="1"/>
        <v>3823468.134865751</v>
      </c>
      <c r="F104" s="2">
        <v>0</v>
      </c>
      <c r="G104" s="2">
        <f>316247.663284295+235451.104516469+210977.690428944+633333.333333333</f>
        <v>1396009.791563041</v>
      </c>
      <c r="H104" s="2"/>
      <c r="I104" s="2"/>
      <c r="J104" s="2"/>
      <c r="K104" s="2">
        <f>73933.7801644564+572482.238019678</f>
        <v>646416.0181841345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>
        <v>0</v>
      </c>
      <c r="W104" s="2">
        <v>163387.40576393402</v>
      </c>
      <c r="X104" s="2"/>
      <c r="Y104" s="2"/>
      <c r="Z104" s="2"/>
      <c r="AA104" s="2"/>
      <c r="AB104" s="2"/>
      <c r="AC104" s="2"/>
      <c r="AD104" s="2">
        <v>0</v>
      </c>
      <c r="AE104" s="2">
        <v>7536.5853658536589</v>
      </c>
      <c r="AF104" s="2">
        <v>0</v>
      </c>
      <c r="AG104" s="2">
        <v>343693.16409530438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>
        <v>0</v>
      </c>
      <c r="AS104" s="2">
        <f>5280.62983480505+104986.027791108+1156158.51226757</f>
        <v>1266425.1698934832</v>
      </c>
      <c r="AT104" s="2"/>
      <c r="AU104" s="2"/>
    </row>
    <row r="105" spans="1:47" ht="36" x14ac:dyDescent="0.3">
      <c r="A105" s="3">
        <v>103</v>
      </c>
      <c r="B105" s="2" t="s">
        <v>167</v>
      </c>
      <c r="C105" s="2" t="s">
        <v>168</v>
      </c>
      <c r="D105" s="2">
        <v>2674.6</v>
      </c>
      <c r="E105" s="4">
        <f t="shared" si="1"/>
        <v>1094135.3445738703</v>
      </c>
      <c r="F105" s="2">
        <v>0</v>
      </c>
      <c r="G105" s="2">
        <f>82669.7942843352+61548.895483531+55151.3395710555+316666.666666667</f>
        <v>516036.69600558869</v>
      </c>
      <c r="H105" s="2"/>
      <c r="I105" s="2"/>
      <c r="J105" s="2"/>
      <c r="K105" s="2">
        <v>114489.35847957147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>
        <v>0</v>
      </c>
      <c r="W105" s="2">
        <v>42710.839608680835</v>
      </c>
      <c r="X105" s="2"/>
      <c r="Y105" s="2"/>
      <c r="Z105" s="2"/>
      <c r="AA105" s="2"/>
      <c r="AB105" s="2"/>
      <c r="AC105" s="2"/>
      <c r="AD105" s="2"/>
      <c r="AE105" s="2"/>
      <c r="AF105" s="2">
        <v>0</v>
      </c>
      <c r="AG105" s="2">
        <v>89844.278618902521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>
        <v>0</v>
      </c>
      <c r="AS105" s="2">
        <f>1380.40097308993+27444.2290895858+302229.541798451</f>
        <v>331054.17186112673</v>
      </c>
      <c r="AT105" s="2"/>
      <c r="AU105" s="2"/>
    </row>
    <row r="106" spans="1:47" ht="36" x14ac:dyDescent="0.3">
      <c r="A106" s="3">
        <v>104</v>
      </c>
      <c r="B106" s="2" t="s">
        <v>169</v>
      </c>
      <c r="C106" s="2" t="s">
        <v>170</v>
      </c>
      <c r="D106" s="2">
        <v>3021.3</v>
      </c>
      <c r="E106" s="4">
        <f t="shared" si="1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ht="36" x14ac:dyDescent="0.3">
      <c r="A107" s="3">
        <v>105</v>
      </c>
      <c r="B107" s="2" t="s">
        <v>171</v>
      </c>
      <c r="C107" s="2" t="s">
        <v>172</v>
      </c>
      <c r="D107" s="2">
        <v>1759.2</v>
      </c>
      <c r="E107" s="4">
        <f t="shared" si="1"/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ht="36" x14ac:dyDescent="0.3">
      <c r="A108" s="3">
        <v>106</v>
      </c>
      <c r="B108" s="2" t="s">
        <v>173</v>
      </c>
      <c r="C108" s="2" t="s">
        <v>174</v>
      </c>
      <c r="D108" s="2">
        <v>110.3</v>
      </c>
      <c r="E108" s="4">
        <f t="shared" si="1"/>
        <v>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ht="36" x14ac:dyDescent="0.3">
      <c r="A109" s="3">
        <v>107</v>
      </c>
      <c r="B109" s="2" t="s">
        <v>175</v>
      </c>
      <c r="C109" s="2" t="s">
        <v>176</v>
      </c>
      <c r="D109" s="2">
        <v>3989.9</v>
      </c>
      <c r="E109" s="4">
        <f t="shared" si="1"/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3">
      <c r="A110" s="3">
        <v>108</v>
      </c>
      <c r="B110" s="2" t="s">
        <v>177</v>
      </c>
      <c r="C110" s="2" t="s">
        <v>178</v>
      </c>
      <c r="D110" s="2">
        <v>1762.7</v>
      </c>
      <c r="E110" s="4">
        <f t="shared" si="1"/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s="8" customFormat="1" ht="22.8" x14ac:dyDescent="0.3">
      <c r="A111" s="125"/>
      <c r="B111" s="128" t="s">
        <v>179</v>
      </c>
      <c r="C111" s="6" t="s">
        <v>180</v>
      </c>
      <c r="D111" s="131">
        <v>108</v>
      </c>
      <c r="E111" s="132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s="8" customFormat="1" ht="22.8" x14ac:dyDescent="0.3">
      <c r="A112" s="126"/>
      <c r="B112" s="129"/>
      <c r="C112" s="6" t="s">
        <v>3</v>
      </c>
      <c r="D112" s="131">
        <f>SUM(D3:D110)</f>
        <v>412068.08</v>
      </c>
      <c r="E112" s="132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s="8" customFormat="1" ht="20.25" customHeight="1" x14ac:dyDescent="0.3">
      <c r="A113" s="127"/>
      <c r="B113" s="130"/>
      <c r="C113" s="7" t="s">
        <v>209</v>
      </c>
      <c r="D113" s="133">
        <f>SUM(F113:AU113)</f>
        <v>175585158.25866055</v>
      </c>
      <c r="E113" s="134"/>
      <c r="F113" s="7">
        <f>SUM(F3:F110)</f>
        <v>9271916.4800000042</v>
      </c>
      <c r="G113" s="7">
        <f t="shared" ref="G113:AU113" si="2">SUM(G3:G110)</f>
        <v>34724426.590000004</v>
      </c>
      <c r="H113" s="7">
        <f t="shared" si="2"/>
        <v>3893850.98</v>
      </c>
      <c r="I113" s="7">
        <f t="shared" si="2"/>
        <v>1164400.8900000001</v>
      </c>
      <c r="J113" s="7">
        <f t="shared" si="2"/>
        <v>12291974.179999994</v>
      </c>
      <c r="K113" s="7">
        <f t="shared" si="2"/>
        <v>24099609.830000002</v>
      </c>
      <c r="L113" s="7">
        <f t="shared" si="2"/>
        <v>407792.52000000008</v>
      </c>
      <c r="M113" s="7">
        <f t="shared" si="2"/>
        <v>585216.28</v>
      </c>
      <c r="N113" s="7">
        <f t="shared" si="2"/>
        <v>0</v>
      </c>
      <c r="O113" s="7">
        <f t="shared" si="2"/>
        <v>1573499.9946067417</v>
      </c>
      <c r="P113" s="7">
        <f t="shared" si="2"/>
        <v>0</v>
      </c>
      <c r="Q113" s="7">
        <f t="shared" si="2"/>
        <v>1886030</v>
      </c>
      <c r="R113" s="7">
        <f t="shared" si="2"/>
        <v>0</v>
      </c>
      <c r="S113" s="7">
        <f t="shared" si="2"/>
        <v>800350.40000000072</v>
      </c>
      <c r="T113" s="7">
        <f t="shared" si="2"/>
        <v>2141068.2000000007</v>
      </c>
      <c r="U113" s="7">
        <f t="shared" si="2"/>
        <v>2364784.3000000003</v>
      </c>
      <c r="V113" s="7">
        <f t="shared" si="2"/>
        <v>173050.35971223022</v>
      </c>
      <c r="W113" s="7">
        <f t="shared" si="2"/>
        <v>1873441.5643415703</v>
      </c>
      <c r="X113" s="7">
        <f t="shared" si="2"/>
        <v>2471032.1</v>
      </c>
      <c r="Y113" s="7">
        <f t="shared" si="2"/>
        <v>2367371.09</v>
      </c>
      <c r="Z113" s="7">
        <f t="shared" si="2"/>
        <v>0</v>
      </c>
      <c r="AA113" s="7">
        <f t="shared" si="2"/>
        <v>1275535</v>
      </c>
      <c r="AB113" s="7">
        <f t="shared" si="2"/>
        <v>378700</v>
      </c>
      <c r="AC113" s="7">
        <f t="shared" si="2"/>
        <v>307200</v>
      </c>
      <c r="AD113" s="7">
        <f t="shared" si="2"/>
        <v>0</v>
      </c>
      <c r="AE113" s="7">
        <f t="shared" si="2"/>
        <v>309000.00000000006</v>
      </c>
      <c r="AF113" s="7">
        <f t="shared" si="2"/>
        <v>3471755.1499999994</v>
      </c>
      <c r="AG113" s="7">
        <f t="shared" si="2"/>
        <v>8567422.8499999996</v>
      </c>
      <c r="AH113" s="7">
        <f t="shared" si="2"/>
        <v>0</v>
      </c>
      <c r="AI113" s="7">
        <f t="shared" si="2"/>
        <v>525579.99999999988</v>
      </c>
      <c r="AJ113" s="7">
        <f t="shared" si="2"/>
        <v>6230898.6399999997</v>
      </c>
      <c r="AK113" s="7">
        <f t="shared" si="2"/>
        <v>14713264.669999998</v>
      </c>
      <c r="AL113" s="7">
        <f t="shared" si="2"/>
        <v>0</v>
      </c>
      <c r="AM113" s="7">
        <f t="shared" si="2"/>
        <v>492000</v>
      </c>
      <c r="AN113" s="7">
        <f t="shared" si="2"/>
        <v>0</v>
      </c>
      <c r="AO113" s="7">
        <f t="shared" si="2"/>
        <v>1351680.56</v>
      </c>
      <c r="AP113" s="7">
        <f t="shared" si="2"/>
        <v>0</v>
      </c>
      <c r="AQ113" s="7">
        <f t="shared" si="2"/>
        <v>2494636.35</v>
      </c>
      <c r="AR113" s="7">
        <f t="shared" si="2"/>
        <v>12777092.149999997</v>
      </c>
      <c r="AS113" s="7">
        <f t="shared" si="2"/>
        <v>18966232.25</v>
      </c>
      <c r="AT113" s="7">
        <f t="shared" si="2"/>
        <v>644344.87999999989</v>
      </c>
      <c r="AU113" s="7">
        <f t="shared" si="2"/>
        <v>990000</v>
      </c>
    </row>
    <row r="115" spans="1:47" ht="37.5" customHeight="1" x14ac:dyDescent="0.3">
      <c r="A115" s="9" t="s">
        <v>181</v>
      </c>
      <c r="B115" s="120" t="s">
        <v>182</v>
      </c>
      <c r="C115" s="120"/>
      <c r="D115" s="120"/>
      <c r="E115" s="10"/>
    </row>
    <row r="116" spans="1:47" ht="37.5" customHeight="1" x14ac:dyDescent="0.3">
      <c r="A116" s="9" t="s">
        <v>183</v>
      </c>
      <c r="B116" s="120" t="s">
        <v>184</v>
      </c>
      <c r="C116" s="120"/>
      <c r="D116" s="120"/>
      <c r="E116" s="10"/>
    </row>
    <row r="121" spans="1:47" ht="25.2" x14ac:dyDescent="0.3">
      <c r="B121" s="12"/>
      <c r="C121" s="12"/>
      <c r="D121" s="12"/>
      <c r="E121" s="12"/>
    </row>
  </sheetData>
  <autoFilter ref="A1:D113" xr:uid="{00000000-0009-0000-0000-000000000000}"/>
  <mergeCells count="33">
    <mergeCell ref="R1:S1"/>
    <mergeCell ref="T1:U1"/>
    <mergeCell ref="AR1:AS1"/>
    <mergeCell ref="AT1:AU1"/>
    <mergeCell ref="B115:D115"/>
    <mergeCell ref="H1:I1"/>
    <mergeCell ref="J1:K1"/>
    <mergeCell ref="L1:M1"/>
    <mergeCell ref="N1:O1"/>
    <mergeCell ref="AP1:AQ1"/>
    <mergeCell ref="AN1:AO1"/>
    <mergeCell ref="P1:Q1"/>
    <mergeCell ref="AD1:AE1"/>
    <mergeCell ref="AF1:AG1"/>
    <mergeCell ref="AH1:AI1"/>
    <mergeCell ref="AJ1:AK1"/>
    <mergeCell ref="B116:D116"/>
    <mergeCell ref="F1:G1"/>
    <mergeCell ref="A1:A2"/>
    <mergeCell ref="B1:B2"/>
    <mergeCell ref="C1:C2"/>
    <mergeCell ref="D1:D2"/>
    <mergeCell ref="A111:A113"/>
    <mergeCell ref="B111:B113"/>
    <mergeCell ref="E1:E2"/>
    <mergeCell ref="D111:E111"/>
    <mergeCell ref="D112:E112"/>
    <mergeCell ref="D113:E113"/>
    <mergeCell ref="V1:W1"/>
    <mergeCell ref="X1:Y1"/>
    <mergeCell ref="Z1:AA1"/>
    <mergeCell ref="AB1:AC1"/>
    <mergeCell ref="AL1:AM1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G49"/>
  <sheetViews>
    <sheetView topLeftCell="A4" workbookViewId="0">
      <selection activeCell="A26" sqref="A26"/>
    </sheetView>
  </sheetViews>
  <sheetFormatPr defaultColWidth="9.109375" defaultRowHeight="14.4" x14ac:dyDescent="0.3"/>
  <cols>
    <col min="1" max="1" width="45.5546875" style="14" customWidth="1"/>
    <col min="2" max="2" width="34.6640625" style="14" customWidth="1"/>
    <col min="3" max="16384" width="9.109375" style="14"/>
  </cols>
  <sheetData>
    <row r="1" spans="1:2" x14ac:dyDescent="0.3">
      <c r="A1" s="13" t="s">
        <v>2</v>
      </c>
      <c r="B1" s="13" t="s">
        <v>211</v>
      </c>
    </row>
    <row r="2" spans="1:2" x14ac:dyDescent="0.3">
      <c r="A2" s="13" t="s">
        <v>212</v>
      </c>
      <c r="B2" s="13" t="s">
        <v>213</v>
      </c>
    </row>
    <row r="3" spans="1:2" x14ac:dyDescent="0.3">
      <c r="A3" s="13" t="s">
        <v>214</v>
      </c>
      <c r="B3" s="13" t="s">
        <v>215</v>
      </c>
    </row>
    <row r="4" spans="1:2" x14ac:dyDescent="0.3">
      <c r="A4" s="13" t="s">
        <v>216</v>
      </c>
      <c r="B4" s="13" t="s">
        <v>217</v>
      </c>
    </row>
    <row r="5" spans="1:2" x14ac:dyDescent="0.3">
      <c r="A5" s="13" t="s">
        <v>218</v>
      </c>
      <c r="B5" s="13" t="s">
        <v>219</v>
      </c>
    </row>
    <row r="6" spans="1:2" x14ac:dyDescent="0.3">
      <c r="A6" s="13" t="s">
        <v>220</v>
      </c>
      <c r="B6" s="13" t="s">
        <v>221</v>
      </c>
    </row>
    <row r="7" spans="1:2" x14ac:dyDescent="0.3">
      <c r="A7" s="13" t="s">
        <v>222</v>
      </c>
      <c r="B7" s="13" t="s">
        <v>223</v>
      </c>
    </row>
    <row r="8" spans="1:2" x14ac:dyDescent="0.3">
      <c r="A8" s="13" t="s">
        <v>224</v>
      </c>
      <c r="B8" s="13" t="s">
        <v>225</v>
      </c>
    </row>
    <row r="9" spans="1:2" x14ac:dyDescent="0.3">
      <c r="A9" s="13" t="s">
        <v>226</v>
      </c>
      <c r="B9" s="13" t="s">
        <v>123</v>
      </c>
    </row>
    <row r="10" spans="1:2" x14ac:dyDescent="0.3">
      <c r="A10" s="13" t="s">
        <v>227</v>
      </c>
      <c r="B10" s="13" t="s">
        <v>228</v>
      </c>
    </row>
    <row r="11" spans="1:2" x14ac:dyDescent="0.3">
      <c r="A11" s="13" t="s">
        <v>229</v>
      </c>
      <c r="B11" s="13" t="s">
        <v>230</v>
      </c>
    </row>
    <row r="12" spans="1:2" x14ac:dyDescent="0.3">
      <c r="A12" s="13" t="s">
        <v>231</v>
      </c>
      <c r="B12" s="13" t="s">
        <v>232</v>
      </c>
    </row>
    <row r="13" spans="1:2" x14ac:dyDescent="0.3">
      <c r="A13" s="13" t="s">
        <v>233</v>
      </c>
      <c r="B13" s="13" t="s">
        <v>230</v>
      </c>
    </row>
    <row r="14" spans="1:2" x14ac:dyDescent="0.3">
      <c r="A14" s="13" t="s">
        <v>234</v>
      </c>
      <c r="B14" s="13" t="s">
        <v>126</v>
      </c>
    </row>
    <row r="15" spans="1:2" x14ac:dyDescent="0.3">
      <c r="A15" s="13" t="s">
        <v>235</v>
      </c>
      <c r="B15" s="13" t="s">
        <v>126</v>
      </c>
    </row>
    <row r="16" spans="1:2" x14ac:dyDescent="0.3">
      <c r="A16" s="13" t="s">
        <v>236</v>
      </c>
      <c r="B16" s="13" t="s">
        <v>237</v>
      </c>
    </row>
    <row r="17" spans="1:2" x14ac:dyDescent="0.3">
      <c r="A17" s="13" t="s">
        <v>238</v>
      </c>
      <c r="B17" s="13" t="s">
        <v>239</v>
      </c>
    </row>
    <row r="18" spans="1:2" x14ac:dyDescent="0.3">
      <c r="A18" s="13" t="s">
        <v>240</v>
      </c>
      <c r="B18" s="13" t="s">
        <v>241</v>
      </c>
    </row>
    <row r="19" spans="1:2" x14ac:dyDescent="0.3">
      <c r="A19" s="13" t="s">
        <v>242</v>
      </c>
      <c r="B19" s="13" t="s">
        <v>243</v>
      </c>
    </row>
    <row r="20" spans="1:2" x14ac:dyDescent="0.3">
      <c r="A20" s="13" t="s">
        <v>244</v>
      </c>
      <c r="B20" s="13" t="s">
        <v>245</v>
      </c>
    </row>
    <row r="21" spans="1:2" x14ac:dyDescent="0.3">
      <c r="A21" s="13" t="s">
        <v>246</v>
      </c>
      <c r="B21" s="13" t="s">
        <v>245</v>
      </c>
    </row>
    <row r="22" spans="1:2" x14ac:dyDescent="0.3">
      <c r="A22" s="13" t="s">
        <v>247</v>
      </c>
      <c r="B22" s="13" t="s">
        <v>248</v>
      </c>
    </row>
    <row r="23" spans="1:2" x14ac:dyDescent="0.3">
      <c r="A23" s="13" t="s">
        <v>249</v>
      </c>
      <c r="B23" s="13" t="s">
        <v>248</v>
      </c>
    </row>
    <row r="24" spans="1:2" x14ac:dyDescent="0.3">
      <c r="A24" s="13" t="s">
        <v>250</v>
      </c>
      <c r="B24" s="13" t="s">
        <v>251</v>
      </c>
    </row>
    <row r="25" spans="1:2" ht="13.8" customHeight="1" x14ac:dyDescent="0.3">
      <c r="A25" s="13" t="s">
        <v>252</v>
      </c>
      <c r="B25" s="13" t="s">
        <v>251</v>
      </c>
    </row>
    <row r="26" spans="1:2" x14ac:dyDescent="0.3">
      <c r="A26" s="13" t="s">
        <v>253</v>
      </c>
      <c r="B26" s="13" t="s">
        <v>251</v>
      </c>
    </row>
    <row r="27" spans="1:2" x14ac:dyDescent="0.3">
      <c r="A27" s="13" t="s">
        <v>254</v>
      </c>
      <c r="B27" s="13" t="s">
        <v>255</v>
      </c>
    </row>
    <row r="28" spans="1:2" x14ac:dyDescent="0.3">
      <c r="A28" s="13" t="s">
        <v>256</v>
      </c>
      <c r="B28" s="13" t="s">
        <v>257</v>
      </c>
    </row>
    <row r="29" spans="1:2" x14ac:dyDescent="0.3">
      <c r="A29" s="13" t="s">
        <v>258</v>
      </c>
      <c r="B29" s="13" t="s">
        <v>259</v>
      </c>
    </row>
    <row r="30" spans="1:2" x14ac:dyDescent="0.3">
      <c r="A30" s="13" t="s">
        <v>260</v>
      </c>
      <c r="B30" s="13" t="s">
        <v>261</v>
      </c>
    </row>
    <row r="31" spans="1:2" x14ac:dyDescent="0.3">
      <c r="A31" s="13" t="s">
        <v>262</v>
      </c>
      <c r="B31" s="13" t="s">
        <v>263</v>
      </c>
    </row>
    <row r="32" spans="1:2" x14ac:dyDescent="0.3">
      <c r="A32" s="13" t="s">
        <v>264</v>
      </c>
      <c r="B32" s="13" t="s">
        <v>265</v>
      </c>
    </row>
    <row r="33" spans="1:2" x14ac:dyDescent="0.3">
      <c r="A33" s="13" t="s">
        <v>266</v>
      </c>
      <c r="B33" s="13" t="s">
        <v>267</v>
      </c>
    </row>
    <row r="34" spans="1:2" x14ac:dyDescent="0.3">
      <c r="A34" s="13" t="s">
        <v>268</v>
      </c>
      <c r="B34" s="13" t="s">
        <v>269</v>
      </c>
    </row>
    <row r="35" spans="1:2" x14ac:dyDescent="0.3">
      <c r="A35" s="13" t="s">
        <v>270</v>
      </c>
      <c r="B35" s="13" t="s">
        <v>269</v>
      </c>
    </row>
    <row r="36" spans="1:2" x14ac:dyDescent="0.3">
      <c r="A36" s="13" t="s">
        <v>271</v>
      </c>
      <c r="B36" s="13" t="s">
        <v>269</v>
      </c>
    </row>
    <row r="37" spans="1:2" x14ac:dyDescent="0.3">
      <c r="A37" s="13" t="s">
        <v>272</v>
      </c>
      <c r="B37" s="13" t="s">
        <v>273</v>
      </c>
    </row>
    <row r="38" spans="1:2" x14ac:dyDescent="0.3">
      <c r="A38" s="13" t="s">
        <v>274</v>
      </c>
      <c r="B38" s="13" t="s">
        <v>275</v>
      </c>
    </row>
    <row r="39" spans="1:2" x14ac:dyDescent="0.3">
      <c r="A39" s="13" t="s">
        <v>276</v>
      </c>
      <c r="B39" s="13" t="s">
        <v>277</v>
      </c>
    </row>
    <row r="40" spans="1:2" x14ac:dyDescent="0.3">
      <c r="A40" s="13" t="s">
        <v>278</v>
      </c>
      <c r="B40" s="13" t="s">
        <v>279</v>
      </c>
    </row>
    <row r="41" spans="1:2" x14ac:dyDescent="0.3">
      <c r="A41" s="13" t="s">
        <v>280</v>
      </c>
      <c r="B41" s="13" t="s">
        <v>281</v>
      </c>
    </row>
    <row r="42" spans="1:2" x14ac:dyDescent="0.3">
      <c r="A42" s="13" t="s">
        <v>282</v>
      </c>
      <c r="B42" s="13" t="s">
        <v>283</v>
      </c>
    </row>
    <row r="43" spans="1:2" x14ac:dyDescent="0.3">
      <c r="A43" s="13" t="s">
        <v>284</v>
      </c>
      <c r="B43" s="13" t="s">
        <v>285</v>
      </c>
    </row>
    <row r="44" spans="1:2" x14ac:dyDescent="0.3">
      <c r="A44" s="15" t="s">
        <v>286</v>
      </c>
      <c r="B44" s="13" t="s">
        <v>285</v>
      </c>
    </row>
    <row r="45" spans="1:2" x14ac:dyDescent="0.3">
      <c r="A45" s="16" t="s">
        <v>287</v>
      </c>
      <c r="B45" s="13" t="s">
        <v>288</v>
      </c>
    </row>
    <row r="46" spans="1:2" x14ac:dyDescent="0.3">
      <c r="A46" s="17" t="s">
        <v>289</v>
      </c>
      <c r="B46" s="13" t="s">
        <v>290</v>
      </c>
    </row>
    <row r="49" spans="3:7" x14ac:dyDescent="0.3">
      <c r="C49" s="135" t="s">
        <v>295</v>
      </c>
      <c r="D49" s="135"/>
      <c r="E49" s="135"/>
      <c r="F49" s="135"/>
      <c r="G49" s="135"/>
    </row>
  </sheetData>
  <autoFilter ref="A1:B46" xr:uid="{00000000-0009-0000-0000-000001000000}"/>
  <mergeCells count="1">
    <mergeCell ref="C49:G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121"/>
  <sheetViews>
    <sheetView tabSelected="1" zoomScale="70" zoomScaleNormal="70" workbookViewId="0">
      <pane ySplit="2" topLeftCell="A3" activePane="bottomLeft" state="frozen"/>
      <selection pane="bottomLeft" activeCell="C11" sqref="C11"/>
    </sheetView>
  </sheetViews>
  <sheetFormatPr defaultColWidth="9.109375" defaultRowHeight="18" x14ac:dyDescent="0.3"/>
  <cols>
    <col min="1" max="1" width="7" style="37" customWidth="1"/>
    <col min="2" max="2" width="38.44140625" style="24" customWidth="1"/>
    <col min="3" max="3" width="49.5546875" style="24" customWidth="1"/>
    <col min="4" max="4" width="23.6640625" style="24" customWidth="1"/>
    <col min="5" max="5" width="25.33203125" style="24" customWidth="1"/>
    <col min="6" max="6" width="19.6640625" style="24" customWidth="1"/>
    <col min="7" max="7" width="20.109375" style="24" customWidth="1"/>
    <col min="8" max="9" width="18.33203125" style="24" customWidth="1"/>
    <col min="10" max="11" width="20.109375" style="24" customWidth="1"/>
    <col min="12" max="13" width="16" style="24" customWidth="1"/>
    <col min="14" max="14" width="11.5546875" style="24" customWidth="1"/>
    <col min="15" max="15" width="18.33203125" style="24" customWidth="1"/>
    <col min="16" max="16" width="13.44140625" style="24" customWidth="1"/>
    <col min="17" max="17" width="18.33203125" style="24" customWidth="1"/>
    <col min="18" max="18" width="11.88671875" style="24" customWidth="1"/>
    <col min="19" max="19" width="16" style="24" customWidth="1"/>
    <col min="20" max="21" width="18.33203125" style="24" customWidth="1"/>
    <col min="22" max="22" width="16" style="24" customWidth="1"/>
    <col min="23" max="25" width="18.33203125" style="24" customWidth="1"/>
    <col min="26" max="26" width="13.44140625" style="24" customWidth="1"/>
    <col min="27" max="27" width="18.33203125" style="24" customWidth="1"/>
    <col min="28" max="29" width="16" style="24" customWidth="1"/>
    <col min="30" max="30" width="29.5546875" style="24" customWidth="1"/>
    <col min="31" max="31" width="13.5546875" style="24" customWidth="1"/>
    <col min="32" max="32" width="27.33203125" style="24" customWidth="1"/>
    <col min="33" max="33" width="30" style="24" customWidth="1"/>
    <col min="34" max="34" width="42.33203125" style="24" customWidth="1"/>
    <col min="35" max="35" width="26.33203125" style="24" customWidth="1"/>
    <col min="36" max="36" width="20.5546875" style="24" customWidth="1"/>
    <col min="37" max="37" width="26.109375" style="24" customWidth="1"/>
    <col min="38" max="38" width="55.109375" style="24" customWidth="1"/>
    <col min="39" max="39" width="33.88671875" style="24" customWidth="1"/>
    <col min="40" max="40" width="31.33203125" style="24" customWidth="1"/>
    <col min="41" max="41" width="18.44140625" style="24" customWidth="1"/>
    <col min="42" max="42" width="15.6640625" style="24" customWidth="1"/>
    <col min="43" max="43" width="14.109375" style="24" customWidth="1"/>
    <col min="44" max="45" width="20.109375" style="24" customWidth="1"/>
    <col min="46" max="47" width="16" style="24" customWidth="1"/>
    <col min="48" max="48" width="16.6640625" style="24" customWidth="1"/>
    <col min="49" max="49" width="18.44140625" style="24" customWidth="1"/>
    <col min="50" max="50" width="16.33203125" style="24" customWidth="1"/>
    <col min="51" max="51" width="15" style="24" customWidth="1"/>
    <col min="52" max="16384" width="9.109375" style="24"/>
  </cols>
  <sheetData>
    <row r="1" spans="1:51" ht="37.5" customHeight="1" x14ac:dyDescent="0.3">
      <c r="A1" s="137" t="s">
        <v>0</v>
      </c>
      <c r="B1" s="139" t="s">
        <v>1</v>
      </c>
      <c r="C1" s="139" t="s">
        <v>2</v>
      </c>
      <c r="D1" s="139" t="s">
        <v>3</v>
      </c>
      <c r="E1" s="139" t="s">
        <v>210</v>
      </c>
      <c r="F1" s="136" t="s">
        <v>194</v>
      </c>
      <c r="G1" s="136"/>
      <c r="H1" s="136" t="s">
        <v>186</v>
      </c>
      <c r="I1" s="136"/>
      <c r="J1" s="136" t="s">
        <v>297</v>
      </c>
      <c r="K1" s="136"/>
      <c r="L1" s="141" t="s">
        <v>190</v>
      </c>
      <c r="M1" s="142"/>
      <c r="N1" s="141" t="s">
        <v>200</v>
      </c>
      <c r="O1" s="142"/>
      <c r="P1" s="136" t="s">
        <v>191</v>
      </c>
      <c r="Q1" s="136"/>
      <c r="R1" s="136" t="s">
        <v>204</v>
      </c>
      <c r="S1" s="136"/>
      <c r="T1" s="141" t="s">
        <v>192</v>
      </c>
      <c r="U1" s="142"/>
      <c r="V1" s="136" t="s">
        <v>203</v>
      </c>
      <c r="W1" s="136"/>
      <c r="X1" s="141" t="s">
        <v>193</v>
      </c>
      <c r="Y1" s="142"/>
      <c r="Z1" s="136" t="s">
        <v>195</v>
      </c>
      <c r="AA1" s="136"/>
      <c r="AB1" s="136" t="s">
        <v>196</v>
      </c>
      <c r="AC1" s="136"/>
      <c r="AD1" s="136" t="s">
        <v>197</v>
      </c>
      <c r="AE1" s="136"/>
      <c r="AF1" s="136" t="s">
        <v>294</v>
      </c>
      <c r="AG1" s="136"/>
      <c r="AH1" s="136" t="s">
        <v>208</v>
      </c>
      <c r="AI1" s="136"/>
      <c r="AJ1" s="136" t="s">
        <v>199</v>
      </c>
      <c r="AK1" s="136"/>
      <c r="AL1" s="136" t="s">
        <v>201</v>
      </c>
      <c r="AM1" s="136"/>
      <c r="AN1" s="136" t="s">
        <v>202</v>
      </c>
      <c r="AO1" s="136"/>
      <c r="AP1" s="141" t="s">
        <v>205</v>
      </c>
      <c r="AQ1" s="142"/>
      <c r="AR1" s="136" t="s">
        <v>206</v>
      </c>
      <c r="AS1" s="136"/>
      <c r="AT1" s="136" t="s">
        <v>207</v>
      </c>
      <c r="AU1" s="136"/>
      <c r="AV1" s="154" t="s">
        <v>292</v>
      </c>
      <c r="AW1" s="155"/>
      <c r="AX1" s="141" t="s">
        <v>291</v>
      </c>
      <c r="AY1" s="142"/>
    </row>
    <row r="2" spans="1:51" ht="18.75" customHeight="1" x14ac:dyDescent="0.3">
      <c r="A2" s="138"/>
      <c r="B2" s="140"/>
      <c r="C2" s="140"/>
      <c r="D2" s="140"/>
      <c r="E2" s="140"/>
      <c r="F2" s="21" t="s">
        <v>188</v>
      </c>
      <c r="G2" s="21" t="s">
        <v>189</v>
      </c>
      <c r="H2" s="21" t="s">
        <v>188</v>
      </c>
      <c r="I2" s="21" t="s">
        <v>189</v>
      </c>
      <c r="J2" s="21" t="s">
        <v>188</v>
      </c>
      <c r="K2" s="21" t="s">
        <v>189</v>
      </c>
      <c r="L2" s="21" t="s">
        <v>188</v>
      </c>
      <c r="M2" s="21" t="s">
        <v>189</v>
      </c>
      <c r="N2" s="21" t="s">
        <v>188</v>
      </c>
      <c r="O2" s="21" t="s">
        <v>189</v>
      </c>
      <c r="P2" s="21" t="s">
        <v>188</v>
      </c>
      <c r="Q2" s="21" t="s">
        <v>189</v>
      </c>
      <c r="R2" s="21" t="s">
        <v>188</v>
      </c>
      <c r="S2" s="21" t="s">
        <v>189</v>
      </c>
      <c r="T2" s="21" t="s">
        <v>188</v>
      </c>
      <c r="U2" s="21" t="s">
        <v>189</v>
      </c>
      <c r="V2" s="21" t="s">
        <v>188</v>
      </c>
      <c r="W2" s="21" t="s">
        <v>189</v>
      </c>
      <c r="X2" s="21" t="s">
        <v>188</v>
      </c>
      <c r="Y2" s="21" t="s">
        <v>189</v>
      </c>
      <c r="Z2" s="21" t="s">
        <v>188</v>
      </c>
      <c r="AA2" s="21" t="s">
        <v>189</v>
      </c>
      <c r="AB2" s="21" t="s">
        <v>188</v>
      </c>
      <c r="AC2" s="21" t="s">
        <v>189</v>
      </c>
      <c r="AD2" s="21" t="s">
        <v>188</v>
      </c>
      <c r="AE2" s="21" t="s">
        <v>189</v>
      </c>
      <c r="AF2" s="21" t="s">
        <v>188</v>
      </c>
      <c r="AG2" s="21" t="s">
        <v>189</v>
      </c>
      <c r="AH2" s="21" t="s">
        <v>188</v>
      </c>
      <c r="AI2" s="21" t="s">
        <v>189</v>
      </c>
      <c r="AJ2" s="21" t="s">
        <v>188</v>
      </c>
      <c r="AK2" s="21" t="s">
        <v>189</v>
      </c>
      <c r="AL2" s="21" t="s">
        <v>188</v>
      </c>
      <c r="AM2" s="21" t="s">
        <v>189</v>
      </c>
      <c r="AN2" s="21" t="s">
        <v>188</v>
      </c>
      <c r="AO2" s="21" t="s">
        <v>189</v>
      </c>
      <c r="AP2" s="21" t="s">
        <v>188</v>
      </c>
      <c r="AQ2" s="21" t="s">
        <v>189</v>
      </c>
      <c r="AR2" s="21" t="s">
        <v>188</v>
      </c>
      <c r="AS2" s="21" t="s">
        <v>189</v>
      </c>
      <c r="AT2" s="21" t="s">
        <v>188</v>
      </c>
      <c r="AU2" s="21" t="s">
        <v>189</v>
      </c>
      <c r="AV2" s="21" t="s">
        <v>188</v>
      </c>
      <c r="AW2" s="21" t="s">
        <v>189</v>
      </c>
      <c r="AX2" s="21" t="s">
        <v>188</v>
      </c>
      <c r="AY2" s="21" t="s">
        <v>189</v>
      </c>
    </row>
    <row r="3" spans="1:51" ht="37.5" customHeight="1" x14ac:dyDescent="0.3">
      <c r="A3" s="26">
        <v>1</v>
      </c>
      <c r="B3" s="21" t="s">
        <v>4</v>
      </c>
      <c r="C3" s="21" t="s">
        <v>5</v>
      </c>
      <c r="D3" s="21">
        <v>896.1</v>
      </c>
      <c r="E3" s="27">
        <f>SUM(F3:AU3)</f>
        <v>535097.6291738305</v>
      </c>
      <c r="F3" s="21">
        <v>0</v>
      </c>
      <c r="G3" s="21">
        <v>535097.6291738305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</row>
    <row r="4" spans="1:51" ht="37.5" customHeight="1" x14ac:dyDescent="0.3">
      <c r="A4" s="26">
        <v>2</v>
      </c>
      <c r="B4" s="21" t="s">
        <v>6</v>
      </c>
      <c r="C4" s="21" t="s">
        <v>5</v>
      </c>
      <c r="D4" s="21">
        <v>189</v>
      </c>
      <c r="E4" s="27">
        <f t="shared" ref="E4:E67" si="0">SUM(F4:AU4)</f>
        <v>112859.5602207945</v>
      </c>
      <c r="F4" s="21">
        <v>0</v>
      </c>
      <c r="G4" s="21">
        <v>112859.5602207945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</row>
    <row r="5" spans="1:51" ht="37.5" customHeight="1" x14ac:dyDescent="0.3">
      <c r="A5" s="26">
        <v>3</v>
      </c>
      <c r="B5" s="21" t="s">
        <v>7</v>
      </c>
      <c r="C5" s="21" t="s">
        <v>5</v>
      </c>
      <c r="D5" s="21">
        <v>20</v>
      </c>
      <c r="E5" s="27">
        <f t="shared" si="0"/>
        <v>11942.81060537508</v>
      </c>
      <c r="F5" s="21">
        <v>0</v>
      </c>
      <c r="G5" s="21">
        <v>11942.81060537508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37.5" customHeight="1" x14ac:dyDescent="0.3">
      <c r="A6" s="26">
        <v>4</v>
      </c>
      <c r="B6" s="21" t="s">
        <v>8</v>
      </c>
      <c r="C6" s="21" t="s">
        <v>5</v>
      </c>
      <c r="D6" s="21">
        <v>243</v>
      </c>
      <c r="E6" s="27">
        <f t="shared" si="0"/>
        <v>7561.0928459142087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>
        <v>0</v>
      </c>
      <c r="S6" s="21">
        <v>6545.454545454545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>
        <v>0</v>
      </c>
      <c r="AI6" s="21">
        <v>1015.6383004596636</v>
      </c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 ht="56.25" customHeight="1" x14ac:dyDescent="0.3">
      <c r="A7" s="26">
        <v>5</v>
      </c>
      <c r="B7" s="21" t="s">
        <v>9</v>
      </c>
      <c r="C7" s="21" t="s">
        <v>10</v>
      </c>
      <c r="D7" s="21">
        <v>7098.7</v>
      </c>
      <c r="E7" s="27">
        <f t="shared" si="0"/>
        <v>402372.72810159979</v>
      </c>
      <c r="F7" s="21"/>
      <c r="G7" s="21"/>
      <c r="H7" s="21">
        <v>0</v>
      </c>
      <c r="I7" s="21">
        <v>13594.866730341048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>
        <v>0</v>
      </c>
      <c r="AI7" s="21">
        <v>2969.0865668145902</v>
      </c>
      <c r="AJ7" s="21"/>
      <c r="AK7" s="21"/>
      <c r="AL7" s="21"/>
      <c r="AM7" s="21"/>
      <c r="AN7" s="21"/>
      <c r="AO7" s="21"/>
      <c r="AP7" s="21"/>
      <c r="AQ7" s="21"/>
      <c r="AR7" s="21">
        <v>235082.01970278387</v>
      </c>
      <c r="AS7" s="21">
        <v>150726.75510166027</v>
      </c>
      <c r="AT7" s="21"/>
      <c r="AU7" s="21"/>
      <c r="AV7" s="21"/>
      <c r="AW7" s="21"/>
      <c r="AX7" s="21"/>
      <c r="AY7" s="21"/>
    </row>
    <row r="8" spans="1:51" ht="37.5" customHeight="1" x14ac:dyDescent="0.3">
      <c r="A8" s="26">
        <v>6</v>
      </c>
      <c r="B8" s="21" t="s">
        <v>11</v>
      </c>
      <c r="C8" s="21" t="s">
        <v>12</v>
      </c>
      <c r="D8" s="21">
        <v>1070.3</v>
      </c>
      <c r="E8" s="27">
        <f t="shared" si="0"/>
        <v>60667.380067778926</v>
      </c>
      <c r="F8" s="21"/>
      <c r="G8" s="21"/>
      <c r="H8" s="21">
        <v>0</v>
      </c>
      <c r="I8" s="21">
        <v>2049.7535973465597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>
        <v>0</v>
      </c>
      <c r="AI8" s="21">
        <v>447.66131157277471</v>
      </c>
      <c r="AJ8" s="21"/>
      <c r="AK8" s="21"/>
      <c r="AL8" s="21"/>
      <c r="AM8" s="21"/>
      <c r="AN8" s="21"/>
      <c r="AO8" s="21"/>
      <c r="AP8" s="21"/>
      <c r="AQ8" s="21"/>
      <c r="AR8" s="21">
        <v>35444.276513712313</v>
      </c>
      <c r="AS8" s="21">
        <v>22725.688645147278</v>
      </c>
      <c r="AT8" s="21"/>
      <c r="AU8" s="21"/>
      <c r="AV8" s="21"/>
      <c r="AW8" s="21"/>
      <c r="AX8" s="21"/>
      <c r="AY8" s="21"/>
    </row>
    <row r="9" spans="1:51" ht="37.5" customHeight="1" x14ac:dyDescent="0.3">
      <c r="A9" s="26">
        <v>7</v>
      </c>
      <c r="B9" s="21" t="s">
        <v>13</v>
      </c>
      <c r="C9" s="21" t="s">
        <v>12</v>
      </c>
      <c r="D9" s="21">
        <v>1076.9000000000001</v>
      </c>
      <c r="E9" s="27">
        <f t="shared" si="0"/>
        <v>61041.485186388061</v>
      </c>
      <c r="F9" s="21"/>
      <c r="G9" s="21"/>
      <c r="H9" s="21">
        <v>0</v>
      </c>
      <c r="I9" s="21">
        <v>2062.3933934247507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>
        <v>0</v>
      </c>
      <c r="AI9" s="21">
        <v>450.42181298021222</v>
      </c>
      <c r="AJ9" s="21"/>
      <c r="AK9" s="21"/>
      <c r="AL9" s="21"/>
      <c r="AM9" s="21"/>
      <c r="AN9" s="21"/>
      <c r="AO9" s="21"/>
      <c r="AP9" s="21"/>
      <c r="AQ9" s="21"/>
      <c r="AR9" s="21">
        <v>35662.843480908901</v>
      </c>
      <c r="AS9" s="21">
        <v>22865.826499074192</v>
      </c>
      <c r="AT9" s="21"/>
      <c r="AU9" s="21"/>
      <c r="AV9" s="21"/>
      <c r="AW9" s="21"/>
      <c r="AX9" s="21"/>
      <c r="AY9" s="21"/>
    </row>
    <row r="10" spans="1:51" s="30" customFormat="1" ht="37.5" customHeight="1" x14ac:dyDescent="0.3">
      <c r="A10" s="28">
        <v>8</v>
      </c>
      <c r="B10" s="20" t="s">
        <v>14</v>
      </c>
      <c r="C10" s="20" t="s">
        <v>12</v>
      </c>
      <c r="D10" s="20">
        <v>1909.4</v>
      </c>
      <c r="E10" s="29">
        <f t="shared" si="0"/>
        <v>356451.74446549296</v>
      </c>
      <c r="F10" s="20"/>
      <c r="G10" s="20"/>
      <c r="H10" s="20">
        <v>0</v>
      </c>
      <c r="I10" s="20">
        <v>3656.7313078328712</v>
      </c>
      <c r="J10" s="20">
        <f>(137477+110745)*0.7</f>
        <v>173755.4</v>
      </c>
      <c r="K10" s="20">
        <f>(137477+110745)*0.3</f>
        <v>74466.599999999991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>
        <v>0</v>
      </c>
      <c r="AI10" s="20">
        <v>798.62142232743736</v>
      </c>
      <c r="AJ10" s="20"/>
      <c r="AK10" s="20"/>
      <c r="AL10" s="20"/>
      <c r="AM10" s="20"/>
      <c r="AN10" s="20"/>
      <c r="AO10" s="20"/>
      <c r="AP10" s="20"/>
      <c r="AQ10" s="20"/>
      <c r="AR10" s="20">
        <v>63232.085934114075</v>
      </c>
      <c r="AS10" s="20">
        <v>40542.30580121855</v>
      </c>
      <c r="AT10" s="20"/>
      <c r="AU10" s="20"/>
      <c r="AV10" s="20"/>
      <c r="AW10" s="20"/>
      <c r="AX10" s="20"/>
      <c r="AY10" s="20"/>
    </row>
    <row r="11" spans="1:51" ht="56.25" customHeight="1" x14ac:dyDescent="0.3">
      <c r="A11" s="26">
        <v>9</v>
      </c>
      <c r="B11" s="21" t="s">
        <v>15</v>
      </c>
      <c r="C11" s="21" t="s">
        <v>10</v>
      </c>
      <c r="D11" s="21">
        <v>161.19999999999999</v>
      </c>
      <c r="E11" s="27">
        <f t="shared" si="0"/>
        <v>9137.2341090591071</v>
      </c>
      <c r="F11" s="21"/>
      <c r="G11" s="21"/>
      <c r="H11" s="21">
        <v>0</v>
      </c>
      <c r="I11" s="21">
        <v>308.71744360671346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>
        <v>0</v>
      </c>
      <c r="AI11" s="21">
        <v>67.423155587714916</v>
      </c>
      <c r="AJ11" s="21"/>
      <c r="AK11" s="21"/>
      <c r="AL11" s="21"/>
      <c r="AM11" s="21"/>
      <c r="AN11" s="21"/>
      <c r="AO11" s="21"/>
      <c r="AP11" s="21"/>
      <c r="AQ11" s="21"/>
      <c r="AR11" s="21">
        <v>5338.3325927407495</v>
      </c>
      <c r="AS11" s="21">
        <v>3422.7609171239287</v>
      </c>
      <c r="AT11" s="21"/>
      <c r="AU11" s="21"/>
      <c r="AV11" s="21"/>
      <c r="AW11" s="21"/>
      <c r="AX11" s="21"/>
      <c r="AY11" s="21"/>
    </row>
    <row r="12" spans="1:51" ht="56.25" customHeight="1" x14ac:dyDescent="0.3">
      <c r="A12" s="26">
        <v>10</v>
      </c>
      <c r="B12" s="21" t="s">
        <v>16</v>
      </c>
      <c r="C12" s="21" t="s">
        <v>10</v>
      </c>
      <c r="D12" s="21">
        <v>32.200000000000003</v>
      </c>
      <c r="E12" s="27">
        <f t="shared" si="0"/>
        <v>1825.1795180626755</v>
      </c>
      <c r="F12" s="21"/>
      <c r="G12" s="21"/>
      <c r="H12" s="21">
        <v>0</v>
      </c>
      <c r="I12" s="21">
        <v>61.666883896626395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>
        <v>0</v>
      </c>
      <c r="AI12" s="21">
        <v>13.46790080598276</v>
      </c>
      <c r="AJ12" s="21"/>
      <c r="AK12" s="21"/>
      <c r="AL12" s="21"/>
      <c r="AM12" s="21"/>
      <c r="AN12" s="21"/>
      <c r="AO12" s="21"/>
      <c r="AP12" s="21"/>
      <c r="AQ12" s="21"/>
      <c r="AR12" s="21">
        <v>1066.3418702621102</v>
      </c>
      <c r="AS12" s="21">
        <v>683.70286309795608</v>
      </c>
      <c r="AT12" s="21"/>
      <c r="AU12" s="21"/>
      <c r="AV12" s="21"/>
      <c r="AW12" s="21"/>
      <c r="AX12" s="21"/>
      <c r="AY12" s="21"/>
    </row>
    <row r="13" spans="1:51" ht="37.5" customHeight="1" x14ac:dyDescent="0.3">
      <c r="A13" s="26">
        <v>11</v>
      </c>
      <c r="B13" s="21" t="s">
        <v>17</v>
      </c>
      <c r="C13" s="21" t="s">
        <v>12</v>
      </c>
      <c r="D13" s="21">
        <v>67.099999999999994</v>
      </c>
      <c r="E13" s="27">
        <f t="shared" si="0"/>
        <v>3803.4020391927179</v>
      </c>
      <c r="F13" s="21"/>
      <c r="G13" s="21"/>
      <c r="H13" s="21">
        <v>0</v>
      </c>
      <c r="I13" s="21">
        <v>128.50459346160343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>
        <v>0</v>
      </c>
      <c r="AI13" s="21">
        <v>28.06509764228084</v>
      </c>
      <c r="AJ13" s="21"/>
      <c r="AK13" s="21"/>
      <c r="AL13" s="21"/>
      <c r="AM13" s="21"/>
      <c r="AN13" s="21"/>
      <c r="AO13" s="21"/>
      <c r="AP13" s="21"/>
      <c r="AQ13" s="21"/>
      <c r="AR13" s="21">
        <v>2222.0974998319125</v>
      </c>
      <c r="AS13" s="21">
        <v>1424.7348482569207</v>
      </c>
      <c r="AT13" s="21"/>
      <c r="AU13" s="21"/>
      <c r="AV13" s="21"/>
      <c r="AW13" s="21"/>
      <c r="AX13" s="21"/>
      <c r="AY13" s="21"/>
    </row>
    <row r="14" spans="1:51" ht="37.5" customHeight="1" x14ac:dyDescent="0.3">
      <c r="A14" s="26">
        <v>12</v>
      </c>
      <c r="B14" s="21" t="s">
        <v>18</v>
      </c>
      <c r="C14" s="21" t="s">
        <v>12</v>
      </c>
      <c r="D14" s="21">
        <v>43.9</v>
      </c>
      <c r="E14" s="27">
        <f t="shared" si="0"/>
        <v>2488.365864687933</v>
      </c>
      <c r="F14" s="21"/>
      <c r="G14" s="21"/>
      <c r="H14" s="21">
        <v>0</v>
      </c>
      <c r="I14" s="21">
        <v>84.07379512614591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>
        <v>0</v>
      </c>
      <c r="AI14" s="21">
        <v>18.361516937349165</v>
      </c>
      <c r="AJ14" s="21"/>
      <c r="AK14" s="21"/>
      <c r="AL14" s="21"/>
      <c r="AM14" s="21"/>
      <c r="AN14" s="21"/>
      <c r="AO14" s="21"/>
      <c r="AP14" s="21"/>
      <c r="AQ14" s="21"/>
      <c r="AR14" s="21">
        <v>1453.8014939287775</v>
      </c>
      <c r="AS14" s="21">
        <v>932.12905869566066</v>
      </c>
      <c r="AT14" s="21"/>
      <c r="AU14" s="21"/>
      <c r="AV14" s="21"/>
      <c r="AW14" s="21"/>
      <c r="AX14" s="21"/>
      <c r="AY14" s="21"/>
    </row>
    <row r="15" spans="1:51" ht="56.25" customHeight="1" x14ac:dyDescent="0.3">
      <c r="A15" s="26">
        <v>13</v>
      </c>
      <c r="B15" s="21" t="s">
        <v>19</v>
      </c>
      <c r="C15" s="21" t="s">
        <v>10</v>
      </c>
      <c r="D15" s="21">
        <v>93.8</v>
      </c>
      <c r="E15" s="27">
        <f t="shared" si="0"/>
        <v>282516.82729174785</v>
      </c>
      <c r="F15" s="21"/>
      <c r="G15" s="21"/>
      <c r="H15" s="21">
        <v>0</v>
      </c>
      <c r="I15" s="21">
        <v>179.63831395973773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>
        <v>0</v>
      </c>
      <c r="AC15" s="21">
        <f>187200+90000</f>
        <v>277200</v>
      </c>
      <c r="AD15" s="21"/>
      <c r="AE15" s="21"/>
      <c r="AF15" s="21"/>
      <c r="AG15" s="21"/>
      <c r="AH15" s="21">
        <v>0</v>
      </c>
      <c r="AI15" s="21">
        <v>39.232580608732384</v>
      </c>
      <c r="AJ15" s="21"/>
      <c r="AK15" s="21"/>
      <c r="AL15" s="21"/>
      <c r="AM15" s="21"/>
      <c r="AN15" s="21"/>
      <c r="AO15" s="21"/>
      <c r="AP15" s="21"/>
      <c r="AQ15" s="21"/>
      <c r="AR15" s="21">
        <v>3106.3002307635384</v>
      </c>
      <c r="AS15" s="21">
        <v>1991.656166415785</v>
      </c>
      <c r="AT15" s="21"/>
      <c r="AU15" s="21"/>
      <c r="AV15" s="21"/>
      <c r="AW15" s="21"/>
      <c r="AX15" s="21"/>
      <c r="AY15" s="21"/>
    </row>
    <row r="16" spans="1:51" ht="56.25" customHeight="1" x14ac:dyDescent="0.3">
      <c r="A16" s="26">
        <v>14</v>
      </c>
      <c r="B16" s="21" t="s">
        <v>20</v>
      </c>
      <c r="C16" s="21" t="s">
        <v>10</v>
      </c>
      <c r="D16" s="21">
        <v>53.7</v>
      </c>
      <c r="E16" s="27">
        <f t="shared" si="0"/>
        <v>3043.8552832287478</v>
      </c>
      <c r="F16" s="21"/>
      <c r="G16" s="21"/>
      <c r="H16" s="21">
        <v>0</v>
      </c>
      <c r="I16" s="21">
        <v>102.84197718164091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>
        <v>0</v>
      </c>
      <c r="AI16" s="21">
        <v>22.460443269604788</v>
      </c>
      <c r="AJ16" s="21"/>
      <c r="AK16" s="21"/>
      <c r="AL16" s="21"/>
      <c r="AM16" s="21"/>
      <c r="AN16" s="21"/>
      <c r="AO16" s="21"/>
      <c r="AP16" s="21"/>
      <c r="AQ16" s="21"/>
      <c r="AR16" s="21">
        <v>1778.3403240085502</v>
      </c>
      <c r="AS16" s="21">
        <v>1140.2125387689516</v>
      </c>
      <c r="AT16" s="21"/>
      <c r="AU16" s="21"/>
      <c r="AV16" s="21"/>
      <c r="AW16" s="21"/>
      <c r="AX16" s="21"/>
      <c r="AY16" s="21"/>
    </row>
    <row r="17" spans="1:51" ht="37.5" customHeight="1" x14ac:dyDescent="0.3">
      <c r="A17" s="26">
        <v>15</v>
      </c>
      <c r="B17" s="21" t="s">
        <v>21</v>
      </c>
      <c r="C17" s="21" t="s">
        <v>12</v>
      </c>
      <c r="D17" s="21">
        <v>454.3</v>
      </c>
      <c r="E17" s="27">
        <f t="shared" si="0"/>
        <v>25750.902330927747</v>
      </c>
      <c r="F17" s="21"/>
      <c r="G17" s="21"/>
      <c r="H17" s="21">
        <v>0</v>
      </c>
      <c r="I17" s="21">
        <v>870.03929671544631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>
        <v>0</v>
      </c>
      <c r="AI17" s="21">
        <v>190.01451354527848</v>
      </c>
      <c r="AJ17" s="21"/>
      <c r="AK17" s="21"/>
      <c r="AL17" s="21"/>
      <c r="AM17" s="21"/>
      <c r="AN17" s="21"/>
      <c r="AO17" s="21"/>
      <c r="AP17" s="21"/>
      <c r="AQ17" s="21"/>
      <c r="AR17" s="21">
        <v>15044.692908698033</v>
      </c>
      <c r="AS17" s="21">
        <v>9646.1556119689885</v>
      </c>
      <c r="AT17" s="21"/>
      <c r="AU17" s="21"/>
      <c r="AV17" s="21"/>
      <c r="AW17" s="21"/>
      <c r="AX17" s="21"/>
      <c r="AY17" s="21"/>
    </row>
    <row r="18" spans="1:51" ht="56.25" customHeight="1" x14ac:dyDescent="0.3">
      <c r="A18" s="26">
        <v>16</v>
      </c>
      <c r="B18" s="21" t="s">
        <v>22</v>
      </c>
      <c r="C18" s="21" t="s">
        <v>10</v>
      </c>
      <c r="D18" s="21">
        <v>91</v>
      </c>
      <c r="E18" s="27">
        <f t="shared" si="0"/>
        <v>5158.1160293075609</v>
      </c>
      <c r="F18" s="21"/>
      <c r="G18" s="21"/>
      <c r="H18" s="21">
        <v>0</v>
      </c>
      <c r="I18" s="21">
        <v>174.27597622959632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>
        <v>0</v>
      </c>
      <c r="AI18" s="21">
        <v>38.061458799516487</v>
      </c>
      <c r="AJ18" s="21"/>
      <c r="AK18" s="21"/>
      <c r="AL18" s="21"/>
      <c r="AM18" s="21"/>
      <c r="AN18" s="21"/>
      <c r="AO18" s="21"/>
      <c r="AP18" s="21"/>
      <c r="AQ18" s="21"/>
      <c r="AR18" s="21">
        <v>3013.5748507407461</v>
      </c>
      <c r="AS18" s="21">
        <v>1932.2037435377019</v>
      </c>
      <c r="AT18" s="21"/>
      <c r="AU18" s="21"/>
      <c r="AV18" s="21"/>
      <c r="AW18" s="21"/>
      <c r="AX18" s="21"/>
      <c r="AY18" s="21"/>
    </row>
    <row r="19" spans="1:51" ht="37.5" customHeight="1" x14ac:dyDescent="0.3">
      <c r="A19" s="26">
        <v>17</v>
      </c>
      <c r="B19" s="21" t="s">
        <v>23</v>
      </c>
      <c r="C19" s="21" t="s">
        <v>12</v>
      </c>
      <c r="D19" s="21">
        <v>420.5</v>
      </c>
      <c r="E19" s="27">
        <f t="shared" si="0"/>
        <v>53835.030662899226</v>
      </c>
      <c r="F19" s="21"/>
      <c r="G19" s="21"/>
      <c r="H19" s="21">
        <v>0</v>
      </c>
      <c r="I19" s="21">
        <v>805.30821983016756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>
        <v>0</v>
      </c>
      <c r="AC19" s="21">
        <v>30000</v>
      </c>
      <c r="AD19" s="21"/>
      <c r="AE19" s="21"/>
      <c r="AF19" s="21"/>
      <c r="AG19" s="21"/>
      <c r="AH19" s="21">
        <v>0</v>
      </c>
      <c r="AI19" s="21">
        <v>175.87740027688665</v>
      </c>
      <c r="AJ19" s="21"/>
      <c r="AK19" s="21"/>
      <c r="AL19" s="21"/>
      <c r="AM19" s="21"/>
      <c r="AN19" s="21"/>
      <c r="AO19" s="21"/>
      <c r="AP19" s="21"/>
      <c r="AQ19" s="21"/>
      <c r="AR19" s="21">
        <v>13925.365106994328</v>
      </c>
      <c r="AS19" s="21">
        <v>8928.4799357978427</v>
      </c>
      <c r="AT19" s="21"/>
      <c r="AU19" s="21"/>
      <c r="AV19" s="21"/>
      <c r="AW19" s="21"/>
      <c r="AX19" s="21"/>
      <c r="AY19" s="21"/>
    </row>
    <row r="20" spans="1:51" ht="56.25" customHeight="1" x14ac:dyDescent="0.3">
      <c r="A20" s="26">
        <v>18</v>
      </c>
      <c r="B20" s="21" t="s">
        <v>24</v>
      </c>
      <c r="C20" s="21" t="s">
        <v>10</v>
      </c>
      <c r="D20" s="21">
        <v>9.8000000000000007</v>
      </c>
      <c r="E20" s="27">
        <f t="shared" si="0"/>
        <v>15628.660150248134</v>
      </c>
      <c r="F20" s="21"/>
      <c r="G20" s="21"/>
      <c r="H20" s="21">
        <v>0</v>
      </c>
      <c r="I20" s="21">
        <v>18.768182055494989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>
        <v>0</v>
      </c>
      <c r="AE20" s="21">
        <v>15073.170731707318</v>
      </c>
      <c r="AF20" s="21"/>
      <c r="AG20" s="21"/>
      <c r="AH20" s="21">
        <v>0</v>
      </c>
      <c r="AI20" s="21">
        <v>4.0989263322556226</v>
      </c>
      <c r="AJ20" s="21"/>
      <c r="AK20" s="21"/>
      <c r="AL20" s="21"/>
      <c r="AM20" s="21"/>
      <c r="AN20" s="21"/>
      <c r="AO20" s="21"/>
      <c r="AP20" s="21"/>
      <c r="AQ20" s="21"/>
      <c r="AR20" s="21">
        <v>324.53883007977265</v>
      </c>
      <c r="AS20" s="21">
        <v>208.08348007329099</v>
      </c>
      <c r="AT20" s="21"/>
      <c r="AU20" s="21"/>
      <c r="AV20" s="21"/>
      <c r="AW20" s="21"/>
      <c r="AX20" s="21"/>
      <c r="AY20" s="21"/>
    </row>
    <row r="21" spans="1:51" ht="37.5" customHeight="1" x14ac:dyDescent="0.3">
      <c r="A21" s="26">
        <v>19</v>
      </c>
      <c r="B21" s="21" t="s">
        <v>25</v>
      </c>
      <c r="C21" s="21" t="s">
        <v>26</v>
      </c>
      <c r="D21" s="21">
        <v>441.8</v>
      </c>
      <c r="E21" s="27">
        <f t="shared" si="0"/>
        <v>25042.369909319565</v>
      </c>
      <c r="F21" s="21"/>
      <c r="G21" s="21"/>
      <c r="H21" s="21">
        <v>0</v>
      </c>
      <c r="I21" s="21">
        <v>846.10028899160056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>
        <v>0</v>
      </c>
      <c r="AI21" s="21">
        <v>184.78629118270754</v>
      </c>
      <c r="AJ21" s="21"/>
      <c r="AK21" s="21"/>
      <c r="AL21" s="21"/>
      <c r="AM21" s="21"/>
      <c r="AN21" s="21"/>
      <c r="AO21" s="21"/>
      <c r="AP21" s="21"/>
      <c r="AQ21" s="21"/>
      <c r="AR21" s="21">
        <v>14630.740319310567</v>
      </c>
      <c r="AS21" s="21">
        <v>9380.7430098346886</v>
      </c>
      <c r="AT21" s="21"/>
      <c r="AU21" s="21"/>
      <c r="AV21" s="21"/>
      <c r="AW21" s="21"/>
      <c r="AX21" s="21"/>
      <c r="AY21" s="21"/>
    </row>
    <row r="22" spans="1:51" ht="37.5" customHeight="1" x14ac:dyDescent="0.3">
      <c r="A22" s="26">
        <v>20</v>
      </c>
      <c r="B22" s="21" t="s">
        <v>27</v>
      </c>
      <c r="C22" s="21" t="s">
        <v>28</v>
      </c>
      <c r="D22" s="21">
        <v>4528.3999999999996</v>
      </c>
      <c r="E22" s="27">
        <f t="shared" si="0"/>
        <v>1619086.2866281325</v>
      </c>
      <c r="F22" s="21">
        <v>73451.22121333034</v>
      </c>
      <c r="G22" s="21">
        <f>22533.046706214+207622.118140006+306421.563099132+7147.77283202323</f>
        <v>543724.50077737519</v>
      </c>
      <c r="H22" s="21">
        <v>25207.001450053856</v>
      </c>
      <c r="I22" s="21">
        <v>27072.319557357841</v>
      </c>
      <c r="J22" s="21">
        <v>0</v>
      </c>
      <c r="K22" s="21">
        <v>2980.1011310491226</v>
      </c>
      <c r="L22" s="21">
        <v>0</v>
      </c>
      <c r="M22" s="21">
        <f>6352.16436541357+5073.98</f>
        <v>11426.144365413569</v>
      </c>
      <c r="N22" s="21">
        <v>0</v>
      </c>
      <c r="O22" s="21">
        <v>41000</v>
      </c>
      <c r="P22" s="21">
        <v>0</v>
      </c>
      <c r="Q22" s="21">
        <v>16000</v>
      </c>
      <c r="R22" s="21">
        <v>0</v>
      </c>
      <c r="S22" s="21">
        <v>6545.454545454545</v>
      </c>
      <c r="T22" s="21">
        <v>20379.761552049386</v>
      </c>
      <c r="U22" s="21">
        <v>2207.8075014720166</v>
      </c>
      <c r="V22" s="21">
        <v>24515.383921320943</v>
      </c>
      <c r="W22" s="21">
        <v>11810.956371103519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f>885+6125</f>
        <v>7010</v>
      </c>
      <c r="AJ22" s="21">
        <v>0</v>
      </c>
      <c r="AK22" s="21">
        <v>460983.03281321691</v>
      </c>
      <c r="AL22" s="21"/>
      <c r="AM22" s="21"/>
      <c r="AN22" s="21"/>
      <c r="AO22" s="21"/>
      <c r="AP22" s="21"/>
      <c r="AQ22" s="21"/>
      <c r="AR22" s="21">
        <v>12823.061348737769</v>
      </c>
      <c r="AS22" s="21">
        <v>281466.19660479401</v>
      </c>
      <c r="AT22" s="21">
        <v>50483.343475403446</v>
      </c>
      <c r="AU22" s="21">
        <v>0</v>
      </c>
      <c r="AV22" s="21"/>
      <c r="AW22" s="21"/>
      <c r="AX22" s="21"/>
      <c r="AY22" s="21"/>
    </row>
    <row r="23" spans="1:51" ht="37.5" customHeight="1" x14ac:dyDescent="0.3">
      <c r="A23" s="26">
        <v>21</v>
      </c>
      <c r="B23" s="21" t="s">
        <v>27</v>
      </c>
      <c r="C23" s="21" t="s">
        <v>29</v>
      </c>
      <c r="D23" s="21">
        <v>4779.7</v>
      </c>
      <c r="E23" s="27">
        <f t="shared" si="0"/>
        <v>1123806.2552423037</v>
      </c>
      <c r="F23" s="21">
        <v>77527.339023353736</v>
      </c>
      <c r="G23" s="21">
        <f>23783.5004287809+219143.944455831+323426.186985452+7544.43286927424</f>
        <v>573898.06473933824</v>
      </c>
      <c r="H23" s="21">
        <v>26605.844190182495</v>
      </c>
      <c r="I23" s="21">
        <v>28574.676660256002</v>
      </c>
      <c r="J23" s="21"/>
      <c r="K23" s="21"/>
      <c r="L23" s="21">
        <v>0</v>
      </c>
      <c r="M23" s="21">
        <v>6704.6727359259885</v>
      </c>
      <c r="N23" s="21"/>
      <c r="O23" s="21"/>
      <c r="P23" s="21"/>
      <c r="Q23" s="21"/>
      <c r="R23" s="21">
        <v>0</v>
      </c>
      <c r="S23" s="21">
        <v>3272.7272727272725</v>
      </c>
      <c r="T23" s="21">
        <v>21510.720406839158</v>
      </c>
      <c r="U23" s="21">
        <v>2330.3280440742424</v>
      </c>
      <c r="V23" s="21">
        <v>0</v>
      </c>
      <c r="W23" s="21">
        <v>12466.396114955282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>
        <v>0</v>
      </c>
      <c r="AI23" s="21">
        <f>885+6125</f>
        <v>7010</v>
      </c>
      <c r="AJ23" s="21"/>
      <c r="AK23" s="21"/>
      <c r="AL23" s="21"/>
      <c r="AM23" s="21"/>
      <c r="AN23" s="21"/>
      <c r="AO23" s="21"/>
      <c r="AP23" s="21"/>
      <c r="AQ23" s="21"/>
      <c r="AR23" s="21">
        <v>13534.667063104391</v>
      </c>
      <c r="AS23" s="21">
        <v>297085.9420351414</v>
      </c>
      <c r="AT23" s="21">
        <v>53284.876956405322</v>
      </c>
      <c r="AU23" s="21">
        <v>0</v>
      </c>
      <c r="AV23" s="21"/>
      <c r="AW23" s="21"/>
      <c r="AX23" s="21"/>
      <c r="AY23" s="21"/>
    </row>
    <row r="24" spans="1:51" s="30" customFormat="1" ht="37.5" customHeight="1" x14ac:dyDescent="0.3">
      <c r="A24" s="28">
        <v>22</v>
      </c>
      <c r="B24" s="20" t="s">
        <v>30</v>
      </c>
      <c r="C24" s="20" t="s">
        <v>31</v>
      </c>
      <c r="D24" s="20">
        <v>3918.8</v>
      </c>
      <c r="E24" s="29">
        <f t="shared" si="0"/>
        <v>1737990.3856085998</v>
      </c>
      <c r="F24" s="51">
        <f>1294518.12*0.7</f>
        <v>906162.68400000001</v>
      </c>
      <c r="G24" s="51">
        <f>1294518.12*0.3</f>
        <v>388355.43600000005</v>
      </c>
      <c r="H24" s="20">
        <v>21813.708436196241</v>
      </c>
      <c r="I24" s="20">
        <v>23427.922860474762</v>
      </c>
      <c r="J24" s="20">
        <v>0</v>
      </c>
      <c r="K24" s="20">
        <v>29031.243490663041</v>
      </c>
      <c r="L24" s="20"/>
      <c r="M24" s="20"/>
      <c r="N24" s="20"/>
      <c r="O24" s="20"/>
      <c r="P24" s="20"/>
      <c r="Q24" s="20"/>
      <c r="R24" s="20">
        <v>0</v>
      </c>
      <c r="S24" s="20">
        <v>6545.454545454545</v>
      </c>
      <c r="T24" s="20"/>
      <c r="U24" s="20"/>
      <c r="V24" s="20">
        <v>0</v>
      </c>
      <c r="W24" s="20">
        <v>10220.999873483011</v>
      </c>
      <c r="X24" s="20">
        <v>81466.7</v>
      </c>
      <c r="Y24" s="20">
        <v>16293.34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>
        <v>11096.858231038243</v>
      </c>
      <c r="AS24" s="20">
        <v>243576.03817128943</v>
      </c>
      <c r="AT24" s="20"/>
      <c r="AU24" s="20"/>
      <c r="AV24" s="20"/>
      <c r="AW24" s="20"/>
      <c r="AX24" s="20"/>
      <c r="AY24" s="20"/>
    </row>
    <row r="25" spans="1:51" ht="37.5" customHeight="1" x14ac:dyDescent="0.3">
      <c r="A25" s="26">
        <v>23</v>
      </c>
      <c r="B25" s="21" t="s">
        <v>32</v>
      </c>
      <c r="C25" s="21" t="s">
        <v>33</v>
      </c>
      <c r="D25" s="21">
        <v>4394.6000000000004</v>
      </c>
      <c r="E25" s="27">
        <f t="shared" si="0"/>
        <v>989550.44883426174</v>
      </c>
      <c r="F25" s="21">
        <v>71280.968276676431</v>
      </c>
      <c r="G25" s="21">
        <f>21867.2659339123+201487.536520199+297367.768129018+6936.57859014427</f>
        <v>527659.14917327359</v>
      </c>
      <c r="H25" s="21">
        <v>24462.213711776054</v>
      </c>
      <c r="I25" s="21">
        <v>26272.417526447483</v>
      </c>
      <c r="J25" s="21">
        <v>0</v>
      </c>
      <c r="K25" s="21">
        <v>29471.110816279146</v>
      </c>
      <c r="L25" s="21">
        <v>0</v>
      </c>
      <c r="M25" s="21">
        <f>6164.47785536757+3911.47</f>
        <v>10075.947855367569</v>
      </c>
      <c r="N25" s="21"/>
      <c r="O25" s="21"/>
      <c r="P25" s="21"/>
      <c r="Q25" s="21"/>
      <c r="R25" s="21">
        <v>0</v>
      </c>
      <c r="S25" s="21">
        <v>3272.7272727272725</v>
      </c>
      <c r="T25" s="21"/>
      <c r="U25" s="21"/>
      <c r="V25" s="21">
        <v>0</v>
      </c>
      <c r="W25" s="21">
        <v>11461.97969888957</v>
      </c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>
        <v>12444.180152628524</v>
      </c>
      <c r="AS25" s="21">
        <v>273149.7543501961</v>
      </c>
      <c r="AT25" s="21"/>
      <c r="AU25" s="21"/>
      <c r="AV25" s="21"/>
      <c r="AW25" s="21"/>
      <c r="AX25" s="21"/>
      <c r="AY25" s="21"/>
    </row>
    <row r="26" spans="1:51" ht="37.5" customHeight="1" x14ac:dyDescent="0.3">
      <c r="A26" s="26">
        <v>24</v>
      </c>
      <c r="B26" s="21" t="s">
        <v>34</v>
      </c>
      <c r="C26" s="21" t="s">
        <v>35</v>
      </c>
      <c r="D26" s="21">
        <v>17.5</v>
      </c>
      <c r="E26" s="27">
        <f t="shared" si="0"/>
        <v>1525.4488760220804</v>
      </c>
      <c r="F26" s="21">
        <v>0</v>
      </c>
      <c r="G26" s="21">
        <f>87.0789500394722+1184.16600879666+27.6225652681756</f>
        <v>1298.8675241043077</v>
      </c>
      <c r="H26" s="21">
        <v>97.412447084167141</v>
      </c>
      <c r="I26" s="21">
        <v>104.62096816839551</v>
      </c>
      <c r="J26" s="21"/>
      <c r="K26" s="21"/>
      <c r="L26" s="21">
        <v>0</v>
      </c>
      <c r="M26" s="21">
        <v>24.547936665210123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</row>
    <row r="27" spans="1:51" ht="37.5" customHeight="1" x14ac:dyDescent="0.3">
      <c r="A27" s="26">
        <v>25</v>
      </c>
      <c r="B27" s="21" t="s">
        <v>21</v>
      </c>
      <c r="C27" s="21" t="s">
        <v>36</v>
      </c>
      <c r="D27" s="21">
        <v>95</v>
      </c>
      <c r="E27" s="27">
        <f t="shared" si="0"/>
        <v>11553.735456847147</v>
      </c>
      <c r="F27" s="21">
        <v>0</v>
      </c>
      <c r="G27" s="21">
        <f>472.714300214278+6428.32976203902+149.951068598668</f>
        <v>7050.9951308519667</v>
      </c>
      <c r="H27" s="21">
        <v>528.81042702833588</v>
      </c>
      <c r="I27" s="21">
        <v>567.94239862843267</v>
      </c>
      <c r="J27" s="21"/>
      <c r="K27" s="21"/>
      <c r="L27" s="21">
        <v>0</v>
      </c>
      <c r="M27" s="21">
        <v>133.26022761114066</v>
      </c>
      <c r="N27" s="21"/>
      <c r="O27" s="21"/>
      <c r="P27" s="21"/>
      <c r="Q27" s="21"/>
      <c r="R27" s="21">
        <v>0</v>
      </c>
      <c r="S27" s="21">
        <v>3272.7272727272725</v>
      </c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</row>
    <row r="28" spans="1:51" ht="37.5" customHeight="1" x14ac:dyDescent="0.3">
      <c r="A28" s="26">
        <v>26</v>
      </c>
      <c r="B28" s="21" t="s">
        <v>37</v>
      </c>
      <c r="C28" s="21" t="s">
        <v>38</v>
      </c>
      <c r="D28" s="21">
        <v>4151.6000000000004</v>
      </c>
      <c r="E28" s="27">
        <f t="shared" si="0"/>
        <v>597449.7480775658</v>
      </c>
      <c r="F28" s="21"/>
      <c r="G28" s="21"/>
      <c r="H28" s="21">
        <v>23109.572303693047</v>
      </c>
      <c r="I28" s="21">
        <v>24819.680654166332</v>
      </c>
      <c r="J28" s="21">
        <v>0</v>
      </c>
      <c r="K28" s="21">
        <v>249914.07811507981</v>
      </c>
      <c r="L28" s="21">
        <v>0</v>
      </c>
      <c r="M28" s="21">
        <v>5823.6122205306483</v>
      </c>
      <c r="N28" s="21"/>
      <c r="O28" s="21"/>
      <c r="P28" s="21"/>
      <c r="Q28" s="21"/>
      <c r="R28" s="21">
        <v>0</v>
      </c>
      <c r="S28" s="21">
        <v>3272.7272727272725</v>
      </c>
      <c r="T28" s="21">
        <v>18683.998334839733</v>
      </c>
      <c r="U28" s="21">
        <v>2024.0998196076375</v>
      </c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>
        <v>11756.077531891999</v>
      </c>
      <c r="AS28" s="21">
        <v>258045.90182502937</v>
      </c>
      <c r="AT28" s="21"/>
      <c r="AU28" s="21"/>
      <c r="AV28" s="21"/>
      <c r="AW28" s="21"/>
      <c r="AX28" s="21"/>
      <c r="AY28" s="21"/>
    </row>
    <row r="29" spans="1:51" ht="37.5" customHeight="1" x14ac:dyDescent="0.3">
      <c r="A29" s="26">
        <v>27</v>
      </c>
      <c r="B29" s="21" t="s">
        <v>39</v>
      </c>
      <c r="C29" s="21" t="s">
        <v>40</v>
      </c>
      <c r="D29" s="21">
        <v>101.1</v>
      </c>
      <c r="E29" s="27">
        <f t="shared" si="0"/>
        <v>17237.875186773555</v>
      </c>
      <c r="F29" s="21"/>
      <c r="G29" s="21"/>
      <c r="H29" s="21">
        <v>562.76562286910269</v>
      </c>
      <c r="I29" s="21">
        <v>604.41027896141622</v>
      </c>
      <c r="J29" s="21">
        <v>0</v>
      </c>
      <c r="K29" s="21">
        <v>6085.921884920167</v>
      </c>
      <c r="L29" s="21">
        <v>0</v>
      </c>
      <c r="M29" s="21">
        <v>141.81693696301389</v>
      </c>
      <c r="N29" s="21"/>
      <c r="O29" s="21"/>
      <c r="P29" s="21"/>
      <c r="Q29" s="21"/>
      <c r="R29" s="21">
        <v>0</v>
      </c>
      <c r="S29" s="21">
        <v>3272.7272727272725</v>
      </c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>
        <v>286.28467060272692</v>
      </c>
      <c r="AS29" s="21">
        <v>6283.9485197298563</v>
      </c>
      <c r="AT29" s="21"/>
      <c r="AU29" s="21"/>
      <c r="AV29" s="21"/>
      <c r="AW29" s="21"/>
      <c r="AX29" s="21"/>
      <c r="AY29" s="21"/>
    </row>
    <row r="30" spans="1:51" s="30" customFormat="1" ht="37.5" customHeight="1" x14ac:dyDescent="0.3">
      <c r="A30" s="28">
        <v>28</v>
      </c>
      <c r="B30" s="20" t="s">
        <v>30</v>
      </c>
      <c r="C30" s="20" t="s">
        <v>41</v>
      </c>
      <c r="D30" s="20">
        <v>1239.3</v>
      </c>
      <c r="E30" s="29">
        <f t="shared" si="0"/>
        <v>3593699.986388403</v>
      </c>
      <c r="F30" s="51">
        <v>1812328.7279999999</v>
      </c>
      <c r="G30" s="51">
        <v>776712.31200000003</v>
      </c>
      <c r="H30" s="19">
        <v>297588.09999999998</v>
      </c>
      <c r="I30" s="20">
        <v>127537.76</v>
      </c>
      <c r="J30" s="20">
        <f>(89230+71879)*0.7</f>
        <v>112776.29999999999</v>
      </c>
      <c r="K30" s="20">
        <f>(89230+71879)*0.3</f>
        <v>48332.7</v>
      </c>
      <c r="L30" s="20"/>
      <c r="M30" s="20"/>
      <c r="N30" s="20">
        <v>0</v>
      </c>
      <c r="O30" s="20">
        <v>60000</v>
      </c>
      <c r="P30" s="20"/>
      <c r="Q30" s="20"/>
      <c r="R30" s="20">
        <v>0</v>
      </c>
      <c r="S30" s="20">
        <v>3272.7272727272725</v>
      </c>
      <c r="T30" s="20"/>
      <c r="U30" s="20"/>
      <c r="V30" s="20">
        <v>7081.0134501094772</v>
      </c>
      <c r="W30" s="20">
        <v>3034.7200500469189</v>
      </c>
      <c r="X30" s="20"/>
      <c r="Y30" s="20"/>
      <c r="Z30" s="20"/>
      <c r="AA30" s="20"/>
      <c r="AB30" s="20"/>
      <c r="AC30" s="20"/>
      <c r="AD30" s="20"/>
      <c r="AE30" s="20"/>
      <c r="AF30" s="20">
        <f>(109058*0.7)+(107166.49*0.7)</f>
        <v>151357.14299999998</v>
      </c>
      <c r="AG30" s="20">
        <f>(109058*0.3)+(107166.49*0.3)</f>
        <v>64867.346999999994</v>
      </c>
      <c r="AH30" s="20">
        <v>0</v>
      </c>
      <c r="AI30" s="20">
        <v>5179.7553323442844</v>
      </c>
      <c r="AJ30" s="20"/>
      <c r="AK30" s="20"/>
      <c r="AL30" s="20"/>
      <c r="AM30" s="20"/>
      <c r="AN30" s="20"/>
      <c r="AO30" s="20"/>
      <c r="AP30" s="20"/>
      <c r="AQ30" s="20"/>
      <c r="AR30" s="20">
        <f>46781.2146603117+41040.9155222308</f>
        <v>87822.130182542503</v>
      </c>
      <c r="AS30" s="20">
        <f>9495.18307462956+26314.067026003</f>
        <v>35809.250100632562</v>
      </c>
      <c r="AT30" s="20"/>
      <c r="AU30" s="20"/>
      <c r="AV30" s="20"/>
      <c r="AW30" s="20"/>
      <c r="AX30" s="20"/>
      <c r="AY30" s="20"/>
    </row>
    <row r="31" spans="1:51" s="30" customFormat="1" ht="37.5" customHeight="1" x14ac:dyDescent="0.3">
      <c r="A31" s="28">
        <v>29</v>
      </c>
      <c r="B31" s="20" t="s">
        <v>27</v>
      </c>
      <c r="C31" s="20" t="s">
        <v>42</v>
      </c>
      <c r="D31" s="20">
        <v>11233.4</v>
      </c>
      <c r="E31" s="29">
        <f t="shared" si="0"/>
        <v>4205787.0735264393</v>
      </c>
      <c r="F31" s="20">
        <v>182207.16994475399</v>
      </c>
      <c r="G31" s="20">
        <f>515038.932495791+960353.783260417+88243.32+17731.1614104871</f>
        <v>1581367.1971666953</v>
      </c>
      <c r="H31" s="20">
        <v>62529.884747159034</v>
      </c>
      <c r="I31" s="20">
        <v>67157.096218448802</v>
      </c>
      <c r="J31" s="20">
        <v>0</v>
      </c>
      <c r="K31" s="20">
        <f>45000+40643.7408869283</f>
        <v>85643.74088692831</v>
      </c>
      <c r="L31" s="20">
        <v>0</v>
      </c>
      <c r="M31" s="20">
        <f>15757.5309562841+11621.81</f>
        <v>27379.340956284097</v>
      </c>
      <c r="N31" s="20">
        <v>0</v>
      </c>
      <c r="O31" s="20">
        <v>41000</v>
      </c>
      <c r="P31" s="20"/>
      <c r="Q31" s="20"/>
      <c r="R31" s="20">
        <v>0</v>
      </c>
      <c r="S31" s="20">
        <v>6545.454545454545</v>
      </c>
      <c r="T31" s="20">
        <v>50555.165934721219</v>
      </c>
      <c r="U31" s="20">
        <v>5476.8096429281322</v>
      </c>
      <c r="V31" s="20">
        <v>60814.219976540648</v>
      </c>
      <c r="W31" s="20">
        <v>29298.912927116478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>
        <v>0</v>
      </c>
      <c r="AI31" s="20">
        <f>885+6125</f>
        <v>7010</v>
      </c>
      <c r="AJ31" s="20">
        <v>0</v>
      </c>
      <c r="AK31" s="20">
        <v>1143540.0584762811</v>
      </c>
      <c r="AL31" s="20"/>
      <c r="AM31" s="20"/>
      <c r="AN31" s="20"/>
      <c r="AO31" s="20"/>
      <c r="AP31" s="20"/>
      <c r="AQ31" s="20"/>
      <c r="AR31" s="20">
        <v>31809.596624615948</v>
      </c>
      <c r="AS31" s="20">
        <v>698220.64591032011</v>
      </c>
      <c r="AT31" s="20">
        <v>125231.77956819121</v>
      </c>
      <c r="AU31" s="20">
        <v>0</v>
      </c>
      <c r="AV31" s="20"/>
      <c r="AW31" s="20"/>
      <c r="AX31" s="20"/>
      <c r="AY31" s="20"/>
    </row>
    <row r="32" spans="1:51" s="30" customFormat="1" ht="37.5" customHeight="1" x14ac:dyDescent="0.3">
      <c r="A32" s="28">
        <v>30</v>
      </c>
      <c r="B32" s="20" t="s">
        <v>43</v>
      </c>
      <c r="C32" s="20" t="s">
        <v>44</v>
      </c>
      <c r="D32" s="20">
        <v>235.9</v>
      </c>
      <c r="E32" s="29">
        <f t="shared" si="0"/>
        <v>73221.448658842521</v>
      </c>
      <c r="F32" s="20">
        <v>0</v>
      </c>
      <c r="G32" s="20">
        <f>20167.3097611705+372.352179815008</f>
        <v>20539.661940985508</v>
      </c>
      <c r="H32" s="20">
        <v>1313.1197866945731</v>
      </c>
      <c r="I32" s="20">
        <v>1410.2906509099714</v>
      </c>
      <c r="J32" s="20"/>
      <c r="K32" s="20"/>
      <c r="L32" s="20">
        <v>0</v>
      </c>
      <c r="M32" s="20">
        <v>330.90618624703245</v>
      </c>
      <c r="N32" s="20"/>
      <c r="O32" s="20"/>
      <c r="P32" s="20"/>
      <c r="Q32" s="20"/>
      <c r="R32" s="20">
        <v>0</v>
      </c>
      <c r="S32" s="20">
        <v>3272.7272727272725</v>
      </c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>
        <v>0</v>
      </c>
      <c r="AI32" s="20">
        <f>885+6125</f>
        <v>7010</v>
      </c>
      <c r="AJ32" s="20">
        <v>0</v>
      </c>
      <c r="AK32" s="20">
        <v>24014.198710502136</v>
      </c>
      <c r="AL32" s="20"/>
      <c r="AM32" s="20"/>
      <c r="AN32" s="20"/>
      <c r="AO32" s="20"/>
      <c r="AP32" s="20"/>
      <c r="AQ32" s="20"/>
      <c r="AR32" s="20">
        <v>667.99756473969614</v>
      </c>
      <c r="AS32" s="20">
        <v>14662.546546036332</v>
      </c>
      <c r="AT32" s="20"/>
      <c r="AU32" s="20"/>
      <c r="AV32" s="20"/>
      <c r="AW32" s="20"/>
      <c r="AX32" s="20"/>
      <c r="AY32" s="20"/>
    </row>
    <row r="33" spans="1:51" s="30" customFormat="1" ht="37.5" customHeight="1" x14ac:dyDescent="0.3">
      <c r="A33" s="28">
        <v>31</v>
      </c>
      <c r="B33" s="20" t="s">
        <v>45</v>
      </c>
      <c r="C33" s="20" t="s">
        <v>46</v>
      </c>
      <c r="D33" s="20">
        <v>173.4</v>
      </c>
      <c r="E33" s="29">
        <f t="shared" si="0"/>
        <v>17342.924472839128</v>
      </c>
      <c r="F33" s="20">
        <v>0</v>
      </c>
      <c r="G33" s="20">
        <f>14824.1268019795+273.700161000095</f>
        <v>15097.826962979596</v>
      </c>
      <c r="H33" s="20">
        <v>965.2181899654048</v>
      </c>
      <c r="I33" s="20">
        <v>1036.6443360228448</v>
      </c>
      <c r="J33" s="20"/>
      <c r="K33" s="20"/>
      <c r="L33" s="20">
        <v>0</v>
      </c>
      <c r="M33" s="20">
        <v>243.23498387128203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</row>
    <row r="34" spans="1:51" s="30" customFormat="1" ht="37.5" customHeight="1" x14ac:dyDescent="0.3">
      <c r="A34" s="28">
        <v>32</v>
      </c>
      <c r="B34" s="20" t="s">
        <v>30</v>
      </c>
      <c r="C34" s="20" t="s">
        <v>47</v>
      </c>
      <c r="D34" s="20">
        <v>1971</v>
      </c>
      <c r="E34" s="29">
        <f t="shared" si="0"/>
        <v>2780460.7958914298</v>
      </c>
      <c r="F34" s="51">
        <v>1812328.73</v>
      </c>
      <c r="G34" s="51">
        <v>776712.31</v>
      </c>
      <c r="H34" s="20">
        <v>10971.424754451054</v>
      </c>
      <c r="I34" s="20">
        <v>11783.310186280432</v>
      </c>
      <c r="J34" s="20">
        <v>0</v>
      </c>
      <c r="K34" s="20">
        <v>8386.8036750804349</v>
      </c>
      <c r="L34" s="20"/>
      <c r="M34" s="20"/>
      <c r="N34" s="20"/>
      <c r="O34" s="20"/>
      <c r="P34" s="20"/>
      <c r="Q34" s="20"/>
      <c r="R34" s="20">
        <v>0</v>
      </c>
      <c r="S34" s="20">
        <v>6545.454545454545</v>
      </c>
      <c r="T34" s="20">
        <v>8870.3537715505117</v>
      </c>
      <c r="U34" s="20">
        <v>960.95499191797205</v>
      </c>
      <c r="V34" s="20">
        <v>10670.396102138411</v>
      </c>
      <c r="W34" s="20">
        <v>5140.7550144521329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>
        <v>5581.2768126407</v>
      </c>
      <c r="AS34" s="20">
        <v>122509.02603746337</v>
      </c>
      <c r="AT34" s="20"/>
      <c r="AU34" s="20"/>
      <c r="AV34" s="20"/>
      <c r="AW34" s="20"/>
      <c r="AX34" s="20"/>
      <c r="AY34" s="20"/>
    </row>
    <row r="35" spans="1:51" s="30" customFormat="1" ht="18.75" customHeight="1" x14ac:dyDescent="0.3">
      <c r="A35" s="28">
        <v>33</v>
      </c>
      <c r="B35" s="20" t="s">
        <v>48</v>
      </c>
      <c r="C35" s="20" t="s">
        <v>49</v>
      </c>
      <c r="D35" s="20">
        <v>126.6</v>
      </c>
      <c r="E35" s="29">
        <f t="shared" si="0"/>
        <v>12662.135168751076</v>
      </c>
      <c r="F35" s="20">
        <v>0</v>
      </c>
      <c r="G35" s="20">
        <f>10823.1514021373+199.829529311488</f>
        <v>11022.980931448788</v>
      </c>
      <c r="H35" s="20">
        <v>704.70947433460333</v>
      </c>
      <c r="I35" s="20">
        <v>756.85797543536398</v>
      </c>
      <c r="J35" s="20"/>
      <c r="K35" s="20"/>
      <c r="L35" s="20">
        <v>0</v>
      </c>
      <c r="M35" s="20">
        <v>177.58678753232007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</row>
    <row r="36" spans="1:51" s="30" customFormat="1" ht="37.5" customHeight="1" x14ac:dyDescent="0.3">
      <c r="A36" s="28">
        <v>34</v>
      </c>
      <c r="B36" s="20" t="s">
        <v>48</v>
      </c>
      <c r="C36" s="20" t="s">
        <v>50</v>
      </c>
      <c r="D36" s="20">
        <v>71</v>
      </c>
      <c r="E36" s="29">
        <f t="shared" si="0"/>
        <v>7101.1974485096734</v>
      </c>
      <c r="F36" s="20">
        <v>0</v>
      </c>
      <c r="G36" s="20">
        <f>6069.85584164097+112.068693373741</f>
        <v>6181.9245350147103</v>
      </c>
      <c r="H36" s="20">
        <v>395.21621388433527</v>
      </c>
      <c r="I36" s="20">
        <v>424.46221371177609</v>
      </c>
      <c r="J36" s="20"/>
      <c r="K36" s="20"/>
      <c r="L36" s="20">
        <v>0</v>
      </c>
      <c r="M36" s="20">
        <v>99.594485898852497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</row>
    <row r="37" spans="1:51" s="30" customFormat="1" ht="37.5" customHeight="1" x14ac:dyDescent="0.3">
      <c r="A37" s="28">
        <v>35</v>
      </c>
      <c r="B37" s="20" t="s">
        <v>48</v>
      </c>
      <c r="C37" s="20" t="s">
        <v>51</v>
      </c>
      <c r="D37" s="20">
        <v>34.700000000000003</v>
      </c>
      <c r="E37" s="29">
        <f t="shared" si="0"/>
        <v>3470.5852318772536</v>
      </c>
      <c r="F37" s="20">
        <v>0</v>
      </c>
      <c r="G37" s="20">
        <f>2966.53517894283+54.7716008460397</f>
        <v>3021.3067797888698</v>
      </c>
      <c r="H37" s="20">
        <v>193.15496650403429</v>
      </c>
      <c r="I37" s="20">
        <v>207.44843402533283</v>
      </c>
      <c r="J37" s="20"/>
      <c r="K37" s="20"/>
      <c r="L37" s="20">
        <v>0</v>
      </c>
      <c r="M37" s="20">
        <v>48.675051559016644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</row>
    <row r="38" spans="1:51" s="30" customFormat="1" ht="37.5" customHeight="1" x14ac:dyDescent="0.3">
      <c r="A38" s="28">
        <v>36</v>
      </c>
      <c r="B38" s="20" t="s">
        <v>48</v>
      </c>
      <c r="C38" s="20" t="s">
        <v>52</v>
      </c>
      <c r="D38" s="20">
        <v>97</v>
      </c>
      <c r="E38" s="29">
        <f t="shared" si="0"/>
        <v>9701.6359507808211</v>
      </c>
      <c r="F38" s="20">
        <v>0</v>
      </c>
      <c r="G38" s="20">
        <f>8292.61995266442+153.107933200745</f>
        <v>8445.7278858651644</v>
      </c>
      <c r="H38" s="20">
        <v>539.9432781236693</v>
      </c>
      <c r="I38" s="20">
        <v>579.89908070482079</v>
      </c>
      <c r="J38" s="20"/>
      <c r="K38" s="20"/>
      <c r="L38" s="20">
        <v>0</v>
      </c>
      <c r="M38" s="20">
        <v>136.06570608716467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</row>
    <row r="39" spans="1:51" s="30" customFormat="1" ht="37.5" customHeight="1" x14ac:dyDescent="0.3">
      <c r="A39" s="28">
        <v>37</v>
      </c>
      <c r="B39" s="20" t="s">
        <v>296</v>
      </c>
      <c r="C39" s="20" t="s">
        <v>54</v>
      </c>
      <c r="D39" s="20">
        <v>971.9</v>
      </c>
      <c r="E39" s="29">
        <f t="shared" si="0"/>
        <v>2972523.33937681</v>
      </c>
      <c r="F39" s="51">
        <v>1812328.7279999999</v>
      </c>
      <c r="G39" s="51">
        <v>776712.31200000003</v>
      </c>
      <c r="H39" s="20"/>
      <c r="I39" s="20"/>
      <c r="J39" s="20">
        <f>(69977+56370)*0.7</f>
        <v>88442.9</v>
      </c>
      <c r="K39" s="20">
        <f>(69977+56370)*0.3</f>
        <v>37904.1</v>
      </c>
      <c r="L39" s="20"/>
      <c r="M39" s="20"/>
      <c r="N39" s="20"/>
      <c r="O39" s="20"/>
      <c r="P39" s="20"/>
      <c r="Q39" s="20"/>
      <c r="R39" s="20">
        <v>0</v>
      </c>
      <c r="S39" s="20">
        <v>3272.7272727272725</v>
      </c>
      <c r="T39" s="20"/>
      <c r="U39" s="20"/>
      <c r="V39" s="20">
        <v>5110.4160150140751</v>
      </c>
      <c r="W39" s="20">
        <v>2190.1782921488893</v>
      </c>
      <c r="X39" s="20"/>
      <c r="Y39" s="20"/>
      <c r="Z39" s="20"/>
      <c r="AA39" s="20"/>
      <c r="AB39" s="20"/>
      <c r="AC39" s="20"/>
      <c r="AD39" s="20"/>
      <c r="AE39" s="20"/>
      <c r="AF39" s="20">
        <f>(81640*0.7)+(63904.03*0.7)</f>
        <v>101880.821</v>
      </c>
      <c r="AG39" s="20">
        <f>(81640*0.3)+(63904.03*0.3)</f>
        <v>43663.209000000003</v>
      </c>
      <c r="AH39" s="20">
        <v>0</v>
      </c>
      <c r="AI39" s="20">
        <v>4062.1352436903176</v>
      </c>
      <c r="AJ39" s="20"/>
      <c r="AK39" s="20"/>
      <c r="AL39" s="20"/>
      <c r="AM39" s="20"/>
      <c r="AN39" s="20"/>
      <c r="AO39" s="20"/>
      <c r="AP39" s="20"/>
      <c r="AQ39" s="20"/>
      <c r="AR39" s="20">
        <f>36687.3739436431+32185.6417300542</f>
        <v>68873.0156736973</v>
      </c>
      <c r="AS39" s="20">
        <f>7446.43623838656+20636.3606411461</f>
        <v>28082.79687953266</v>
      </c>
      <c r="AT39" s="20"/>
      <c r="AU39" s="20"/>
      <c r="AV39" s="20"/>
      <c r="AW39" s="20"/>
      <c r="AX39" s="20"/>
      <c r="AY39" s="20"/>
    </row>
    <row r="40" spans="1:51" ht="37.5" customHeight="1" x14ac:dyDescent="0.3">
      <c r="A40" s="26">
        <v>38</v>
      </c>
      <c r="B40" s="21" t="s">
        <v>55</v>
      </c>
      <c r="C40" s="21" t="s">
        <v>56</v>
      </c>
      <c r="D40" s="21">
        <v>637.79999999999995</v>
      </c>
      <c r="E40" s="27">
        <f t="shared" si="0"/>
        <v>0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 s="30" customFormat="1" ht="37.5" customHeight="1" x14ac:dyDescent="0.3">
      <c r="A41" s="28">
        <v>39</v>
      </c>
      <c r="B41" s="20" t="s">
        <v>57</v>
      </c>
      <c r="C41" s="20" t="s">
        <v>58</v>
      </c>
      <c r="D41" s="20">
        <f>676.6</f>
        <v>676.6</v>
      </c>
      <c r="E41" s="29">
        <f>SUM(F41:AU41)</f>
        <v>1645930.2481131821</v>
      </c>
      <c r="F41" s="51">
        <f>1294520.52*0.7</f>
        <v>906164.36399999994</v>
      </c>
      <c r="G41" s="51">
        <f>1294520.52*0.3</f>
        <v>388356.15600000002</v>
      </c>
      <c r="H41" s="20">
        <v>0</v>
      </c>
      <c r="I41" s="20">
        <v>45871.75</v>
      </c>
      <c r="J41" s="20">
        <f>(48715+39243)*0.7</f>
        <v>61570.6</v>
      </c>
      <c r="K41" s="20">
        <f>(48715+39243)*0.3</f>
        <v>26387.399999999998</v>
      </c>
      <c r="L41" s="20"/>
      <c r="M41" s="20"/>
      <c r="N41" s="20"/>
      <c r="O41" s="20"/>
      <c r="P41" s="20"/>
      <c r="Q41" s="20"/>
      <c r="R41" s="20">
        <v>0</v>
      </c>
      <c r="S41" s="20">
        <v>3272.7272727272725</v>
      </c>
      <c r="T41" s="20"/>
      <c r="U41" s="20"/>
      <c r="V41" s="20">
        <v>1655.3018454801379</v>
      </c>
      <c r="W41" s="20">
        <v>709.41507663434481</v>
      </c>
      <c r="X41" s="20"/>
      <c r="Y41" s="20"/>
      <c r="Z41" s="20"/>
      <c r="AA41" s="20"/>
      <c r="AB41" s="20"/>
      <c r="AC41" s="20"/>
      <c r="AD41" s="20"/>
      <c r="AE41" s="20"/>
      <c r="AF41" s="20">
        <f>(56834*0.7)+(115507.95*0.7)</f>
        <v>120639.36499999999</v>
      </c>
      <c r="AG41" s="20">
        <f>(56834*0.3)+(115507.95*0.3)</f>
        <v>51702.584999999992</v>
      </c>
      <c r="AH41" s="20">
        <v>0</v>
      </c>
      <c r="AI41" s="20">
        <v>2827.9048316502403</v>
      </c>
      <c r="AJ41" s="20"/>
      <c r="AK41" s="20"/>
      <c r="AL41" s="20"/>
      <c r="AM41" s="20"/>
      <c r="AN41" s="20"/>
      <c r="AO41" s="20"/>
      <c r="AP41" s="20"/>
      <c r="AQ41" s="20"/>
      <c r="AR41" s="20">
        <v>22406.425758364716</v>
      </c>
      <c r="AS41" s="20">
        <v>14366.253328325376</v>
      </c>
      <c r="AT41" s="20"/>
      <c r="AU41" s="20"/>
      <c r="AV41" s="20"/>
      <c r="AW41" s="20"/>
      <c r="AX41" s="20"/>
      <c r="AY41" s="20"/>
    </row>
    <row r="42" spans="1:51" ht="37.5" customHeight="1" x14ac:dyDescent="0.3">
      <c r="A42" s="26">
        <v>40</v>
      </c>
      <c r="B42" s="21" t="s">
        <v>27</v>
      </c>
      <c r="C42" s="21" t="s">
        <v>59</v>
      </c>
      <c r="D42" s="21">
        <v>16237.4</v>
      </c>
      <c r="E42" s="27">
        <f t="shared" si="0"/>
        <v>12267885.421505038</v>
      </c>
      <c r="F42" s="21">
        <v>0</v>
      </c>
      <c r="G42" s="21">
        <f>120247+90298.2+2550000+67116.24</f>
        <v>2827661.4400000004</v>
      </c>
      <c r="H42" s="21"/>
      <c r="I42" s="21"/>
      <c r="J42" s="21">
        <v>0</v>
      </c>
      <c r="K42" s="21">
        <f>898500+5432962.95801644</f>
        <v>6331462.9580164403</v>
      </c>
      <c r="L42" s="21">
        <v>0</v>
      </c>
      <c r="M42" s="21">
        <v>25701.473755173123</v>
      </c>
      <c r="N42" s="21"/>
      <c r="O42" s="21"/>
      <c r="P42" s="21">
        <v>0</v>
      </c>
      <c r="Q42" s="21">
        <v>286599.05660377361</v>
      </c>
      <c r="R42" s="21">
        <v>0</v>
      </c>
      <c r="S42" s="21">
        <f>6545.45454545455+40000</f>
        <v>46545.454545454551</v>
      </c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>
        <v>0</v>
      </c>
      <c r="AS42" s="21">
        <v>2749915.0385841941</v>
      </c>
      <c r="AT42" s="21"/>
      <c r="AU42" s="21"/>
      <c r="AV42" s="21"/>
      <c r="AW42" s="21"/>
      <c r="AX42" s="21"/>
      <c r="AY42" s="21"/>
    </row>
    <row r="43" spans="1:51" ht="37.5" customHeight="1" x14ac:dyDescent="0.3">
      <c r="A43" s="26">
        <v>41</v>
      </c>
      <c r="B43" s="21" t="s">
        <v>60</v>
      </c>
      <c r="C43" s="21" t="s">
        <v>61</v>
      </c>
      <c r="D43" s="21">
        <v>3051</v>
      </c>
      <c r="E43" s="27">
        <f t="shared" si="0"/>
        <v>4438477.4308331525</v>
      </c>
      <c r="F43" s="21">
        <v>0</v>
      </c>
      <c r="G43" s="21">
        <f>22595+2550000</f>
        <v>2572595</v>
      </c>
      <c r="H43" s="21">
        <v>0</v>
      </c>
      <c r="I43" s="21">
        <v>184260</v>
      </c>
      <c r="J43" s="21">
        <v>0</v>
      </c>
      <c r="K43" s="21">
        <f>586396.181384248+247550.397169464</f>
        <v>833946.578553712</v>
      </c>
      <c r="L43" s="21">
        <v>0</v>
      </c>
      <c r="M43" s="21">
        <v>4799.23596936387</v>
      </c>
      <c r="N43" s="21"/>
      <c r="O43" s="21"/>
      <c r="P43" s="21">
        <v>0</v>
      </c>
      <c r="Q43" s="21">
        <v>36509.433962264156</v>
      </c>
      <c r="R43" s="21"/>
      <c r="S43" s="21"/>
      <c r="T43" s="21"/>
      <c r="U43" s="21"/>
      <c r="V43" s="21">
        <v>0</v>
      </c>
      <c r="W43" s="21">
        <v>36000</v>
      </c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>
        <v>0</v>
      </c>
      <c r="AS43" s="21">
        <f>253659.41+516707.772347813</f>
        <v>770367.18234781304</v>
      </c>
      <c r="AT43" s="21"/>
      <c r="AU43" s="21"/>
      <c r="AV43" s="21"/>
      <c r="AW43" s="21"/>
      <c r="AX43" s="21"/>
      <c r="AY43" s="21"/>
    </row>
    <row r="44" spans="1:51" ht="37.5" customHeight="1" x14ac:dyDescent="0.3">
      <c r="A44" s="26">
        <v>42</v>
      </c>
      <c r="B44" s="21" t="s">
        <v>62</v>
      </c>
      <c r="C44" s="21" t="s">
        <v>63</v>
      </c>
      <c r="D44" s="21">
        <v>1467.1</v>
      </c>
      <c r="E44" s="27">
        <f t="shared" si="0"/>
        <v>3090151.6340127387</v>
      </c>
      <c r="F44" s="21">
        <v>0</v>
      </c>
      <c r="G44" s="21">
        <f>10865+2550000</f>
        <v>2560865</v>
      </c>
      <c r="H44" s="21"/>
      <c r="I44" s="21"/>
      <c r="J44" s="21"/>
      <c r="K44" s="21"/>
      <c r="L44" s="21"/>
      <c r="M44" s="21"/>
      <c r="N44" s="21"/>
      <c r="O44" s="21"/>
      <c r="P44" s="21">
        <v>0</v>
      </c>
      <c r="Q44" s="21">
        <v>25556.603773584906</v>
      </c>
      <c r="R44" s="21">
        <v>0</v>
      </c>
      <c r="S44" s="21">
        <v>6545.454545454545</v>
      </c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>
        <v>0</v>
      </c>
      <c r="AS44" s="21">
        <f>248721.13+248463.445693699</f>
        <v>497184.57569369901</v>
      </c>
      <c r="AT44" s="21"/>
      <c r="AU44" s="21"/>
      <c r="AV44" s="21"/>
      <c r="AW44" s="21"/>
      <c r="AX44" s="21"/>
      <c r="AY44" s="21"/>
    </row>
    <row r="45" spans="1:51" ht="37.5" customHeight="1" x14ac:dyDescent="0.3">
      <c r="A45" s="26">
        <v>43</v>
      </c>
      <c r="B45" s="21" t="s">
        <v>64</v>
      </c>
      <c r="C45" s="21" t="s">
        <v>65</v>
      </c>
      <c r="D45" s="21">
        <v>1779.1</v>
      </c>
      <c r="E45" s="27">
        <f t="shared" si="0"/>
        <v>1910993.9379249774</v>
      </c>
      <c r="F45" s="21">
        <v>0</v>
      </c>
      <c r="G45" s="21">
        <f>13175+637500</f>
        <v>650675</v>
      </c>
      <c r="H45" s="21">
        <v>0</v>
      </c>
      <c r="I45" s="21">
        <v>24900</v>
      </c>
      <c r="J45" s="21">
        <v>0</v>
      </c>
      <c r="K45" s="21">
        <f>193603.818615752+435791.13366536</f>
        <v>629394.95228111197</v>
      </c>
      <c r="L45" s="21">
        <v>0</v>
      </c>
      <c r="M45" s="21">
        <v>2810.6439954307971</v>
      </c>
      <c r="N45" s="21"/>
      <c r="O45" s="21"/>
      <c r="P45" s="21">
        <v>0</v>
      </c>
      <c r="Q45" s="21">
        <v>31033.018867924526</v>
      </c>
      <c r="R45" s="21">
        <v>0</v>
      </c>
      <c r="S45" s="21">
        <f>3272.72727272727+40000+3498</f>
        <v>46770.727272727272</v>
      </c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>
        <v>0</v>
      </c>
      <c r="AS45" s="21">
        <f>224106.810262292+301302.785245491</f>
        <v>525409.595507783</v>
      </c>
      <c r="AT45" s="21"/>
      <c r="AU45" s="21"/>
      <c r="AV45" s="21"/>
      <c r="AW45" s="21"/>
      <c r="AX45" s="21"/>
      <c r="AY45" s="21"/>
    </row>
    <row r="46" spans="1:51" ht="37.5" customHeight="1" x14ac:dyDescent="0.3">
      <c r="A46" s="26">
        <v>44</v>
      </c>
      <c r="B46" s="21" t="s">
        <v>66</v>
      </c>
      <c r="C46" s="21" t="s">
        <v>67</v>
      </c>
      <c r="D46" s="21">
        <v>561.79999999999995</v>
      </c>
      <c r="E46" s="27">
        <f t="shared" si="0"/>
        <v>808751.88358930836</v>
      </c>
      <c r="F46" s="21">
        <v>0</v>
      </c>
      <c r="G46" s="21">
        <f>4160+637500</f>
        <v>641660</v>
      </c>
      <c r="H46" s="21"/>
      <c r="I46" s="21"/>
      <c r="J46" s="21"/>
      <c r="K46" s="21"/>
      <c r="L46" s="21">
        <v>0</v>
      </c>
      <c r="M46" s="21">
        <v>1179.281286867287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>
        <v>0</v>
      </c>
      <c r="AS46" s="21">
        <f>70767.9197377077+95144.6825647333</f>
        <v>165912.60230244102</v>
      </c>
      <c r="AT46" s="21"/>
      <c r="AU46" s="21"/>
      <c r="AV46" s="21"/>
      <c r="AW46" s="21"/>
      <c r="AX46" s="21"/>
      <c r="AY46" s="21"/>
    </row>
    <row r="47" spans="1:51" s="30" customFormat="1" ht="37.5" customHeight="1" x14ac:dyDescent="0.3">
      <c r="A47" s="28">
        <v>45</v>
      </c>
      <c r="B47" s="20" t="s">
        <v>30</v>
      </c>
      <c r="C47" s="20" t="s">
        <v>68</v>
      </c>
      <c r="D47" s="20">
        <v>4466.7</v>
      </c>
      <c r="E47" s="29">
        <f t="shared" si="0"/>
        <v>5416374.5180507172</v>
      </c>
      <c r="F47" s="51">
        <f>1294518.12*0.7</f>
        <v>906162.68400000001</v>
      </c>
      <c r="G47" s="51">
        <f>1294518.12*0.3</f>
        <v>388355.43600000005</v>
      </c>
      <c r="H47" s="20"/>
      <c r="I47" s="20"/>
      <c r="J47" s="20">
        <v>0</v>
      </c>
      <c r="K47" s="20">
        <f>359000+860250+1385701.76114874</f>
        <v>2604951.7611487401</v>
      </c>
      <c r="L47" s="20"/>
      <c r="M47" s="20"/>
      <c r="N47" s="20"/>
      <c r="O47" s="20"/>
      <c r="P47" s="20">
        <v>0</v>
      </c>
      <c r="Q47" s="20">
        <v>7301.8867924528295</v>
      </c>
      <c r="R47" s="20">
        <v>0</v>
      </c>
      <c r="S47" s="20">
        <f>6545.45454545455+30000+28604.4</f>
        <v>65149.854545454553</v>
      </c>
      <c r="T47" s="20"/>
      <c r="U47" s="20"/>
      <c r="V47" s="20">
        <v>0</v>
      </c>
      <c r="W47" s="20">
        <v>36000</v>
      </c>
      <c r="X47" s="20">
        <v>0</v>
      </c>
      <c r="Y47" s="20">
        <f>79585.5+284582.98</f>
        <v>364168.48</v>
      </c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>
        <v>0</v>
      </c>
      <c r="AS47" s="20">
        <f>287818.14+756466.275564069</f>
        <v>1044284.4155640691</v>
      </c>
      <c r="AT47" s="20"/>
      <c r="AU47" s="20"/>
      <c r="AV47" s="20"/>
      <c r="AW47" s="20"/>
      <c r="AX47" s="20"/>
      <c r="AY47" s="20"/>
    </row>
    <row r="48" spans="1:51" ht="37.5" customHeight="1" x14ac:dyDescent="0.3">
      <c r="A48" s="26">
        <v>46</v>
      </c>
      <c r="B48" s="21" t="s">
        <v>37</v>
      </c>
      <c r="C48" s="21" t="s">
        <v>69</v>
      </c>
      <c r="D48" s="21">
        <v>912.3</v>
      </c>
      <c r="E48" s="27">
        <f t="shared" si="0"/>
        <v>759261.14424041065</v>
      </c>
      <c r="F48" s="21">
        <v>173196.60578167695</v>
      </c>
      <c r="G48" s="21">
        <v>73758.511228452247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>
        <v>0</v>
      </c>
      <c r="U48" s="21">
        <v>448541.66666666669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>
        <v>0</v>
      </c>
      <c r="AK48" s="21">
        <v>63764.36056361474</v>
      </c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</row>
    <row r="49" spans="1:51" ht="37.5" customHeight="1" x14ac:dyDescent="0.3">
      <c r="A49" s="26">
        <v>47</v>
      </c>
      <c r="B49" s="21" t="s">
        <v>37</v>
      </c>
      <c r="C49" s="21" t="s">
        <v>70</v>
      </c>
      <c r="D49" s="21">
        <v>1610.7</v>
      </c>
      <c r="E49" s="27">
        <f t="shared" si="0"/>
        <v>997820.27022693108</v>
      </c>
      <c r="F49" s="21">
        <v>305785.12872141518</v>
      </c>
      <c r="G49" s="21">
        <v>130223.42873579748</v>
      </c>
      <c r="H49" s="21">
        <v>0</v>
      </c>
      <c r="I49" s="21">
        <v>90400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>
        <v>0</v>
      </c>
      <c r="U49" s="21">
        <v>358833.33333333331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>
        <v>0</v>
      </c>
      <c r="AK49" s="21">
        <v>112578.37943638526</v>
      </c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</row>
    <row r="50" spans="1:51" ht="37.5" customHeight="1" x14ac:dyDescent="0.3">
      <c r="A50" s="26">
        <v>48</v>
      </c>
      <c r="B50" s="22" t="s">
        <v>71</v>
      </c>
      <c r="C50" s="22" t="s">
        <v>72</v>
      </c>
      <c r="D50" s="22">
        <v>18956.5</v>
      </c>
      <c r="E50" s="27">
        <f t="shared" si="0"/>
        <v>7376624.3519296702</v>
      </c>
      <c r="F50" s="21">
        <v>172563.66824289903</v>
      </c>
      <c r="G50" s="21">
        <v>0</v>
      </c>
      <c r="H50" s="21"/>
      <c r="I50" s="21"/>
      <c r="J50" s="21">
        <v>0</v>
      </c>
      <c r="K50" s="21">
        <f>1190250+290000</f>
        <v>1480250</v>
      </c>
      <c r="L50" s="21">
        <v>12803.821878744808</v>
      </c>
      <c r="M50" s="21">
        <f>9602.86640905861+4838.83</f>
        <v>14441.69640905861</v>
      </c>
      <c r="N50" s="21">
        <v>0</v>
      </c>
      <c r="O50" s="21">
        <v>42606.741573033709</v>
      </c>
      <c r="P50" s="21">
        <v>0</v>
      </c>
      <c r="Q50" s="21">
        <v>299000</v>
      </c>
      <c r="R50" s="21">
        <v>0</v>
      </c>
      <c r="S50" s="21">
        <f>298248+13090.9090909091</f>
        <v>311338.90909090912</v>
      </c>
      <c r="T50" s="21">
        <v>452096.1080645161</v>
      </c>
      <c r="U50" s="21">
        <v>0</v>
      </c>
      <c r="V50" s="21">
        <v>0</v>
      </c>
      <c r="W50" s="21">
        <f>214920+127805.309734513</f>
        <v>342725.30973451299</v>
      </c>
      <c r="X50" s="21">
        <f>22634.6153846154+75000</f>
        <v>97634.615384615405</v>
      </c>
      <c r="Y50" s="21">
        <v>71020.782500000001</v>
      </c>
      <c r="Z50" s="21">
        <v>0</v>
      </c>
      <c r="AA50" s="21">
        <v>101498</v>
      </c>
      <c r="AB50" s="21"/>
      <c r="AC50" s="21"/>
      <c r="AD50" s="21">
        <v>0</v>
      </c>
      <c r="AE50" s="21">
        <v>22609.756097560974</v>
      </c>
      <c r="AF50" s="21">
        <f>283421.594851658+71208.0866684964</f>
        <v>354629.68152015435</v>
      </c>
      <c r="AG50" s="21">
        <f>301856.48278464+71208.0866684964</f>
        <v>373064.56945313641</v>
      </c>
      <c r="AH50" s="21">
        <v>0</v>
      </c>
      <c r="AI50" s="21">
        <f>79230.2363895622+7928.70377728609</f>
        <v>87158.94016684829</v>
      </c>
      <c r="AJ50" s="21">
        <v>0</v>
      </c>
      <c r="AK50" s="21">
        <f>892546.67+295000</f>
        <v>1187546.67</v>
      </c>
      <c r="AL50" s="21"/>
      <c r="AM50" s="21"/>
      <c r="AN50" s="21"/>
      <c r="AO50" s="21"/>
      <c r="AP50" s="21">
        <v>0</v>
      </c>
      <c r="AQ50" s="21">
        <v>59500</v>
      </c>
      <c r="AR50" s="21">
        <f>715571.770925683+627767.380857879</f>
        <v>1343339.1517835618</v>
      </c>
      <c r="AS50" s="21">
        <f>145239.601350936+402503.519388708</f>
        <v>547743.12073964393</v>
      </c>
      <c r="AT50" s="21">
        <v>3052.8092904743239</v>
      </c>
      <c r="AU50" s="21">
        <v>0</v>
      </c>
      <c r="AV50" s="21"/>
      <c r="AW50" s="21"/>
      <c r="AX50" s="21"/>
      <c r="AY50" s="21"/>
    </row>
    <row r="51" spans="1:51" ht="37.5" customHeight="1" x14ac:dyDescent="0.3">
      <c r="A51" s="26">
        <v>49</v>
      </c>
      <c r="B51" s="22" t="s">
        <v>73</v>
      </c>
      <c r="C51" s="22" t="s">
        <v>74</v>
      </c>
      <c r="D51" s="22">
        <v>2378.5</v>
      </c>
      <c r="E51" s="27">
        <f t="shared" si="0"/>
        <v>2022801.0633419217</v>
      </c>
      <c r="F51" s="21">
        <v>21651.817841676224</v>
      </c>
      <c r="G51" s="21">
        <v>61304.34782608696</v>
      </c>
      <c r="H51" s="21">
        <v>0</v>
      </c>
      <c r="I51" s="21">
        <v>45200</v>
      </c>
      <c r="J51" s="21"/>
      <c r="K51" s="21"/>
      <c r="L51" s="21">
        <v>1606.5144060662321</v>
      </c>
      <c r="M51" s="21">
        <f>1204.88580454967+3312</f>
        <v>4516.88580454967</v>
      </c>
      <c r="N51" s="21"/>
      <c r="O51" s="21"/>
      <c r="P51" s="21">
        <v>0</v>
      </c>
      <c r="Q51" s="21">
        <v>318000</v>
      </c>
      <c r="R51" s="21">
        <v>0</v>
      </c>
      <c r="S51" s="21">
        <v>6545.454545454545</v>
      </c>
      <c r="T51" s="21">
        <v>388226.92720235052</v>
      </c>
      <c r="U51" s="21">
        <v>712071.02179032797</v>
      </c>
      <c r="V51" s="21"/>
      <c r="W51" s="21"/>
      <c r="X51" s="21"/>
      <c r="Y51" s="21"/>
      <c r="Z51" s="21">
        <v>0</v>
      </c>
      <c r="AA51" s="21">
        <v>101498</v>
      </c>
      <c r="AB51" s="21"/>
      <c r="AC51" s="21"/>
      <c r="AD51" s="21">
        <v>0</v>
      </c>
      <c r="AE51" s="21">
        <v>7536.5853658536589</v>
      </c>
      <c r="AF51" s="21">
        <v>35561.325316100985</v>
      </c>
      <c r="AG51" s="21">
        <v>37874.377881110282</v>
      </c>
      <c r="AH51" s="21">
        <v>0</v>
      </c>
      <c r="AI51" s="21">
        <v>994.82615114999976</v>
      </c>
      <c r="AJ51" s="21"/>
      <c r="AK51" s="21"/>
      <c r="AL51" s="21"/>
      <c r="AM51" s="21"/>
      <c r="AN51" s="21"/>
      <c r="AO51" s="21"/>
      <c r="AP51" s="21">
        <v>0</v>
      </c>
      <c r="AQ51" s="21">
        <v>10500</v>
      </c>
      <c r="AR51" s="21">
        <f>89783.8449685721+78766.8987086469</f>
        <v>168550.743677219</v>
      </c>
      <c r="AS51" s="21">
        <f>18223.4268885713+50502.7099341146</f>
        <v>68726.136822685905</v>
      </c>
      <c r="AT51" s="21">
        <v>32436.098711289691</v>
      </c>
      <c r="AU51" s="21">
        <v>0</v>
      </c>
      <c r="AV51" s="21"/>
      <c r="AW51" s="21"/>
      <c r="AX51" s="21"/>
      <c r="AY51" s="21"/>
    </row>
    <row r="52" spans="1:51" ht="37.5" customHeight="1" x14ac:dyDescent="0.3">
      <c r="A52" s="26">
        <v>50</v>
      </c>
      <c r="B52" s="22" t="s">
        <v>75</v>
      </c>
      <c r="C52" s="22" t="s">
        <v>76</v>
      </c>
      <c r="D52" s="22">
        <v>6733.6</v>
      </c>
      <c r="E52" s="27">
        <f t="shared" si="0"/>
        <v>3474215.3360854629</v>
      </c>
      <c r="F52" s="21">
        <v>1812328.73</v>
      </c>
      <c r="G52" s="21">
        <v>776712.31</v>
      </c>
      <c r="H52" s="21"/>
      <c r="I52" s="21"/>
      <c r="J52" s="21">
        <v>0</v>
      </c>
      <c r="K52" s="21">
        <v>148998.18322167807</v>
      </c>
      <c r="L52" s="21">
        <v>4548.0871997845616</v>
      </c>
      <c r="M52" s="21">
        <v>3411.0653998384214</v>
      </c>
      <c r="N52" s="21">
        <v>0</v>
      </c>
      <c r="O52" s="21">
        <v>15977.528089887641</v>
      </c>
      <c r="P52" s="21"/>
      <c r="Q52" s="21"/>
      <c r="R52" s="21">
        <v>0</v>
      </c>
      <c r="S52" s="21">
        <v>6545.454545454545</v>
      </c>
      <c r="T52" s="21"/>
      <c r="U52" s="21"/>
      <c r="V52" s="21"/>
      <c r="W52" s="21"/>
      <c r="X52" s="21">
        <f>20576.9230769231+75000</f>
        <v>95576.923076923093</v>
      </c>
      <c r="Y52" s="21">
        <v>71020.782500000001</v>
      </c>
      <c r="Z52" s="21"/>
      <c r="AA52" s="21"/>
      <c r="AB52" s="21"/>
      <c r="AC52" s="21"/>
      <c r="AD52" s="21">
        <v>0</v>
      </c>
      <c r="AE52" s="21">
        <v>22609.756097560974</v>
      </c>
      <c r="AF52" s="21">
        <v>100675.10622177742</v>
      </c>
      <c r="AG52" s="21">
        <v>107223.42270348717</v>
      </c>
      <c r="AH52" s="21">
        <v>0</v>
      </c>
      <c r="AI52" s="21">
        <v>2816.3806480486182</v>
      </c>
      <c r="AJ52" s="21"/>
      <c r="AK52" s="21"/>
      <c r="AL52" s="21"/>
      <c r="AM52" s="21"/>
      <c r="AN52" s="21"/>
      <c r="AO52" s="21"/>
      <c r="AP52" s="21"/>
      <c r="AQ52" s="21"/>
      <c r="AR52" s="21">
        <v>254180.5753543734</v>
      </c>
      <c r="AS52" s="21">
        <v>51591.031026648598</v>
      </c>
      <c r="AT52" s="21"/>
      <c r="AU52" s="21"/>
      <c r="AV52" s="21"/>
      <c r="AW52" s="21"/>
      <c r="AX52" s="21"/>
      <c r="AY52" s="21"/>
    </row>
    <row r="53" spans="1:51" ht="37.5" customHeight="1" x14ac:dyDescent="0.3">
      <c r="A53" s="26">
        <v>51</v>
      </c>
      <c r="B53" s="22" t="s">
        <v>77</v>
      </c>
      <c r="C53" s="22" t="s">
        <v>78</v>
      </c>
      <c r="D53" s="22">
        <v>1557</v>
      </c>
      <c r="E53" s="27">
        <f t="shared" si="0"/>
        <v>361065.35272919619</v>
      </c>
      <c r="F53" s="21">
        <v>14173.588555598013</v>
      </c>
      <c r="G53" s="21">
        <v>0</v>
      </c>
      <c r="H53" s="21"/>
      <c r="I53" s="21"/>
      <c r="J53" s="21"/>
      <c r="K53" s="21"/>
      <c r="L53" s="21">
        <v>1051.6472273471193</v>
      </c>
      <c r="M53" s="21">
        <v>788.73542051033951</v>
      </c>
      <c r="N53" s="21">
        <v>0</v>
      </c>
      <c r="O53" s="21">
        <v>111842.69662921347</v>
      </c>
      <c r="P53" s="21"/>
      <c r="Q53" s="21"/>
      <c r="R53" s="21">
        <v>0</v>
      </c>
      <c r="S53" s="21">
        <v>6545.454545454545</v>
      </c>
      <c r="T53" s="21">
        <v>96190.661290322576</v>
      </c>
      <c r="U53" s="21">
        <v>0</v>
      </c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>
        <f>23278.9503961191+5848.7057707303</f>
        <v>29127.6561668494</v>
      </c>
      <c r="AG53" s="21">
        <f>24793.1075723728+5848.7057707303</f>
        <v>30641.813343103098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>
        <v>58773.784576862206</v>
      </c>
      <c r="AS53" s="21">
        <v>11929.314973935467</v>
      </c>
      <c r="AT53" s="21"/>
      <c r="AU53" s="21"/>
      <c r="AV53" s="21"/>
      <c r="AW53" s="21"/>
      <c r="AX53" s="21"/>
      <c r="AY53" s="21"/>
    </row>
    <row r="54" spans="1:51" ht="37.5" customHeight="1" x14ac:dyDescent="0.3">
      <c r="A54" s="26">
        <v>52</v>
      </c>
      <c r="B54" s="22" t="s">
        <v>79</v>
      </c>
      <c r="C54" s="22" t="s">
        <v>80</v>
      </c>
      <c r="D54" s="22">
        <v>5057.3</v>
      </c>
      <c r="E54" s="27">
        <f t="shared" si="0"/>
        <v>3621228.7780256099</v>
      </c>
      <c r="F54" s="21">
        <v>46037.308543497646</v>
      </c>
      <c r="G54" s="21">
        <v>0</v>
      </c>
      <c r="H54" s="21"/>
      <c r="I54" s="21"/>
      <c r="J54" s="21"/>
      <c r="K54" s="21"/>
      <c r="L54" s="21">
        <v>3415.8609652296641</v>
      </c>
      <c r="M54" s="21">
        <v>2561.8957239222477</v>
      </c>
      <c r="N54" s="21"/>
      <c r="O54" s="21"/>
      <c r="P54" s="21"/>
      <c r="Q54" s="21"/>
      <c r="R54" s="21">
        <v>0</v>
      </c>
      <c r="S54" s="21">
        <v>6545.454545454545</v>
      </c>
      <c r="T54" s="21">
        <v>38476.264516129027</v>
      </c>
      <c r="U54" s="21">
        <v>0</v>
      </c>
      <c r="V54" s="21"/>
      <c r="W54" s="21"/>
      <c r="X54" s="21"/>
      <c r="Y54" s="21"/>
      <c r="Z54" s="21">
        <v>0</v>
      </c>
      <c r="AA54" s="21">
        <v>101498</v>
      </c>
      <c r="AB54" s="21"/>
      <c r="AC54" s="21"/>
      <c r="AD54" s="21"/>
      <c r="AE54" s="21"/>
      <c r="AF54" s="21">
        <f>75612.4828762319+18997.212391981</f>
        <v>94609.69526821289</v>
      </c>
      <c r="AG54" s="21">
        <f>80530.6248720366+18997.212391981</f>
        <v>99527.837264017595</v>
      </c>
      <c r="AH54" s="21"/>
      <c r="AI54" s="21"/>
      <c r="AJ54" s="21">
        <v>0</v>
      </c>
      <c r="AK54" s="21">
        <v>2724045.06</v>
      </c>
      <c r="AL54" s="21"/>
      <c r="AM54" s="21"/>
      <c r="AN54" s="21"/>
      <c r="AO54" s="21"/>
      <c r="AP54" s="21"/>
      <c r="AQ54" s="21"/>
      <c r="AR54" s="21">
        <f>190903.442993298+167478.594424738</f>
        <v>358382.03741803602</v>
      </c>
      <c r="AS54" s="21">
        <f>38747.6715592061+107381.692221904</f>
        <v>146129.36378111009</v>
      </c>
      <c r="AT54" s="21"/>
      <c r="AU54" s="21"/>
      <c r="AV54" s="21"/>
      <c r="AW54" s="21"/>
      <c r="AX54" s="21"/>
      <c r="AY54" s="21"/>
    </row>
    <row r="55" spans="1:51" ht="37.5" customHeight="1" x14ac:dyDescent="0.3">
      <c r="A55" s="26">
        <v>53</v>
      </c>
      <c r="B55" s="22" t="s">
        <v>81</v>
      </c>
      <c r="C55" s="22" t="s">
        <v>82</v>
      </c>
      <c r="D55" s="22">
        <v>286.89999999999998</v>
      </c>
      <c r="E55" s="27">
        <f t="shared" si="0"/>
        <v>2950.8081812918272</v>
      </c>
      <c r="F55" s="21">
        <v>2611.6907877977328</v>
      </c>
      <c r="G55" s="21">
        <v>0</v>
      </c>
      <c r="H55" s="21"/>
      <c r="I55" s="21"/>
      <c r="J55" s="21"/>
      <c r="K55" s="21"/>
      <c r="L55" s="21">
        <v>193.78136771091104</v>
      </c>
      <c r="M55" s="21">
        <v>145.33602578318326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 ht="37.5" customHeight="1" x14ac:dyDescent="0.3">
      <c r="A56" s="26">
        <v>54</v>
      </c>
      <c r="B56" s="22" t="s">
        <v>81</v>
      </c>
      <c r="C56" s="22" t="s">
        <v>83</v>
      </c>
      <c r="D56" s="22">
        <v>155.69999999999999</v>
      </c>
      <c r="E56" s="27">
        <f t="shared" si="0"/>
        <v>4534561.3971203454</v>
      </c>
      <c r="F56" s="21">
        <v>1417.3588555598014</v>
      </c>
      <c r="G56" s="21">
        <v>0</v>
      </c>
      <c r="H56" s="21"/>
      <c r="I56" s="21"/>
      <c r="J56" s="21"/>
      <c r="K56" s="21"/>
      <c r="L56" s="21">
        <v>105.16472273471193</v>
      </c>
      <c r="M56" s="21">
        <v>78.873542051033951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>
        <v>0</v>
      </c>
      <c r="AK56" s="21">
        <v>4532960</v>
      </c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 ht="37.5" customHeight="1" x14ac:dyDescent="0.3">
      <c r="A57" s="26">
        <v>55</v>
      </c>
      <c r="B57" s="22" t="s">
        <v>81</v>
      </c>
      <c r="C57" s="22" t="s">
        <v>84</v>
      </c>
      <c r="D57" s="22">
        <v>1142.7</v>
      </c>
      <c r="E57" s="27">
        <f t="shared" si="0"/>
        <v>1770688.5833999906</v>
      </c>
      <c r="F57" s="21">
        <v>10402.157766526558</v>
      </c>
      <c r="G57" s="21">
        <v>7826.086956521739</v>
      </c>
      <c r="H57" s="21"/>
      <c r="I57" s="21"/>
      <c r="J57" s="21"/>
      <c r="K57" s="21"/>
      <c r="L57" s="21">
        <v>771.8158552919416</v>
      </c>
      <c r="M57" s="21">
        <v>578.86189146895629</v>
      </c>
      <c r="N57" s="21">
        <v>0</v>
      </c>
      <c r="O57" s="21">
        <v>37280.898876404492</v>
      </c>
      <c r="P57" s="21"/>
      <c r="Q57" s="21"/>
      <c r="R57" s="21">
        <v>0</v>
      </c>
      <c r="S57" s="21">
        <v>6545.454545454545</v>
      </c>
      <c r="T57" s="21">
        <v>186515.41295527678</v>
      </c>
      <c r="U57" s="21">
        <v>342099.45621181739</v>
      </c>
      <c r="V57" s="21"/>
      <c r="W57" s="21"/>
      <c r="X57" s="21"/>
      <c r="Y57" s="21"/>
      <c r="Z57" s="21">
        <v>0</v>
      </c>
      <c r="AA57" s="21">
        <v>101498</v>
      </c>
      <c r="AB57" s="21"/>
      <c r="AC57" s="21"/>
      <c r="AD57" s="21"/>
      <c r="AE57" s="21"/>
      <c r="AF57" s="21">
        <v>17084.686331178724</v>
      </c>
      <c r="AG57" s="21">
        <v>18195.94349579345</v>
      </c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>
        <v>43134.748642248196</v>
      </c>
      <c r="AS57" s="21">
        <v>8755.0598720077433</v>
      </c>
      <c r="AT57" s="21">
        <v>0</v>
      </c>
      <c r="AU57" s="21">
        <v>990000</v>
      </c>
      <c r="AV57" s="21"/>
      <c r="AW57" s="21"/>
      <c r="AX57" s="21"/>
      <c r="AY57" s="21"/>
    </row>
    <row r="58" spans="1:51" ht="37.5" customHeight="1" x14ac:dyDescent="0.3">
      <c r="A58" s="26">
        <v>56</v>
      </c>
      <c r="B58" s="22" t="s">
        <v>81</v>
      </c>
      <c r="C58" s="22" t="s">
        <v>85</v>
      </c>
      <c r="D58" s="22">
        <v>1186.4000000000001</v>
      </c>
      <c r="E58" s="27">
        <f t="shared" si="0"/>
        <v>235520.64547636756</v>
      </c>
      <c r="F58" s="21">
        <v>10799.964972614955</v>
      </c>
      <c r="G58" s="21">
        <v>0</v>
      </c>
      <c r="H58" s="21"/>
      <c r="I58" s="21"/>
      <c r="J58" s="21"/>
      <c r="K58" s="21"/>
      <c r="L58" s="21">
        <v>801.33222255916667</v>
      </c>
      <c r="M58" s="21">
        <v>600.99916691937494</v>
      </c>
      <c r="N58" s="21">
        <v>0</v>
      </c>
      <c r="O58" s="21">
        <v>53258.426966292136</v>
      </c>
      <c r="P58" s="21"/>
      <c r="Q58" s="21"/>
      <c r="R58" s="21">
        <v>0</v>
      </c>
      <c r="S58" s="21">
        <v>6545.454545454545</v>
      </c>
      <c r="T58" s="21"/>
      <c r="U58" s="21"/>
      <c r="V58" s="21"/>
      <c r="W58" s="21"/>
      <c r="X58" s="21">
        <v>37500</v>
      </c>
      <c r="Y58" s="21">
        <v>35510.391250000001</v>
      </c>
      <c r="Z58" s="21"/>
      <c r="AA58" s="21"/>
      <c r="AB58" s="21"/>
      <c r="AC58" s="21"/>
      <c r="AD58" s="21"/>
      <c r="AE58" s="21"/>
      <c r="AF58" s="21">
        <v>17738.051862527729</v>
      </c>
      <c r="AG58" s="21">
        <v>18891.806566386058</v>
      </c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>
        <v>44784.340412324549</v>
      </c>
      <c r="AS58" s="21">
        <v>9089.8775112890416</v>
      </c>
      <c r="AT58" s="21"/>
      <c r="AU58" s="21"/>
      <c r="AV58" s="21"/>
      <c r="AW58" s="21"/>
      <c r="AX58" s="21"/>
      <c r="AY58" s="21"/>
    </row>
    <row r="59" spans="1:51" ht="37.5" customHeight="1" x14ac:dyDescent="0.3">
      <c r="A59" s="26">
        <v>57</v>
      </c>
      <c r="B59" s="22" t="s">
        <v>81</v>
      </c>
      <c r="C59" s="22" t="s">
        <v>86</v>
      </c>
      <c r="D59" s="22">
        <v>122.7</v>
      </c>
      <c r="E59" s="27">
        <f t="shared" si="0"/>
        <v>1261.9873260526567</v>
      </c>
      <c r="F59" s="21">
        <v>1116.9552445548338</v>
      </c>
      <c r="G59" s="21">
        <v>0</v>
      </c>
      <c r="H59" s="21"/>
      <c r="I59" s="21"/>
      <c r="J59" s="21"/>
      <c r="K59" s="21"/>
      <c r="L59" s="21">
        <v>82.875475141613066</v>
      </c>
      <c r="M59" s="21">
        <v>62.156606356209799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 ht="37.5" customHeight="1" x14ac:dyDescent="0.3">
      <c r="A60" s="26">
        <v>58</v>
      </c>
      <c r="B60" s="22" t="s">
        <v>34</v>
      </c>
      <c r="C60" s="22" t="s">
        <v>87</v>
      </c>
      <c r="D60" s="22">
        <v>52.6</v>
      </c>
      <c r="E60" s="27">
        <f t="shared" si="0"/>
        <v>936.17131174218707</v>
      </c>
      <c r="F60" s="21">
        <v>478.82514966246345</v>
      </c>
      <c r="G60" s="21">
        <v>0</v>
      </c>
      <c r="H60" s="21"/>
      <c r="I60" s="21"/>
      <c r="J60" s="21"/>
      <c r="K60" s="21"/>
      <c r="L60" s="21">
        <v>35.527709799909104</v>
      </c>
      <c r="M60" s="21">
        <v>26.645782349931828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>
        <v>197.58633496494139</v>
      </c>
      <c r="AG60" s="21">
        <v>197.58633496494139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 ht="37.5" customHeight="1" x14ac:dyDescent="0.3">
      <c r="A61" s="26">
        <v>59</v>
      </c>
      <c r="B61" s="22" t="s">
        <v>34</v>
      </c>
      <c r="C61" s="22" t="s">
        <v>88</v>
      </c>
      <c r="D61" s="22">
        <v>54.9</v>
      </c>
      <c r="E61" s="27">
        <f t="shared" si="0"/>
        <v>146479.52814677978</v>
      </c>
      <c r="F61" s="21">
        <v>499.76237103553694</v>
      </c>
      <c r="G61" s="21">
        <v>0</v>
      </c>
      <c r="H61" s="21">
        <v>0</v>
      </c>
      <c r="I61" s="21">
        <v>68.793268981875869</v>
      </c>
      <c r="J61" s="21"/>
      <c r="K61" s="21"/>
      <c r="L61" s="21">
        <v>37.081202813973569</v>
      </c>
      <c r="M61" s="21">
        <v>27.810902110480175</v>
      </c>
      <c r="N61" s="21"/>
      <c r="O61" s="21"/>
      <c r="P61" s="21"/>
      <c r="Q61" s="21"/>
      <c r="R61" s="21"/>
      <c r="S61" s="21"/>
      <c r="T61" s="21"/>
      <c r="U61" s="21"/>
      <c r="V61" s="21">
        <v>0</v>
      </c>
      <c r="W61" s="21">
        <v>145433.62831858409</v>
      </c>
      <c r="X61" s="21"/>
      <c r="Y61" s="21"/>
      <c r="AB61" s="21"/>
      <c r="AC61" s="21"/>
      <c r="AD61" s="21"/>
      <c r="AE61" s="21"/>
      <c r="AF61" s="21">
        <v>206.22604162690649</v>
      </c>
      <c r="AG61" s="21">
        <v>206.22604162690649</v>
      </c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 ht="37.5" customHeight="1" x14ac:dyDescent="0.3">
      <c r="A62" s="26">
        <v>60</v>
      </c>
      <c r="B62" s="22" t="s">
        <v>60</v>
      </c>
      <c r="C62" s="22" t="s">
        <v>89</v>
      </c>
      <c r="D62" s="22">
        <v>11053.9</v>
      </c>
      <c r="E62" s="27">
        <f t="shared" si="0"/>
        <v>7193616.6157902842</v>
      </c>
      <c r="F62" s="21"/>
      <c r="G62" s="21"/>
      <c r="H62" s="21">
        <v>0</v>
      </c>
      <c r="I62" s="21">
        <v>13851.255300523817</v>
      </c>
      <c r="J62" s="21">
        <v>3609883.8517911453</v>
      </c>
      <c r="K62" s="21">
        <v>642398.67138219427</v>
      </c>
      <c r="L62" s="21">
        <v>7466.15496876835</v>
      </c>
      <c r="M62" s="21">
        <f>5599.61622657626+3192.8</f>
        <v>8792.4162265762607</v>
      </c>
      <c r="N62" s="21">
        <v>0</v>
      </c>
      <c r="O62" s="21">
        <v>15977.528089887641</v>
      </c>
      <c r="P62" s="21"/>
      <c r="Q62" s="21"/>
      <c r="R62" s="21">
        <v>0</v>
      </c>
      <c r="S62" s="21">
        <v>6545.454545454545</v>
      </c>
      <c r="T62" s="21">
        <v>96190.661290322576</v>
      </c>
      <c r="U62" s="21">
        <v>0</v>
      </c>
      <c r="V62" s="21"/>
      <c r="W62" s="21"/>
      <c r="X62" s="21">
        <f>11317.3076923077+37500</f>
        <v>48817.307692307702</v>
      </c>
      <c r="Y62" s="21">
        <v>35510.391250000001</v>
      </c>
      <c r="Z62" s="21">
        <v>0</v>
      </c>
      <c r="AA62" s="21">
        <f>101498+94350.85</f>
        <v>195848.85</v>
      </c>
      <c r="AB62" s="21"/>
      <c r="AC62" s="21"/>
      <c r="AD62" s="21"/>
      <c r="AE62" s="21"/>
      <c r="AF62" s="21">
        <f>165268.586887386+41522.8058568244</f>
        <v>206791.39274421037</v>
      </c>
      <c r="AG62" s="21">
        <f>176018.324851799+41522.8058568244</f>
        <v>217541.13070862339</v>
      </c>
      <c r="AH62" s="21"/>
      <c r="AI62" s="21"/>
      <c r="AJ62" s="21">
        <v>0</v>
      </c>
      <c r="AK62" s="21">
        <v>98047.2</v>
      </c>
      <c r="AL62" s="21"/>
      <c r="AM62" s="21"/>
      <c r="AN62" s="21">
        <v>0</v>
      </c>
      <c r="AO62" s="21">
        <v>1351680.56</v>
      </c>
      <c r="AP62" s="21"/>
      <c r="AQ62" s="21"/>
      <c r="AR62" s="21">
        <v>417263.6720193816</v>
      </c>
      <c r="AS62" s="21">
        <v>84692.006930241012</v>
      </c>
      <c r="AT62" s="21">
        <v>136318.1108506468</v>
      </c>
      <c r="AU62" s="21">
        <v>0</v>
      </c>
      <c r="AV62" s="21"/>
      <c r="AW62" s="21"/>
      <c r="AX62" s="21"/>
      <c r="AY62" s="21"/>
    </row>
    <row r="63" spans="1:51" ht="37.5" customHeight="1" x14ac:dyDescent="0.3">
      <c r="A63" s="26">
        <v>61</v>
      </c>
      <c r="B63" s="22" t="s">
        <v>90</v>
      </c>
      <c r="C63" s="22" t="s">
        <v>91</v>
      </c>
      <c r="D63" s="22">
        <v>17563.900000000001</v>
      </c>
      <c r="E63" s="27">
        <f t="shared" si="0"/>
        <v>3058110.9581608297</v>
      </c>
      <c r="F63" s="21"/>
      <c r="G63" s="21"/>
      <c r="H63" s="21">
        <v>0</v>
      </c>
      <c r="I63" s="21">
        <f>67800+22008.7085076643</f>
        <v>89808.708507664298</v>
      </c>
      <c r="J63" s="21">
        <v>0</v>
      </c>
      <c r="K63" s="21">
        <f>99973+199000</f>
        <v>298973</v>
      </c>
      <c r="L63" s="21">
        <v>11863.215630316037</v>
      </c>
      <c r="M63" s="21">
        <f>8897.41172273703+60192.3</f>
        <v>69089.711722737033</v>
      </c>
      <c r="N63" s="21"/>
      <c r="O63" s="21"/>
      <c r="P63" s="21"/>
      <c r="Q63" s="21"/>
      <c r="R63" s="21">
        <v>0</v>
      </c>
      <c r="S63" s="21">
        <v>6545.454545454545</v>
      </c>
      <c r="T63" s="21">
        <v>163524.12419354837</v>
      </c>
      <c r="U63" s="21">
        <v>0</v>
      </c>
      <c r="V63" s="21"/>
      <c r="W63" s="21"/>
      <c r="X63" s="21">
        <f>22634.6153846154+75000</f>
        <v>97634.615384615405</v>
      </c>
      <c r="Y63" s="21">
        <v>71020.782500000001</v>
      </c>
      <c r="Z63" s="21"/>
      <c r="AA63" s="21"/>
      <c r="AB63" s="21"/>
      <c r="AC63" s="21"/>
      <c r="AD63" s="21">
        <v>0</v>
      </c>
      <c r="AE63" s="21">
        <v>15073.170731707318</v>
      </c>
      <c r="AF63" s="21">
        <f>262600.614555168+65976.9321043866</f>
        <v>328577.54665955459</v>
      </c>
      <c r="AG63" s="21">
        <f>279681.221638021+65976.9321043866</f>
        <v>345658.15374240757</v>
      </c>
      <c r="AH63" s="21">
        <v>0</v>
      </c>
      <c r="AI63" s="21">
        <v>7346.2379803167878</v>
      </c>
      <c r="AJ63" s="21">
        <v>0</v>
      </c>
      <c r="AK63" s="21">
        <f>133618.24+247260+260064</f>
        <v>640942.24</v>
      </c>
      <c r="AL63" s="21"/>
      <c r="AM63" s="21"/>
      <c r="AN63" s="21"/>
      <c r="AO63" s="21"/>
      <c r="AP63" s="21"/>
      <c r="AQ63" s="21"/>
      <c r="AR63" s="21">
        <v>663003.77323670534</v>
      </c>
      <c r="AS63" s="21">
        <v>134569.8749330155</v>
      </c>
      <c r="AT63" s="21">
        <v>114480.34839278714</v>
      </c>
      <c r="AU63" s="21">
        <v>0</v>
      </c>
      <c r="AV63" s="21"/>
      <c r="AW63" s="21"/>
      <c r="AX63" s="21"/>
      <c r="AY63" s="21"/>
    </row>
    <row r="64" spans="1:51" ht="37.5" customHeight="1" x14ac:dyDescent="0.3">
      <c r="A64" s="26">
        <v>62</v>
      </c>
      <c r="B64" s="22" t="s">
        <v>92</v>
      </c>
      <c r="C64" s="22" t="s">
        <v>93</v>
      </c>
      <c r="D64" s="22">
        <v>21448.3</v>
      </c>
      <c r="E64" s="27">
        <f t="shared" si="0"/>
        <v>6830478.2706842134</v>
      </c>
      <c r="F64" s="21"/>
      <c r="G64" s="21"/>
      <c r="H64" s="21">
        <v>0</v>
      </c>
      <c r="I64" s="21">
        <v>26876.114227758979</v>
      </c>
      <c r="J64" s="21">
        <v>2959761.6282088547</v>
      </c>
      <c r="K64" s="21">
        <v>526705.84861780563</v>
      </c>
      <c r="L64" s="21">
        <v>14486.862701547345</v>
      </c>
      <c r="M64" s="21">
        <v>10865.14702616051</v>
      </c>
      <c r="N64" s="21">
        <v>0</v>
      </c>
      <c r="O64" s="21">
        <v>10651.685393258427</v>
      </c>
      <c r="P64" s="21"/>
      <c r="Q64" s="21"/>
      <c r="R64" s="21">
        <v>0</v>
      </c>
      <c r="S64" s="21">
        <v>26181.81818181818</v>
      </c>
      <c r="T64" s="21">
        <v>76952.529032258055</v>
      </c>
      <c r="U64" s="21">
        <v>0</v>
      </c>
      <c r="V64" s="21"/>
      <c r="W64" s="21"/>
      <c r="X64" s="21">
        <f>11317.3076923077+37500</f>
        <v>48817.307692307702</v>
      </c>
      <c r="Y64" s="21">
        <v>35510.391250000001</v>
      </c>
      <c r="Z64" s="21">
        <v>0</v>
      </c>
      <c r="AA64" s="21">
        <v>101498</v>
      </c>
      <c r="AB64" s="21"/>
      <c r="AC64" s="21"/>
      <c r="AD64" s="21">
        <v>0</v>
      </c>
      <c r="AE64" s="21">
        <v>7536.5853658536589</v>
      </c>
      <c r="AF64" s="21">
        <f>320676.886179243+80568.2697381854</f>
        <v>401245.15591742838</v>
      </c>
      <c r="AG64" s="21">
        <f>341535.009084472+80568.2697381854</f>
        <v>422103.27882265742</v>
      </c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>
        <f>809632.475105918+710286.345836733</f>
        <v>1519918.820942651</v>
      </c>
      <c r="AS64" s="21">
        <f>164331.102347759+455411.929148568</f>
        <v>619743.03149632702</v>
      </c>
      <c r="AT64" s="21">
        <v>21624.065807526462</v>
      </c>
      <c r="AU64" s="21">
        <v>0</v>
      </c>
      <c r="AV64" s="21"/>
      <c r="AW64" s="21"/>
      <c r="AX64" s="21"/>
      <c r="AY64" s="21"/>
    </row>
    <row r="65" spans="1:51" ht="37.5" customHeight="1" x14ac:dyDescent="0.3">
      <c r="A65" s="26">
        <v>63</v>
      </c>
      <c r="B65" s="22" t="s">
        <v>94</v>
      </c>
      <c r="C65" s="22" t="s">
        <v>95</v>
      </c>
      <c r="D65" s="22">
        <v>348.4</v>
      </c>
      <c r="E65" s="27">
        <f t="shared" si="0"/>
        <v>207531.61154151248</v>
      </c>
      <c r="F65" s="21"/>
      <c r="G65" s="21"/>
      <c r="H65" s="21">
        <v>0</v>
      </c>
      <c r="I65" s="21">
        <v>436.56784905802459</v>
      </c>
      <c r="J65" s="21"/>
      <c r="K65" s="21"/>
      <c r="L65" s="21">
        <v>235.32042004350438</v>
      </c>
      <c r="M65" s="21">
        <v>176.49031503262827</v>
      </c>
      <c r="N65" s="21"/>
      <c r="O65" s="21"/>
      <c r="P65" s="21"/>
      <c r="Q65" s="21"/>
      <c r="R65" s="21"/>
      <c r="S65" s="21"/>
      <c r="T65" s="21">
        <v>56867.04285780908</v>
      </c>
      <c r="U65" s="21">
        <v>104303.36093830156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>
        <v>5208.9828632035233</v>
      </c>
      <c r="AG65" s="21">
        <v>5547.7961966696748</v>
      </c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>
        <f>13151.4364461007+11537.6865714074</f>
        <v>24689.1230175081</v>
      </c>
      <c r="AS65" s="21">
        <f>2669.34703719918+7397.5800466872</f>
        <v>10066.927083886379</v>
      </c>
      <c r="AT65" s="21"/>
      <c r="AU65" s="21"/>
      <c r="AV65" s="21"/>
      <c r="AW65" s="21"/>
      <c r="AX65" s="21"/>
      <c r="AY65" s="21"/>
    </row>
    <row r="66" spans="1:51" ht="37.5" customHeight="1" x14ac:dyDescent="0.3">
      <c r="A66" s="26">
        <v>64</v>
      </c>
      <c r="B66" s="22" t="s">
        <v>81</v>
      </c>
      <c r="C66" s="22" t="s">
        <v>96</v>
      </c>
      <c r="D66" s="22">
        <v>60.7</v>
      </c>
      <c r="E66" s="27">
        <f t="shared" si="0"/>
        <v>182258.43169766787</v>
      </c>
      <c r="F66" s="21"/>
      <c r="G66" s="21"/>
      <c r="H66" s="21">
        <v>0</v>
      </c>
      <c r="I66" s="21">
        <v>76.061046032784432</v>
      </c>
      <c r="J66" s="21"/>
      <c r="K66" s="21"/>
      <c r="L66" s="21">
        <v>40.998706936397006</v>
      </c>
      <c r="M66" s="21">
        <v>30.749030202297757</v>
      </c>
      <c r="N66" s="21"/>
      <c r="O66" s="21"/>
      <c r="P66" s="21"/>
      <c r="Q66" s="21"/>
      <c r="R66" s="21"/>
      <c r="S66" s="21"/>
      <c r="T66" s="21">
        <v>9907.6621741360832</v>
      </c>
      <c r="U66" s="21">
        <v>18172.256053257479</v>
      </c>
      <c r="V66" s="21"/>
      <c r="W66" s="21"/>
      <c r="X66" s="21"/>
      <c r="Y66" s="21"/>
      <c r="Z66" s="21"/>
      <c r="AA66" s="21"/>
      <c r="AB66" s="21"/>
      <c r="AC66" s="21"/>
      <c r="AD66" s="21">
        <v>0</v>
      </c>
      <c r="AE66" s="21">
        <v>150731.70731707316</v>
      </c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>
        <v>2010.1537740655308</v>
      </c>
      <c r="AS66" s="21">
        <v>1288.8435959641595</v>
      </c>
      <c r="AT66" s="21"/>
      <c r="AU66" s="21"/>
      <c r="AV66" s="21"/>
      <c r="AW66" s="21"/>
      <c r="AX66" s="21"/>
      <c r="AY66" s="21"/>
    </row>
    <row r="67" spans="1:51" ht="37.5" customHeight="1" x14ac:dyDescent="0.3">
      <c r="A67" s="26">
        <v>65</v>
      </c>
      <c r="B67" s="22" t="s">
        <v>73</v>
      </c>
      <c r="C67" s="22" t="s">
        <v>97</v>
      </c>
      <c r="D67" s="22">
        <v>358.3</v>
      </c>
      <c r="E67" s="27">
        <f t="shared" si="0"/>
        <v>200500.88045263203</v>
      </c>
      <c r="F67" s="21"/>
      <c r="G67" s="21"/>
      <c r="H67" s="21">
        <v>0</v>
      </c>
      <c r="I67" s="21">
        <v>448.97319264492029</v>
      </c>
      <c r="J67" s="21"/>
      <c r="K67" s="21"/>
      <c r="L67" s="21">
        <v>242.00719432143407</v>
      </c>
      <c r="M67" s="21">
        <v>181.50539574107555</v>
      </c>
      <c r="N67" s="21"/>
      <c r="O67" s="21"/>
      <c r="P67" s="21"/>
      <c r="Q67" s="21"/>
      <c r="R67" s="21">
        <v>0</v>
      </c>
      <c r="S67" s="21">
        <v>6545.454545454545</v>
      </c>
      <c r="T67" s="21">
        <v>58482.954810427655</v>
      </c>
      <c r="U67" s="21">
        <v>107267.20500629579</v>
      </c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>
        <v>5356.9993108089056</v>
      </c>
      <c r="AG67" s="21">
        <v>5705.4402332570171</v>
      </c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>
        <v>13525.142590809075</v>
      </c>
      <c r="AS67" s="21">
        <v>2745.1981728715978</v>
      </c>
      <c r="AT67" s="21"/>
      <c r="AU67" s="21"/>
      <c r="AV67" s="21"/>
      <c r="AW67" s="21"/>
      <c r="AX67" s="21"/>
      <c r="AY67" s="21"/>
    </row>
    <row r="68" spans="1:51" ht="37.5" customHeight="1" x14ac:dyDescent="0.3">
      <c r="A68" s="26">
        <v>66</v>
      </c>
      <c r="B68" s="22" t="s">
        <v>98</v>
      </c>
      <c r="C68" s="22" t="s">
        <v>99</v>
      </c>
      <c r="D68" s="22">
        <v>196.6</v>
      </c>
      <c r="E68" s="27">
        <f t="shared" ref="E68:E110" si="1">SUM(F68:AU68)</f>
        <v>478.7348726773115</v>
      </c>
      <c r="F68" s="21"/>
      <c r="G68" s="21"/>
      <c r="H68" s="21">
        <v>0</v>
      </c>
      <c r="I68" s="21">
        <v>246.35258072562468</v>
      </c>
      <c r="J68" s="21"/>
      <c r="K68" s="21"/>
      <c r="L68" s="21">
        <v>132.78988111524961</v>
      </c>
      <c r="M68" s="21">
        <v>99.59241083643721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</row>
    <row r="69" spans="1:51" ht="37.5" customHeight="1" x14ac:dyDescent="0.3">
      <c r="A69" s="26">
        <v>67</v>
      </c>
      <c r="B69" s="22" t="s">
        <v>81</v>
      </c>
      <c r="C69" s="22" t="s">
        <v>100</v>
      </c>
      <c r="D69" s="22">
        <v>54.4</v>
      </c>
      <c r="E69" s="27">
        <f t="shared" si="1"/>
        <v>132.4678386248512</v>
      </c>
      <c r="F69" s="21"/>
      <c r="G69" s="21"/>
      <c r="H69" s="21">
        <v>0</v>
      </c>
      <c r="I69" s="21">
        <v>68.166736477487191</v>
      </c>
      <c r="J69" s="21"/>
      <c r="K69" s="21"/>
      <c r="L69" s="21">
        <v>36.743486941350859</v>
      </c>
      <c r="M69" s="21">
        <v>27.557615206013146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</row>
    <row r="70" spans="1:51" ht="37.5" customHeight="1" x14ac:dyDescent="0.3">
      <c r="A70" s="26">
        <v>68</v>
      </c>
      <c r="B70" s="22" t="s">
        <v>101</v>
      </c>
      <c r="C70" s="22" t="s">
        <v>102</v>
      </c>
      <c r="D70" s="22">
        <v>217</v>
      </c>
      <c r="E70" s="27">
        <f t="shared" si="1"/>
        <v>2158.6853953324398</v>
      </c>
      <c r="F70" s="21"/>
      <c r="G70" s="21"/>
      <c r="H70" s="21">
        <v>0</v>
      </c>
      <c r="I70" s="21">
        <v>271.91510690468237</v>
      </c>
      <c r="J70" s="21"/>
      <c r="K70" s="21"/>
      <c r="L70" s="21">
        <v>146.56868871825617</v>
      </c>
      <c r="M70" s="21">
        <v>109.92651653869213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>
        <v>815.13754158540451</v>
      </c>
      <c r="AG70" s="21">
        <v>815.13754158540451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</row>
    <row r="71" spans="1:51" s="30" customFormat="1" ht="37.5" customHeight="1" x14ac:dyDescent="0.3">
      <c r="A71" s="28">
        <v>69</v>
      </c>
      <c r="B71" s="19" t="s">
        <v>293</v>
      </c>
      <c r="C71" s="19" t="s">
        <v>103</v>
      </c>
      <c r="D71" s="19">
        <v>482.8</v>
      </c>
      <c r="E71" s="29">
        <f t="shared" si="1"/>
        <v>3559040.8831046554</v>
      </c>
      <c r="F71" s="20"/>
      <c r="G71" s="20">
        <v>2589041.4</v>
      </c>
      <c r="H71" s="20"/>
      <c r="I71" s="20">
        <f>4760+29093.54</f>
        <v>33853.54</v>
      </c>
      <c r="J71" s="20"/>
      <c r="K71" s="20">
        <v>894112</v>
      </c>
      <c r="L71" s="20">
        <f>1931/2</f>
        <v>965.5</v>
      </c>
      <c r="M71" s="20">
        <f>1931/2</f>
        <v>965.5</v>
      </c>
      <c r="N71" s="20"/>
      <c r="O71" s="20"/>
      <c r="P71" s="20"/>
      <c r="Q71" s="20"/>
      <c r="R71" s="20">
        <v>0</v>
      </c>
      <c r="S71" s="20">
        <v>3272.7272727272725</v>
      </c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>
        <v>7218.4182731190049</v>
      </c>
      <c r="AG71" s="20">
        <v>7687.9334206432814</v>
      </c>
      <c r="AH71" s="20"/>
      <c r="AI71" s="20"/>
      <c r="AJ71" s="20"/>
      <c r="AK71" s="20">
        <v>0</v>
      </c>
      <c r="AL71" s="20"/>
      <c r="AM71" s="20"/>
      <c r="AN71" s="20"/>
      <c r="AO71" s="20"/>
      <c r="AP71" s="20"/>
      <c r="AQ71" s="20"/>
      <c r="AR71" s="20">
        <v>18224.780471232545</v>
      </c>
      <c r="AS71" s="20">
        <v>3699.0836669338746</v>
      </c>
      <c r="AT71" s="20"/>
      <c r="AU71" s="20"/>
      <c r="AV71" s="20"/>
      <c r="AW71" s="20"/>
      <c r="AX71" s="20"/>
      <c r="AY71" s="20"/>
    </row>
    <row r="72" spans="1:51" s="30" customFormat="1" ht="37.5" customHeight="1" x14ac:dyDescent="0.3">
      <c r="A72" s="28">
        <v>70</v>
      </c>
      <c r="B72" s="19" t="s">
        <v>104</v>
      </c>
      <c r="C72" s="19" t="s">
        <v>105</v>
      </c>
      <c r="D72" s="19">
        <v>11351</v>
      </c>
      <c r="E72" s="29">
        <f t="shared" si="1"/>
        <v>8291675.3727573408</v>
      </c>
      <c r="F72" s="51">
        <v>1812328.73</v>
      </c>
      <c r="G72" s="51">
        <v>776712.31</v>
      </c>
      <c r="H72" s="19">
        <v>642027.11</v>
      </c>
      <c r="I72" s="20">
        <v>275154.46999999997</v>
      </c>
      <c r="J72" s="20">
        <f>(817272+658358)*0.7</f>
        <v>1032940.9999999999</v>
      </c>
      <c r="K72" s="20">
        <f>(817272+658358)*0.3</f>
        <v>442689</v>
      </c>
      <c r="L72" s="20"/>
      <c r="M72" s="20"/>
      <c r="N72" s="20">
        <v>0</v>
      </c>
      <c r="O72" s="20">
        <f>26629.2134831461+199500</f>
        <v>226129.2134831461</v>
      </c>
      <c r="P72" s="20"/>
      <c r="Q72" s="20"/>
      <c r="R72" s="20">
        <v>0</v>
      </c>
      <c r="S72" s="20">
        <v>6545.454545454545</v>
      </c>
      <c r="T72" s="20"/>
      <c r="U72" s="20"/>
      <c r="V72" s="20">
        <v>43931.185486393493</v>
      </c>
      <c r="W72" s="20">
        <v>18827.650922740071</v>
      </c>
      <c r="X72" s="20">
        <f>51442.3076923077+225000</f>
        <v>276442.30769230769</v>
      </c>
      <c r="Y72" s="20">
        <v>213062.3475</v>
      </c>
      <c r="Z72" s="20"/>
      <c r="AA72" s="20"/>
      <c r="AB72" s="20"/>
      <c r="AC72" s="20"/>
      <c r="AD72" s="20">
        <v>0</v>
      </c>
      <c r="AE72" s="20">
        <v>7536.5853658536589</v>
      </c>
      <c r="AF72" s="20">
        <f>(953484*0.7)+(1000974.64*0.7)</f>
        <v>1368121.048</v>
      </c>
      <c r="AG72" s="20">
        <f>(953484*0.3)+(1000974.64*0.3)</f>
        <v>586337.59199999995</v>
      </c>
      <c r="AH72" s="20">
        <v>0</v>
      </c>
      <c r="AI72" s="20">
        <v>47442.429417768071</v>
      </c>
      <c r="AJ72" s="20"/>
      <c r="AK72" s="20"/>
      <c r="AL72" s="20"/>
      <c r="AM72" s="20"/>
      <c r="AN72" s="20"/>
      <c r="AO72" s="20"/>
      <c r="AP72" s="20"/>
      <c r="AQ72" s="20"/>
      <c r="AR72" s="20">
        <v>428478.63117017527</v>
      </c>
      <c r="AS72" s="20">
        <v>86968.307173501264</v>
      </c>
      <c r="AT72" s="20"/>
      <c r="AU72" s="20"/>
      <c r="AV72" s="20"/>
      <c r="AW72" s="20"/>
      <c r="AX72" s="20"/>
      <c r="AY72" s="20"/>
    </row>
    <row r="73" spans="1:51" s="30" customFormat="1" ht="37.5" customHeight="1" x14ac:dyDescent="0.3">
      <c r="A73" s="28">
        <v>71</v>
      </c>
      <c r="B73" s="19" t="s">
        <v>106</v>
      </c>
      <c r="C73" s="19" t="s">
        <v>107</v>
      </c>
      <c r="D73" s="19">
        <v>8800.7000000000007</v>
      </c>
      <c r="E73" s="29">
        <f t="shared" si="1"/>
        <v>6545.454545454545</v>
      </c>
      <c r="F73" s="20"/>
      <c r="G73" s="20"/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>
        <v>0</v>
      </c>
      <c r="S73" s="20">
        <v>6545.454545454545</v>
      </c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</row>
    <row r="74" spans="1:51" s="30" customFormat="1" ht="37.5" customHeight="1" x14ac:dyDescent="0.3">
      <c r="A74" s="28">
        <v>72</v>
      </c>
      <c r="B74" s="19" t="s">
        <v>108</v>
      </c>
      <c r="C74" s="19" t="s">
        <v>107</v>
      </c>
      <c r="D74" s="19">
        <v>6435.4</v>
      </c>
      <c r="E74" s="29">
        <f t="shared" si="1"/>
        <v>8978394.4297339208</v>
      </c>
      <c r="F74" s="51">
        <v>3624657.46</v>
      </c>
      <c r="G74" s="51">
        <v>1553424.62</v>
      </c>
      <c r="H74" s="19">
        <v>479353.14279999997</v>
      </c>
      <c r="I74" s="20">
        <v>205437.06</v>
      </c>
      <c r="J74" s="20">
        <f>(463349+373253)*0.7</f>
        <v>585621.39999999991</v>
      </c>
      <c r="K74" s="20">
        <f>(463349+373253)*0.3</f>
        <v>250980.59999999998</v>
      </c>
      <c r="L74" s="20"/>
      <c r="M74" s="20"/>
      <c r="N74" s="20">
        <v>0</v>
      </c>
      <c r="O74" s="20">
        <v>10651.685393258427</v>
      </c>
      <c r="P74" s="20">
        <v>0</v>
      </c>
      <c r="Q74" s="20">
        <v>79990</v>
      </c>
      <c r="R74" s="20">
        <v>0</v>
      </c>
      <c r="S74" s="20">
        <v>6545.454545454545</v>
      </c>
      <c r="T74" s="20"/>
      <c r="U74" s="20"/>
      <c r="V74" s="20">
        <v>19272.44291523303</v>
      </c>
      <c r="W74" s="20">
        <f>21600+8259.6</f>
        <v>29859.599999999999</v>
      </c>
      <c r="X74" s="20">
        <f>11317.3076923077+37500</f>
        <v>48817.307692307702</v>
      </c>
      <c r="Y74" s="20">
        <v>35510.391250000001</v>
      </c>
      <c r="Z74" s="20">
        <v>0</v>
      </c>
      <c r="AA74" s="20">
        <v>51464.1</v>
      </c>
      <c r="AB74" s="20"/>
      <c r="AC74" s="20"/>
      <c r="AD74" s="20"/>
      <c r="AE74" s="20"/>
      <c r="AF74" s="20">
        <f>(540574*0.7)+(787348.55*0.7)</f>
        <v>929545.78499999992</v>
      </c>
      <c r="AG74" s="20">
        <f>(540574*0.3)+(787348.55*0.3)</f>
        <v>398376.76500000001</v>
      </c>
      <c r="AH74" s="20">
        <v>0</v>
      </c>
      <c r="AI74" s="20">
        <v>26897.278678099257</v>
      </c>
      <c r="AJ74" s="20"/>
      <c r="AK74" s="20"/>
      <c r="AL74" s="20"/>
      <c r="AM74" s="20"/>
      <c r="AN74" s="20"/>
      <c r="AO74" s="20"/>
      <c r="AP74" s="20"/>
      <c r="AQ74" s="20"/>
      <c r="AR74" s="20">
        <f>242924.093298612+213116.039499527</f>
        <v>456040.13279813901</v>
      </c>
      <c r="AS74" s="20">
        <f>49306.3028794247+136642.900782006</f>
        <v>185949.20366143071</v>
      </c>
      <c r="AT74" s="20"/>
      <c r="AU74" s="20"/>
      <c r="AV74" s="20"/>
      <c r="AW74" s="20"/>
      <c r="AX74" s="20"/>
      <c r="AY74" s="20"/>
    </row>
    <row r="75" spans="1:51" s="30" customFormat="1" ht="37.5" customHeight="1" x14ac:dyDescent="0.3">
      <c r="A75" s="28">
        <v>73</v>
      </c>
      <c r="B75" s="19" t="s">
        <v>109</v>
      </c>
      <c r="C75" s="19" t="s">
        <v>110</v>
      </c>
      <c r="D75" s="19">
        <v>6896.7</v>
      </c>
      <c r="E75" s="29">
        <f t="shared" si="1"/>
        <v>13186923.446508719</v>
      </c>
      <c r="F75" s="20"/>
      <c r="G75" s="20">
        <v>5178082.08</v>
      </c>
      <c r="H75" s="19"/>
      <c r="I75" s="20">
        <v>83532.38</v>
      </c>
      <c r="J75" s="20"/>
      <c r="K75" s="20"/>
      <c r="L75" s="20">
        <f>27587/2</f>
        <v>13793.5</v>
      </c>
      <c r="M75" s="20">
        <f>27587/2</f>
        <v>13793.5</v>
      </c>
      <c r="N75" s="20">
        <v>0</v>
      </c>
      <c r="O75" s="20">
        <v>5325.8426966292136</v>
      </c>
      <c r="P75" s="20"/>
      <c r="Q75" s="20"/>
      <c r="R75" s="20">
        <v>0</v>
      </c>
      <c r="S75" s="20">
        <v>6545.454545454545</v>
      </c>
      <c r="T75" s="20">
        <v>76952.529032258055</v>
      </c>
      <c r="U75" s="20">
        <v>0</v>
      </c>
      <c r="V75" s="20">
        <v>0</v>
      </c>
      <c r="W75" s="20">
        <v>8814.1592920353978</v>
      </c>
      <c r="X75" s="20"/>
      <c r="Y75" s="20"/>
      <c r="Z75" s="20"/>
      <c r="AA75" s="20"/>
      <c r="AB75" s="20"/>
      <c r="AC75" s="20"/>
      <c r="AD75" s="20">
        <v>0</v>
      </c>
      <c r="AE75" s="20">
        <v>7536.5853658536589</v>
      </c>
      <c r="AF75" s="20">
        <v>1044065</v>
      </c>
      <c r="AG75" s="20">
        <v>1044065</v>
      </c>
      <c r="AH75" s="20"/>
      <c r="AI75" s="20"/>
      <c r="AJ75" s="20"/>
      <c r="AK75" s="20">
        <v>4545786</v>
      </c>
      <c r="AL75" s="20"/>
      <c r="AM75" s="20"/>
      <c r="AN75" s="20"/>
      <c r="AO75" s="20"/>
      <c r="AP75" s="20"/>
      <c r="AQ75" s="20"/>
      <c r="AR75" s="20">
        <f>260337.289718205+228392.545858282</f>
        <v>488729.83557648701</v>
      </c>
      <c r="AS75" s="20">
        <f>417935.18+251966.4</f>
        <v>669901.57999999996</v>
      </c>
      <c r="AT75" s="20"/>
      <c r="AU75" s="20"/>
      <c r="AV75" s="20"/>
      <c r="AW75" s="20"/>
      <c r="AX75" s="20"/>
      <c r="AY75" s="20"/>
    </row>
    <row r="76" spans="1:51" s="30" customFormat="1" ht="37.5" customHeight="1" x14ac:dyDescent="0.3">
      <c r="A76" s="28">
        <v>74</v>
      </c>
      <c r="B76" s="19" t="s">
        <v>111</v>
      </c>
      <c r="C76" s="19" t="s">
        <v>112</v>
      </c>
      <c r="D76" s="19">
        <v>38.4</v>
      </c>
      <c r="E76" s="29">
        <f t="shared" si="1"/>
        <v>0</v>
      </c>
      <c r="F76" s="20"/>
      <c r="G76" s="20"/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</row>
    <row r="77" spans="1:51" s="30" customFormat="1" ht="37.5" customHeight="1" x14ac:dyDescent="0.3">
      <c r="A77" s="28">
        <v>75</v>
      </c>
      <c r="B77" s="19" t="s">
        <v>113</v>
      </c>
      <c r="C77" s="19" t="s">
        <v>114</v>
      </c>
      <c r="D77" s="19">
        <v>3455.5</v>
      </c>
      <c r="E77" s="29">
        <f t="shared" si="1"/>
        <v>17412026.520046379</v>
      </c>
      <c r="F77" s="20"/>
      <c r="G77" s="20">
        <f>2589041.04/2</f>
        <v>1294520.52</v>
      </c>
      <c r="H77" s="19">
        <v>0</v>
      </c>
      <c r="I77" s="20">
        <v>8330</v>
      </c>
      <c r="J77" s="20">
        <v>0</v>
      </c>
      <c r="K77" s="20">
        <f>(294000+359100+652935)-548535</f>
        <v>757500</v>
      </c>
      <c r="L77" s="20">
        <f>13822/2</f>
        <v>6911</v>
      </c>
      <c r="M77" s="20">
        <f>13822/2</f>
        <v>6911</v>
      </c>
      <c r="N77" s="20">
        <v>0</v>
      </c>
      <c r="O77" s="20">
        <f>396000/2</f>
        <v>198000</v>
      </c>
      <c r="P77" s="20"/>
      <c r="Q77" s="20"/>
      <c r="R77" s="20">
        <v>0</v>
      </c>
      <c r="S77" s="20">
        <v>3272.7272727272725</v>
      </c>
      <c r="T77" s="20">
        <v>76952.529032258055</v>
      </c>
      <c r="U77" s="20">
        <v>0</v>
      </c>
      <c r="V77" s="20"/>
      <c r="W77" s="20"/>
      <c r="X77" s="20"/>
      <c r="Y77" s="20"/>
      <c r="Z77" s="20">
        <v>0</v>
      </c>
      <c r="AA77" s="20">
        <v>1000000</v>
      </c>
      <c r="AB77" s="20"/>
      <c r="AC77" s="20"/>
      <c r="AD77" s="20"/>
      <c r="AE77" s="20"/>
      <c r="AF77" s="20">
        <v>522032</v>
      </c>
      <c r="AG77" s="20">
        <v>522032</v>
      </c>
      <c r="AH77" s="20"/>
      <c r="AI77" s="20"/>
      <c r="AJ77" s="20">
        <f>3777960+499701.6</f>
        <v>4277661.5999999996</v>
      </c>
      <c r="AK77" s="20">
        <f>4396581.6+2125660</f>
        <v>6522241.5999999996</v>
      </c>
      <c r="AL77" s="20"/>
      <c r="AM77" s="20"/>
      <c r="AN77" s="20"/>
      <c r="AO77" s="20"/>
      <c r="AP77" s="20">
        <v>0</v>
      </c>
      <c r="AQ77" s="20">
        <f>200000+490000+490000+490000</f>
        <v>1670000</v>
      </c>
      <c r="AR77" s="20">
        <v>130438.543741392</v>
      </c>
      <c r="AS77" s="20">
        <f>207157+208066</f>
        <v>415223</v>
      </c>
      <c r="AT77" s="20"/>
      <c r="AU77" s="20"/>
      <c r="AV77" s="20"/>
      <c r="AW77" s="20"/>
      <c r="AX77" s="20"/>
      <c r="AY77" s="20"/>
    </row>
    <row r="78" spans="1:51" s="30" customFormat="1" ht="37.5" customHeight="1" x14ac:dyDescent="0.3">
      <c r="A78" s="28">
        <v>76</v>
      </c>
      <c r="B78" s="19" t="s">
        <v>115</v>
      </c>
      <c r="C78" s="19" t="s">
        <v>116</v>
      </c>
      <c r="D78" s="19">
        <v>2482.1</v>
      </c>
      <c r="E78" s="29">
        <f t="shared" si="1"/>
        <v>4006126.5186498621</v>
      </c>
      <c r="F78" s="20"/>
      <c r="G78" s="20">
        <f>2589041.04/2</f>
        <v>1294520.52</v>
      </c>
      <c r="H78" s="19">
        <v>0</v>
      </c>
      <c r="I78" s="20">
        <v>8330</v>
      </c>
      <c r="J78" s="20">
        <v>0</v>
      </c>
      <c r="K78" s="20">
        <v>548535</v>
      </c>
      <c r="L78" s="20">
        <f>9928/2</f>
        <v>4964</v>
      </c>
      <c r="M78" s="20">
        <f>9928/2</f>
        <v>4964</v>
      </c>
      <c r="N78" s="20">
        <v>0</v>
      </c>
      <c r="O78" s="20">
        <f>396000/2</f>
        <v>198000</v>
      </c>
      <c r="P78" s="20"/>
      <c r="Q78" s="20"/>
      <c r="R78" s="20">
        <v>0</v>
      </c>
      <c r="S78" s="20">
        <v>3272.7272727272725</v>
      </c>
      <c r="T78" s="20">
        <v>76952.529032258055</v>
      </c>
      <c r="U78" s="20">
        <v>0</v>
      </c>
      <c r="V78" s="20">
        <v>0</v>
      </c>
      <c r="W78" s="20">
        <v>66106.194690265489</v>
      </c>
      <c r="X78" s="20"/>
      <c r="Y78" s="20"/>
      <c r="Z78" s="20">
        <v>0</v>
      </c>
      <c r="AA78" s="20">
        <v>247500</v>
      </c>
      <c r="AB78" s="20"/>
      <c r="AC78" s="20"/>
      <c r="AD78" s="20"/>
      <c r="AE78" s="20"/>
      <c r="AF78" s="20">
        <v>522032</v>
      </c>
      <c r="AG78" s="20">
        <v>522032</v>
      </c>
      <c r="AH78" s="20"/>
      <c r="AI78" s="20"/>
      <c r="AJ78" s="20">
        <v>0</v>
      </c>
      <c r="AK78" s="20"/>
      <c r="AL78" s="20"/>
      <c r="AM78" s="20"/>
      <c r="AN78" s="20"/>
      <c r="AO78" s="20"/>
      <c r="AP78" s="20"/>
      <c r="AQ78" s="20"/>
      <c r="AR78" s="20">
        <v>93694.547654611219</v>
      </c>
      <c r="AS78" s="20">
        <f>207157+208066</f>
        <v>415223</v>
      </c>
      <c r="AT78" s="20"/>
      <c r="AU78" s="20"/>
      <c r="AV78" s="20"/>
      <c r="AW78" s="20"/>
      <c r="AX78" s="20"/>
      <c r="AY78" s="20"/>
    </row>
    <row r="79" spans="1:51" ht="37.5" customHeight="1" x14ac:dyDescent="0.3">
      <c r="A79" s="26">
        <v>77</v>
      </c>
      <c r="B79" s="22" t="s">
        <v>117</v>
      </c>
      <c r="C79" s="22" t="s">
        <v>118</v>
      </c>
      <c r="D79" s="22">
        <v>404.9</v>
      </c>
      <c r="E79" s="27">
        <f t="shared" si="1"/>
        <v>57589.244515489387</v>
      </c>
      <c r="F79" s="21">
        <v>54197.279999999999</v>
      </c>
      <c r="G79" s="21">
        <v>0</v>
      </c>
      <c r="H79" s="22">
        <v>0</v>
      </c>
      <c r="I79" s="21">
        <v>507.36602205394416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>
        <v>0</v>
      </c>
      <c r="AI79" s="21">
        <v>2884.5984934354437</v>
      </c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</row>
    <row r="80" spans="1:51" ht="56.25" customHeight="1" x14ac:dyDescent="0.3">
      <c r="A80" s="26">
        <v>78</v>
      </c>
      <c r="B80" s="22" t="s">
        <v>119</v>
      </c>
      <c r="C80" s="22" t="s">
        <v>120</v>
      </c>
      <c r="D80" s="22">
        <v>5741.2</v>
      </c>
      <c r="E80" s="27">
        <f t="shared" si="1"/>
        <v>614391.87994284742</v>
      </c>
      <c r="F80" s="21"/>
      <c r="G80" s="21"/>
      <c r="H80" s="22">
        <v>0</v>
      </c>
      <c r="I80" s="21">
        <v>7194.096828392454</v>
      </c>
      <c r="J80" s="21"/>
      <c r="K80" s="21"/>
      <c r="L80" s="21">
        <v>3877.7887358030061</v>
      </c>
      <c r="M80" s="21">
        <v>2908.3415518522547</v>
      </c>
      <c r="N80" s="21"/>
      <c r="O80" s="21"/>
      <c r="P80" s="21"/>
      <c r="Q80" s="21"/>
      <c r="R80" s="21">
        <v>0</v>
      </c>
      <c r="S80" s="21">
        <v>6545.454545454545</v>
      </c>
      <c r="T80" s="21">
        <v>19238.132258064514</v>
      </c>
      <c r="U80" s="21">
        <v>0</v>
      </c>
      <c r="V80" s="21"/>
      <c r="W80" s="21"/>
      <c r="X80" s="21"/>
      <c r="Y80" s="21"/>
      <c r="Z80" s="21"/>
      <c r="AA80" s="21"/>
      <c r="AB80" s="21"/>
      <c r="AC80" s="21"/>
      <c r="AD80" s="21">
        <v>0</v>
      </c>
      <c r="AE80" s="21">
        <v>15073.170731707318</v>
      </c>
      <c r="AF80" s="21">
        <f>85837.5786860622+21566.2103859453</f>
        <v>107403.78907200749</v>
      </c>
      <c r="AG80" s="21">
        <f>91420.8023086106+21566.2103859453</f>
        <v>112987.01269455589</v>
      </c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>
        <v>216719.36545451594</v>
      </c>
      <c r="AS80" s="21">
        <v>43987.529305303979</v>
      </c>
      <c r="AT80" s="21">
        <v>78457.198765190129</v>
      </c>
      <c r="AU80" s="21">
        <v>0</v>
      </c>
      <c r="AV80" s="21"/>
      <c r="AW80" s="21"/>
      <c r="AX80" s="21"/>
      <c r="AY80" s="21"/>
    </row>
    <row r="81" spans="1:51" ht="37.5" customHeight="1" x14ac:dyDescent="0.3">
      <c r="A81" s="26">
        <v>79</v>
      </c>
      <c r="B81" s="22" t="s">
        <v>121</v>
      </c>
      <c r="C81" s="22" t="s">
        <v>122</v>
      </c>
      <c r="D81" s="22">
        <v>9.1999999999999993</v>
      </c>
      <c r="E81" s="27">
        <f t="shared" si="1"/>
        <v>91.52030247492371</v>
      </c>
      <c r="F81" s="21"/>
      <c r="G81" s="21"/>
      <c r="H81" s="22">
        <v>0</v>
      </c>
      <c r="I81" s="21">
        <v>11.52819808075151</v>
      </c>
      <c r="J81" s="21"/>
      <c r="K81" s="21"/>
      <c r="L81" s="21">
        <v>6.213972056257866</v>
      </c>
      <c r="M81" s="21">
        <v>4.6604790421933995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>
        <v>34.558826647860464</v>
      </c>
      <c r="AG81" s="21">
        <v>34.558826647860464</v>
      </c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</row>
    <row r="82" spans="1:51" ht="37.5" customHeight="1" x14ac:dyDescent="0.3">
      <c r="A82" s="26">
        <v>80</v>
      </c>
      <c r="B82" s="22" t="s">
        <v>123</v>
      </c>
      <c r="C82" s="22" t="s">
        <v>124</v>
      </c>
      <c r="D82" s="22">
        <v>43</v>
      </c>
      <c r="E82" s="27">
        <f t="shared" si="1"/>
        <v>427.75793548062165</v>
      </c>
      <c r="F82" s="21"/>
      <c r="G82" s="21"/>
      <c r="H82" s="22">
        <v>0</v>
      </c>
      <c r="I82" s="21">
        <v>53.88179537742554</v>
      </c>
      <c r="J82" s="21"/>
      <c r="K82" s="21"/>
      <c r="L82" s="21">
        <v>29.04356504555307</v>
      </c>
      <c r="M82" s="21">
        <v>21.782673784164803</v>
      </c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>
        <v>161.52495063673913</v>
      </c>
      <c r="AG82" s="21">
        <v>161.52495063673913</v>
      </c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</row>
    <row r="83" spans="1:51" ht="37.5" customHeight="1" x14ac:dyDescent="0.3">
      <c r="A83" s="26">
        <v>81</v>
      </c>
      <c r="B83" s="22" t="s">
        <v>123</v>
      </c>
      <c r="C83" s="22" t="s">
        <v>125</v>
      </c>
      <c r="D83" s="22">
        <v>31.6</v>
      </c>
      <c r="E83" s="27">
        <f t="shared" si="1"/>
        <v>314.35234328343364</v>
      </c>
      <c r="F83" s="21"/>
      <c r="G83" s="21"/>
      <c r="H83" s="22">
        <v>0</v>
      </c>
      <c r="I83" s="21">
        <v>39.596854277363889</v>
      </c>
      <c r="J83" s="21"/>
      <c r="K83" s="21"/>
      <c r="L83" s="21">
        <v>21.34364314975528</v>
      </c>
      <c r="M83" s="21">
        <v>16.00773236231646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>
        <v>118.70205674699901</v>
      </c>
      <c r="AG83" s="21">
        <v>118.70205674699901</v>
      </c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</row>
    <row r="84" spans="1:51" ht="37.5" customHeight="1" x14ac:dyDescent="0.3">
      <c r="A84" s="26">
        <v>82</v>
      </c>
      <c r="B84" s="22" t="s">
        <v>126</v>
      </c>
      <c r="C84" s="22" t="s">
        <v>127</v>
      </c>
      <c r="D84" s="22">
        <v>147.5</v>
      </c>
      <c r="E84" s="27">
        <f t="shared" si="1"/>
        <v>1467.3091972881789</v>
      </c>
      <c r="F84" s="21"/>
      <c r="G84" s="21"/>
      <c r="H84" s="22">
        <v>0</v>
      </c>
      <c r="I84" s="21">
        <v>184.82708879465739</v>
      </c>
      <c r="J84" s="21"/>
      <c r="K84" s="21"/>
      <c r="L84" s="21">
        <v>99.626182423699476</v>
      </c>
      <c r="M84" s="21">
        <v>74.7196368177746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>
        <v>554.06814462602381</v>
      </c>
      <c r="AG84" s="21">
        <v>554.06814462602381</v>
      </c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</row>
    <row r="85" spans="1:51" ht="37.5" customHeight="1" x14ac:dyDescent="0.3">
      <c r="A85" s="26">
        <v>83</v>
      </c>
      <c r="B85" s="22" t="s">
        <v>128</v>
      </c>
      <c r="C85" s="22" t="s">
        <v>129</v>
      </c>
      <c r="D85" s="22">
        <v>3106.9</v>
      </c>
      <c r="E85" s="27">
        <f t="shared" si="1"/>
        <v>1096399.0126575837</v>
      </c>
      <c r="F85" s="21"/>
      <c r="G85" s="21"/>
      <c r="H85" s="22">
        <v>33656</v>
      </c>
      <c r="I85" s="21">
        <f>50000+3893.14767577031</f>
        <v>53893.147675770313</v>
      </c>
      <c r="J85" s="21">
        <v>0</v>
      </c>
      <c r="K85" s="21">
        <f>161290.32+98000</f>
        <v>259290.32</v>
      </c>
      <c r="L85" s="21">
        <v>2098.4988893029963</v>
      </c>
      <c r="M85" s="21">
        <f>1573.87416697725</f>
        <v>1573.8741669772501</v>
      </c>
      <c r="N85" s="21">
        <v>0</v>
      </c>
      <c r="O85" s="21">
        <v>15977.528089887641</v>
      </c>
      <c r="P85" s="21"/>
      <c r="Q85" s="21"/>
      <c r="R85" s="21">
        <v>0</v>
      </c>
      <c r="S85" s="21">
        <v>6545.454545454545</v>
      </c>
      <c r="T85" s="21">
        <v>19238.132258064514</v>
      </c>
      <c r="U85" s="21">
        <v>0</v>
      </c>
      <c r="V85" s="21">
        <v>0</v>
      </c>
      <c r="W85" s="21">
        <v>70513.274336283182</v>
      </c>
      <c r="X85" s="21">
        <f>22634.6153846154+75000</f>
        <v>97634.615384615405</v>
      </c>
      <c r="Y85" s="21">
        <v>71020.782500000001</v>
      </c>
      <c r="Z85" s="21"/>
      <c r="AA85" s="21"/>
      <c r="AB85" s="21"/>
      <c r="AC85" s="21"/>
      <c r="AD85" s="21">
        <v>0</v>
      </c>
      <c r="AE85" s="21">
        <v>7536.5853658536589</v>
      </c>
      <c r="AF85" s="21">
        <f>46451.7475823394+11670.7411426345</f>
        <v>58122.488724973897</v>
      </c>
      <c r="AG85" s="21">
        <f>49473.1573003244+11670.7411426345</f>
        <v>61143.898442958896</v>
      </c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>
        <f>117279.557676206+102888.743997433</f>
        <v>220168.30167363898</v>
      </c>
      <c r="AS85" s="21">
        <f>23804.2316586513+65968.8330856845</f>
        <v>89773.064744335803</v>
      </c>
      <c r="AT85" s="21">
        <v>28213.045859466878</v>
      </c>
      <c r="AU85" s="21">
        <v>0</v>
      </c>
      <c r="AV85" s="21"/>
      <c r="AW85" s="21"/>
      <c r="AX85" s="21"/>
      <c r="AY85" s="21"/>
    </row>
    <row r="86" spans="1:51" ht="37.5" customHeight="1" x14ac:dyDescent="0.3">
      <c r="A86" s="26">
        <v>84</v>
      </c>
      <c r="B86" s="22" t="s">
        <v>130</v>
      </c>
      <c r="C86" s="22" t="s">
        <v>131</v>
      </c>
      <c r="D86" s="22">
        <v>18213.3</v>
      </c>
      <c r="E86" s="27">
        <f t="shared" si="1"/>
        <v>2097013.3131367674</v>
      </c>
      <c r="F86" s="21"/>
      <c r="G86" s="21"/>
      <c r="H86" s="22">
        <v>0</v>
      </c>
      <c r="I86" s="21">
        <v>22822.448924364293</v>
      </c>
      <c r="J86" s="21"/>
      <c r="K86" s="21"/>
      <c r="L86" s="21">
        <v>12301.841005678411</v>
      </c>
      <c r="M86" s="21">
        <v>9226.3807542588074</v>
      </c>
      <c r="N86" s="21">
        <v>0</v>
      </c>
      <c r="O86" s="21">
        <v>21303.370786516854</v>
      </c>
      <c r="P86" s="21"/>
      <c r="Q86" s="21"/>
      <c r="R86" s="21">
        <v>0</v>
      </c>
      <c r="S86" s="21">
        <v>13090.90909090909</v>
      </c>
      <c r="T86" s="21"/>
      <c r="U86" s="21"/>
      <c r="V86" s="21">
        <v>0</v>
      </c>
      <c r="W86" s="21">
        <v>79327.433628318584</v>
      </c>
      <c r="X86" s="21">
        <f>40125+187500</f>
        <v>227625</v>
      </c>
      <c r="Y86" s="21">
        <v>177551.95625000002</v>
      </c>
      <c r="Z86" s="21"/>
      <c r="AA86" s="21"/>
      <c r="AB86" s="21"/>
      <c r="AC86" s="21"/>
      <c r="AD86" s="21">
        <v>0</v>
      </c>
      <c r="AE86" s="21">
        <v>7536.5853658536589</v>
      </c>
      <c r="AF86" s="21">
        <f>272309.895471828+68416.3344984214</f>
        <v>340726.22997024941</v>
      </c>
      <c r="AG86" s="21">
        <f>290022.033492548+68416.3344984214</f>
        <v>358438.36799096939</v>
      </c>
      <c r="AH86" s="21"/>
      <c r="AI86" s="21"/>
      <c r="AJ86" s="21">
        <v>0</v>
      </c>
      <c r="AK86" s="21"/>
      <c r="AL86" s="21"/>
      <c r="AM86" s="21"/>
      <c r="AN86" s="21"/>
      <c r="AO86" s="21"/>
      <c r="AP86" s="21"/>
      <c r="AQ86" s="21"/>
      <c r="AR86" s="21">
        <f>687517.386405758</f>
        <v>687517.38640575798</v>
      </c>
      <c r="AS86" s="21">
        <f>139545.402963891</f>
        <v>139545.40296389101</v>
      </c>
      <c r="AT86" s="21"/>
      <c r="AU86" s="21"/>
      <c r="AV86" s="21"/>
      <c r="AW86" s="21"/>
      <c r="AX86" s="21"/>
      <c r="AY86" s="21"/>
    </row>
    <row r="87" spans="1:51" s="30" customFormat="1" ht="37.5" customHeight="1" x14ac:dyDescent="0.3">
      <c r="A87" s="28">
        <v>85</v>
      </c>
      <c r="B87" s="19" t="s">
        <v>132</v>
      </c>
      <c r="C87" s="19" t="s">
        <v>133</v>
      </c>
      <c r="D87" s="19">
        <v>14009.5</v>
      </c>
      <c r="E87" s="29">
        <f t="shared" si="1"/>
        <v>10145580.333081283</v>
      </c>
      <c r="F87" s="51">
        <v>1812328.73</v>
      </c>
      <c r="G87" s="51">
        <v>776712.31</v>
      </c>
      <c r="H87" s="19">
        <v>738801.87</v>
      </c>
      <c r="I87" s="20">
        <v>316629.37358400004</v>
      </c>
      <c r="J87" s="20">
        <f>(1008684+812551)*0.7</f>
        <v>1274864.5</v>
      </c>
      <c r="K87" s="30">
        <f>(1008684+812551)*0.3</f>
        <v>546370.5</v>
      </c>
      <c r="L87" s="20"/>
      <c r="M87" s="20"/>
      <c r="N87" s="20"/>
      <c r="O87" s="20"/>
      <c r="P87" s="20"/>
      <c r="Q87" s="20"/>
      <c r="R87" s="20">
        <v>0</v>
      </c>
      <c r="S87" s="20">
        <v>13090.90909090909</v>
      </c>
      <c r="T87" s="20"/>
      <c r="U87" s="20"/>
      <c r="V87" s="20"/>
      <c r="W87" s="20"/>
      <c r="X87" s="20">
        <f>20155+299055.2</f>
        <v>319210.2</v>
      </c>
      <c r="Y87" s="20">
        <f>7455+104080.68</f>
        <v>111535.67999999999</v>
      </c>
      <c r="Z87" s="20"/>
      <c r="AA87" s="20"/>
      <c r="AB87" s="20"/>
      <c r="AC87" s="20"/>
      <c r="AD87" s="20"/>
      <c r="AE87" s="20"/>
      <c r="AF87" s="20">
        <f>(1176798*0.7)+(1111110.12*0.7)</f>
        <v>1601535.6839999999</v>
      </c>
      <c r="AG87" s="20">
        <f>(1176798*0.3)+(1111110.12*0.3)</f>
        <v>686372.43599999999</v>
      </c>
      <c r="AH87" s="20">
        <v>0</v>
      </c>
      <c r="AI87" s="20">
        <v>58553.846791315467</v>
      </c>
      <c r="AJ87" s="20"/>
      <c r="AK87" s="20"/>
      <c r="AL87" s="20">
        <v>0</v>
      </c>
      <c r="AM87" s="20">
        <v>492000</v>
      </c>
      <c r="AN87" s="20"/>
      <c r="AO87" s="20"/>
      <c r="AP87" s="20"/>
      <c r="AQ87" s="20"/>
      <c r="AR87" s="20">
        <f>528831.942857772+463941.504081895</f>
        <v>992773.44693966699</v>
      </c>
      <c r="AS87" s="20">
        <f>107337.018707353+297463.827968038</f>
        <v>404800.84667539096</v>
      </c>
      <c r="AT87" s="20"/>
      <c r="AU87" s="20"/>
      <c r="AV87" s="20"/>
      <c r="AW87" s="20"/>
      <c r="AX87" s="20"/>
      <c r="AY87" s="20"/>
    </row>
    <row r="88" spans="1:51" s="30" customFormat="1" ht="37.5" customHeight="1" x14ac:dyDescent="0.3">
      <c r="A88" s="28">
        <v>86</v>
      </c>
      <c r="B88" s="19" t="s">
        <v>134</v>
      </c>
      <c r="C88" s="19" t="s">
        <v>135</v>
      </c>
      <c r="D88" s="19">
        <v>11408</v>
      </c>
      <c r="E88" s="29">
        <f t="shared" si="1"/>
        <v>9616837.7695796173</v>
      </c>
      <c r="F88" s="51">
        <v>1812328.73</v>
      </c>
      <c r="G88" s="51">
        <v>776712.31</v>
      </c>
      <c r="H88" s="19">
        <v>866172.34</v>
      </c>
      <c r="I88" s="20">
        <v>371216.72</v>
      </c>
      <c r="J88" s="20">
        <f>(821376+661664)*0.7</f>
        <v>1038127.9999999999</v>
      </c>
      <c r="K88" s="20">
        <f>(821376+661664)*0.3+502820.51</f>
        <v>947732.51</v>
      </c>
      <c r="L88" s="20"/>
      <c r="M88" s="20"/>
      <c r="N88" s="20">
        <v>0</v>
      </c>
      <c r="O88" s="20">
        <f>29880+5325.84</f>
        <v>35205.839999999997</v>
      </c>
      <c r="P88" s="20"/>
      <c r="Q88" s="20"/>
      <c r="R88" s="20">
        <v>0</v>
      </c>
      <c r="S88" s="20">
        <v>9818.181818181818</v>
      </c>
      <c r="T88" s="20"/>
      <c r="U88" s="20"/>
      <c r="V88" s="20"/>
      <c r="W88" s="20"/>
      <c r="X88" s="20">
        <f>34266+299055.2</f>
        <v>333321.2</v>
      </c>
      <c r="Y88" s="20">
        <f>12673.76+104080.68</f>
        <v>116754.43999999999</v>
      </c>
      <c r="Z88" s="20"/>
      <c r="AA88" s="20"/>
      <c r="AB88" s="20"/>
      <c r="AC88" s="20"/>
      <c r="AD88" s="20">
        <v>0</v>
      </c>
      <c r="AE88" s="20">
        <v>7536.5853658536589</v>
      </c>
      <c r="AF88" s="20">
        <f>(958272*0.7)+(1157907.1*0.7)</f>
        <v>1481325.3699999999</v>
      </c>
      <c r="AG88" s="20">
        <f>(958272*0.3)+(1157907.1*0.3)</f>
        <v>634853.73</v>
      </c>
      <c r="AH88" s="20">
        <v>0</v>
      </c>
      <c r="AI88" s="20">
        <v>47680.665562320341</v>
      </c>
      <c r="AJ88" s="20">
        <v>0</v>
      </c>
      <c r="AK88" s="20"/>
      <c r="AL88" s="20"/>
      <c r="AM88" s="20"/>
      <c r="AN88" s="20"/>
      <c r="AO88" s="20"/>
      <c r="AP88" s="20"/>
      <c r="AQ88" s="20"/>
      <c r="AR88" s="20">
        <f>430630.272609405+377789.691178576</f>
        <v>808419.96378798096</v>
      </c>
      <c r="AS88" s="20">
        <f>87405.0258334334+242226.157211847</f>
        <v>329631.1830452804</v>
      </c>
      <c r="AT88" s="20"/>
      <c r="AU88" s="20"/>
      <c r="AV88" s="20"/>
      <c r="AW88" s="20"/>
      <c r="AX88" s="20"/>
      <c r="AY88" s="20"/>
    </row>
    <row r="89" spans="1:51" ht="37.5" customHeight="1" x14ac:dyDescent="0.3">
      <c r="A89" s="26">
        <v>87</v>
      </c>
      <c r="B89" s="22" t="s">
        <v>136</v>
      </c>
      <c r="C89" s="22" t="s">
        <v>137</v>
      </c>
      <c r="D89" s="22">
        <v>1318.7</v>
      </c>
      <c r="E89" s="27">
        <f t="shared" si="1"/>
        <v>0</v>
      </c>
      <c r="F89" s="21"/>
      <c r="G89" s="21"/>
      <c r="H89" s="2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</row>
    <row r="90" spans="1:51" s="30" customFormat="1" ht="37.5" customHeight="1" x14ac:dyDescent="0.3">
      <c r="A90" s="28">
        <v>88</v>
      </c>
      <c r="B90" s="19" t="s">
        <v>138</v>
      </c>
      <c r="C90" s="19" t="s">
        <v>139</v>
      </c>
      <c r="D90" s="19">
        <v>7858.3</v>
      </c>
      <c r="E90" s="29">
        <f t="shared" si="1"/>
        <v>6986343.3888872359</v>
      </c>
      <c r="F90" s="51">
        <v>1812328.73</v>
      </c>
      <c r="G90" s="51">
        <v>776712.31</v>
      </c>
      <c r="H90" s="19">
        <f>1363140.04/2</f>
        <v>681570.02</v>
      </c>
      <c r="I90" s="20">
        <f>584202.88/2</f>
        <v>292101.44</v>
      </c>
      <c r="J90" s="20">
        <f>(565798+455781)*0.7</f>
        <v>715105.29999999993</v>
      </c>
      <c r="K90" s="20">
        <f>(565798+455781)*0.3</f>
        <v>306473.7</v>
      </c>
      <c r="L90" s="20"/>
      <c r="M90" s="20"/>
      <c r="N90" s="20">
        <v>0</v>
      </c>
      <c r="O90" s="20">
        <v>37280.898876404492</v>
      </c>
      <c r="P90" s="20"/>
      <c r="Q90" s="20"/>
      <c r="R90" s="20">
        <v>0</v>
      </c>
      <c r="S90" s="20">
        <v>9818.181818181818</v>
      </c>
      <c r="T90" s="20"/>
      <c r="U90" s="20"/>
      <c r="V90" s="20"/>
      <c r="W90" s="20"/>
      <c r="X90" s="20">
        <f>12461.8+299055.2</f>
        <v>311517</v>
      </c>
      <c r="Y90" s="20">
        <f>4104.2+104080.68</f>
        <v>108184.87999999999</v>
      </c>
      <c r="Z90" s="20"/>
      <c r="AA90" s="20"/>
      <c r="AB90" s="20"/>
      <c r="AC90" s="20"/>
      <c r="AD90" s="20"/>
      <c r="AE90" s="20"/>
      <c r="AF90" s="20">
        <f>(660097*0.7)+(767696.55*0.7)</f>
        <v>999455.48499999987</v>
      </c>
      <c r="AG90" s="20">
        <f>127763+418344</f>
        <v>546107</v>
      </c>
      <c r="AH90" s="20">
        <v>0</v>
      </c>
      <c r="AI90" s="20">
        <v>32844.405170790844</v>
      </c>
      <c r="AJ90" s="20"/>
      <c r="AK90" s="20"/>
      <c r="AL90" s="20"/>
      <c r="AM90" s="20"/>
      <c r="AN90" s="20"/>
      <c r="AO90" s="20"/>
      <c r="AP90" s="20"/>
      <c r="AQ90" s="20"/>
      <c r="AR90" s="20">
        <v>296635.85827897</v>
      </c>
      <c r="AS90" s="20">
        <v>60208.179742888293</v>
      </c>
      <c r="AT90" s="20"/>
      <c r="AU90" s="20"/>
      <c r="AV90" s="20"/>
      <c r="AW90" s="20"/>
      <c r="AX90" s="20"/>
      <c r="AY90" s="20"/>
    </row>
    <row r="91" spans="1:51" s="30" customFormat="1" ht="37.5" customHeight="1" x14ac:dyDescent="0.3">
      <c r="A91" s="28">
        <v>89</v>
      </c>
      <c r="B91" s="19" t="s">
        <v>140</v>
      </c>
      <c r="C91" s="19" t="s">
        <v>141</v>
      </c>
      <c r="D91" s="19">
        <v>7847.8</v>
      </c>
      <c r="E91" s="29">
        <f t="shared" si="1"/>
        <v>7093301.5321054971</v>
      </c>
      <c r="F91" s="51">
        <v>1812328.73</v>
      </c>
      <c r="G91" s="51">
        <v>776712.31</v>
      </c>
      <c r="H91" s="19">
        <v>681570.02</v>
      </c>
      <c r="I91" s="20">
        <v>292101.44</v>
      </c>
      <c r="J91" s="20">
        <f>(555176+455172)*0.7</f>
        <v>707243.6</v>
      </c>
      <c r="K91" s="20">
        <f>(555176*0.3)+112403</f>
        <v>278955.8</v>
      </c>
      <c r="L91" s="20"/>
      <c r="M91" s="20"/>
      <c r="N91" s="20">
        <v>0</v>
      </c>
      <c r="O91" s="20">
        <v>37280.898876404492</v>
      </c>
      <c r="P91" s="20"/>
      <c r="Q91" s="20"/>
      <c r="R91" s="20">
        <v>0</v>
      </c>
      <c r="S91" s="20">
        <v>9818.181818181818</v>
      </c>
      <c r="T91" s="20"/>
      <c r="U91" s="20"/>
      <c r="V91" s="20"/>
      <c r="W91" s="20"/>
      <c r="X91" s="20">
        <f>12461.8+299055.2</f>
        <v>311517</v>
      </c>
      <c r="Y91" s="20">
        <f>4104.2+104080.68+45000+45000</f>
        <v>198184.88</v>
      </c>
      <c r="Z91" s="20"/>
      <c r="AA91" s="20"/>
      <c r="AB91" s="20"/>
      <c r="AC91" s="20"/>
      <c r="AD91" s="20"/>
      <c r="AE91" s="20"/>
      <c r="AF91" s="20">
        <f>(659215*0.7)+(844466.31*0.7)</f>
        <v>1052576.9169999999</v>
      </c>
      <c r="AG91" s="20">
        <f>127500+418344</f>
        <v>545844</v>
      </c>
      <c r="AH91" s="20">
        <v>0</v>
      </c>
      <c r="AI91" s="20">
        <v>32800.519565215422</v>
      </c>
      <c r="AJ91" s="20"/>
      <c r="AK91" s="20"/>
      <c r="AL91" s="20"/>
      <c r="AM91" s="20"/>
      <c r="AN91" s="20"/>
      <c r="AO91" s="20"/>
      <c r="AP91" s="20"/>
      <c r="AQ91" s="20"/>
      <c r="AR91" s="20">
        <v>296239.50327700662</v>
      </c>
      <c r="AS91" s="20">
        <v>60127.731568690273</v>
      </c>
      <c r="AT91" s="20"/>
      <c r="AU91" s="20"/>
      <c r="AV91" s="20"/>
      <c r="AW91" s="20"/>
      <c r="AX91" s="20"/>
      <c r="AY91" s="20"/>
    </row>
    <row r="92" spans="1:51" s="30" customFormat="1" ht="37.5" customHeight="1" x14ac:dyDescent="0.3">
      <c r="A92" s="28">
        <v>90</v>
      </c>
      <c r="B92" s="19" t="s">
        <v>142</v>
      </c>
      <c r="C92" s="19" t="s">
        <v>143</v>
      </c>
      <c r="D92" s="19">
        <v>1453.6</v>
      </c>
      <c r="E92" s="29">
        <f t="shared" si="1"/>
        <v>734623.92201791157</v>
      </c>
      <c r="F92" s="20"/>
      <c r="G92" s="20"/>
      <c r="H92" s="20"/>
      <c r="I92" s="20"/>
      <c r="J92" s="20"/>
      <c r="K92" s="20"/>
      <c r="L92" s="20"/>
      <c r="M92" s="20"/>
      <c r="N92" s="20">
        <v>0</v>
      </c>
      <c r="O92" s="20">
        <v>10651.685393258427</v>
      </c>
      <c r="P92" s="20"/>
      <c r="Q92" s="20"/>
      <c r="R92" s="20">
        <v>0</v>
      </c>
      <c r="S92" s="20">
        <v>13090.90909090909</v>
      </c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>
        <v>21733.00083224065</v>
      </c>
      <c r="AG92" s="20">
        <v>23146.603190238344</v>
      </c>
      <c r="AH92" s="20"/>
      <c r="AI92" s="20"/>
      <c r="AJ92" s="20"/>
      <c r="AK92" s="20">
        <v>599994</v>
      </c>
      <c r="AL92" s="20"/>
      <c r="AM92" s="20"/>
      <c r="AN92" s="20"/>
      <c r="AO92" s="20"/>
      <c r="AP92" s="20"/>
      <c r="AQ92" s="20"/>
      <c r="AR92" s="20">
        <v>54870.631509908097</v>
      </c>
      <c r="AS92" s="20">
        <v>11137.092001356836</v>
      </c>
      <c r="AT92" s="20"/>
      <c r="AU92" s="20"/>
      <c r="AV92" s="20"/>
      <c r="AW92" s="20"/>
      <c r="AX92" s="20"/>
      <c r="AY92" s="20"/>
    </row>
    <row r="93" spans="1:51" s="30" customFormat="1" ht="37.5" customHeight="1" x14ac:dyDescent="0.3">
      <c r="A93" s="28">
        <v>91</v>
      </c>
      <c r="B93" s="19" t="s">
        <v>144</v>
      </c>
      <c r="C93" s="19" t="s">
        <v>145</v>
      </c>
      <c r="D93" s="19">
        <v>6172.3</v>
      </c>
      <c r="E93" s="29">
        <f t="shared" si="1"/>
        <v>5768565.2199999997</v>
      </c>
      <c r="F93" s="20"/>
      <c r="G93" s="51">
        <v>2589041.04</v>
      </c>
      <c r="H93" s="20">
        <v>0</v>
      </c>
      <c r="I93" s="20">
        <v>363300</v>
      </c>
      <c r="J93" s="20">
        <v>0</v>
      </c>
      <c r="K93" s="20">
        <v>1211554.3799999999</v>
      </c>
      <c r="L93" s="20">
        <v>0</v>
      </c>
      <c r="M93" s="20">
        <f>24600+59800</f>
        <v>84400</v>
      </c>
      <c r="N93" s="20">
        <v>0</v>
      </c>
      <c r="O93" s="20">
        <v>149000</v>
      </c>
      <c r="P93" s="20">
        <v>0</v>
      </c>
      <c r="Q93" s="20">
        <f>70000+199000</f>
        <v>269000</v>
      </c>
      <c r="R93" s="20">
        <v>0</v>
      </c>
      <c r="S93" s="20">
        <f>342500</f>
        <v>342500</v>
      </c>
      <c r="T93" s="20">
        <v>0</v>
      </c>
      <c r="U93" s="20">
        <v>32400</v>
      </c>
      <c r="V93" s="20">
        <v>0</v>
      </c>
      <c r="W93" s="20"/>
      <c r="X93" s="20"/>
      <c r="Y93" s="20">
        <v>103938.2</v>
      </c>
      <c r="Z93" s="20"/>
      <c r="AA93" s="20"/>
      <c r="AB93" s="20"/>
      <c r="AC93" s="20"/>
      <c r="AD93" s="20"/>
      <c r="AE93" s="20"/>
      <c r="AF93" s="20"/>
      <c r="AG93" s="20"/>
      <c r="AH93" s="20">
        <v>0</v>
      </c>
      <c r="AI93" s="20"/>
      <c r="AJ93" s="20"/>
      <c r="AK93" s="20"/>
      <c r="AL93" s="20"/>
      <c r="AM93" s="20"/>
      <c r="AN93" s="20"/>
      <c r="AO93" s="20"/>
      <c r="AP93" s="20">
        <v>0</v>
      </c>
      <c r="AQ93" s="20">
        <v>299500</v>
      </c>
      <c r="AR93" s="20">
        <v>0</v>
      </c>
      <c r="AS93" s="20">
        <v>323931.59999999998</v>
      </c>
      <c r="AT93" s="20"/>
      <c r="AU93" s="20"/>
      <c r="AV93" s="20"/>
      <c r="AW93" s="20">
        <v>267936</v>
      </c>
      <c r="AX93" s="20"/>
      <c r="AY93" s="20"/>
    </row>
    <row r="94" spans="1:51" s="30" customFormat="1" ht="37.5" customHeight="1" x14ac:dyDescent="0.3">
      <c r="A94" s="28">
        <v>92</v>
      </c>
      <c r="B94" s="19" t="s">
        <v>146</v>
      </c>
      <c r="C94" s="19" t="s">
        <v>147</v>
      </c>
      <c r="D94" s="19">
        <f>3618.1+54197.28</f>
        <v>57815.38</v>
      </c>
      <c r="E94" s="29">
        <f>SUM(F94:AU94)</f>
        <v>9893967.6277264599</v>
      </c>
      <c r="F94" s="30">
        <v>7534109</v>
      </c>
      <c r="G94" s="20"/>
      <c r="H94" s="20">
        <v>133200</v>
      </c>
      <c r="I94" s="20">
        <v>0</v>
      </c>
      <c r="J94" s="20">
        <f>71573.5977947661+42000</f>
        <v>113573.5977947661</v>
      </c>
      <c r="K94" s="20">
        <v>0</v>
      </c>
      <c r="L94" s="20">
        <v>24282</v>
      </c>
      <c r="M94" s="20"/>
      <c r="N94" s="20">
        <v>0</v>
      </c>
      <c r="O94" s="20">
        <v>5325.8426966292136</v>
      </c>
      <c r="P94" s="20"/>
      <c r="Q94" s="20"/>
      <c r="R94" s="20">
        <v>0</v>
      </c>
      <c r="S94" s="20">
        <v>6545.454545454545</v>
      </c>
      <c r="T94" s="20">
        <f>354750-T95</f>
        <v>266266</v>
      </c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>
        <v>0</v>
      </c>
      <c r="AI94" s="20"/>
      <c r="AJ94" s="20"/>
      <c r="AK94" s="20"/>
      <c r="AL94" s="20"/>
      <c r="AM94" s="20"/>
      <c r="AN94" s="20"/>
      <c r="AO94" s="20"/>
      <c r="AP94" s="20">
        <v>0</v>
      </c>
      <c r="AQ94" s="20">
        <v>177172.69675494215</v>
      </c>
      <c r="AR94" s="20">
        <f>312625+93273.6</f>
        <v>405898.6</v>
      </c>
      <c r="AS94" s="20">
        <v>1227594.4359346679</v>
      </c>
      <c r="AT94" s="20"/>
      <c r="AU94" s="20"/>
      <c r="AV94" s="20"/>
      <c r="AW94" s="20">
        <v>78500</v>
      </c>
      <c r="AX94" s="20"/>
      <c r="AY94" s="20"/>
    </row>
    <row r="95" spans="1:51" s="30" customFormat="1" ht="37.5" customHeight="1" x14ac:dyDescent="0.3">
      <c r="A95" s="28">
        <v>93</v>
      </c>
      <c r="B95" s="19" t="s">
        <v>148</v>
      </c>
      <c r="C95" s="19" t="s">
        <v>149</v>
      </c>
      <c r="D95" s="19">
        <v>1556.1</v>
      </c>
      <c r="E95" s="29">
        <f t="shared" si="1"/>
        <v>8176735.7026923755</v>
      </c>
      <c r="F95" s="20">
        <f>233014+14925.32+60424+21929.98</f>
        <v>330293.3</v>
      </c>
      <c r="G95" s="20"/>
      <c r="H95" s="20">
        <v>62248</v>
      </c>
      <c r="I95" s="20">
        <v>0</v>
      </c>
      <c r="J95" s="20">
        <f>1926.40220523389+42000</f>
        <v>43926.402205233891</v>
      </c>
      <c r="K95" s="20">
        <v>0</v>
      </c>
      <c r="L95" s="20">
        <v>10974</v>
      </c>
      <c r="M95" s="20"/>
      <c r="N95" s="20">
        <v>0</v>
      </c>
      <c r="O95" s="20">
        <v>5325.8426966292136</v>
      </c>
      <c r="P95" s="20"/>
      <c r="Q95" s="20"/>
      <c r="R95" s="20">
        <v>0</v>
      </c>
      <c r="S95" s="20">
        <v>6545.454545454545</v>
      </c>
      <c r="T95" s="20">
        <v>88484</v>
      </c>
      <c r="U95" s="20"/>
      <c r="V95" s="20"/>
      <c r="W95" s="20"/>
      <c r="X95" s="20"/>
      <c r="Y95" s="20"/>
      <c r="Z95" s="20"/>
      <c r="AA95" s="20"/>
      <c r="AB95" s="20">
        <f>84000+204000</f>
        <v>288000</v>
      </c>
      <c r="AC95" s="20">
        <v>0</v>
      </c>
      <c r="AD95" s="20"/>
      <c r="AE95" s="20"/>
      <c r="AF95" s="20">
        <f>25000</f>
        <v>25000</v>
      </c>
      <c r="AG95" s="20">
        <f>25000</f>
        <v>25000</v>
      </c>
      <c r="AH95" s="20">
        <v>0</v>
      </c>
      <c r="AI95" s="20"/>
      <c r="AJ95" s="20">
        <v>6864140</v>
      </c>
      <c r="AK95" s="20"/>
      <c r="AL95" s="20"/>
      <c r="AM95" s="20"/>
      <c r="AN95" s="20"/>
      <c r="AO95" s="20"/>
      <c r="AP95" s="20">
        <v>0</v>
      </c>
      <c r="AQ95" s="20">
        <v>22827.303245057814</v>
      </c>
      <c r="AR95" s="20">
        <v>312625</v>
      </c>
      <c r="AS95" s="20">
        <v>91346.4</v>
      </c>
      <c r="AT95" s="20"/>
      <c r="AU95" s="20"/>
      <c r="AV95" s="20"/>
      <c r="AW95" s="20">
        <v>78500</v>
      </c>
      <c r="AX95" s="20"/>
      <c r="AY95" s="20"/>
    </row>
    <row r="96" spans="1:51" s="30" customFormat="1" ht="56.25" customHeight="1" x14ac:dyDescent="0.3">
      <c r="A96" s="28">
        <v>94</v>
      </c>
      <c r="B96" s="19" t="s">
        <v>150</v>
      </c>
      <c r="C96" s="19" t="s">
        <v>151</v>
      </c>
      <c r="D96" s="19">
        <v>2615.5</v>
      </c>
      <c r="E96" s="29">
        <f t="shared" si="1"/>
        <v>30194159.740000002</v>
      </c>
      <c r="F96" s="20">
        <f>12945205.2+500000</f>
        <v>13445205.199999999</v>
      </c>
      <c r="G96" s="20">
        <f>1743000+79200+54049.2+94586.1</f>
        <v>1970835.3</v>
      </c>
      <c r="H96" s="20">
        <f>10300+569560</f>
        <v>579860</v>
      </c>
      <c r="I96" s="20">
        <v>30163</v>
      </c>
      <c r="J96" s="20">
        <v>150323.47</v>
      </c>
      <c r="K96" s="20">
        <v>226579</v>
      </c>
      <c r="L96" s="20"/>
      <c r="M96" s="20">
        <f>36538.86+53000+295116.59</f>
        <v>384655.45</v>
      </c>
      <c r="N96" s="20"/>
      <c r="O96" s="20"/>
      <c r="P96" s="20"/>
      <c r="Q96" s="20">
        <v>88000</v>
      </c>
      <c r="R96" s="20">
        <v>0</v>
      </c>
      <c r="S96" s="20"/>
      <c r="T96" s="20">
        <v>430392.75</v>
      </c>
      <c r="U96" s="20">
        <v>1069607.25</v>
      </c>
      <c r="V96" s="20"/>
      <c r="W96" s="20"/>
      <c r="X96" s="20"/>
      <c r="Y96" s="20"/>
      <c r="Z96" s="20">
        <v>153000</v>
      </c>
      <c r="AA96" s="20"/>
      <c r="AB96" s="20"/>
      <c r="AC96" s="20"/>
      <c r="AD96" s="20"/>
      <c r="AE96" s="20"/>
      <c r="AF96" s="20">
        <f>115000+25000</f>
        <v>140000</v>
      </c>
      <c r="AG96" s="20">
        <f>502739.38+25000</f>
        <v>527739.38</v>
      </c>
      <c r="AH96" s="20">
        <v>0</v>
      </c>
      <c r="AI96" s="20">
        <f>20157+7080</f>
        <v>27237</v>
      </c>
      <c r="AJ96" s="20"/>
      <c r="AK96" s="20">
        <v>7298464.2800000003</v>
      </c>
      <c r="AL96" s="20"/>
      <c r="AM96" s="20"/>
      <c r="AN96" s="20"/>
      <c r="AO96" s="20"/>
      <c r="AP96" s="20"/>
      <c r="AQ96" s="20"/>
      <c r="AR96" s="20">
        <f>149834.69+107004</f>
        <v>256838.69</v>
      </c>
      <c r="AS96" s="20">
        <f>3415258.97</f>
        <v>3415258.97</v>
      </c>
      <c r="AT96" s="20"/>
      <c r="AU96" s="20">
        <v>0</v>
      </c>
      <c r="AV96" s="20">
        <v>119000</v>
      </c>
      <c r="AW96" s="20">
        <v>78894</v>
      </c>
      <c r="AX96" s="20">
        <v>190000</v>
      </c>
      <c r="AY96" s="20"/>
    </row>
    <row r="97" spans="1:51" s="30" customFormat="1" ht="37.5" customHeight="1" x14ac:dyDescent="0.3">
      <c r="A97" s="28">
        <v>95</v>
      </c>
      <c r="B97" s="20" t="s">
        <v>152</v>
      </c>
      <c r="C97" s="20" t="s">
        <v>153</v>
      </c>
      <c r="D97" s="19">
        <v>22228.9</v>
      </c>
      <c r="E97" s="29">
        <f t="shared" si="1"/>
        <v>31330115.977122445</v>
      </c>
      <c r="F97" s="20">
        <v>15534246.24</v>
      </c>
      <c r="G97" s="20"/>
      <c r="H97" s="20">
        <f>5950+109148.98</f>
        <v>115098.98</v>
      </c>
      <c r="I97" s="20">
        <v>46778.14</v>
      </c>
      <c r="J97" s="20">
        <v>5124440.68</v>
      </c>
      <c r="K97" s="20">
        <f>6024032-J97+290000</f>
        <v>1189591.3200000003</v>
      </c>
      <c r="L97" s="20">
        <v>0</v>
      </c>
      <c r="M97" s="20"/>
      <c r="N97" s="20"/>
      <c r="O97" s="20"/>
      <c r="P97" s="20"/>
      <c r="Q97" s="20"/>
      <c r="R97" s="20">
        <v>0</v>
      </c>
      <c r="S97" s="20">
        <v>32727.272727272728</v>
      </c>
      <c r="T97" s="20"/>
      <c r="U97" s="20"/>
      <c r="V97" s="20">
        <v>0</v>
      </c>
      <c r="W97" s="20">
        <v>354974.56912338495</v>
      </c>
      <c r="X97" s="20">
        <v>0</v>
      </c>
      <c r="Y97" s="20">
        <v>415752.78</v>
      </c>
      <c r="Z97" s="20"/>
      <c r="AA97" s="20"/>
      <c r="AB97" s="20"/>
      <c r="AC97" s="20"/>
      <c r="AD97" s="20">
        <v>0</v>
      </c>
      <c r="AE97" s="20">
        <v>7536.5853658536589</v>
      </c>
      <c r="AF97" s="20">
        <f>3005580+594432</f>
        <v>3600012</v>
      </c>
      <c r="AG97" s="20">
        <f>265127.57+265127.57+594432</f>
        <v>1124687.1400000001</v>
      </c>
      <c r="AH97" s="20">
        <v>0</v>
      </c>
      <c r="AI97" s="20">
        <v>92907.49883575234</v>
      </c>
      <c r="AJ97" s="20">
        <v>0</v>
      </c>
      <c r="AK97" s="20">
        <f>449434.8+461276.4</f>
        <v>910711.2</v>
      </c>
      <c r="AL97" s="20"/>
      <c r="AM97" s="20"/>
      <c r="AN97" s="20"/>
      <c r="AO97" s="20"/>
      <c r="AP97" s="20"/>
      <c r="AQ97" s="20"/>
      <c r="AR97" s="20">
        <v>0</v>
      </c>
      <c r="AS97" s="20">
        <f>11472.6670121583+257315.35+2511863.55405802</f>
        <v>2780651.5710701784</v>
      </c>
      <c r="AT97" s="20"/>
      <c r="AU97" s="20"/>
      <c r="AV97" s="20"/>
      <c r="AW97" s="20"/>
      <c r="AX97" s="20"/>
      <c r="AY97" s="20"/>
    </row>
    <row r="98" spans="1:51" s="30" customFormat="1" ht="37.5" customHeight="1" x14ac:dyDescent="0.3">
      <c r="A98" s="28">
        <v>96</v>
      </c>
      <c r="B98" s="20" t="s">
        <v>154</v>
      </c>
      <c r="C98" s="20" t="s">
        <v>155</v>
      </c>
      <c r="D98" s="19">
        <v>481.3</v>
      </c>
      <c r="E98" s="29">
        <f t="shared" si="1"/>
        <v>132341.4</v>
      </c>
      <c r="F98" s="20"/>
      <c r="G98" s="20"/>
      <c r="H98" s="20"/>
      <c r="I98" s="20"/>
      <c r="J98" s="20"/>
      <c r="K98" s="20"/>
      <c r="L98" s="20">
        <v>0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>
        <v>65457</v>
      </c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>
        <v>66884.399999999994</v>
      </c>
      <c r="AT98" s="20"/>
      <c r="AU98" s="20"/>
      <c r="AV98" s="20"/>
      <c r="AW98" s="20"/>
      <c r="AX98" s="20"/>
      <c r="AY98" s="20"/>
    </row>
    <row r="99" spans="1:51" s="30" customFormat="1" ht="37.5" customHeight="1" x14ac:dyDescent="0.3">
      <c r="A99" s="28">
        <v>97</v>
      </c>
      <c r="B99" s="20" t="s">
        <v>156</v>
      </c>
      <c r="C99" s="20" t="s">
        <v>157</v>
      </c>
      <c r="D99" s="19">
        <v>140.9</v>
      </c>
      <c r="E99" s="29">
        <f t="shared" si="1"/>
        <v>19162</v>
      </c>
      <c r="F99" s="20"/>
      <c r="G99" s="20"/>
      <c r="H99" s="20"/>
      <c r="I99" s="20"/>
      <c r="J99" s="20"/>
      <c r="K99" s="20"/>
      <c r="L99" s="20">
        <v>0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>
        <v>19162</v>
      </c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</row>
    <row r="100" spans="1:51" s="30" customFormat="1" ht="36" x14ac:dyDescent="0.3">
      <c r="A100" s="28">
        <v>98</v>
      </c>
      <c r="B100" s="20" t="s">
        <v>158</v>
      </c>
      <c r="C100" s="20" t="s">
        <v>159</v>
      </c>
      <c r="D100" s="20">
        <v>7998.2</v>
      </c>
      <c r="E100" s="29">
        <f t="shared" si="1"/>
        <v>4829389.0650926698</v>
      </c>
      <c r="F100" s="20">
        <v>0</v>
      </c>
      <c r="G100" s="20"/>
      <c r="H100" s="20">
        <f>52775.33/2</f>
        <v>26387.665000000001</v>
      </c>
      <c r="I100" s="20">
        <f>22618/2</f>
        <v>11309</v>
      </c>
      <c r="J100" s="20"/>
      <c r="K100" s="20">
        <f>2167512+145000</f>
        <v>2312512</v>
      </c>
      <c r="L100" s="20">
        <f>31993/2</f>
        <v>15996.5</v>
      </c>
      <c r="M100" s="20">
        <f>31993/2</f>
        <v>15996.5</v>
      </c>
      <c r="N100" s="20"/>
      <c r="O100" s="20"/>
      <c r="P100" s="20"/>
      <c r="Q100" s="20"/>
      <c r="R100" s="20"/>
      <c r="S100" s="20"/>
      <c r="T100" s="20"/>
      <c r="U100" s="20"/>
      <c r="V100" s="20">
        <v>0</v>
      </c>
      <c r="W100" s="20">
        <v>127723.71096917335</v>
      </c>
      <c r="X100" s="20"/>
      <c r="Y100" s="20"/>
      <c r="Z100" s="20"/>
      <c r="AA100" s="20"/>
      <c r="AB100" s="20"/>
      <c r="AC100" s="20"/>
      <c r="AD100" s="20"/>
      <c r="AE100" s="20"/>
      <c r="AF100" s="20">
        <f>1087755+174311</f>
        <v>1262066</v>
      </c>
      <c r="AG100" s="20">
        <f>268672.889123497+174311</f>
        <v>442983.88912349701</v>
      </c>
      <c r="AH100" s="20"/>
      <c r="AI100" s="20"/>
      <c r="AJ100" s="20"/>
      <c r="AK100" s="20">
        <v>145323</v>
      </c>
      <c r="AL100" s="20"/>
      <c r="AM100" s="20"/>
      <c r="AN100" s="20"/>
      <c r="AO100" s="20"/>
      <c r="AP100" s="20"/>
      <c r="AQ100" s="20"/>
      <c r="AR100" s="20">
        <v>202542</v>
      </c>
      <c r="AS100" s="20">
        <v>266548.8</v>
      </c>
      <c r="AT100" s="20"/>
      <c r="AU100" s="20"/>
      <c r="AV100" s="20"/>
      <c r="AW100" s="20"/>
      <c r="AX100" s="20"/>
      <c r="AY100" s="20"/>
    </row>
    <row r="101" spans="1:51" s="30" customFormat="1" ht="36" x14ac:dyDescent="0.3">
      <c r="A101" s="28">
        <v>99</v>
      </c>
      <c r="B101" s="20" t="s">
        <v>158</v>
      </c>
      <c r="C101" s="20" t="s">
        <v>160</v>
      </c>
      <c r="D101" s="20">
        <v>4101.8999999999996</v>
      </c>
      <c r="E101" s="29">
        <f t="shared" si="1"/>
        <v>2501561.8126971228</v>
      </c>
      <c r="F101" s="20">
        <v>0</v>
      </c>
      <c r="G101" s="20"/>
      <c r="H101" s="20">
        <v>26387.67</v>
      </c>
      <c r="I101" s="20">
        <v>11309</v>
      </c>
      <c r="J101" s="20"/>
      <c r="K101" s="20">
        <f>1111615+145000</f>
        <v>1256615</v>
      </c>
      <c r="L101" s="20">
        <f>16408/2</f>
        <v>8204</v>
      </c>
      <c r="M101" s="20">
        <f>16408/2</f>
        <v>8204</v>
      </c>
      <c r="N101" s="20"/>
      <c r="O101" s="20"/>
      <c r="P101" s="20"/>
      <c r="Q101" s="20"/>
      <c r="R101" s="20"/>
      <c r="S101" s="20"/>
      <c r="T101" s="20"/>
      <c r="U101" s="20"/>
      <c r="V101" s="20">
        <v>0</v>
      </c>
      <c r="W101" s="20">
        <v>65503.474534826855</v>
      </c>
      <c r="X101" s="20"/>
      <c r="Y101" s="20"/>
      <c r="Z101" s="20"/>
      <c r="AA101" s="20"/>
      <c r="AB101" s="20"/>
      <c r="AC101" s="20"/>
      <c r="AD101" s="20"/>
      <c r="AE101" s="20"/>
      <c r="AF101" s="20">
        <f>557858+142184</f>
        <v>700042</v>
      </c>
      <c r="AG101" s="20">
        <f>137789.668162296+142184</f>
        <v>279973.668162296</v>
      </c>
      <c r="AH101" s="20"/>
      <c r="AI101" s="20"/>
      <c r="AJ101" s="20"/>
      <c r="AK101" s="20">
        <v>145323</v>
      </c>
      <c r="AL101" s="20"/>
      <c r="AM101" s="20"/>
      <c r="AN101" s="20"/>
      <c r="AO101" s="20"/>
      <c r="AP101" s="20"/>
      <c r="AQ101" s="20"/>
      <c r="AR101" s="20">
        <v>0</v>
      </c>
      <c r="AS101" s="20"/>
      <c r="AT101" s="20"/>
      <c r="AU101" s="20"/>
      <c r="AV101" s="20"/>
      <c r="AW101" s="20"/>
      <c r="AX101" s="20"/>
      <c r="AY101" s="20"/>
    </row>
    <row r="102" spans="1:51" s="30" customFormat="1" ht="36" x14ac:dyDescent="0.3">
      <c r="A102" s="28">
        <v>100</v>
      </c>
      <c r="B102" s="20" t="s">
        <v>161</v>
      </c>
      <c r="C102" s="20" t="s">
        <v>162</v>
      </c>
      <c r="D102" s="20">
        <v>489.2</v>
      </c>
      <c r="E102" s="29">
        <f t="shared" si="1"/>
        <v>100174.2</v>
      </c>
      <c r="F102" s="20"/>
      <c r="G102" s="20"/>
      <c r="H102" s="20"/>
      <c r="I102" s="20"/>
      <c r="J102" s="20"/>
      <c r="K102" s="20"/>
      <c r="L102" s="20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>
        <v>66531</v>
      </c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>
        <v>33643.199999999997</v>
      </c>
      <c r="AT102" s="20"/>
      <c r="AU102" s="20"/>
      <c r="AV102" s="20"/>
      <c r="AW102" s="20"/>
      <c r="AX102" s="20"/>
      <c r="AY102" s="20"/>
    </row>
    <row r="103" spans="1:51" s="30" customFormat="1" ht="36" x14ac:dyDescent="0.3">
      <c r="A103" s="28">
        <v>101</v>
      </c>
      <c r="B103" s="20" t="s">
        <v>163</v>
      </c>
      <c r="C103" s="20" t="s">
        <v>164</v>
      </c>
      <c r="D103" s="20">
        <v>482.4</v>
      </c>
      <c r="E103" s="29">
        <f t="shared" si="1"/>
        <v>98847.2</v>
      </c>
      <c r="F103" s="20"/>
      <c r="G103" s="20"/>
      <c r="H103" s="20"/>
      <c r="I103" s="20"/>
      <c r="J103" s="20"/>
      <c r="K103" s="20"/>
      <c r="L103" s="20">
        <v>0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>
        <v>65606</v>
      </c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>
        <v>33241.199999999997</v>
      </c>
      <c r="AT103" s="20"/>
      <c r="AU103" s="20"/>
      <c r="AV103" s="20"/>
      <c r="AW103" s="20"/>
      <c r="AX103" s="20"/>
      <c r="AY103" s="20"/>
    </row>
    <row r="104" spans="1:51" s="30" customFormat="1" ht="36" x14ac:dyDescent="0.3">
      <c r="A104" s="28">
        <v>102</v>
      </c>
      <c r="B104" s="20" t="s">
        <v>165</v>
      </c>
      <c r="C104" s="20" t="s">
        <v>166</v>
      </c>
      <c r="D104" s="20">
        <v>10231.5</v>
      </c>
      <c r="E104" s="29">
        <f t="shared" si="1"/>
        <v>24059568.925118577</v>
      </c>
      <c r="F104" s="20">
        <v>0</v>
      </c>
      <c r="G104" s="20"/>
      <c r="H104" s="20">
        <f>165172.8/2</f>
        <v>82586.399999999994</v>
      </c>
      <c r="I104" s="20">
        <f>70788.34/2</f>
        <v>35394.17</v>
      </c>
      <c r="J104" s="20"/>
      <c r="K104" s="20">
        <v>2772737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>
        <v>0</v>
      </c>
      <c r="W104" s="20">
        <v>163387.40576393402</v>
      </c>
      <c r="X104" s="20"/>
      <c r="Y104" s="20"/>
      <c r="Z104" s="20"/>
      <c r="AA104" s="20"/>
      <c r="AB104" s="20"/>
      <c r="AC104" s="20"/>
      <c r="AD104" s="20">
        <v>0</v>
      </c>
      <c r="AE104" s="20">
        <v>7536.5853658536589</v>
      </c>
      <c r="AF104" s="20">
        <f>1391484+248377</f>
        <v>1639861</v>
      </c>
      <c r="AG104" s="20">
        <f>343693.164095304+248377</f>
        <v>592070.16409530398</v>
      </c>
      <c r="AH104" s="20"/>
      <c r="AI104" s="20"/>
      <c r="AJ104" s="20">
        <v>17354248.030000001</v>
      </c>
      <c r="AK104" s="20">
        <v>145323</v>
      </c>
      <c r="AL104" s="20"/>
      <c r="AM104" s="20"/>
      <c r="AN104" s="20"/>
      <c r="AO104" s="20"/>
      <c r="AP104" s="20"/>
      <c r="AQ104" s="20"/>
      <c r="AR104" s="20">
        <v>0</v>
      </c>
      <c r="AS104" s="20">
        <f>5280.62983480505+104986.027791108+1156158.51226757</f>
        <v>1266425.1698934832</v>
      </c>
      <c r="AT104" s="20"/>
      <c r="AU104" s="20"/>
      <c r="AV104" s="20"/>
      <c r="AW104" s="20"/>
      <c r="AX104" s="20"/>
      <c r="AY104" s="20"/>
    </row>
    <row r="105" spans="1:51" s="30" customFormat="1" ht="36" x14ac:dyDescent="0.3">
      <c r="A105" s="28">
        <v>103</v>
      </c>
      <c r="B105" s="20" t="s">
        <v>167</v>
      </c>
      <c r="C105" s="20" t="s">
        <v>168</v>
      </c>
      <c r="D105" s="20">
        <v>2674.6</v>
      </c>
      <c r="E105" s="29">
        <f t="shared" si="1"/>
        <v>1941582.86008871</v>
      </c>
      <c r="F105" s="20">
        <v>0</v>
      </c>
      <c r="G105" s="20"/>
      <c r="H105" s="20">
        <v>82586.399999999994</v>
      </c>
      <c r="I105" s="20">
        <v>35394.17</v>
      </c>
      <c r="J105" s="20"/>
      <c r="K105" s="20">
        <v>735206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0</v>
      </c>
      <c r="W105" s="20">
        <v>42710.839608680835</v>
      </c>
      <c r="X105" s="20"/>
      <c r="Y105" s="20"/>
      <c r="Z105" s="20"/>
      <c r="AA105" s="20"/>
      <c r="AB105" s="20"/>
      <c r="AC105" s="20"/>
      <c r="AD105" s="20"/>
      <c r="AE105" s="20"/>
      <c r="AF105" s="20">
        <f>363746+57859</f>
        <v>421605</v>
      </c>
      <c r="AG105" s="20">
        <f>89844.2786189025+57859</f>
        <v>147703.27861890249</v>
      </c>
      <c r="AH105" s="20"/>
      <c r="AI105" s="20"/>
      <c r="AJ105" s="20"/>
      <c r="AK105" s="20">
        <v>145323</v>
      </c>
      <c r="AL105" s="20"/>
      <c r="AM105" s="20"/>
      <c r="AN105" s="20"/>
      <c r="AO105" s="20"/>
      <c r="AP105" s="20"/>
      <c r="AQ105" s="20"/>
      <c r="AR105" s="20">
        <v>0</v>
      </c>
      <c r="AS105" s="20">
        <f>1380.40097308993+27444.2290895858+302229.541798451</f>
        <v>331054.17186112673</v>
      </c>
      <c r="AT105" s="20"/>
      <c r="AU105" s="20"/>
      <c r="AV105" s="20"/>
      <c r="AW105" s="20"/>
      <c r="AX105" s="20"/>
      <c r="AY105" s="20"/>
    </row>
    <row r="106" spans="1:51" s="30" customFormat="1" ht="36" x14ac:dyDescent="0.3">
      <c r="A106" s="28">
        <v>104</v>
      </c>
      <c r="B106" s="20" t="s">
        <v>169</v>
      </c>
      <c r="C106" s="20" t="s">
        <v>170</v>
      </c>
      <c r="D106" s="20">
        <v>3021.3</v>
      </c>
      <c r="E106" s="29">
        <f t="shared" si="1"/>
        <v>1951615.23</v>
      </c>
      <c r="F106" s="20"/>
      <c r="G106" s="20"/>
      <c r="H106" s="20"/>
      <c r="I106" s="20">
        <v>44836.19</v>
      </c>
      <c r="J106" s="20"/>
      <c r="K106" s="20">
        <v>95882.04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>
        <f>410897+700000</f>
        <v>1110897</v>
      </c>
      <c r="AG106" s="20">
        <v>700000</v>
      </c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</row>
    <row r="107" spans="1:51" s="30" customFormat="1" ht="36" x14ac:dyDescent="0.3">
      <c r="A107" s="28">
        <v>105</v>
      </c>
      <c r="B107" s="20" t="s">
        <v>171</v>
      </c>
      <c r="C107" s="20" t="s">
        <v>172</v>
      </c>
      <c r="D107" s="20">
        <v>1759.2</v>
      </c>
      <c r="E107" s="29">
        <f t="shared" si="1"/>
        <v>239251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>
        <v>239251</v>
      </c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</row>
    <row r="108" spans="1:51" s="30" customFormat="1" ht="36" x14ac:dyDescent="0.3">
      <c r="A108" s="28">
        <v>106</v>
      </c>
      <c r="B108" s="20" t="s">
        <v>173</v>
      </c>
      <c r="C108" s="20" t="s">
        <v>174</v>
      </c>
      <c r="D108" s="20">
        <v>110.3</v>
      </c>
      <c r="E108" s="29">
        <f t="shared" si="1"/>
        <v>15001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>
        <v>15001</v>
      </c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</row>
    <row r="109" spans="1:51" s="30" customFormat="1" ht="37.5" customHeight="1" x14ac:dyDescent="0.3">
      <c r="A109" s="28">
        <v>107</v>
      </c>
      <c r="B109" s="20" t="s">
        <v>175</v>
      </c>
      <c r="C109" s="20" t="s">
        <v>176</v>
      </c>
      <c r="D109" s="20">
        <v>3989.9</v>
      </c>
      <c r="E109" s="29">
        <f t="shared" si="1"/>
        <v>24345.759999999998</v>
      </c>
      <c r="F109" s="20"/>
      <c r="G109" s="20"/>
      <c r="H109" s="20">
        <v>17042.03</v>
      </c>
      <c r="I109" s="20">
        <v>7303.73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</row>
    <row r="110" spans="1:51" s="30" customFormat="1" ht="18.75" customHeight="1" x14ac:dyDescent="0.3">
      <c r="A110" s="28">
        <v>108</v>
      </c>
      <c r="B110" s="20" t="s">
        <v>177</v>
      </c>
      <c r="C110" s="20" t="s">
        <v>178</v>
      </c>
      <c r="D110" s="20">
        <v>1762.7</v>
      </c>
      <c r="E110" s="29">
        <f t="shared" si="1"/>
        <v>7499994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>
        <v>7499994</v>
      </c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</row>
    <row r="111" spans="1:51" s="33" customFormat="1" ht="22.5" customHeight="1" x14ac:dyDescent="0.3">
      <c r="A111" s="143"/>
      <c r="B111" s="146" t="s">
        <v>179</v>
      </c>
      <c r="C111" s="31" t="s">
        <v>180</v>
      </c>
      <c r="D111" s="149">
        <v>108</v>
      </c>
      <c r="E111" s="150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</row>
    <row r="112" spans="1:51" s="33" customFormat="1" ht="22.5" customHeight="1" x14ac:dyDescent="0.3">
      <c r="A112" s="144"/>
      <c r="B112" s="147"/>
      <c r="C112" s="31" t="s">
        <v>3</v>
      </c>
      <c r="D112" s="149">
        <f>SUM(D3:D110)</f>
        <v>412068.08</v>
      </c>
      <c r="E112" s="150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</row>
    <row r="113" spans="1:51" s="33" customFormat="1" ht="20.25" customHeight="1" x14ac:dyDescent="0.3">
      <c r="A113" s="145"/>
      <c r="B113" s="148"/>
      <c r="C113" s="32" t="s">
        <v>209</v>
      </c>
      <c r="D113" s="151">
        <f>SUM(F113:AU113)</f>
        <v>316971135.5094732</v>
      </c>
      <c r="E113" s="152"/>
      <c r="F113" s="32">
        <f>SUM(F3:F110)</f>
        <v>60717358.309292637</v>
      </c>
      <c r="G113" s="32">
        <f t="shared" ref="G113:AY113" si="2">SUM(G3:G110)</f>
        <v>38110720.320294566</v>
      </c>
      <c r="H113" s="32">
        <f t="shared" si="2"/>
        <v>5746135.7478000019</v>
      </c>
      <c r="I113" s="32">
        <f t="shared" si="2"/>
        <v>3447246.8147878838</v>
      </c>
      <c r="J113" s="32">
        <f t="shared" si="2"/>
        <v>17792358.630000003</v>
      </c>
      <c r="K113" s="32">
        <f t="shared" si="2"/>
        <v>29129001.923221681</v>
      </c>
      <c r="L113" s="32">
        <f t="shared" si="2"/>
        <v>164629.0279053922</v>
      </c>
      <c r="M113" s="32">
        <f t="shared" si="2"/>
        <v>747565.81737183616</v>
      </c>
      <c r="N113" s="32">
        <f t="shared" si="2"/>
        <v>0</v>
      </c>
      <c r="O113" s="32">
        <f t="shared" si="2"/>
        <v>1385054.1546067419</v>
      </c>
      <c r="P113" s="32">
        <f t="shared" si="2"/>
        <v>0</v>
      </c>
      <c r="Q113" s="32">
        <f t="shared" si="2"/>
        <v>1456990</v>
      </c>
      <c r="R113" s="32">
        <f t="shared" si="2"/>
        <v>0</v>
      </c>
      <c r="S113" s="32">
        <f t="shared" si="2"/>
        <v>1129759.4909090914</v>
      </c>
      <c r="T113" s="32">
        <f t="shared" si="2"/>
        <v>2797906.9500000007</v>
      </c>
      <c r="U113" s="32">
        <f t="shared" si="2"/>
        <v>3206295.5500000003</v>
      </c>
      <c r="V113" s="32">
        <f t="shared" si="2"/>
        <v>173050.35971223022</v>
      </c>
      <c r="W113" s="32">
        <f t="shared" si="2"/>
        <v>1674241.5643415703</v>
      </c>
      <c r="X113" s="32">
        <f t="shared" si="2"/>
        <v>2433532.1</v>
      </c>
      <c r="Y113" s="32">
        <f t="shared" si="2"/>
        <v>2251551.6787499995</v>
      </c>
      <c r="Z113" s="32">
        <f t="shared" si="2"/>
        <v>153000</v>
      </c>
      <c r="AA113" s="32">
        <f t="shared" si="2"/>
        <v>2002302.95</v>
      </c>
      <c r="AB113" s="32">
        <f t="shared" si="2"/>
        <v>288000</v>
      </c>
      <c r="AC113" s="32">
        <f t="shared" si="2"/>
        <v>307200</v>
      </c>
      <c r="AD113" s="32">
        <f t="shared" si="2"/>
        <v>0</v>
      </c>
      <c r="AE113" s="32">
        <f t="shared" si="2"/>
        <v>309000.00000000006</v>
      </c>
      <c r="AF113" s="32">
        <f t="shared" si="2"/>
        <v>21398955.62895143</v>
      </c>
      <c r="AG113" s="32">
        <f t="shared" si="2"/>
        <v>11733878.374046851</v>
      </c>
      <c r="AH113" s="32">
        <f t="shared" si="2"/>
        <v>0</v>
      </c>
      <c r="AI113" s="32">
        <f t="shared" si="2"/>
        <v>514137.70156788873</v>
      </c>
      <c r="AJ113" s="32">
        <f t="shared" si="2"/>
        <v>28496049.630000003</v>
      </c>
      <c r="AK113" s="32">
        <f t="shared" si="2"/>
        <v>38946904.280000001</v>
      </c>
      <c r="AL113" s="32">
        <f t="shared" si="2"/>
        <v>0</v>
      </c>
      <c r="AM113" s="32">
        <f t="shared" si="2"/>
        <v>492000</v>
      </c>
      <c r="AN113" s="32">
        <f t="shared" si="2"/>
        <v>0</v>
      </c>
      <c r="AO113" s="32">
        <f t="shared" si="2"/>
        <v>1351680.56</v>
      </c>
      <c r="AP113" s="32">
        <f t="shared" si="2"/>
        <v>0</v>
      </c>
      <c r="AQ113" s="32">
        <f t="shared" si="2"/>
        <v>2239500</v>
      </c>
      <c r="AR113" s="32">
        <f t="shared" si="2"/>
        <v>11988838.209458709</v>
      </c>
      <c r="AS113" s="32">
        <f t="shared" si="2"/>
        <v>22752708.05877725</v>
      </c>
      <c r="AT113" s="32">
        <f t="shared" si="2"/>
        <v>643581.67767738132</v>
      </c>
      <c r="AU113" s="32">
        <f t="shared" si="2"/>
        <v>990000</v>
      </c>
      <c r="AV113" s="32">
        <f t="shared" si="2"/>
        <v>119000</v>
      </c>
      <c r="AW113" s="32">
        <f t="shared" si="2"/>
        <v>503830</v>
      </c>
      <c r="AX113" s="32">
        <f t="shared" si="2"/>
        <v>190000</v>
      </c>
      <c r="AY113" s="32">
        <f t="shared" si="2"/>
        <v>0</v>
      </c>
    </row>
    <row r="115" spans="1:51" ht="37.5" customHeight="1" x14ac:dyDescent="0.3">
      <c r="A115" s="34" t="s">
        <v>181</v>
      </c>
      <c r="B115" s="153" t="s">
        <v>182</v>
      </c>
      <c r="C115" s="153"/>
      <c r="D115" s="153"/>
      <c r="E115" s="35"/>
    </row>
    <row r="116" spans="1:51" ht="37.5" customHeight="1" x14ac:dyDescent="0.3">
      <c r="A116" s="34" t="s">
        <v>183</v>
      </c>
      <c r="B116" s="153" t="s">
        <v>184</v>
      </c>
      <c r="C116" s="153"/>
      <c r="D116" s="153"/>
      <c r="E116" s="35"/>
      <c r="G116" s="36"/>
      <c r="H116" s="36"/>
      <c r="I116" s="36"/>
    </row>
    <row r="121" spans="1:51" ht="25.2" x14ac:dyDescent="0.3">
      <c r="B121" s="23" t="s">
        <v>185</v>
      </c>
      <c r="C121" s="23"/>
      <c r="D121" s="23"/>
      <c r="E121" s="23"/>
    </row>
  </sheetData>
  <autoFilter ref="A1:AY113" xr:uid="{00000000-0009-0000-0000-000002000000}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B115:D115"/>
    <mergeCell ref="B116:D116"/>
    <mergeCell ref="AV1:AW1"/>
    <mergeCell ref="AX1:AY1"/>
    <mergeCell ref="AR1:AS1"/>
    <mergeCell ref="AT1:AU1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A111:A113"/>
    <mergeCell ref="B111:B113"/>
    <mergeCell ref="D111:E111"/>
    <mergeCell ref="D112:E112"/>
    <mergeCell ref="D113:E113"/>
    <mergeCell ref="AB1:AC1"/>
    <mergeCell ref="AD1:AE1"/>
    <mergeCell ref="H1:I1"/>
    <mergeCell ref="J1:K1"/>
    <mergeCell ref="L1:M1"/>
    <mergeCell ref="N1:O1"/>
    <mergeCell ref="P1:Q1"/>
    <mergeCell ref="R1:S1"/>
    <mergeCell ref="F1:G1"/>
    <mergeCell ref="A1:A2"/>
    <mergeCell ref="B1:B2"/>
    <mergeCell ref="C1:C2"/>
    <mergeCell ref="D1:D2"/>
    <mergeCell ref="E1:E2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Q110"/>
  <sheetViews>
    <sheetView topLeftCell="B1" workbookViewId="0">
      <selection activeCell="D8" sqref="D8"/>
    </sheetView>
  </sheetViews>
  <sheetFormatPr defaultColWidth="9.109375" defaultRowHeight="14.4" x14ac:dyDescent="0.3"/>
  <cols>
    <col min="1" max="2" width="9.109375" style="53"/>
    <col min="3" max="3" width="47.33203125" style="53" customWidth="1"/>
    <col min="4" max="4" width="58.88671875" style="53" customWidth="1"/>
    <col min="5" max="5" width="26" style="53" customWidth="1"/>
    <col min="6" max="6" width="14.44140625" style="53" customWidth="1"/>
    <col min="7" max="7" width="13.33203125" style="53" customWidth="1"/>
    <col min="8" max="8" width="12.44140625" style="53" customWidth="1"/>
    <col min="9" max="9" width="13.33203125" style="53" customWidth="1"/>
    <col min="10" max="16384" width="9.109375" style="53"/>
  </cols>
  <sheetData>
    <row r="2" spans="2:9" x14ac:dyDescent="0.3">
      <c r="F2" s="54">
        <v>44926</v>
      </c>
      <c r="G2" s="54">
        <v>44926</v>
      </c>
      <c r="H2" s="54">
        <v>44926</v>
      </c>
      <c r="I2" s="54">
        <v>44926</v>
      </c>
    </row>
    <row r="3" spans="2:9" ht="15" thickBot="1" x14ac:dyDescent="0.35">
      <c r="C3" s="53" t="s">
        <v>549</v>
      </c>
      <c r="F3" s="55" t="s">
        <v>298</v>
      </c>
      <c r="G3" s="55" t="s">
        <v>299</v>
      </c>
      <c r="H3" s="55" t="s">
        <v>298</v>
      </c>
      <c r="I3" s="55" t="s">
        <v>299</v>
      </c>
    </row>
    <row r="4" spans="2:9" ht="56.25" customHeight="1" thickBot="1" x14ac:dyDescent="0.35">
      <c r="B4" s="56" t="s">
        <v>0</v>
      </c>
      <c r="C4" s="57" t="s">
        <v>319</v>
      </c>
      <c r="D4" s="57" t="s">
        <v>2</v>
      </c>
      <c r="E4" s="58" t="s">
        <v>320</v>
      </c>
      <c r="F4" s="59" t="s">
        <v>321</v>
      </c>
      <c r="G4" s="60" t="s">
        <v>321</v>
      </c>
      <c r="H4" s="60" t="s">
        <v>322</v>
      </c>
      <c r="I4" s="61" t="s">
        <v>322</v>
      </c>
    </row>
    <row r="5" spans="2:9" ht="43.2" x14ac:dyDescent="0.3">
      <c r="B5" s="62">
        <v>1</v>
      </c>
      <c r="C5" s="63" t="s">
        <v>323</v>
      </c>
      <c r="D5" s="63" t="s">
        <v>324</v>
      </c>
      <c r="E5" s="64">
        <v>3173.76</v>
      </c>
      <c r="F5" s="65">
        <v>197</v>
      </c>
      <c r="G5" s="66">
        <v>212</v>
      </c>
      <c r="H5" s="67">
        <v>0</v>
      </c>
      <c r="I5" s="68">
        <v>0</v>
      </c>
    </row>
    <row r="6" spans="2:9" ht="28.8" x14ac:dyDescent="0.3">
      <c r="B6" s="69">
        <v>2</v>
      </c>
      <c r="C6" s="70" t="s">
        <v>325</v>
      </c>
      <c r="D6" s="70" t="s">
        <v>326</v>
      </c>
      <c r="E6" s="71">
        <v>16582.8</v>
      </c>
      <c r="F6" s="69">
        <v>58</v>
      </c>
      <c r="G6" s="72">
        <v>91</v>
      </c>
      <c r="H6" s="70">
        <v>272</v>
      </c>
      <c r="I6" s="73">
        <v>768</v>
      </c>
    </row>
    <row r="7" spans="2:9" x14ac:dyDescent="0.3">
      <c r="B7" s="69">
        <v>3</v>
      </c>
      <c r="C7" s="70" t="s">
        <v>327</v>
      </c>
      <c r="D7" s="63" t="s">
        <v>328</v>
      </c>
      <c r="E7" s="71">
        <v>2533</v>
      </c>
      <c r="F7" s="69">
        <v>0</v>
      </c>
      <c r="G7" s="72">
        <v>67</v>
      </c>
      <c r="H7" s="70">
        <v>0</v>
      </c>
      <c r="I7" s="73">
        <v>167</v>
      </c>
    </row>
    <row r="8" spans="2:9" ht="43.2" x14ac:dyDescent="0.3">
      <c r="B8" s="69">
        <v>4</v>
      </c>
      <c r="C8" s="70" t="s">
        <v>329</v>
      </c>
      <c r="D8" s="70" t="s">
        <v>330</v>
      </c>
      <c r="E8" s="71">
        <v>1260.3</v>
      </c>
      <c r="F8" s="69">
        <v>0</v>
      </c>
      <c r="G8" s="72">
        <v>16</v>
      </c>
      <c r="H8" s="70">
        <v>0</v>
      </c>
      <c r="I8" s="73">
        <v>0</v>
      </c>
    </row>
    <row r="9" spans="2:9" ht="28.8" x14ac:dyDescent="0.3">
      <c r="B9" s="69">
        <v>5</v>
      </c>
      <c r="C9" s="70" t="s">
        <v>331</v>
      </c>
      <c r="D9" s="70" t="s">
        <v>332</v>
      </c>
      <c r="E9" s="71">
        <v>4639.8999999999996</v>
      </c>
      <c r="F9" s="69">
        <v>65</v>
      </c>
      <c r="G9" s="72">
        <v>64</v>
      </c>
      <c r="H9" s="70">
        <v>613</v>
      </c>
      <c r="I9" s="73">
        <v>710</v>
      </c>
    </row>
    <row r="10" spans="2:9" ht="28.8" x14ac:dyDescent="0.3">
      <c r="B10" s="69">
        <v>6</v>
      </c>
      <c r="C10" s="70" t="s">
        <v>333</v>
      </c>
      <c r="D10" s="70" t="s">
        <v>334</v>
      </c>
      <c r="E10" s="71" t="s">
        <v>335</v>
      </c>
      <c r="F10" s="69">
        <v>326</v>
      </c>
      <c r="G10" s="72">
        <v>332</v>
      </c>
      <c r="H10" s="70">
        <v>2599</v>
      </c>
      <c r="I10" s="73">
        <v>2648</v>
      </c>
    </row>
    <row r="11" spans="2:9" ht="28.8" x14ac:dyDescent="0.3">
      <c r="B11" s="69">
        <v>7</v>
      </c>
      <c r="C11" s="70" t="s">
        <v>336</v>
      </c>
      <c r="D11" s="70" t="s">
        <v>337</v>
      </c>
      <c r="E11" s="71" t="s">
        <v>338</v>
      </c>
      <c r="F11" s="69">
        <v>432</v>
      </c>
      <c r="G11" s="72">
        <v>431</v>
      </c>
      <c r="H11" s="70">
        <v>3899</v>
      </c>
      <c r="I11" s="73">
        <v>3941</v>
      </c>
    </row>
    <row r="12" spans="2:9" x14ac:dyDescent="0.3">
      <c r="B12" s="69">
        <v>8</v>
      </c>
      <c r="C12" s="70" t="s">
        <v>339</v>
      </c>
      <c r="D12" s="70" t="s">
        <v>340</v>
      </c>
      <c r="E12" s="71" t="s">
        <v>341</v>
      </c>
      <c r="F12" s="69">
        <v>350</v>
      </c>
      <c r="G12" s="72">
        <v>356</v>
      </c>
      <c r="H12" s="70">
        <v>3813</v>
      </c>
      <c r="I12" s="73">
        <v>4247</v>
      </c>
    </row>
    <row r="13" spans="2:9" x14ac:dyDescent="0.3">
      <c r="B13" s="69">
        <v>9</v>
      </c>
      <c r="C13" s="70" t="s">
        <v>342</v>
      </c>
      <c r="D13" s="70" t="s">
        <v>343</v>
      </c>
      <c r="E13" s="71" t="s">
        <v>344</v>
      </c>
      <c r="F13" s="69">
        <v>340</v>
      </c>
      <c r="G13" s="72">
        <v>330</v>
      </c>
      <c r="H13" s="70">
        <v>3716</v>
      </c>
      <c r="I13" s="73">
        <v>3572</v>
      </c>
    </row>
    <row r="14" spans="2:9" ht="28.8" x14ac:dyDescent="0.3">
      <c r="B14" s="69">
        <v>10</v>
      </c>
      <c r="C14" s="70" t="s">
        <v>345</v>
      </c>
      <c r="D14" s="70" t="s">
        <v>346</v>
      </c>
      <c r="E14" s="74">
        <v>108.3</v>
      </c>
      <c r="F14" s="69">
        <v>26</v>
      </c>
      <c r="G14" s="72">
        <v>0</v>
      </c>
      <c r="H14" s="70"/>
      <c r="I14" s="73"/>
    </row>
    <row r="15" spans="2:9" x14ac:dyDescent="0.3">
      <c r="B15" s="69">
        <v>11</v>
      </c>
      <c r="C15" s="70" t="s">
        <v>347</v>
      </c>
      <c r="D15" s="70" t="s">
        <v>348</v>
      </c>
      <c r="E15" s="71">
        <v>6527.4</v>
      </c>
      <c r="F15" s="69">
        <v>43</v>
      </c>
      <c r="G15" s="75">
        <v>49</v>
      </c>
      <c r="H15" s="70">
        <v>0</v>
      </c>
      <c r="I15" s="73">
        <v>0</v>
      </c>
    </row>
    <row r="16" spans="2:9" x14ac:dyDescent="0.3">
      <c r="B16" s="69">
        <v>12</v>
      </c>
      <c r="C16" s="70" t="s">
        <v>349</v>
      </c>
      <c r="D16" s="70" t="s">
        <v>350</v>
      </c>
      <c r="E16" s="71" t="s">
        <v>351</v>
      </c>
      <c r="F16" s="69">
        <v>395</v>
      </c>
      <c r="G16" s="72">
        <v>414</v>
      </c>
      <c r="H16" s="70">
        <v>10378</v>
      </c>
      <c r="I16" s="73">
        <v>9851</v>
      </c>
    </row>
    <row r="17" spans="2:9" x14ac:dyDescent="0.3">
      <c r="B17" s="69">
        <v>13</v>
      </c>
      <c r="C17" s="70" t="s">
        <v>352</v>
      </c>
      <c r="D17" s="70" t="s">
        <v>353</v>
      </c>
      <c r="E17" s="71">
        <v>4730.5</v>
      </c>
      <c r="F17" s="69">
        <v>162</v>
      </c>
      <c r="G17" s="72">
        <v>174</v>
      </c>
      <c r="H17" s="70">
        <v>3391</v>
      </c>
      <c r="I17" s="73">
        <v>3167</v>
      </c>
    </row>
    <row r="18" spans="2:9" ht="43.2" x14ac:dyDescent="0.3">
      <c r="B18" s="69">
        <v>14</v>
      </c>
      <c r="C18" s="70" t="s">
        <v>354</v>
      </c>
      <c r="D18" s="70" t="s">
        <v>355</v>
      </c>
      <c r="E18" s="71">
        <v>78.599999999999994</v>
      </c>
      <c r="F18" s="69">
        <v>5</v>
      </c>
      <c r="G18" s="72">
        <v>6</v>
      </c>
      <c r="H18" s="70">
        <v>656</v>
      </c>
      <c r="I18" s="73">
        <v>703</v>
      </c>
    </row>
    <row r="19" spans="2:9" ht="28.8" x14ac:dyDescent="0.3">
      <c r="B19" s="69">
        <v>15</v>
      </c>
      <c r="C19" s="70" t="s">
        <v>356</v>
      </c>
      <c r="D19" s="70" t="s">
        <v>357</v>
      </c>
      <c r="E19" s="71" t="s">
        <v>358</v>
      </c>
      <c r="F19" s="69">
        <v>96</v>
      </c>
      <c r="G19" s="72">
        <v>92</v>
      </c>
      <c r="H19" s="70">
        <v>656</v>
      </c>
      <c r="I19" s="73">
        <v>688</v>
      </c>
    </row>
    <row r="20" spans="2:9" ht="28.8" x14ac:dyDescent="0.3">
      <c r="B20" s="69">
        <v>16</v>
      </c>
      <c r="C20" s="70" t="s">
        <v>359</v>
      </c>
      <c r="D20" s="70" t="s">
        <v>360</v>
      </c>
      <c r="E20" s="71">
        <v>2510.4</v>
      </c>
      <c r="F20" s="69">
        <v>16</v>
      </c>
      <c r="G20" s="72">
        <v>49</v>
      </c>
      <c r="H20" s="70">
        <v>1</v>
      </c>
      <c r="I20" s="73">
        <v>402</v>
      </c>
    </row>
    <row r="21" spans="2:9" ht="28.8" x14ac:dyDescent="0.3">
      <c r="B21" s="69">
        <v>17</v>
      </c>
      <c r="C21" s="70" t="s">
        <v>361</v>
      </c>
      <c r="D21" s="70" t="s">
        <v>120</v>
      </c>
      <c r="E21" s="71">
        <v>87.1</v>
      </c>
      <c r="F21" s="69">
        <v>0</v>
      </c>
      <c r="G21" s="72">
        <v>10</v>
      </c>
      <c r="H21" s="70">
        <v>0</v>
      </c>
      <c r="I21" s="73">
        <v>4</v>
      </c>
    </row>
    <row r="22" spans="2:9" ht="28.8" x14ac:dyDescent="0.3">
      <c r="B22" s="69">
        <v>18</v>
      </c>
      <c r="C22" s="70" t="s">
        <v>362</v>
      </c>
      <c r="D22" s="76" t="s">
        <v>363</v>
      </c>
      <c r="E22" s="71">
        <v>3169.6</v>
      </c>
      <c r="F22" s="69">
        <v>94</v>
      </c>
      <c r="G22" s="75">
        <v>87</v>
      </c>
      <c r="H22" s="70">
        <v>1245</v>
      </c>
      <c r="I22" s="73">
        <v>1319</v>
      </c>
    </row>
    <row r="23" spans="2:9" x14ac:dyDescent="0.3">
      <c r="B23" s="69">
        <v>19</v>
      </c>
      <c r="C23" s="70" t="s">
        <v>364</v>
      </c>
      <c r="D23" s="70" t="s">
        <v>365</v>
      </c>
      <c r="E23" s="71" t="s">
        <v>366</v>
      </c>
      <c r="F23" s="69">
        <v>284</v>
      </c>
      <c r="G23" s="72">
        <v>274</v>
      </c>
      <c r="H23" s="70">
        <v>3589</v>
      </c>
      <c r="I23" s="73">
        <v>3517</v>
      </c>
    </row>
    <row r="24" spans="2:9" x14ac:dyDescent="0.3">
      <c r="B24" s="69">
        <v>20</v>
      </c>
      <c r="C24" s="70" t="s">
        <v>367</v>
      </c>
      <c r="D24" s="70" t="s">
        <v>368</v>
      </c>
      <c r="E24" s="71" t="s">
        <v>369</v>
      </c>
      <c r="F24" s="69">
        <v>47</v>
      </c>
      <c r="G24" s="72">
        <v>48</v>
      </c>
      <c r="H24" s="70">
        <v>999</v>
      </c>
      <c r="I24" s="73">
        <v>1137</v>
      </c>
    </row>
    <row r="25" spans="2:9" ht="28.8" x14ac:dyDescent="0.3">
      <c r="B25" s="69">
        <v>21</v>
      </c>
      <c r="C25" s="70" t="s">
        <v>370</v>
      </c>
      <c r="D25" s="70" t="s">
        <v>371</v>
      </c>
      <c r="E25" s="71">
        <v>692.6</v>
      </c>
      <c r="F25" s="69">
        <v>13</v>
      </c>
      <c r="G25" s="72">
        <v>12</v>
      </c>
      <c r="H25" s="70"/>
      <c r="I25" s="73"/>
    </row>
    <row r="26" spans="2:9" x14ac:dyDescent="0.3">
      <c r="B26" s="69">
        <v>22</v>
      </c>
      <c r="C26" s="70" t="s">
        <v>372</v>
      </c>
      <c r="D26" s="70" t="s">
        <v>346</v>
      </c>
      <c r="E26" s="71" t="s">
        <v>373</v>
      </c>
      <c r="F26" s="69">
        <v>4</v>
      </c>
      <c r="G26" s="72">
        <v>4</v>
      </c>
      <c r="H26" s="70"/>
      <c r="I26" s="73"/>
    </row>
    <row r="27" spans="2:9" ht="28.8" x14ac:dyDescent="0.3">
      <c r="B27" s="69">
        <v>23</v>
      </c>
      <c r="C27" s="70" t="s">
        <v>374</v>
      </c>
      <c r="D27" s="70" t="s">
        <v>375</v>
      </c>
      <c r="E27" s="71">
        <v>47.8</v>
      </c>
      <c r="F27" s="69">
        <v>3</v>
      </c>
      <c r="G27" s="72">
        <v>4</v>
      </c>
      <c r="H27" s="70"/>
      <c r="I27" s="73"/>
    </row>
    <row r="28" spans="2:9" ht="28.8" x14ac:dyDescent="0.3">
      <c r="B28" s="69">
        <v>24</v>
      </c>
      <c r="C28" s="70" t="s">
        <v>376</v>
      </c>
      <c r="D28" s="70" t="s">
        <v>377</v>
      </c>
      <c r="E28" s="71">
        <v>184.2</v>
      </c>
      <c r="F28" s="69">
        <v>10</v>
      </c>
      <c r="G28" s="72">
        <v>11</v>
      </c>
      <c r="H28" s="70"/>
      <c r="I28" s="73"/>
    </row>
    <row r="29" spans="2:9" x14ac:dyDescent="0.3">
      <c r="B29" s="69">
        <v>25</v>
      </c>
      <c r="C29" s="70" t="s">
        <v>378</v>
      </c>
      <c r="D29" s="70" t="s">
        <v>379</v>
      </c>
      <c r="E29" s="71">
        <v>12.7</v>
      </c>
      <c r="F29" s="69">
        <v>1</v>
      </c>
      <c r="G29" s="72">
        <v>0</v>
      </c>
      <c r="H29" s="70">
        <v>4</v>
      </c>
      <c r="I29" s="73">
        <v>0</v>
      </c>
    </row>
    <row r="30" spans="2:9" x14ac:dyDescent="0.3">
      <c r="B30" s="69">
        <v>26</v>
      </c>
      <c r="C30" s="70" t="s">
        <v>380</v>
      </c>
      <c r="D30" s="70" t="s">
        <v>381</v>
      </c>
      <c r="E30" s="71">
        <v>79.400000000000006</v>
      </c>
      <c r="F30" s="69">
        <v>4</v>
      </c>
      <c r="G30" s="72">
        <v>4</v>
      </c>
      <c r="H30" s="70"/>
      <c r="I30" s="73"/>
    </row>
    <row r="31" spans="2:9" ht="43.2" x14ac:dyDescent="0.3">
      <c r="B31" s="69">
        <v>27</v>
      </c>
      <c r="C31" s="70" t="s">
        <v>382</v>
      </c>
      <c r="D31" s="156" t="s">
        <v>383</v>
      </c>
      <c r="E31" s="157"/>
      <c r="F31" s="69">
        <v>0</v>
      </c>
      <c r="G31" s="72">
        <v>0</v>
      </c>
      <c r="H31" s="70"/>
      <c r="I31" s="73"/>
    </row>
    <row r="32" spans="2:9" ht="28.8" x14ac:dyDescent="0.3">
      <c r="B32" s="69">
        <v>28</v>
      </c>
      <c r="C32" s="70" t="s">
        <v>384</v>
      </c>
      <c r="D32" s="70" t="s">
        <v>385</v>
      </c>
      <c r="E32" s="71">
        <v>11.8</v>
      </c>
      <c r="F32" s="69">
        <v>1</v>
      </c>
      <c r="G32" s="72">
        <v>1</v>
      </c>
      <c r="H32" s="70"/>
      <c r="I32" s="73"/>
    </row>
    <row r="33" spans="2:9" ht="28.8" x14ac:dyDescent="0.3">
      <c r="B33" s="69">
        <v>29</v>
      </c>
      <c r="C33" s="70" t="s">
        <v>386</v>
      </c>
      <c r="D33" s="156" t="s">
        <v>383</v>
      </c>
      <c r="E33" s="157"/>
      <c r="F33" s="69">
        <v>0</v>
      </c>
      <c r="G33" s="72">
        <v>0</v>
      </c>
      <c r="H33" s="70"/>
      <c r="I33" s="73"/>
    </row>
    <row r="34" spans="2:9" ht="43.2" x14ac:dyDescent="0.3">
      <c r="B34" s="69">
        <v>30</v>
      </c>
      <c r="C34" s="70" t="s">
        <v>387</v>
      </c>
      <c r="D34" s="70" t="s">
        <v>388</v>
      </c>
      <c r="E34" s="71">
        <v>43.8</v>
      </c>
      <c r="F34" s="69">
        <v>4</v>
      </c>
      <c r="G34" s="72">
        <v>3</v>
      </c>
      <c r="H34" s="70"/>
      <c r="I34" s="73"/>
    </row>
    <row r="35" spans="2:9" ht="72" x14ac:dyDescent="0.3">
      <c r="B35" s="69">
        <v>31</v>
      </c>
      <c r="C35" s="70" t="s">
        <v>389</v>
      </c>
      <c r="D35" s="70" t="s">
        <v>328</v>
      </c>
      <c r="E35" s="71">
        <v>18.8</v>
      </c>
      <c r="F35" s="69">
        <v>1</v>
      </c>
      <c r="G35" s="72">
        <v>25</v>
      </c>
      <c r="H35" s="70"/>
      <c r="I35" s="73"/>
    </row>
    <row r="36" spans="2:9" ht="28.8" x14ac:dyDescent="0.3">
      <c r="B36" s="69">
        <v>32</v>
      </c>
      <c r="C36" s="70" t="s">
        <v>390</v>
      </c>
      <c r="D36" s="70" t="s">
        <v>350</v>
      </c>
      <c r="E36" s="71">
        <v>159</v>
      </c>
      <c r="F36" s="69">
        <v>5</v>
      </c>
      <c r="G36" s="72">
        <v>5</v>
      </c>
      <c r="H36" s="70"/>
      <c r="I36" s="73"/>
    </row>
    <row r="37" spans="2:9" ht="43.2" x14ac:dyDescent="0.3">
      <c r="B37" s="69">
        <v>33</v>
      </c>
      <c r="C37" s="70" t="s">
        <v>391</v>
      </c>
      <c r="D37" s="70" t="s">
        <v>392</v>
      </c>
      <c r="E37" s="71">
        <v>275</v>
      </c>
      <c r="F37" s="69">
        <v>13</v>
      </c>
      <c r="G37" s="72">
        <v>11</v>
      </c>
      <c r="H37" s="70"/>
      <c r="I37" s="73"/>
    </row>
    <row r="38" spans="2:9" x14ac:dyDescent="0.3">
      <c r="B38" s="69">
        <v>34</v>
      </c>
      <c r="C38" s="70" t="s">
        <v>393</v>
      </c>
      <c r="D38" s="70" t="s">
        <v>394</v>
      </c>
      <c r="E38" s="71">
        <v>43.3</v>
      </c>
      <c r="F38" s="69">
        <v>9</v>
      </c>
      <c r="G38" s="72">
        <v>5</v>
      </c>
      <c r="H38" s="70"/>
      <c r="I38" s="73"/>
    </row>
    <row r="39" spans="2:9" ht="28.8" x14ac:dyDescent="0.3">
      <c r="B39" s="69">
        <v>35</v>
      </c>
      <c r="C39" s="70" t="s">
        <v>395</v>
      </c>
      <c r="D39" s="70" t="s">
        <v>396</v>
      </c>
      <c r="E39" s="71">
        <v>37.299999999999997</v>
      </c>
      <c r="F39" s="69">
        <v>0</v>
      </c>
      <c r="G39" s="72">
        <v>1</v>
      </c>
      <c r="H39" s="70"/>
      <c r="I39" s="73"/>
    </row>
    <row r="40" spans="2:9" ht="28.8" x14ac:dyDescent="0.3">
      <c r="B40" s="69">
        <v>36</v>
      </c>
      <c r="C40" s="70" t="s">
        <v>397</v>
      </c>
      <c r="D40" s="70" t="s">
        <v>398</v>
      </c>
      <c r="E40" s="71">
        <v>155</v>
      </c>
      <c r="F40" s="69">
        <v>0</v>
      </c>
      <c r="G40" s="72">
        <v>9</v>
      </c>
      <c r="H40" s="70"/>
      <c r="I40" s="73"/>
    </row>
    <row r="41" spans="2:9" ht="144" x14ac:dyDescent="0.3">
      <c r="B41" s="69">
        <v>37</v>
      </c>
      <c r="C41" s="70" t="s">
        <v>399</v>
      </c>
      <c r="D41" s="70" t="s">
        <v>398</v>
      </c>
      <c r="E41" s="71">
        <v>40.4</v>
      </c>
      <c r="F41" s="69">
        <v>0</v>
      </c>
      <c r="G41" s="72">
        <v>8</v>
      </c>
      <c r="H41" s="70"/>
      <c r="I41" s="73"/>
    </row>
    <row r="42" spans="2:9" x14ac:dyDescent="0.3">
      <c r="B42" s="69">
        <v>38</v>
      </c>
      <c r="C42" s="70" t="s">
        <v>400</v>
      </c>
      <c r="D42" s="70" t="s">
        <v>381</v>
      </c>
      <c r="E42" s="71" t="s">
        <v>401</v>
      </c>
      <c r="F42" s="69">
        <v>5</v>
      </c>
      <c r="G42" s="72">
        <v>5</v>
      </c>
      <c r="H42" s="70"/>
      <c r="I42" s="73"/>
    </row>
    <row r="43" spans="2:9" x14ac:dyDescent="0.3">
      <c r="B43" s="69">
        <v>39</v>
      </c>
      <c r="C43" s="70" t="s">
        <v>402</v>
      </c>
      <c r="D43" s="156" t="s">
        <v>403</v>
      </c>
      <c r="E43" s="157"/>
      <c r="F43" s="69">
        <v>0</v>
      </c>
      <c r="G43" s="72">
        <v>1</v>
      </c>
      <c r="H43" s="70"/>
      <c r="I43" s="73"/>
    </row>
    <row r="44" spans="2:9" x14ac:dyDescent="0.3">
      <c r="B44" s="69">
        <v>40</v>
      </c>
      <c r="C44" s="77" t="s">
        <v>404</v>
      </c>
      <c r="D44" s="70" t="s">
        <v>405</v>
      </c>
      <c r="E44" s="71">
        <v>49.8</v>
      </c>
      <c r="F44" s="69">
        <v>1</v>
      </c>
      <c r="G44" s="72">
        <v>1</v>
      </c>
      <c r="H44" s="70"/>
      <c r="I44" s="73"/>
    </row>
    <row r="45" spans="2:9" ht="43.2" x14ac:dyDescent="0.3">
      <c r="B45" s="69">
        <v>41</v>
      </c>
      <c r="C45" s="77" t="s">
        <v>406</v>
      </c>
      <c r="D45" s="70" t="s">
        <v>407</v>
      </c>
      <c r="E45" s="71">
        <v>615.1</v>
      </c>
      <c r="F45" s="69">
        <v>5</v>
      </c>
      <c r="G45" s="72">
        <v>5</v>
      </c>
      <c r="H45" s="70"/>
      <c r="I45" s="73"/>
    </row>
    <row r="46" spans="2:9" ht="28.8" x14ac:dyDescent="0.3">
      <c r="B46" s="69">
        <v>42</v>
      </c>
      <c r="C46" s="77" t="s">
        <v>408</v>
      </c>
      <c r="D46" s="70" t="s">
        <v>350</v>
      </c>
      <c r="E46" s="71">
        <v>798.8</v>
      </c>
      <c r="F46" s="69">
        <v>5</v>
      </c>
      <c r="G46" s="72">
        <v>5</v>
      </c>
      <c r="H46" s="70"/>
      <c r="I46" s="73"/>
    </row>
    <row r="47" spans="2:9" ht="43.2" x14ac:dyDescent="0.3">
      <c r="B47" s="69">
        <v>43</v>
      </c>
      <c r="C47" s="77" t="s">
        <v>409</v>
      </c>
      <c r="D47" s="70" t="s">
        <v>368</v>
      </c>
      <c r="E47" s="71" t="s">
        <v>410</v>
      </c>
      <c r="F47" s="69">
        <v>5</v>
      </c>
      <c r="G47" s="72">
        <v>6</v>
      </c>
      <c r="H47" s="70"/>
      <c r="I47" s="73"/>
    </row>
    <row r="48" spans="2:9" ht="86.4" x14ac:dyDescent="0.3">
      <c r="B48" s="69">
        <v>44</v>
      </c>
      <c r="C48" s="77" t="s">
        <v>411</v>
      </c>
      <c r="D48" s="70" t="s">
        <v>412</v>
      </c>
      <c r="E48" s="71">
        <v>1111.2</v>
      </c>
      <c r="F48" s="69">
        <v>44</v>
      </c>
      <c r="G48" s="72">
        <v>37</v>
      </c>
      <c r="H48" s="70"/>
      <c r="I48" s="73"/>
    </row>
    <row r="49" spans="2:17" ht="57.6" x14ac:dyDescent="0.3">
      <c r="B49" s="69">
        <v>45</v>
      </c>
      <c r="C49" s="70" t="s">
        <v>413</v>
      </c>
      <c r="D49" s="76" t="s">
        <v>414</v>
      </c>
      <c r="E49" s="71">
        <v>204.9</v>
      </c>
      <c r="F49" s="69">
        <v>42</v>
      </c>
      <c r="G49" s="72">
        <v>46</v>
      </c>
      <c r="H49" s="70"/>
      <c r="I49" s="73"/>
    </row>
    <row r="50" spans="2:17" x14ac:dyDescent="0.3">
      <c r="B50" s="69">
        <v>46</v>
      </c>
      <c r="C50" s="70" t="s">
        <v>415</v>
      </c>
      <c r="D50" s="70" t="s">
        <v>416</v>
      </c>
      <c r="E50" s="71" t="s">
        <v>417</v>
      </c>
      <c r="F50" s="69">
        <v>5</v>
      </c>
      <c r="G50" s="72">
        <v>2</v>
      </c>
      <c r="H50" s="70"/>
      <c r="I50" s="73"/>
    </row>
    <row r="51" spans="2:17" x14ac:dyDescent="0.3">
      <c r="B51" s="69">
        <v>47</v>
      </c>
      <c r="C51" s="70" t="s">
        <v>418</v>
      </c>
      <c r="D51" s="76" t="s">
        <v>340</v>
      </c>
      <c r="E51" s="71">
        <v>84.6</v>
      </c>
      <c r="F51" s="69">
        <v>0</v>
      </c>
      <c r="G51" s="72">
        <v>9</v>
      </c>
      <c r="H51" s="70"/>
      <c r="I51" s="73"/>
    </row>
    <row r="52" spans="2:17" ht="43.2" x14ac:dyDescent="0.3">
      <c r="B52" s="69">
        <v>48</v>
      </c>
      <c r="C52" s="70" t="s">
        <v>419</v>
      </c>
      <c r="D52" s="76" t="s">
        <v>340</v>
      </c>
      <c r="E52" s="71">
        <v>36</v>
      </c>
      <c r="F52" s="69">
        <v>5</v>
      </c>
      <c r="G52" s="72">
        <v>6</v>
      </c>
      <c r="H52" s="70"/>
      <c r="I52" s="73"/>
    </row>
    <row r="53" spans="2:17" x14ac:dyDescent="0.3">
      <c r="B53" s="69">
        <v>49</v>
      </c>
      <c r="C53" s="70" t="s">
        <v>420</v>
      </c>
      <c r="D53" s="70" t="s">
        <v>421</v>
      </c>
      <c r="E53" s="71">
        <v>381.2</v>
      </c>
      <c r="F53" s="69">
        <v>21</v>
      </c>
      <c r="G53" s="72">
        <v>20</v>
      </c>
      <c r="H53" s="70"/>
      <c r="I53" s="73"/>
    </row>
    <row r="54" spans="2:17" ht="28.8" x14ac:dyDescent="0.3">
      <c r="B54" s="69">
        <v>50</v>
      </c>
      <c r="C54" s="70" t="s">
        <v>422</v>
      </c>
      <c r="D54" s="156" t="s">
        <v>383</v>
      </c>
      <c r="E54" s="157"/>
      <c r="F54" s="69">
        <v>4</v>
      </c>
      <c r="G54" s="72">
        <v>0</v>
      </c>
      <c r="H54" s="70"/>
      <c r="I54" s="73"/>
    </row>
    <row r="55" spans="2:17" x14ac:dyDescent="0.3">
      <c r="B55" s="69">
        <v>51</v>
      </c>
      <c r="C55" s="70" t="s">
        <v>423</v>
      </c>
      <c r="D55" s="70" t="s">
        <v>379</v>
      </c>
      <c r="E55" s="71" t="s">
        <v>424</v>
      </c>
      <c r="F55" s="69">
        <v>2</v>
      </c>
      <c r="G55" s="72">
        <v>3</v>
      </c>
      <c r="H55" s="70"/>
      <c r="I55" s="73"/>
    </row>
    <row r="56" spans="2:17" x14ac:dyDescent="0.3">
      <c r="B56" s="69">
        <v>52</v>
      </c>
      <c r="C56" s="70" t="s">
        <v>425</v>
      </c>
      <c r="D56" s="70" t="s">
        <v>426</v>
      </c>
      <c r="E56" s="71">
        <v>479.9</v>
      </c>
      <c r="F56" s="69">
        <v>20</v>
      </c>
      <c r="G56" s="72">
        <v>25</v>
      </c>
      <c r="H56" s="70"/>
      <c r="I56" s="73"/>
    </row>
    <row r="57" spans="2:17" x14ac:dyDescent="0.3">
      <c r="B57" s="69">
        <v>53</v>
      </c>
      <c r="C57" s="70" t="s">
        <v>427</v>
      </c>
      <c r="D57" s="70" t="s">
        <v>379</v>
      </c>
      <c r="E57" s="71">
        <v>81.5</v>
      </c>
      <c r="F57" s="69">
        <v>8</v>
      </c>
      <c r="G57" s="72">
        <v>10</v>
      </c>
      <c r="H57" s="70"/>
      <c r="I57" s="73"/>
    </row>
    <row r="58" spans="2:17" x14ac:dyDescent="0.3">
      <c r="B58" s="69">
        <v>54</v>
      </c>
      <c r="C58" s="70" t="s">
        <v>428</v>
      </c>
      <c r="D58" s="76" t="s">
        <v>429</v>
      </c>
      <c r="E58" s="71">
        <v>1145.3</v>
      </c>
      <c r="F58" s="69">
        <v>79</v>
      </c>
      <c r="G58" s="72">
        <v>78</v>
      </c>
      <c r="H58" s="70"/>
      <c r="I58" s="73"/>
      <c r="P58" s="53">
        <v>20.9</v>
      </c>
      <c r="Q58" s="53">
        <v>13</v>
      </c>
    </row>
    <row r="59" spans="2:17" ht="43.2" x14ac:dyDescent="0.3">
      <c r="B59" s="69">
        <v>55</v>
      </c>
      <c r="C59" s="70" t="s">
        <v>430</v>
      </c>
      <c r="D59" s="76" t="s">
        <v>431</v>
      </c>
      <c r="E59" s="71">
        <v>139.4</v>
      </c>
      <c r="F59" s="69">
        <v>4</v>
      </c>
      <c r="G59" s="72">
        <v>7</v>
      </c>
      <c r="H59" s="70"/>
      <c r="I59" s="73"/>
    </row>
    <row r="60" spans="2:17" x14ac:dyDescent="0.3">
      <c r="B60" s="69">
        <v>56</v>
      </c>
      <c r="C60" s="70" t="s">
        <v>432</v>
      </c>
      <c r="D60" s="70" t="s">
        <v>433</v>
      </c>
      <c r="E60" s="71">
        <v>360.94</v>
      </c>
      <c r="F60" s="69">
        <v>23</v>
      </c>
      <c r="G60" s="72">
        <v>21</v>
      </c>
      <c r="H60" s="70"/>
      <c r="I60" s="73"/>
    </row>
    <row r="61" spans="2:17" ht="43.2" x14ac:dyDescent="0.3">
      <c r="B61" s="69">
        <v>57</v>
      </c>
      <c r="C61" s="70" t="s">
        <v>434</v>
      </c>
      <c r="D61" s="70" t="s">
        <v>435</v>
      </c>
      <c r="E61" s="71">
        <v>803.3</v>
      </c>
      <c r="F61" s="69">
        <v>27</v>
      </c>
      <c r="G61" s="72">
        <v>31</v>
      </c>
      <c r="H61" s="70"/>
      <c r="I61" s="73"/>
    </row>
    <row r="62" spans="2:17" x14ac:dyDescent="0.3">
      <c r="B62" s="69">
        <v>58</v>
      </c>
      <c r="C62" s="70" t="s">
        <v>436</v>
      </c>
      <c r="D62" s="76" t="s">
        <v>437</v>
      </c>
      <c r="E62" s="71">
        <v>138.6</v>
      </c>
      <c r="F62" s="69">
        <v>10</v>
      </c>
      <c r="G62" s="72">
        <v>12</v>
      </c>
      <c r="H62" s="70"/>
      <c r="I62" s="73"/>
    </row>
    <row r="63" spans="2:17" ht="43.2" x14ac:dyDescent="0.3">
      <c r="B63" s="69">
        <v>59</v>
      </c>
      <c r="C63" s="70" t="s">
        <v>438</v>
      </c>
      <c r="D63" s="70" t="s">
        <v>439</v>
      </c>
      <c r="E63" s="71">
        <v>266</v>
      </c>
      <c r="F63" s="69">
        <v>42</v>
      </c>
      <c r="G63" s="72">
        <v>44</v>
      </c>
      <c r="H63" s="70"/>
      <c r="I63" s="73"/>
    </row>
    <row r="64" spans="2:17" x14ac:dyDescent="0.3">
      <c r="B64" s="69">
        <v>60</v>
      </c>
      <c r="C64" s="70" t="s">
        <v>440</v>
      </c>
      <c r="D64" s="70" t="s">
        <v>346</v>
      </c>
      <c r="E64" s="71">
        <v>332</v>
      </c>
      <c r="F64" s="69">
        <v>29</v>
      </c>
      <c r="G64" s="72">
        <v>31</v>
      </c>
      <c r="H64" s="70"/>
      <c r="I64" s="73"/>
    </row>
    <row r="65" spans="2:11" x14ac:dyDescent="0.3">
      <c r="B65" s="69">
        <v>61</v>
      </c>
      <c r="C65" s="70" t="s">
        <v>441</v>
      </c>
      <c r="D65" s="70" t="s">
        <v>442</v>
      </c>
      <c r="E65" s="71">
        <v>107.4</v>
      </c>
      <c r="F65" s="69">
        <v>1</v>
      </c>
      <c r="G65" s="72">
        <v>1</v>
      </c>
      <c r="H65" s="70"/>
      <c r="I65" s="73"/>
    </row>
    <row r="66" spans="2:11" ht="28.8" x14ac:dyDescent="0.3">
      <c r="B66" s="69">
        <v>62</v>
      </c>
      <c r="C66" s="70" t="s">
        <v>443</v>
      </c>
      <c r="D66" s="76" t="s">
        <v>444</v>
      </c>
      <c r="E66" s="71">
        <v>730.8</v>
      </c>
      <c r="F66" s="69">
        <v>14</v>
      </c>
      <c r="G66" s="78">
        <v>18</v>
      </c>
      <c r="H66" s="77"/>
      <c r="I66" s="79"/>
      <c r="J66" s="80"/>
      <c r="K66" s="80"/>
    </row>
    <row r="67" spans="2:11" x14ac:dyDescent="0.3">
      <c r="B67" s="69">
        <v>63</v>
      </c>
      <c r="C67" s="70" t="s">
        <v>445</v>
      </c>
      <c r="D67" s="70" t="s">
        <v>346</v>
      </c>
      <c r="E67" s="71">
        <v>187.5</v>
      </c>
      <c r="F67" s="69">
        <v>16</v>
      </c>
      <c r="G67" s="72">
        <v>19</v>
      </c>
      <c r="H67" s="70"/>
      <c r="I67" s="73"/>
    </row>
    <row r="68" spans="2:11" ht="28.8" x14ac:dyDescent="0.3">
      <c r="B68" s="69">
        <v>64</v>
      </c>
      <c r="C68" s="70" t="s">
        <v>446</v>
      </c>
      <c r="D68" s="70" t="s">
        <v>346</v>
      </c>
      <c r="E68" s="71" t="s">
        <v>447</v>
      </c>
      <c r="F68" s="69">
        <v>3</v>
      </c>
      <c r="G68" s="72">
        <v>2</v>
      </c>
      <c r="H68" s="70"/>
      <c r="I68" s="73"/>
    </row>
    <row r="69" spans="2:11" ht="28.8" x14ac:dyDescent="0.3">
      <c r="B69" s="69">
        <v>65</v>
      </c>
      <c r="C69" s="70" t="s">
        <v>448</v>
      </c>
      <c r="D69" s="70" t="s">
        <v>346</v>
      </c>
      <c r="E69" s="71">
        <v>95.5</v>
      </c>
      <c r="F69" s="69">
        <v>3</v>
      </c>
      <c r="G69" s="78">
        <v>3</v>
      </c>
      <c r="H69" s="70"/>
      <c r="I69" s="73"/>
    </row>
    <row r="70" spans="2:11" ht="28.8" x14ac:dyDescent="0.3">
      <c r="B70" s="69">
        <v>66</v>
      </c>
      <c r="C70" s="70" t="s">
        <v>449</v>
      </c>
      <c r="D70" s="70" t="s">
        <v>350</v>
      </c>
      <c r="E70" s="71">
        <v>59.6</v>
      </c>
      <c r="F70" s="69">
        <v>8</v>
      </c>
      <c r="G70" s="72">
        <v>9</v>
      </c>
      <c r="H70" s="70"/>
      <c r="I70" s="73"/>
    </row>
    <row r="71" spans="2:11" ht="28.8" x14ac:dyDescent="0.3">
      <c r="B71" s="69">
        <v>67</v>
      </c>
      <c r="C71" s="70" t="s">
        <v>450</v>
      </c>
      <c r="D71" s="70" t="s">
        <v>385</v>
      </c>
      <c r="E71" s="71">
        <v>47</v>
      </c>
      <c r="F71" s="69">
        <v>7</v>
      </c>
      <c r="G71" s="72">
        <v>6</v>
      </c>
      <c r="H71" s="70"/>
      <c r="I71" s="73"/>
    </row>
    <row r="72" spans="2:11" ht="28.8" x14ac:dyDescent="0.3">
      <c r="B72" s="69">
        <v>68</v>
      </c>
      <c r="C72" s="70" t="s">
        <v>451</v>
      </c>
      <c r="D72" s="70" t="s">
        <v>452</v>
      </c>
      <c r="E72" s="71">
        <v>152.30000000000001</v>
      </c>
      <c r="F72" s="69">
        <v>11</v>
      </c>
      <c r="G72" s="72">
        <v>14</v>
      </c>
      <c r="H72" s="70"/>
      <c r="I72" s="73"/>
    </row>
    <row r="73" spans="2:11" ht="28.8" x14ac:dyDescent="0.3">
      <c r="B73" s="69">
        <v>69</v>
      </c>
      <c r="C73" s="70" t="s">
        <v>453</v>
      </c>
      <c r="D73" s="70" t="s">
        <v>454</v>
      </c>
      <c r="E73" s="71">
        <v>1225</v>
      </c>
      <c r="F73" s="69">
        <v>19</v>
      </c>
      <c r="G73" s="72">
        <v>14</v>
      </c>
      <c r="H73" s="70"/>
      <c r="I73" s="73"/>
    </row>
    <row r="74" spans="2:11" ht="28.8" x14ac:dyDescent="0.3">
      <c r="B74" s="69">
        <v>70</v>
      </c>
      <c r="C74" s="70" t="s">
        <v>455</v>
      </c>
      <c r="D74" s="70" t="s">
        <v>456</v>
      </c>
      <c r="E74" s="71">
        <v>102.2</v>
      </c>
      <c r="F74" s="69">
        <v>52</v>
      </c>
      <c r="G74" s="72">
        <v>55</v>
      </c>
      <c r="H74" s="70"/>
      <c r="I74" s="73"/>
    </row>
    <row r="75" spans="2:11" ht="28.8" x14ac:dyDescent="0.3">
      <c r="B75" s="69">
        <v>71</v>
      </c>
      <c r="C75" s="70" t="s">
        <v>457</v>
      </c>
      <c r="D75" s="70" t="s">
        <v>458</v>
      </c>
      <c r="E75" s="71" t="s">
        <v>459</v>
      </c>
      <c r="F75" s="69">
        <v>2</v>
      </c>
      <c r="G75" s="72">
        <v>2</v>
      </c>
      <c r="H75" s="70"/>
      <c r="I75" s="73"/>
    </row>
    <row r="76" spans="2:11" ht="43.2" x14ac:dyDescent="0.3">
      <c r="B76" s="69">
        <v>72</v>
      </c>
      <c r="C76" s="70" t="s">
        <v>460</v>
      </c>
      <c r="D76" s="70" t="s">
        <v>461</v>
      </c>
      <c r="E76" s="71">
        <v>257.10000000000002</v>
      </c>
      <c r="F76" s="69">
        <v>36</v>
      </c>
      <c r="G76" s="72">
        <v>37</v>
      </c>
      <c r="H76" s="70"/>
      <c r="I76" s="73"/>
    </row>
    <row r="77" spans="2:11" ht="43.2" x14ac:dyDescent="0.3">
      <c r="B77" s="69">
        <v>73</v>
      </c>
      <c r="C77" s="70" t="s">
        <v>462</v>
      </c>
      <c r="D77" s="70" t="s">
        <v>463</v>
      </c>
      <c r="E77" s="71">
        <v>7098.7</v>
      </c>
      <c r="F77" s="69">
        <v>28</v>
      </c>
      <c r="G77" s="72">
        <v>27</v>
      </c>
      <c r="H77" s="70"/>
      <c r="I77" s="73"/>
    </row>
    <row r="78" spans="2:11" x14ac:dyDescent="0.3">
      <c r="B78" s="69">
        <v>74</v>
      </c>
      <c r="C78" s="70" t="s">
        <v>464</v>
      </c>
      <c r="D78" s="156" t="s">
        <v>383</v>
      </c>
      <c r="E78" s="157"/>
      <c r="F78" s="69">
        <v>0</v>
      </c>
      <c r="G78" s="72">
        <v>0</v>
      </c>
      <c r="H78" s="70"/>
      <c r="I78" s="73"/>
    </row>
    <row r="79" spans="2:11" ht="28.8" x14ac:dyDescent="0.3">
      <c r="B79" s="69">
        <v>75</v>
      </c>
      <c r="C79" s="70" t="s">
        <v>465</v>
      </c>
      <c r="D79" s="156" t="s">
        <v>403</v>
      </c>
      <c r="E79" s="157"/>
      <c r="F79" s="69">
        <v>4</v>
      </c>
      <c r="G79" s="72">
        <v>4</v>
      </c>
      <c r="H79" s="70"/>
      <c r="I79" s="73"/>
    </row>
    <row r="80" spans="2:11" ht="28.8" x14ac:dyDescent="0.3">
      <c r="B80" s="69">
        <v>76</v>
      </c>
      <c r="C80" s="70" t="s">
        <v>466</v>
      </c>
      <c r="D80" s="76" t="s">
        <v>467</v>
      </c>
      <c r="E80" s="71">
        <v>59.4</v>
      </c>
      <c r="F80" s="69">
        <v>9</v>
      </c>
      <c r="G80" s="72">
        <v>13</v>
      </c>
      <c r="H80" s="70"/>
      <c r="I80" s="73"/>
    </row>
    <row r="81" spans="2:9" ht="28.8" x14ac:dyDescent="0.3">
      <c r="B81" s="69">
        <v>77</v>
      </c>
      <c r="C81" s="70" t="s">
        <v>468</v>
      </c>
      <c r="D81" s="70" t="s">
        <v>469</v>
      </c>
      <c r="E81" s="71">
        <v>41.7</v>
      </c>
      <c r="F81" s="69">
        <v>11</v>
      </c>
      <c r="G81" s="72">
        <v>9</v>
      </c>
      <c r="H81" s="70"/>
      <c r="I81" s="73"/>
    </row>
    <row r="82" spans="2:9" ht="28.8" x14ac:dyDescent="0.3">
      <c r="B82" s="69">
        <v>78</v>
      </c>
      <c r="C82" s="70" t="s">
        <v>470</v>
      </c>
      <c r="D82" s="70" t="s">
        <v>471</v>
      </c>
      <c r="E82" s="71">
        <v>41.5</v>
      </c>
      <c r="F82" s="69">
        <v>0</v>
      </c>
      <c r="G82" s="72">
        <v>5</v>
      </c>
      <c r="H82" s="70"/>
      <c r="I82" s="73"/>
    </row>
    <row r="83" spans="2:9" ht="28.8" x14ac:dyDescent="0.3">
      <c r="B83" s="69">
        <v>79</v>
      </c>
      <c r="C83" s="70" t="s">
        <v>472</v>
      </c>
      <c r="D83" s="70" t="s">
        <v>473</v>
      </c>
      <c r="E83" s="71">
        <v>15706.1</v>
      </c>
      <c r="F83" s="69">
        <v>19</v>
      </c>
      <c r="G83" s="72">
        <v>13</v>
      </c>
      <c r="H83" s="70"/>
      <c r="I83" s="73"/>
    </row>
    <row r="84" spans="2:9" ht="28.8" x14ac:dyDescent="0.3">
      <c r="B84" s="69">
        <v>80</v>
      </c>
      <c r="C84" s="70" t="s">
        <v>474</v>
      </c>
      <c r="D84" s="70" t="s">
        <v>348</v>
      </c>
      <c r="E84" s="71">
        <v>6172.3</v>
      </c>
      <c r="F84" s="69">
        <v>11</v>
      </c>
      <c r="G84" s="72">
        <v>9</v>
      </c>
      <c r="H84" s="70"/>
      <c r="I84" s="73"/>
    </row>
    <row r="85" spans="2:9" ht="28.8" x14ac:dyDescent="0.3">
      <c r="B85" s="69">
        <v>81</v>
      </c>
      <c r="C85" s="70" t="s">
        <v>475</v>
      </c>
      <c r="D85" s="70" t="s">
        <v>178</v>
      </c>
      <c r="E85" s="71">
        <v>1762.7</v>
      </c>
      <c r="F85" s="69">
        <v>0</v>
      </c>
      <c r="G85" s="72">
        <v>1</v>
      </c>
      <c r="H85" s="70"/>
      <c r="I85" s="73"/>
    </row>
    <row r="86" spans="2:9" ht="28.8" x14ac:dyDescent="0.3">
      <c r="B86" s="69">
        <v>82</v>
      </c>
      <c r="C86" s="70" t="s">
        <v>476</v>
      </c>
      <c r="D86" s="70" t="s">
        <v>477</v>
      </c>
      <c r="E86" s="71">
        <v>676.6</v>
      </c>
      <c r="F86" s="69">
        <v>6</v>
      </c>
      <c r="G86" s="72">
        <v>1</v>
      </c>
      <c r="H86" s="70"/>
      <c r="I86" s="73"/>
    </row>
    <row r="87" spans="2:9" ht="28.8" x14ac:dyDescent="0.3">
      <c r="B87" s="69">
        <v>83</v>
      </c>
      <c r="C87" s="70" t="s">
        <v>478</v>
      </c>
      <c r="D87" s="70" t="s">
        <v>479</v>
      </c>
      <c r="E87" s="71">
        <v>1971</v>
      </c>
      <c r="F87" s="69">
        <v>11</v>
      </c>
      <c r="G87" s="72">
        <v>10</v>
      </c>
      <c r="H87" s="70"/>
      <c r="I87" s="73"/>
    </row>
    <row r="88" spans="2:9" ht="28.8" x14ac:dyDescent="0.3">
      <c r="B88" s="69">
        <v>84</v>
      </c>
      <c r="C88" s="70" t="s">
        <v>480</v>
      </c>
      <c r="D88" s="70" t="s">
        <v>481</v>
      </c>
      <c r="E88" s="71">
        <v>1239.3</v>
      </c>
      <c r="F88" s="69">
        <v>8</v>
      </c>
      <c r="G88" s="72">
        <v>7</v>
      </c>
      <c r="H88" s="70"/>
      <c r="I88" s="73"/>
    </row>
    <row r="89" spans="2:9" ht="28.8" x14ac:dyDescent="0.3">
      <c r="B89" s="69">
        <v>85</v>
      </c>
      <c r="C89" s="70" t="s">
        <v>482</v>
      </c>
      <c r="D89" s="70" t="s">
        <v>483</v>
      </c>
      <c r="E89" s="71">
        <v>4466.7</v>
      </c>
      <c r="F89" s="69">
        <v>13</v>
      </c>
      <c r="G89" s="72">
        <v>23</v>
      </c>
      <c r="H89" s="70"/>
      <c r="I89" s="73"/>
    </row>
    <row r="90" spans="2:9" ht="43.2" x14ac:dyDescent="0.3">
      <c r="B90" s="69">
        <v>86</v>
      </c>
      <c r="C90" s="70" t="s">
        <v>484</v>
      </c>
      <c r="D90" s="70" t="s">
        <v>485</v>
      </c>
      <c r="E90" s="71">
        <v>3021.3</v>
      </c>
      <c r="F90" s="69">
        <v>0</v>
      </c>
      <c r="G90" s="72">
        <v>4</v>
      </c>
      <c r="H90" s="70"/>
      <c r="I90" s="73"/>
    </row>
    <row r="91" spans="2:9" ht="28.8" x14ac:dyDescent="0.3">
      <c r="B91" s="69">
        <v>87</v>
      </c>
      <c r="C91" s="70" t="s">
        <v>486</v>
      </c>
      <c r="D91" s="70" t="s">
        <v>487</v>
      </c>
      <c r="E91" s="71">
        <v>3985.6</v>
      </c>
      <c r="F91" s="69">
        <v>0</v>
      </c>
      <c r="G91" s="72">
        <v>1</v>
      </c>
      <c r="H91" s="70"/>
      <c r="I91" s="73"/>
    </row>
    <row r="92" spans="2:9" ht="28.8" x14ac:dyDescent="0.3">
      <c r="B92" s="69">
        <v>88</v>
      </c>
      <c r="C92" s="70" t="s">
        <v>488</v>
      </c>
      <c r="D92" s="70" t="s">
        <v>489</v>
      </c>
      <c r="E92" s="71">
        <v>6435.4</v>
      </c>
      <c r="F92" s="69">
        <v>16</v>
      </c>
      <c r="G92" s="72">
        <v>14</v>
      </c>
      <c r="H92" s="70"/>
      <c r="I92" s="73"/>
    </row>
    <row r="93" spans="2:9" ht="28.8" x14ac:dyDescent="0.3">
      <c r="B93" s="69">
        <v>89</v>
      </c>
      <c r="C93" s="70" t="s">
        <v>490</v>
      </c>
      <c r="D93" s="70" t="s">
        <v>491</v>
      </c>
      <c r="E93" s="71">
        <v>11351</v>
      </c>
      <c r="F93" s="69">
        <v>11</v>
      </c>
      <c r="G93" s="72">
        <v>11</v>
      </c>
      <c r="H93" s="70"/>
      <c r="I93" s="73"/>
    </row>
    <row r="94" spans="2:9" ht="28.8" x14ac:dyDescent="0.3">
      <c r="B94" s="69">
        <v>90</v>
      </c>
      <c r="C94" s="70" t="s">
        <v>492</v>
      </c>
      <c r="D94" s="70" t="s">
        <v>493</v>
      </c>
      <c r="E94" s="71">
        <v>14009.5</v>
      </c>
      <c r="F94" s="69">
        <v>24</v>
      </c>
      <c r="G94" s="72">
        <v>19</v>
      </c>
      <c r="H94" s="70"/>
      <c r="I94" s="73"/>
    </row>
    <row r="95" spans="2:9" ht="28.8" x14ac:dyDescent="0.3">
      <c r="B95" s="69">
        <v>91</v>
      </c>
      <c r="C95" s="70" t="s">
        <v>494</v>
      </c>
      <c r="D95" s="70" t="s">
        <v>495</v>
      </c>
      <c r="E95" s="71">
        <v>11408</v>
      </c>
      <c r="F95" s="69">
        <v>19</v>
      </c>
      <c r="G95" s="72">
        <v>10</v>
      </c>
      <c r="H95" s="70"/>
      <c r="I95" s="73"/>
    </row>
    <row r="96" spans="2:9" ht="28.8" x14ac:dyDescent="0.3">
      <c r="B96" s="69">
        <v>92</v>
      </c>
      <c r="C96" s="70" t="s">
        <v>496</v>
      </c>
      <c r="D96" s="70" t="s">
        <v>497</v>
      </c>
      <c r="E96" s="71">
        <v>971.9</v>
      </c>
      <c r="F96" s="69">
        <v>6</v>
      </c>
      <c r="G96" s="72">
        <v>6</v>
      </c>
      <c r="H96" s="70"/>
      <c r="I96" s="73"/>
    </row>
    <row r="97" spans="2:9" ht="72" x14ac:dyDescent="0.3">
      <c r="B97" s="69">
        <v>93</v>
      </c>
      <c r="C97" s="70" t="s">
        <v>498</v>
      </c>
      <c r="D97" s="70" t="s">
        <v>499</v>
      </c>
      <c r="E97" s="71">
        <v>1729.6</v>
      </c>
      <c r="F97" s="69">
        <v>10</v>
      </c>
      <c r="G97" s="72">
        <v>4</v>
      </c>
      <c r="H97" s="70"/>
      <c r="I97" s="73"/>
    </row>
    <row r="98" spans="2:9" x14ac:dyDescent="0.3">
      <c r="B98" s="69">
        <v>94</v>
      </c>
      <c r="C98" s="70" t="s">
        <v>500</v>
      </c>
      <c r="D98" s="70" t="s">
        <v>501</v>
      </c>
      <c r="E98" s="71" t="s">
        <v>502</v>
      </c>
      <c r="F98" s="69">
        <v>69</v>
      </c>
      <c r="G98" s="72">
        <v>65</v>
      </c>
      <c r="H98" s="70"/>
      <c r="I98" s="73"/>
    </row>
    <row r="99" spans="2:9" ht="57.6" x14ac:dyDescent="0.3">
      <c r="B99" s="69">
        <v>95</v>
      </c>
      <c r="C99" s="70" t="s">
        <v>503</v>
      </c>
      <c r="D99" s="76" t="s">
        <v>504</v>
      </c>
      <c r="E99" s="71">
        <v>9227.7999999999993</v>
      </c>
      <c r="F99" s="69">
        <v>34</v>
      </c>
      <c r="G99" s="75">
        <v>30</v>
      </c>
      <c r="H99" s="70"/>
      <c r="I99" s="73"/>
    </row>
    <row r="100" spans="2:9" x14ac:dyDescent="0.3">
      <c r="B100" s="69">
        <v>96</v>
      </c>
      <c r="C100" s="70" t="s">
        <v>505</v>
      </c>
      <c r="D100" s="70" t="s">
        <v>506</v>
      </c>
      <c r="E100" s="71" t="s">
        <v>507</v>
      </c>
      <c r="F100" s="69">
        <v>6</v>
      </c>
      <c r="G100" s="72">
        <v>6</v>
      </c>
      <c r="H100" s="70"/>
      <c r="I100" s="73"/>
    </row>
    <row r="101" spans="2:9" x14ac:dyDescent="0.3">
      <c r="B101" s="69">
        <v>97</v>
      </c>
      <c r="C101" s="70" t="s">
        <v>508</v>
      </c>
      <c r="D101" s="70" t="s">
        <v>509</v>
      </c>
      <c r="E101" s="71">
        <v>2535.4</v>
      </c>
      <c r="F101" s="69">
        <v>56</v>
      </c>
      <c r="G101" s="72">
        <v>58</v>
      </c>
      <c r="H101" s="70"/>
      <c r="I101" s="73"/>
    </row>
    <row r="102" spans="2:9" ht="43.2" x14ac:dyDescent="0.3">
      <c r="B102" s="69">
        <v>98</v>
      </c>
      <c r="C102" s="70" t="s">
        <v>510</v>
      </c>
      <c r="D102" s="70" t="s">
        <v>511</v>
      </c>
      <c r="E102" s="71">
        <v>112</v>
      </c>
      <c r="F102" s="69">
        <v>1</v>
      </c>
      <c r="G102" s="72">
        <v>1</v>
      </c>
      <c r="H102" s="70"/>
      <c r="I102" s="73"/>
    </row>
    <row r="103" spans="2:9" x14ac:dyDescent="0.3">
      <c r="B103" s="69">
        <v>99</v>
      </c>
      <c r="C103" s="70" t="s">
        <v>512</v>
      </c>
      <c r="D103" s="70" t="s">
        <v>513</v>
      </c>
      <c r="E103" s="71" t="s">
        <v>514</v>
      </c>
      <c r="F103" s="69">
        <v>44</v>
      </c>
      <c r="G103" s="72">
        <v>42</v>
      </c>
      <c r="H103" s="70"/>
      <c r="I103" s="73"/>
    </row>
    <row r="104" spans="2:9" x14ac:dyDescent="0.3">
      <c r="B104" s="69">
        <v>100</v>
      </c>
      <c r="C104" s="70" t="s">
        <v>515</v>
      </c>
      <c r="D104" s="156" t="s">
        <v>383</v>
      </c>
      <c r="E104" s="157"/>
      <c r="F104" s="69">
        <v>0</v>
      </c>
      <c r="G104" s="72">
        <v>0</v>
      </c>
      <c r="H104" s="70"/>
      <c r="I104" s="73"/>
    </row>
    <row r="105" spans="2:9" ht="28.8" x14ac:dyDescent="0.3">
      <c r="B105" s="69">
        <v>101</v>
      </c>
      <c r="C105" s="70" t="s">
        <v>516</v>
      </c>
      <c r="D105" s="70" t="s">
        <v>517</v>
      </c>
      <c r="E105" s="71">
        <v>151.5</v>
      </c>
      <c r="F105" s="69">
        <v>12</v>
      </c>
      <c r="G105" s="72">
        <v>10</v>
      </c>
      <c r="H105" s="70"/>
      <c r="I105" s="73"/>
    </row>
    <row r="106" spans="2:9" ht="28.8" x14ac:dyDescent="0.3">
      <c r="B106" s="69">
        <v>102</v>
      </c>
      <c r="C106" s="70" t="s">
        <v>518</v>
      </c>
      <c r="D106" s="70" t="s">
        <v>381</v>
      </c>
      <c r="E106" s="71">
        <v>38.6</v>
      </c>
      <c r="F106" s="69">
        <v>1</v>
      </c>
      <c r="G106" s="72">
        <v>1</v>
      </c>
      <c r="H106" s="70"/>
      <c r="I106" s="73"/>
    </row>
    <row r="107" spans="2:9" ht="29.4" thickBot="1" x14ac:dyDescent="0.35">
      <c r="B107" s="81">
        <v>103</v>
      </c>
      <c r="C107" s="82" t="s">
        <v>519</v>
      </c>
      <c r="D107" s="82" t="s">
        <v>501</v>
      </c>
      <c r="E107" s="83">
        <v>314.10000000000002</v>
      </c>
      <c r="F107" s="81">
        <v>11</v>
      </c>
      <c r="G107" s="84">
        <v>12</v>
      </c>
      <c r="H107" s="82"/>
      <c r="I107" s="85"/>
    </row>
    <row r="108" spans="2:9" x14ac:dyDescent="0.3">
      <c r="G108" s="86"/>
    </row>
    <row r="109" spans="2:9" x14ac:dyDescent="0.3">
      <c r="G109" s="86"/>
    </row>
    <row r="110" spans="2:9" x14ac:dyDescent="0.3">
      <c r="G110" s="86"/>
    </row>
  </sheetData>
  <autoFilter ref="B4:Q107" xr:uid="{00000000-0009-0000-0000-000003000000}"/>
  <mergeCells count="7">
    <mergeCell ref="D104:E104"/>
    <mergeCell ref="D31:E31"/>
    <mergeCell ref="D33:E33"/>
    <mergeCell ref="D43:E43"/>
    <mergeCell ref="D54:E54"/>
    <mergeCell ref="D78:E78"/>
    <mergeCell ref="D79:E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BA67"/>
  <sheetViews>
    <sheetView zoomScale="70" zoomScaleNormal="70" workbookViewId="0">
      <pane ySplit="2" topLeftCell="A24" activePane="bottomLeft" state="frozen"/>
      <selection pane="bottomLeft" activeCell="D1" sqref="D1:I1048576"/>
    </sheetView>
  </sheetViews>
  <sheetFormatPr defaultColWidth="9.109375" defaultRowHeight="18" x14ac:dyDescent="0.3"/>
  <cols>
    <col min="1" max="1" width="7" style="37" customWidth="1"/>
    <col min="2" max="2" width="38.44140625" style="24" customWidth="1"/>
    <col min="3" max="3" width="49.5546875" style="24" customWidth="1"/>
    <col min="4" max="4" width="23.6640625" style="24" customWidth="1"/>
    <col min="5" max="5" width="25.33203125" style="24" customWidth="1"/>
    <col min="6" max="6" width="19.6640625" style="24" customWidth="1"/>
    <col min="7" max="7" width="20.109375" style="24" customWidth="1"/>
    <col min="8" max="9" width="18.33203125" style="24" customWidth="1"/>
    <col min="10" max="11" width="20.109375" style="24" customWidth="1"/>
    <col min="12" max="13" width="16" style="24" customWidth="1"/>
    <col min="14" max="14" width="11.5546875" style="24" customWidth="1"/>
    <col min="15" max="15" width="18.33203125" style="24" customWidth="1"/>
    <col min="16" max="16" width="13.44140625" style="24" customWidth="1"/>
    <col min="17" max="17" width="18.33203125" style="24" customWidth="1"/>
    <col min="18" max="18" width="11.88671875" style="24" customWidth="1"/>
    <col min="19" max="19" width="16" style="24" customWidth="1"/>
    <col min="20" max="21" width="18.33203125" style="24" customWidth="1"/>
    <col min="22" max="22" width="16" style="24" customWidth="1"/>
    <col min="23" max="25" width="18.33203125" style="24" customWidth="1"/>
    <col min="26" max="26" width="13.44140625" style="24" customWidth="1"/>
    <col min="27" max="27" width="18.33203125" style="24" customWidth="1"/>
    <col min="28" max="29" width="16" style="24" customWidth="1"/>
    <col min="30" max="30" width="16.6640625" style="24" customWidth="1"/>
    <col min="31" max="31" width="15.109375" style="24" customWidth="1"/>
    <col min="32" max="32" width="27.33203125" style="24" customWidth="1"/>
    <col min="33" max="33" width="30" style="24" customWidth="1"/>
    <col min="34" max="34" width="28" style="24" customWidth="1"/>
    <col min="35" max="35" width="26.33203125" style="24" customWidth="1"/>
    <col min="36" max="36" width="20.5546875" style="24" customWidth="1"/>
    <col min="37" max="37" width="26.109375" style="24" customWidth="1"/>
    <col min="38" max="38" width="55.109375" style="24" customWidth="1"/>
    <col min="39" max="39" width="33.88671875" style="24" customWidth="1"/>
    <col min="40" max="40" width="31.33203125" style="24" customWidth="1"/>
    <col min="41" max="41" width="18.44140625" style="24" customWidth="1"/>
    <col min="42" max="42" width="15.6640625" style="24" customWidth="1"/>
    <col min="43" max="43" width="14.109375" style="24" customWidth="1"/>
    <col min="44" max="45" width="20.109375" style="24" customWidth="1"/>
    <col min="46" max="47" width="16" style="24" customWidth="1"/>
    <col min="48" max="48" width="16.6640625" style="24" customWidth="1"/>
    <col min="49" max="49" width="18.44140625" style="24" customWidth="1"/>
    <col min="50" max="50" width="16.33203125" style="24" customWidth="1"/>
    <col min="51" max="51" width="15" style="24" customWidth="1"/>
    <col min="52" max="16384" width="9.109375" style="24"/>
  </cols>
  <sheetData>
    <row r="1" spans="1:51" ht="37.5" customHeight="1" x14ac:dyDescent="0.3">
      <c r="A1" s="137" t="s">
        <v>0</v>
      </c>
      <c r="B1" s="139" t="s">
        <v>1</v>
      </c>
      <c r="C1" s="139" t="s">
        <v>2</v>
      </c>
      <c r="D1" s="139" t="s">
        <v>3</v>
      </c>
      <c r="E1" s="139" t="s">
        <v>210</v>
      </c>
      <c r="F1" s="136" t="s">
        <v>194</v>
      </c>
      <c r="G1" s="136"/>
      <c r="H1" s="136" t="s">
        <v>186</v>
      </c>
      <c r="I1" s="136"/>
      <c r="J1" s="136" t="s">
        <v>550</v>
      </c>
      <c r="K1" s="136"/>
      <c r="L1" s="141" t="s">
        <v>190</v>
      </c>
      <c r="M1" s="142"/>
      <c r="N1" s="141" t="s">
        <v>200</v>
      </c>
      <c r="O1" s="142"/>
      <c r="P1" s="136" t="s">
        <v>191</v>
      </c>
      <c r="Q1" s="136"/>
      <c r="R1" s="136" t="s">
        <v>204</v>
      </c>
      <c r="S1" s="136"/>
      <c r="T1" s="141" t="s">
        <v>192</v>
      </c>
      <c r="U1" s="142"/>
      <c r="V1" s="136" t="s">
        <v>203</v>
      </c>
      <c r="W1" s="136"/>
      <c r="X1" s="141" t="s">
        <v>193</v>
      </c>
      <c r="Y1" s="142"/>
      <c r="Z1" s="136" t="s">
        <v>195</v>
      </c>
      <c r="AA1" s="136"/>
      <c r="AB1" s="136" t="s">
        <v>196</v>
      </c>
      <c r="AC1" s="136"/>
      <c r="AD1" s="136" t="s">
        <v>197</v>
      </c>
      <c r="AE1" s="136"/>
      <c r="AF1" s="136" t="s">
        <v>294</v>
      </c>
      <c r="AG1" s="136"/>
      <c r="AH1" s="136" t="s">
        <v>208</v>
      </c>
      <c r="AI1" s="136"/>
      <c r="AJ1" s="136" t="s">
        <v>199</v>
      </c>
      <c r="AK1" s="136"/>
      <c r="AL1" s="136" t="s">
        <v>201</v>
      </c>
      <c r="AM1" s="136"/>
      <c r="AN1" s="136" t="s">
        <v>202</v>
      </c>
      <c r="AO1" s="136"/>
      <c r="AP1" s="141" t="s">
        <v>205</v>
      </c>
      <c r="AQ1" s="142"/>
      <c r="AR1" s="136" t="s">
        <v>206</v>
      </c>
      <c r="AS1" s="136"/>
      <c r="AT1" s="136" t="s">
        <v>207</v>
      </c>
      <c r="AU1" s="136"/>
      <c r="AV1" s="154" t="s">
        <v>292</v>
      </c>
      <c r="AW1" s="155"/>
      <c r="AX1" s="141" t="s">
        <v>291</v>
      </c>
      <c r="AY1" s="142"/>
    </row>
    <row r="2" spans="1:51" ht="18.75" customHeight="1" x14ac:dyDescent="0.3">
      <c r="A2" s="138"/>
      <c r="B2" s="140"/>
      <c r="C2" s="140"/>
      <c r="D2" s="140"/>
      <c r="E2" s="140"/>
      <c r="F2" s="25" t="s">
        <v>188</v>
      </c>
      <c r="G2" s="25" t="s">
        <v>189</v>
      </c>
      <c r="H2" s="25" t="s">
        <v>188</v>
      </c>
      <c r="I2" s="25" t="s">
        <v>189</v>
      </c>
      <c r="J2" s="25" t="s">
        <v>188</v>
      </c>
      <c r="K2" s="25" t="s">
        <v>189</v>
      </c>
      <c r="L2" s="25" t="s">
        <v>188</v>
      </c>
      <c r="M2" s="25" t="s">
        <v>189</v>
      </c>
      <c r="N2" s="25" t="s">
        <v>188</v>
      </c>
      <c r="O2" s="25" t="s">
        <v>189</v>
      </c>
      <c r="P2" s="25" t="s">
        <v>188</v>
      </c>
      <c r="Q2" s="25" t="s">
        <v>189</v>
      </c>
      <c r="R2" s="25" t="s">
        <v>188</v>
      </c>
      <c r="S2" s="25" t="s">
        <v>189</v>
      </c>
      <c r="T2" s="25" t="s">
        <v>188</v>
      </c>
      <c r="U2" s="25" t="s">
        <v>189</v>
      </c>
      <c r="V2" s="25" t="s">
        <v>188</v>
      </c>
      <c r="W2" s="25" t="s">
        <v>189</v>
      </c>
      <c r="X2" s="25" t="s">
        <v>188</v>
      </c>
      <c r="Y2" s="25" t="s">
        <v>189</v>
      </c>
      <c r="Z2" s="25" t="s">
        <v>188</v>
      </c>
      <c r="AA2" s="25" t="s">
        <v>189</v>
      </c>
      <c r="AB2" s="25" t="s">
        <v>188</v>
      </c>
      <c r="AC2" s="25" t="s">
        <v>189</v>
      </c>
      <c r="AD2" s="25" t="s">
        <v>188</v>
      </c>
      <c r="AE2" s="25" t="s">
        <v>189</v>
      </c>
      <c r="AF2" s="25" t="s">
        <v>188</v>
      </c>
      <c r="AG2" s="25" t="s">
        <v>189</v>
      </c>
      <c r="AH2" s="25" t="s">
        <v>188</v>
      </c>
      <c r="AI2" s="25" t="s">
        <v>189</v>
      </c>
      <c r="AJ2" s="25" t="s">
        <v>188</v>
      </c>
      <c r="AK2" s="25" t="s">
        <v>189</v>
      </c>
      <c r="AL2" s="25" t="s">
        <v>188</v>
      </c>
      <c r="AM2" s="25" t="s">
        <v>189</v>
      </c>
      <c r="AN2" s="25" t="s">
        <v>188</v>
      </c>
      <c r="AO2" s="25" t="s">
        <v>189</v>
      </c>
      <c r="AP2" s="25" t="s">
        <v>188</v>
      </c>
      <c r="AQ2" s="25" t="s">
        <v>189</v>
      </c>
      <c r="AR2" s="25" t="s">
        <v>188</v>
      </c>
      <c r="AS2" s="25" t="s">
        <v>189</v>
      </c>
      <c r="AT2" s="25" t="s">
        <v>188</v>
      </c>
      <c r="AU2" s="25" t="s">
        <v>189</v>
      </c>
      <c r="AV2" s="25" t="s">
        <v>188</v>
      </c>
      <c r="AW2" s="25" t="s">
        <v>189</v>
      </c>
      <c r="AX2" s="25" t="s">
        <v>188</v>
      </c>
      <c r="AY2" s="25" t="s">
        <v>189</v>
      </c>
    </row>
    <row r="3" spans="1:51" ht="18.75" customHeight="1" x14ac:dyDescent="0.3">
      <c r="A3" s="40"/>
      <c r="B3" s="52" t="s">
        <v>298</v>
      </c>
      <c r="C3" s="41"/>
      <c r="D3" s="41"/>
      <c r="E3" s="41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</row>
    <row r="4" spans="1:51" ht="37.5" customHeight="1" x14ac:dyDescent="0.3">
      <c r="A4" s="26">
        <v>1</v>
      </c>
      <c r="B4" s="39" t="s">
        <v>4</v>
      </c>
      <c r="C4" s="39" t="s">
        <v>5</v>
      </c>
      <c r="D4" s="39">
        <v>896.1</v>
      </c>
      <c r="E4" s="27">
        <f>SUM(F4:AU4)</f>
        <v>535097.6291738305</v>
      </c>
      <c r="F4" s="39">
        <v>0</v>
      </c>
      <c r="G4" s="39">
        <v>535097.6291738305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1:51" ht="37.5" customHeight="1" x14ac:dyDescent="0.3">
      <c r="A5" s="26">
        <v>2</v>
      </c>
      <c r="B5" s="39" t="s">
        <v>6</v>
      </c>
      <c r="C5" s="39" t="s">
        <v>5</v>
      </c>
      <c r="D5" s="39">
        <v>189</v>
      </c>
      <c r="E5" s="27">
        <f t="shared" ref="E5:E30" si="0">SUM(F5:AU5)</f>
        <v>112859.5602207945</v>
      </c>
      <c r="F5" s="39">
        <v>0</v>
      </c>
      <c r="G5" s="39">
        <v>112859.5602207945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</row>
    <row r="6" spans="1:51" ht="37.5" customHeight="1" x14ac:dyDescent="0.3">
      <c r="A6" s="26">
        <v>3</v>
      </c>
      <c r="B6" s="39" t="s">
        <v>7</v>
      </c>
      <c r="C6" s="39" t="s">
        <v>5</v>
      </c>
      <c r="D6" s="39">
        <v>20</v>
      </c>
      <c r="E6" s="27">
        <f t="shared" si="0"/>
        <v>11942.81060537508</v>
      </c>
      <c r="F6" s="39">
        <v>0</v>
      </c>
      <c r="G6" s="39">
        <v>11942.81060537508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51" ht="37.5" customHeight="1" x14ac:dyDescent="0.3">
      <c r="A7" s="26">
        <v>4</v>
      </c>
      <c r="B7" s="39" t="s">
        <v>8</v>
      </c>
      <c r="C7" s="39" t="s">
        <v>5</v>
      </c>
      <c r="D7" s="39">
        <v>243</v>
      </c>
      <c r="E7" s="27">
        <f t="shared" si="0"/>
        <v>7561.0928459142087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>
        <v>0</v>
      </c>
      <c r="S7" s="39">
        <v>6545.454545454545</v>
      </c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>
        <v>0</v>
      </c>
      <c r="AI7" s="39">
        <v>1015.6383004596636</v>
      </c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51" ht="37.5" customHeight="1" x14ac:dyDescent="0.3">
      <c r="A8" s="26"/>
      <c r="B8" s="27" t="s">
        <v>300</v>
      </c>
      <c r="C8" s="39"/>
      <c r="D8" s="27">
        <f>SUM(D4:D7)</f>
        <v>1348.1</v>
      </c>
      <c r="E8" s="27">
        <f>SUM(E4:E7)</f>
        <v>667461.0928459143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51" ht="37.5" customHeight="1" x14ac:dyDescent="0.3">
      <c r="A9" s="26"/>
      <c r="B9" s="32" t="s">
        <v>299</v>
      </c>
      <c r="C9" s="39"/>
      <c r="D9" s="39"/>
      <c r="E9" s="27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51" ht="37.5" customHeight="1" x14ac:dyDescent="0.3">
      <c r="A10" s="26">
        <v>1</v>
      </c>
      <c r="B10" s="39" t="s">
        <v>4</v>
      </c>
      <c r="C10" s="39" t="s">
        <v>5</v>
      </c>
      <c r="D10" s="39">
        <v>896.1</v>
      </c>
      <c r="E10" s="27">
        <f>SUM(F10:AU10)</f>
        <v>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51" ht="37.5" customHeight="1" x14ac:dyDescent="0.3">
      <c r="A11" s="26">
        <v>2</v>
      </c>
      <c r="B11" s="39" t="s">
        <v>6</v>
      </c>
      <c r="C11" s="39" t="s">
        <v>5</v>
      </c>
      <c r="D11" s="39">
        <v>189</v>
      </c>
      <c r="E11" s="27">
        <f t="shared" ref="E11:E13" si="1">SUM(F11:AU11)</f>
        <v>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51" ht="37.5" customHeight="1" x14ac:dyDescent="0.3">
      <c r="A12" s="26">
        <v>3</v>
      </c>
      <c r="B12" s="39" t="s">
        <v>7</v>
      </c>
      <c r="C12" s="39" t="s">
        <v>5</v>
      </c>
      <c r="D12" s="39">
        <v>20</v>
      </c>
      <c r="E12" s="27">
        <f t="shared" si="1"/>
        <v>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51" ht="37.5" customHeight="1" x14ac:dyDescent="0.3">
      <c r="A13" s="26">
        <v>4</v>
      </c>
      <c r="B13" s="39" t="s">
        <v>8</v>
      </c>
      <c r="C13" s="39" t="s">
        <v>5</v>
      </c>
      <c r="D13" s="39">
        <v>243</v>
      </c>
      <c r="E13" s="27">
        <f t="shared" si="1"/>
        <v>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51" ht="37.5" customHeight="1" x14ac:dyDescent="0.3">
      <c r="A14" s="26"/>
      <c r="B14" s="27" t="s">
        <v>300</v>
      </c>
      <c r="C14" s="39"/>
      <c r="D14" s="27">
        <f>SUM(D10:D13)</f>
        <v>1348.1</v>
      </c>
      <c r="E14" s="27">
        <f>SUM(E10:E13)</f>
        <v>0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51" ht="37.5" customHeight="1" x14ac:dyDescent="0.3">
      <c r="A15" s="26"/>
      <c r="B15" s="52" t="s">
        <v>298</v>
      </c>
      <c r="C15" s="39"/>
      <c r="D15" s="39"/>
      <c r="E15" s="27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1:51" ht="56.25" customHeight="1" x14ac:dyDescent="0.3">
      <c r="A16" s="26" t="s">
        <v>301</v>
      </c>
      <c r="B16" s="39" t="s">
        <v>9</v>
      </c>
      <c r="C16" s="39" t="s">
        <v>10</v>
      </c>
      <c r="D16" s="39">
        <v>7098.7</v>
      </c>
      <c r="E16" s="27">
        <f t="shared" si="0"/>
        <v>416200.09480444412</v>
      </c>
      <c r="F16" s="39"/>
      <c r="G16" s="39"/>
      <c r="H16" s="39"/>
      <c r="I16" s="39">
        <v>24943.68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>
        <v>5447.64</v>
      </c>
      <c r="AJ16" s="39"/>
      <c r="AK16" s="39"/>
      <c r="AL16" s="39"/>
      <c r="AM16" s="39"/>
      <c r="AN16" s="39"/>
      <c r="AO16" s="39"/>
      <c r="AP16" s="39"/>
      <c r="AQ16" s="39"/>
      <c r="AR16" s="39">
        <v>235082.01970278387</v>
      </c>
      <c r="AS16" s="39">
        <v>150726.75510166027</v>
      </c>
      <c r="AT16" s="39"/>
      <c r="AU16" s="39"/>
      <c r="AV16" s="39"/>
      <c r="AW16" s="39"/>
      <c r="AX16" s="39"/>
      <c r="AY16" s="39"/>
    </row>
    <row r="17" spans="1:51" ht="37.5" customHeight="1" x14ac:dyDescent="0.3">
      <c r="A17" s="26" t="s">
        <v>302</v>
      </c>
      <c r="B17" s="39" t="s">
        <v>11</v>
      </c>
      <c r="C17" s="39" t="s">
        <v>12</v>
      </c>
      <c r="D17" s="39">
        <v>1070.3</v>
      </c>
      <c r="E17" s="27">
        <f t="shared" si="0"/>
        <v>58169.965158859588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>
        <v>35444.276513712313</v>
      </c>
      <c r="AS17" s="39">
        <v>22725.688645147278</v>
      </c>
      <c r="AT17" s="39"/>
      <c r="AU17" s="39"/>
      <c r="AV17" s="39"/>
      <c r="AW17" s="39"/>
      <c r="AX17" s="39"/>
      <c r="AY17" s="39"/>
    </row>
    <row r="18" spans="1:51" ht="37.5" customHeight="1" x14ac:dyDescent="0.3">
      <c r="A18" s="26" t="s">
        <v>303</v>
      </c>
      <c r="B18" s="39" t="s">
        <v>13</v>
      </c>
      <c r="C18" s="39" t="s">
        <v>12</v>
      </c>
      <c r="D18" s="39">
        <v>1076.9000000000001</v>
      </c>
      <c r="E18" s="27">
        <f t="shared" si="0"/>
        <v>58528.669979983097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>
        <v>35662.843480908901</v>
      </c>
      <c r="AS18" s="39">
        <v>22865.826499074192</v>
      </c>
      <c r="AT18" s="39"/>
      <c r="AU18" s="39"/>
      <c r="AV18" s="39"/>
      <c r="AW18" s="39"/>
      <c r="AX18" s="39"/>
      <c r="AY18" s="39"/>
    </row>
    <row r="19" spans="1:51" s="1" customFormat="1" ht="36" x14ac:dyDescent="0.3">
      <c r="A19" s="26" t="s">
        <v>304</v>
      </c>
      <c r="B19" s="38" t="s">
        <v>14</v>
      </c>
      <c r="C19" s="38" t="s">
        <v>12</v>
      </c>
      <c r="D19" s="38">
        <v>1909.4</v>
      </c>
      <c r="E19" s="4">
        <f t="shared" ref="E19" si="2">SUM(F19:AU19)</f>
        <v>103774.39173533263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>
        <v>63232.085934114075</v>
      </c>
      <c r="AS19" s="38">
        <v>40542.30580121855</v>
      </c>
      <c r="AT19" s="38"/>
      <c r="AU19" s="38"/>
    </row>
    <row r="20" spans="1:51" ht="56.25" customHeight="1" x14ac:dyDescent="0.3">
      <c r="A20" s="26" t="s">
        <v>305</v>
      </c>
      <c r="B20" s="39" t="s">
        <v>15</v>
      </c>
      <c r="C20" s="39" t="s">
        <v>10</v>
      </c>
      <c r="D20" s="39">
        <v>161.19999999999999</v>
      </c>
      <c r="E20" s="27">
        <f t="shared" si="0"/>
        <v>8761.0935098646787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>
        <v>5338.3325927407495</v>
      </c>
      <c r="AS20" s="39">
        <v>3422.7609171239287</v>
      </c>
      <c r="AT20" s="39"/>
      <c r="AU20" s="39"/>
      <c r="AV20" s="39"/>
      <c r="AW20" s="39"/>
      <c r="AX20" s="39"/>
      <c r="AY20" s="39"/>
    </row>
    <row r="21" spans="1:51" ht="56.25" customHeight="1" x14ac:dyDescent="0.3">
      <c r="A21" s="26" t="s">
        <v>306</v>
      </c>
      <c r="B21" s="39" t="s">
        <v>16</v>
      </c>
      <c r="C21" s="39" t="s">
        <v>10</v>
      </c>
      <c r="D21" s="39">
        <v>32.200000000000003</v>
      </c>
      <c r="E21" s="27">
        <f t="shared" si="0"/>
        <v>1750.0447333600664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>
        <v>1066.3418702621102</v>
      </c>
      <c r="AS21" s="39">
        <v>683.70286309795608</v>
      </c>
      <c r="AT21" s="39"/>
      <c r="AU21" s="39"/>
      <c r="AV21" s="39"/>
      <c r="AW21" s="39"/>
      <c r="AX21" s="39"/>
      <c r="AY21" s="39"/>
    </row>
    <row r="22" spans="1:51" ht="37.5" customHeight="1" x14ac:dyDescent="0.3">
      <c r="A22" s="26" t="s">
        <v>307</v>
      </c>
      <c r="B22" s="39" t="s">
        <v>17</v>
      </c>
      <c r="C22" s="39" t="s">
        <v>12</v>
      </c>
      <c r="D22" s="39">
        <v>67.099999999999994</v>
      </c>
      <c r="E22" s="27">
        <f t="shared" si="0"/>
        <v>3646.832348088833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>
        <v>2222.0974998319125</v>
      </c>
      <c r="AS22" s="39">
        <v>1424.7348482569207</v>
      </c>
      <c r="AT22" s="39"/>
      <c r="AU22" s="39"/>
      <c r="AV22" s="39"/>
      <c r="AW22" s="39"/>
      <c r="AX22" s="39"/>
      <c r="AY22" s="39"/>
    </row>
    <row r="23" spans="1:51" ht="37.5" customHeight="1" x14ac:dyDescent="0.3">
      <c r="A23" s="26" t="s">
        <v>308</v>
      </c>
      <c r="B23" s="39" t="s">
        <v>18</v>
      </c>
      <c r="C23" s="39" t="s">
        <v>12</v>
      </c>
      <c r="D23" s="39">
        <v>43.9</v>
      </c>
      <c r="E23" s="27">
        <f t="shared" si="0"/>
        <v>2385.930552624438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>
        <v>1453.8014939287775</v>
      </c>
      <c r="AS23" s="39">
        <v>932.12905869566066</v>
      </c>
      <c r="AT23" s="39"/>
      <c r="AU23" s="39"/>
      <c r="AV23" s="39"/>
      <c r="AW23" s="39"/>
      <c r="AX23" s="39"/>
      <c r="AY23" s="39"/>
    </row>
    <row r="24" spans="1:51" ht="56.25" customHeight="1" x14ac:dyDescent="0.3">
      <c r="A24" s="26" t="s">
        <v>309</v>
      </c>
      <c r="B24" s="39" t="s">
        <v>19</v>
      </c>
      <c r="C24" s="39" t="s">
        <v>10</v>
      </c>
      <c r="D24" s="39">
        <v>93.8</v>
      </c>
      <c r="E24" s="27">
        <f t="shared" si="0"/>
        <v>282297.95639717934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>
        <f>187200+90000</f>
        <v>277200</v>
      </c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>
        <v>3106.3002307635384</v>
      </c>
      <c r="AS24" s="39">
        <v>1991.656166415785</v>
      </c>
      <c r="AT24" s="39"/>
      <c r="AU24" s="39"/>
      <c r="AV24" s="39"/>
      <c r="AW24" s="39"/>
      <c r="AX24" s="39"/>
      <c r="AY24" s="39"/>
    </row>
    <row r="25" spans="1:51" ht="56.25" customHeight="1" x14ac:dyDescent="0.3">
      <c r="A25" s="26" t="s">
        <v>310</v>
      </c>
      <c r="B25" s="39" t="s">
        <v>20</v>
      </c>
      <c r="C25" s="39" t="s">
        <v>10</v>
      </c>
      <c r="D25" s="39">
        <v>53.7</v>
      </c>
      <c r="E25" s="27">
        <f t="shared" si="0"/>
        <v>2918.552862777502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>
        <v>1778.3403240085502</v>
      </c>
      <c r="AS25" s="39">
        <v>1140.2125387689516</v>
      </c>
      <c r="AT25" s="39"/>
      <c r="AU25" s="39"/>
      <c r="AV25" s="39"/>
      <c r="AW25" s="39"/>
      <c r="AX25" s="39"/>
      <c r="AY25" s="39"/>
    </row>
    <row r="26" spans="1:51" ht="37.5" customHeight="1" x14ac:dyDescent="0.3">
      <c r="A26" s="26" t="s">
        <v>311</v>
      </c>
      <c r="B26" s="39" t="s">
        <v>21</v>
      </c>
      <c r="C26" s="39" t="s">
        <v>12</v>
      </c>
      <c r="D26" s="39">
        <v>454.3</v>
      </c>
      <c r="E26" s="27">
        <f t="shared" si="0"/>
        <v>24690.848520667023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>
        <v>15044.692908698033</v>
      </c>
      <c r="AS26" s="39">
        <v>9646.1556119689885</v>
      </c>
      <c r="AT26" s="39"/>
      <c r="AU26" s="39"/>
      <c r="AV26" s="39"/>
      <c r="AW26" s="39"/>
      <c r="AX26" s="39"/>
      <c r="AY26" s="39"/>
    </row>
    <row r="27" spans="1:51" ht="56.25" customHeight="1" x14ac:dyDescent="0.3">
      <c r="A27" s="26" t="s">
        <v>312</v>
      </c>
      <c r="B27" s="39" t="s">
        <v>22</v>
      </c>
      <c r="C27" s="39" t="s">
        <v>10</v>
      </c>
      <c r="D27" s="39">
        <v>91</v>
      </c>
      <c r="E27" s="27">
        <f t="shared" si="0"/>
        <v>4945.7785942784485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>
        <v>3013.5748507407461</v>
      </c>
      <c r="AS27" s="39">
        <v>1932.2037435377019</v>
      </c>
      <c r="AT27" s="39"/>
      <c r="AU27" s="39"/>
      <c r="AV27" s="39"/>
      <c r="AW27" s="39"/>
      <c r="AX27" s="39"/>
      <c r="AY27" s="39"/>
    </row>
    <row r="28" spans="1:51" ht="37.5" customHeight="1" x14ac:dyDescent="0.3">
      <c r="A28" s="26" t="s">
        <v>313</v>
      </c>
      <c r="B28" s="39" t="s">
        <v>23</v>
      </c>
      <c r="C28" s="39" t="s">
        <v>12</v>
      </c>
      <c r="D28" s="39">
        <v>420.5</v>
      </c>
      <c r="E28" s="27">
        <f t="shared" si="0"/>
        <v>52853.845042792171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>
        <v>30000</v>
      </c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>
        <v>13925.365106994328</v>
      </c>
      <c r="AS28" s="39">
        <v>8928.4799357978427</v>
      </c>
      <c r="AT28" s="39"/>
      <c r="AU28" s="39"/>
      <c r="AV28" s="39"/>
      <c r="AW28" s="39"/>
      <c r="AX28" s="39"/>
      <c r="AY28" s="39"/>
    </row>
    <row r="29" spans="1:51" ht="56.25" customHeight="1" x14ac:dyDescent="0.3">
      <c r="A29" s="26" t="s">
        <v>314</v>
      </c>
      <c r="B29" s="39" t="s">
        <v>24</v>
      </c>
      <c r="C29" s="39" t="s">
        <v>10</v>
      </c>
      <c r="D29" s="39">
        <v>9.8000000000000007</v>
      </c>
      <c r="E29" s="27">
        <f t="shared" si="0"/>
        <v>15605.793041860383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>
        <v>15073.170731707318</v>
      </c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>
        <v>324.53883007977265</v>
      </c>
      <c r="AS29" s="39">
        <v>208.08348007329099</v>
      </c>
      <c r="AT29" s="39"/>
      <c r="AU29" s="39"/>
      <c r="AV29" s="39"/>
      <c r="AW29" s="39"/>
      <c r="AX29" s="39"/>
      <c r="AY29" s="39"/>
    </row>
    <row r="30" spans="1:51" ht="37.5" customHeight="1" x14ac:dyDescent="0.3">
      <c r="A30" s="26" t="s">
        <v>315</v>
      </c>
      <c r="B30" s="39" t="s">
        <v>25</v>
      </c>
      <c r="C30" s="39" t="s">
        <v>26</v>
      </c>
      <c r="D30" s="39">
        <v>441.8</v>
      </c>
      <c r="E30" s="27">
        <f t="shared" si="0"/>
        <v>24011.483329145256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14630.740319310567</v>
      </c>
      <c r="AS30" s="39">
        <v>9380.7430098346886</v>
      </c>
      <c r="AT30" s="39"/>
      <c r="AU30" s="39"/>
      <c r="AV30" s="39"/>
      <c r="AW30" s="39"/>
      <c r="AX30" s="39"/>
      <c r="AY30" s="39"/>
    </row>
    <row r="31" spans="1:51" ht="37.5" customHeight="1" x14ac:dyDescent="0.3">
      <c r="A31" s="26"/>
      <c r="B31" s="39" t="s">
        <v>300</v>
      </c>
      <c r="C31" s="39"/>
      <c r="D31" s="27">
        <f>SUM(D16:D30)</f>
        <v>13024.599999999999</v>
      </c>
      <c r="E31" s="27">
        <f>SUM(E16:E30)</f>
        <v>1060541.2806112575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</row>
    <row r="32" spans="1:51" ht="37.5" customHeight="1" x14ac:dyDescent="0.3">
      <c r="A32" s="26"/>
      <c r="B32" s="32" t="s">
        <v>299</v>
      </c>
      <c r="C32" s="39"/>
      <c r="D32" s="39"/>
      <c r="E32" s="2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</row>
    <row r="33" spans="1:51" ht="56.25" customHeight="1" x14ac:dyDescent="0.3">
      <c r="A33" s="26" t="s">
        <v>301</v>
      </c>
      <c r="B33" s="39" t="s">
        <v>9</v>
      </c>
      <c r="C33" s="39" t="s">
        <v>10</v>
      </c>
      <c r="D33" s="39">
        <v>7098.7</v>
      </c>
      <c r="E33" s="27">
        <f t="shared" ref="E33:E47" si="3">SUM(F33:AU33)</f>
        <v>40809.86</v>
      </c>
      <c r="F33" s="39"/>
      <c r="G33" s="39"/>
      <c r="H33" s="39"/>
      <c r="I33" s="39">
        <v>25309.86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>
        <v>15500</v>
      </c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</row>
    <row r="34" spans="1:51" ht="37.5" customHeight="1" x14ac:dyDescent="0.3">
      <c r="A34" s="26" t="s">
        <v>302</v>
      </c>
      <c r="B34" s="39" t="s">
        <v>11</v>
      </c>
      <c r="C34" s="39" t="s">
        <v>12</v>
      </c>
      <c r="D34" s="39">
        <v>1070.3</v>
      </c>
      <c r="E34" s="27">
        <f t="shared" si="3"/>
        <v>0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</row>
    <row r="35" spans="1:51" ht="37.5" customHeight="1" x14ac:dyDescent="0.3">
      <c r="A35" s="26" t="s">
        <v>303</v>
      </c>
      <c r="B35" s="39" t="s">
        <v>13</v>
      </c>
      <c r="C35" s="39" t="s">
        <v>12</v>
      </c>
      <c r="D35" s="39">
        <v>1076.9000000000001</v>
      </c>
      <c r="E35" s="27">
        <f t="shared" si="3"/>
        <v>0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</row>
    <row r="36" spans="1:51" ht="37.5" customHeight="1" x14ac:dyDescent="0.3">
      <c r="A36" s="26" t="s">
        <v>304</v>
      </c>
      <c r="B36" s="39" t="s">
        <v>14</v>
      </c>
      <c r="C36" s="39" t="s">
        <v>12</v>
      </c>
      <c r="D36" s="39">
        <v>1909.4</v>
      </c>
      <c r="E36" s="27">
        <f t="shared" si="3"/>
        <v>0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</row>
    <row r="37" spans="1:51" ht="56.25" customHeight="1" x14ac:dyDescent="0.3">
      <c r="A37" s="26" t="s">
        <v>305</v>
      </c>
      <c r="B37" s="39" t="s">
        <v>15</v>
      </c>
      <c r="C37" s="39" t="s">
        <v>10</v>
      </c>
      <c r="D37" s="39">
        <v>161.19999999999999</v>
      </c>
      <c r="E37" s="27">
        <f t="shared" si="3"/>
        <v>0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</row>
    <row r="38" spans="1:51" ht="56.25" customHeight="1" x14ac:dyDescent="0.3">
      <c r="A38" s="26" t="s">
        <v>306</v>
      </c>
      <c r="B38" s="39" t="s">
        <v>16</v>
      </c>
      <c r="C38" s="39" t="s">
        <v>10</v>
      </c>
      <c r="D38" s="39">
        <v>32.200000000000003</v>
      </c>
      <c r="E38" s="27">
        <f t="shared" si="3"/>
        <v>0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</row>
    <row r="39" spans="1:51" ht="37.5" customHeight="1" x14ac:dyDescent="0.3">
      <c r="A39" s="26" t="s">
        <v>307</v>
      </c>
      <c r="B39" s="39" t="s">
        <v>17</v>
      </c>
      <c r="C39" s="39" t="s">
        <v>12</v>
      </c>
      <c r="D39" s="39">
        <v>67.099999999999994</v>
      </c>
      <c r="E39" s="27">
        <f t="shared" si="3"/>
        <v>0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</row>
    <row r="40" spans="1:51" ht="37.5" customHeight="1" x14ac:dyDescent="0.3">
      <c r="A40" s="26" t="s">
        <v>308</v>
      </c>
      <c r="B40" s="39" t="s">
        <v>18</v>
      </c>
      <c r="C40" s="39" t="s">
        <v>12</v>
      </c>
      <c r="D40" s="39">
        <v>43.9</v>
      </c>
      <c r="E40" s="27">
        <f t="shared" si="3"/>
        <v>0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</row>
    <row r="41" spans="1:51" ht="56.25" customHeight="1" x14ac:dyDescent="0.3">
      <c r="A41" s="26" t="s">
        <v>309</v>
      </c>
      <c r="B41" s="39" t="s">
        <v>19</v>
      </c>
      <c r="C41" s="39" t="s">
        <v>10</v>
      </c>
      <c r="D41" s="39">
        <v>93.8</v>
      </c>
      <c r="E41" s="27">
        <f t="shared" si="3"/>
        <v>0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>
        <v>0</v>
      </c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</row>
    <row r="42" spans="1:51" ht="56.25" customHeight="1" x14ac:dyDescent="0.3">
      <c r="A42" s="26" t="s">
        <v>310</v>
      </c>
      <c r="B42" s="39" t="s">
        <v>20</v>
      </c>
      <c r="C42" s="39" t="s">
        <v>10</v>
      </c>
      <c r="D42" s="39">
        <v>53.7</v>
      </c>
      <c r="E42" s="27">
        <f t="shared" si="3"/>
        <v>0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</row>
    <row r="43" spans="1:51" ht="37.5" customHeight="1" x14ac:dyDescent="0.3">
      <c r="A43" s="26" t="s">
        <v>311</v>
      </c>
      <c r="B43" s="39" t="s">
        <v>21</v>
      </c>
      <c r="C43" s="39" t="s">
        <v>12</v>
      </c>
      <c r="D43" s="39">
        <v>454.3</v>
      </c>
      <c r="E43" s="27">
        <f t="shared" si="3"/>
        <v>0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</row>
    <row r="44" spans="1:51" ht="56.25" customHeight="1" x14ac:dyDescent="0.3">
      <c r="A44" s="26" t="s">
        <v>312</v>
      </c>
      <c r="B44" s="39" t="s">
        <v>22</v>
      </c>
      <c r="C44" s="39" t="s">
        <v>10</v>
      </c>
      <c r="D44" s="39">
        <v>91</v>
      </c>
      <c r="E44" s="27">
        <f t="shared" si="3"/>
        <v>0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</row>
    <row r="45" spans="1:51" ht="37.5" customHeight="1" x14ac:dyDescent="0.3">
      <c r="A45" s="26" t="s">
        <v>313</v>
      </c>
      <c r="B45" s="39" t="s">
        <v>23</v>
      </c>
      <c r="C45" s="39" t="s">
        <v>12</v>
      </c>
      <c r="D45" s="39">
        <v>420.5</v>
      </c>
      <c r="E45" s="27">
        <f t="shared" si="3"/>
        <v>72727.3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>
        <v>0</v>
      </c>
      <c r="AC45" s="39">
        <v>72727.3</v>
      </c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</row>
    <row r="46" spans="1:51" ht="56.25" customHeight="1" x14ac:dyDescent="0.3">
      <c r="A46" s="26" t="s">
        <v>314</v>
      </c>
      <c r="B46" s="39" t="s">
        <v>24</v>
      </c>
      <c r="C46" s="39" t="s">
        <v>10</v>
      </c>
      <c r="D46" s="39">
        <v>9.8000000000000007</v>
      </c>
      <c r="E46" s="27">
        <f t="shared" si="3"/>
        <v>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>
        <v>0</v>
      </c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</row>
    <row r="47" spans="1:51" ht="37.5" customHeight="1" x14ac:dyDescent="0.3">
      <c r="A47" s="26" t="s">
        <v>315</v>
      </c>
      <c r="B47" s="39" t="s">
        <v>25</v>
      </c>
      <c r="C47" s="39" t="s">
        <v>26</v>
      </c>
      <c r="D47" s="39">
        <v>441.8</v>
      </c>
      <c r="E47" s="27">
        <f t="shared" si="3"/>
        <v>0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</row>
    <row r="48" spans="1:51" ht="37.5" customHeight="1" x14ac:dyDescent="0.3">
      <c r="A48" s="26"/>
      <c r="B48" s="27" t="s">
        <v>300</v>
      </c>
      <c r="C48" s="39"/>
      <c r="D48" s="27">
        <f>SUM(D33:D47)</f>
        <v>13024.599999999999</v>
      </c>
      <c r="E48" s="27">
        <f>SUM(E33:E47)</f>
        <v>113537.16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</row>
    <row r="49" spans="1:53" ht="37.5" customHeight="1" x14ac:dyDescent="0.3">
      <c r="A49" s="26"/>
      <c r="B49" s="32" t="s">
        <v>298</v>
      </c>
      <c r="C49" s="39"/>
      <c r="D49" s="39"/>
      <c r="E49" s="27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</row>
    <row r="50" spans="1:53" ht="37.5" customHeight="1" x14ac:dyDescent="0.3">
      <c r="A50" s="26" t="s">
        <v>301</v>
      </c>
      <c r="B50" s="39" t="s">
        <v>55</v>
      </c>
      <c r="C50" s="39" t="s">
        <v>56</v>
      </c>
      <c r="D50" s="39">
        <v>637.79999999999995</v>
      </c>
      <c r="E50" s="27">
        <v>0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</row>
    <row r="51" spans="1:53" ht="37.5" customHeight="1" x14ac:dyDescent="0.3">
      <c r="A51" s="26" t="s">
        <v>302</v>
      </c>
      <c r="B51" s="39" t="s">
        <v>57</v>
      </c>
      <c r="C51" s="39" t="s">
        <v>58</v>
      </c>
      <c r="D51" s="39">
        <v>676.6</v>
      </c>
      <c r="E51" s="27">
        <v>92532.639921035981</v>
      </c>
      <c r="F51" s="39">
        <v>2057.319587628866</v>
      </c>
      <c r="G51" s="39">
        <v>2057.319587628866</v>
      </c>
      <c r="H51" s="39">
        <v>0</v>
      </c>
      <c r="I51" s="39">
        <v>33378.82</v>
      </c>
      <c r="J51" s="39"/>
      <c r="K51" s="39"/>
      <c r="L51" s="39">
        <v>3478</v>
      </c>
      <c r="M51" s="39">
        <v>1240</v>
      </c>
      <c r="N51" s="39"/>
      <c r="O51" s="39"/>
      <c r="P51" s="39"/>
      <c r="Q51" s="39"/>
      <c r="R51" s="39">
        <v>0</v>
      </c>
      <c r="S51" s="39">
        <v>3272.7272727272725</v>
      </c>
      <c r="T51" s="39"/>
      <c r="U51" s="39"/>
      <c r="V51" s="39">
        <v>1655.3018454801379</v>
      </c>
      <c r="W51" s="39">
        <v>709.41507663434481</v>
      </c>
      <c r="X51" s="39"/>
      <c r="Y51" s="39"/>
      <c r="Z51" s="39"/>
      <c r="AA51" s="39"/>
      <c r="AB51" s="39"/>
      <c r="AC51" s="39"/>
      <c r="AD51" s="39"/>
      <c r="AE51" s="39"/>
      <c r="AF51" s="39">
        <v>2541.5763162980902</v>
      </c>
      <c r="AG51" s="39">
        <v>2541.5763162980902</v>
      </c>
      <c r="AH51" s="39"/>
      <c r="AI51" s="39">
        <v>2827.9048316502403</v>
      </c>
      <c r="AJ51" s="39"/>
      <c r="AK51" s="39"/>
      <c r="AL51" s="39"/>
      <c r="AM51" s="39"/>
      <c r="AN51" s="39"/>
      <c r="AO51" s="39"/>
      <c r="AP51" s="39"/>
      <c r="AQ51" s="39"/>
      <c r="AR51" s="39">
        <v>22406.425758364716</v>
      </c>
      <c r="AS51" s="39">
        <v>14366.253328325376</v>
      </c>
      <c r="AT51" s="39"/>
      <c r="AU51" s="39"/>
      <c r="AV51" s="39"/>
      <c r="AW51" s="39"/>
      <c r="AX51" s="39"/>
      <c r="AY51" s="39"/>
    </row>
    <row r="52" spans="1:53" ht="37.5" customHeight="1" x14ac:dyDescent="0.3">
      <c r="A52" s="26"/>
      <c r="B52" s="27" t="s">
        <v>300</v>
      </c>
      <c r="C52" s="39"/>
      <c r="D52" s="27">
        <f>SUM(D50:D51)</f>
        <v>1314.4</v>
      </c>
      <c r="E52" s="27">
        <f>SUM(E50:E51)</f>
        <v>92532.639921035981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</row>
    <row r="53" spans="1:53" ht="37.5" customHeight="1" x14ac:dyDescent="0.3">
      <c r="A53" s="26"/>
      <c r="B53" s="32" t="s">
        <v>299</v>
      </c>
      <c r="C53" s="39"/>
      <c r="D53" s="39"/>
      <c r="E53" s="27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</row>
    <row r="54" spans="1:53" ht="37.5" customHeight="1" x14ac:dyDescent="0.3">
      <c r="A54" s="3" t="s">
        <v>301</v>
      </c>
      <c r="B54" s="90" t="s">
        <v>55</v>
      </c>
      <c r="C54" s="90" t="s">
        <v>56</v>
      </c>
      <c r="D54" s="90">
        <v>637.79999999999995</v>
      </c>
      <c r="E54" s="90">
        <f t="shared" ref="E54:E55" si="4">SUM(F54:AU54)</f>
        <v>0</v>
      </c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36"/>
      <c r="AW54" s="36"/>
      <c r="AX54" s="36"/>
      <c r="AY54" s="36"/>
      <c r="AZ54" s="36"/>
      <c r="BA54" s="36"/>
    </row>
    <row r="55" spans="1:53" ht="37.5" customHeight="1" x14ac:dyDescent="0.3">
      <c r="A55" s="3" t="s">
        <v>302</v>
      </c>
      <c r="B55" s="90" t="s">
        <v>57</v>
      </c>
      <c r="C55" s="90" t="s">
        <v>58</v>
      </c>
      <c r="D55" s="90">
        <f>676.6</f>
        <v>676.6</v>
      </c>
      <c r="E55" s="90">
        <f t="shared" si="4"/>
        <v>1473432.5599999998</v>
      </c>
      <c r="F55" s="90">
        <v>906164.36399999994</v>
      </c>
      <c r="G55" s="90">
        <f>388356.156+20094.49</f>
        <v>408450.64600000001</v>
      </c>
      <c r="H55" s="90">
        <v>0</v>
      </c>
      <c r="I55" s="90">
        <v>45871.75</v>
      </c>
      <c r="J55" s="90">
        <f>(30596.91*0.7)+21417.84</f>
        <v>42835.676999999996</v>
      </c>
      <c r="K55" s="90">
        <f>(30569.91*0.3)+9170.97</f>
        <v>18341.942999999999</v>
      </c>
      <c r="L55" s="90">
        <f>(4130.53+1570.5+1623.84+1570.5+1623.84+6282+6495.36)*0.7</f>
        <v>16307.598999999998</v>
      </c>
      <c r="M55" s="90">
        <f>(4130.53+1570.5+1623.84+1570.5+1623.84+6282+6495.36)*0.3</f>
        <v>6988.9709999999995</v>
      </c>
      <c r="N55" s="90"/>
      <c r="O55" s="90"/>
      <c r="P55" s="90"/>
      <c r="Q55" s="90"/>
      <c r="R55" s="90"/>
      <c r="S55" s="90"/>
      <c r="T55" s="90"/>
      <c r="U55" s="90"/>
      <c r="V55" s="116">
        <f>1951.61*0.7</f>
        <v>1366.127</v>
      </c>
      <c r="W55" s="116">
        <f>1951.61*0.3</f>
        <v>585.48299999999995</v>
      </c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>
        <f>26520*0.7</f>
        <v>18564</v>
      </c>
      <c r="AS55" s="90">
        <f>26520*0.3</f>
        <v>7956</v>
      </c>
      <c r="AT55" s="90"/>
      <c r="AU55" s="90"/>
      <c r="AV55" s="36"/>
      <c r="AW55" s="36"/>
      <c r="AX55" s="36"/>
      <c r="AY55" s="36"/>
      <c r="AZ55" s="36"/>
      <c r="BA55" s="36"/>
    </row>
    <row r="56" spans="1:53" ht="37.5" customHeight="1" x14ac:dyDescent="0.3">
      <c r="A56" s="26"/>
      <c r="B56" s="27" t="s">
        <v>300</v>
      </c>
      <c r="C56" s="39"/>
      <c r="D56" s="27">
        <f>SUM(D54:D55)</f>
        <v>1314.4</v>
      </c>
      <c r="E56" s="27">
        <f>SUM(E54:E55)</f>
        <v>1473432.5599999998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</row>
    <row r="57" spans="1:53" s="33" customFormat="1" ht="22.5" customHeight="1" x14ac:dyDescent="0.3">
      <c r="A57" s="143"/>
      <c r="B57" s="146" t="s">
        <v>179</v>
      </c>
      <c r="C57" s="31" t="s">
        <v>180</v>
      </c>
      <c r="D57" s="149"/>
      <c r="E57" s="150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3" s="33" customFormat="1" ht="22.5" customHeight="1" x14ac:dyDescent="0.3">
      <c r="A58" s="144"/>
      <c r="B58" s="147"/>
      <c r="C58" s="31" t="s">
        <v>3</v>
      </c>
      <c r="D58" s="149">
        <f>D8+D31+D52</f>
        <v>15687.099999999999</v>
      </c>
      <c r="E58" s="150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</row>
    <row r="59" spans="1:53" s="33" customFormat="1" ht="20.25" customHeight="1" x14ac:dyDescent="0.3">
      <c r="A59" s="145"/>
      <c r="B59" s="148"/>
      <c r="C59" s="32" t="s">
        <v>209</v>
      </c>
      <c r="D59" s="151">
        <f>SUM(F59:AU59)</f>
        <v>3407504.7333782073</v>
      </c>
      <c r="E59" s="152"/>
      <c r="F59" s="32">
        <f t="shared" ref="F59:AY59" si="5">SUM(F4:F56)</f>
        <v>908221.68358762877</v>
      </c>
      <c r="G59" s="32">
        <f t="shared" si="5"/>
        <v>1070407.965587629</v>
      </c>
      <c r="H59" s="32">
        <f t="shared" si="5"/>
        <v>0</v>
      </c>
      <c r="I59" s="32">
        <f t="shared" si="5"/>
        <v>129504.11</v>
      </c>
      <c r="J59" s="32">
        <f t="shared" si="5"/>
        <v>42835.676999999996</v>
      </c>
      <c r="K59" s="32">
        <f t="shared" si="5"/>
        <v>18341.942999999999</v>
      </c>
      <c r="L59" s="32">
        <f t="shared" si="5"/>
        <v>19785.598999999998</v>
      </c>
      <c r="M59" s="32">
        <f t="shared" si="5"/>
        <v>8228.9709999999995</v>
      </c>
      <c r="N59" s="32">
        <f t="shared" si="5"/>
        <v>0</v>
      </c>
      <c r="O59" s="32">
        <f t="shared" si="5"/>
        <v>0</v>
      </c>
      <c r="P59" s="32">
        <f t="shared" si="5"/>
        <v>0</v>
      </c>
      <c r="Q59" s="32">
        <f t="shared" si="5"/>
        <v>0</v>
      </c>
      <c r="R59" s="32">
        <f t="shared" si="5"/>
        <v>0</v>
      </c>
      <c r="S59" s="32">
        <f t="shared" si="5"/>
        <v>9818.181818181818</v>
      </c>
      <c r="T59" s="32">
        <f t="shared" si="5"/>
        <v>0</v>
      </c>
      <c r="U59" s="32">
        <f t="shared" si="5"/>
        <v>0</v>
      </c>
      <c r="V59" s="32">
        <f t="shared" si="5"/>
        <v>3021.4288454801381</v>
      </c>
      <c r="W59" s="32">
        <f t="shared" si="5"/>
        <v>1294.8980766343448</v>
      </c>
      <c r="X59" s="32">
        <f t="shared" si="5"/>
        <v>0</v>
      </c>
      <c r="Y59" s="32">
        <f t="shared" si="5"/>
        <v>0</v>
      </c>
      <c r="Z59" s="32">
        <f t="shared" si="5"/>
        <v>0</v>
      </c>
      <c r="AA59" s="32">
        <f t="shared" si="5"/>
        <v>0</v>
      </c>
      <c r="AB59" s="32">
        <f t="shared" si="5"/>
        <v>0</v>
      </c>
      <c r="AC59" s="32">
        <f t="shared" si="5"/>
        <v>379927.3</v>
      </c>
      <c r="AD59" s="32">
        <f t="shared" si="5"/>
        <v>0</v>
      </c>
      <c r="AE59" s="32">
        <f t="shared" si="5"/>
        <v>15073.170731707318</v>
      </c>
      <c r="AF59" s="32">
        <f t="shared" si="5"/>
        <v>2541.5763162980902</v>
      </c>
      <c r="AG59" s="32">
        <f t="shared" si="5"/>
        <v>2541.5763162980902</v>
      </c>
      <c r="AH59" s="32">
        <f t="shared" si="5"/>
        <v>0</v>
      </c>
      <c r="AI59" s="32">
        <f t="shared" si="5"/>
        <v>24791.183132109905</v>
      </c>
      <c r="AJ59" s="32">
        <f t="shared" si="5"/>
        <v>0</v>
      </c>
      <c r="AK59" s="32">
        <f t="shared" si="5"/>
        <v>0</v>
      </c>
      <c r="AL59" s="32">
        <f t="shared" si="5"/>
        <v>0</v>
      </c>
      <c r="AM59" s="32">
        <f t="shared" si="5"/>
        <v>0</v>
      </c>
      <c r="AN59" s="32">
        <f t="shared" si="5"/>
        <v>0</v>
      </c>
      <c r="AO59" s="32">
        <f t="shared" si="5"/>
        <v>0</v>
      </c>
      <c r="AP59" s="32">
        <f t="shared" si="5"/>
        <v>0</v>
      </c>
      <c r="AQ59" s="32">
        <f t="shared" si="5"/>
        <v>0</v>
      </c>
      <c r="AR59" s="32">
        <f t="shared" si="5"/>
        <v>472295.77741724305</v>
      </c>
      <c r="AS59" s="32">
        <f t="shared" si="5"/>
        <v>298873.69154899742</v>
      </c>
      <c r="AT59" s="32">
        <f t="shared" si="5"/>
        <v>0</v>
      </c>
      <c r="AU59" s="32">
        <f t="shared" si="5"/>
        <v>0</v>
      </c>
      <c r="AV59" s="32">
        <f t="shared" si="5"/>
        <v>0</v>
      </c>
      <c r="AW59" s="32">
        <f t="shared" si="5"/>
        <v>0</v>
      </c>
      <c r="AX59" s="32">
        <f t="shared" si="5"/>
        <v>0</v>
      </c>
      <c r="AY59" s="32">
        <f t="shared" si="5"/>
        <v>0</v>
      </c>
    </row>
    <row r="61" spans="1:53" ht="37.5" customHeight="1" x14ac:dyDescent="0.3">
      <c r="A61" s="34"/>
      <c r="B61" s="153"/>
      <c r="C61" s="153"/>
      <c r="D61" s="153"/>
      <c r="E61" s="35"/>
    </row>
    <row r="62" spans="1:53" ht="37.5" customHeight="1" x14ac:dyDescent="0.3">
      <c r="A62" s="34"/>
      <c r="B62" s="153"/>
      <c r="C62" s="153"/>
      <c r="D62" s="153"/>
      <c r="E62" s="35"/>
      <c r="G62" s="36"/>
      <c r="H62" s="36"/>
      <c r="I62" s="36"/>
    </row>
    <row r="67" spans="2:5" ht="25.2" x14ac:dyDescent="0.3">
      <c r="B67" s="23"/>
      <c r="C67" s="23"/>
      <c r="D67" s="23"/>
      <c r="E67" s="23"/>
    </row>
  </sheetData>
  <autoFilter ref="A1:AY59" xr:uid="{00000000-0009-0000-0000-000004000000}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A1:A2"/>
    <mergeCell ref="B1:B2"/>
    <mergeCell ref="C1:C2"/>
    <mergeCell ref="D1:D2"/>
    <mergeCell ref="E1:E2"/>
    <mergeCell ref="AX1:AY1"/>
    <mergeCell ref="A57:A59"/>
    <mergeCell ref="B57:B59"/>
    <mergeCell ref="D57:E57"/>
    <mergeCell ref="D58:E58"/>
    <mergeCell ref="D59:E59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B61:D61"/>
    <mergeCell ref="B62:D62"/>
    <mergeCell ref="AR1:AS1"/>
    <mergeCell ref="AT1:AU1"/>
    <mergeCell ref="AV1:AW1"/>
    <mergeCell ref="AB1:AC1"/>
    <mergeCell ref="AD1:AE1"/>
    <mergeCell ref="H1:I1"/>
    <mergeCell ref="J1:K1"/>
    <mergeCell ref="L1:M1"/>
    <mergeCell ref="N1:O1"/>
    <mergeCell ref="P1:Q1"/>
    <mergeCell ref="R1:S1"/>
    <mergeCell ref="F1:G1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BA52"/>
  <sheetViews>
    <sheetView zoomScale="70" zoomScaleNormal="70" workbookViewId="0">
      <pane ySplit="2" topLeftCell="A3" activePane="bottomLeft" state="frozen"/>
      <selection pane="bottomLeft" activeCell="I13" sqref="I13"/>
    </sheetView>
  </sheetViews>
  <sheetFormatPr defaultColWidth="9.109375" defaultRowHeight="18" x14ac:dyDescent="0.3"/>
  <cols>
    <col min="1" max="1" width="7" style="11" customWidth="1"/>
    <col min="2" max="2" width="38.44140625" style="1" customWidth="1"/>
    <col min="3" max="3" width="49.5546875" style="1" customWidth="1"/>
    <col min="4" max="4" width="23.6640625" style="1" customWidth="1"/>
    <col min="5" max="5" width="22.5546875" style="1" customWidth="1"/>
    <col min="6" max="6" width="22.44140625" style="1" customWidth="1"/>
    <col min="7" max="7" width="20.109375" style="1" customWidth="1"/>
    <col min="8" max="9" width="18.33203125" style="1" customWidth="1"/>
    <col min="10" max="11" width="20.109375" style="1" customWidth="1"/>
    <col min="12" max="12" width="20.33203125" style="1" customWidth="1"/>
    <col min="13" max="13" width="16" style="1" customWidth="1"/>
    <col min="14" max="14" width="11.5546875" style="1" customWidth="1"/>
    <col min="15" max="15" width="18.33203125" style="1" customWidth="1"/>
    <col min="16" max="16" width="13.44140625" style="1" customWidth="1"/>
    <col min="17" max="17" width="18.33203125" style="1" customWidth="1"/>
    <col min="18" max="18" width="11.88671875" style="1" customWidth="1"/>
    <col min="19" max="19" width="16" style="1" customWidth="1"/>
    <col min="20" max="21" width="18.33203125" style="1" customWidth="1"/>
    <col min="22" max="22" width="16" style="1" customWidth="1"/>
    <col min="23" max="23" width="22.5546875" style="1" customWidth="1"/>
    <col min="24" max="25" width="18.33203125" style="1" customWidth="1"/>
    <col min="26" max="26" width="13.44140625" style="1" customWidth="1"/>
    <col min="27" max="27" width="18.33203125" style="1" customWidth="1"/>
    <col min="28" max="29" width="16" style="1" customWidth="1"/>
    <col min="30" max="30" width="13.5546875" style="1" customWidth="1"/>
    <col min="31" max="31" width="16" style="1" customWidth="1"/>
    <col min="32" max="32" width="20.6640625" style="1" customWidth="1"/>
    <col min="33" max="33" width="18.33203125" style="1" customWidth="1"/>
    <col min="34" max="34" width="14.109375" style="1" customWidth="1"/>
    <col min="35" max="35" width="16" style="1" customWidth="1"/>
    <col min="36" max="36" width="18.33203125" style="1" customWidth="1"/>
    <col min="37" max="37" width="20.109375" style="1" customWidth="1"/>
    <col min="38" max="38" width="14.109375" style="1" customWidth="1"/>
    <col min="39" max="39" width="16" style="1" customWidth="1"/>
    <col min="40" max="40" width="12.109375" style="1" customWidth="1"/>
    <col min="41" max="41" width="18.33203125" style="1" customWidth="1"/>
    <col min="42" max="42" width="15.44140625" style="1" customWidth="1"/>
    <col min="43" max="43" width="18.33203125" style="1" customWidth="1"/>
    <col min="44" max="45" width="20.109375" style="1" customWidth="1"/>
    <col min="46" max="46" width="16" style="1" customWidth="1"/>
    <col min="47" max="47" width="16" style="91" customWidth="1"/>
    <col min="48" max="53" width="9.109375" style="91"/>
    <col min="54" max="16384" width="9.109375" style="1"/>
  </cols>
  <sheetData>
    <row r="1" spans="1:47" ht="37.5" customHeight="1" x14ac:dyDescent="0.3">
      <c r="A1" s="121" t="s">
        <v>0</v>
      </c>
      <c r="B1" s="123" t="s">
        <v>1</v>
      </c>
      <c r="C1" s="123" t="s">
        <v>2</v>
      </c>
      <c r="D1" s="123" t="s">
        <v>3</v>
      </c>
      <c r="E1" s="123" t="s">
        <v>210</v>
      </c>
      <c r="F1" s="117" t="s">
        <v>194</v>
      </c>
      <c r="G1" s="117"/>
      <c r="H1" s="117" t="s">
        <v>186</v>
      </c>
      <c r="I1" s="117"/>
      <c r="J1" s="136" t="s">
        <v>550</v>
      </c>
      <c r="K1" s="136"/>
      <c r="L1" s="118" t="s">
        <v>190</v>
      </c>
      <c r="M1" s="119"/>
      <c r="N1" s="118" t="s">
        <v>200</v>
      </c>
      <c r="O1" s="119"/>
      <c r="P1" s="117" t="s">
        <v>191</v>
      </c>
      <c r="Q1" s="117"/>
      <c r="R1" s="117" t="s">
        <v>204</v>
      </c>
      <c r="S1" s="117"/>
      <c r="T1" s="118" t="s">
        <v>192</v>
      </c>
      <c r="U1" s="119"/>
      <c r="V1" s="117" t="s">
        <v>203</v>
      </c>
      <c r="W1" s="117"/>
      <c r="X1" s="118" t="s">
        <v>193</v>
      </c>
      <c r="Y1" s="119"/>
      <c r="Z1" s="117" t="s">
        <v>195</v>
      </c>
      <c r="AA1" s="117"/>
      <c r="AB1" s="117" t="s">
        <v>196</v>
      </c>
      <c r="AC1" s="117"/>
      <c r="AD1" s="117" t="s">
        <v>197</v>
      </c>
      <c r="AE1" s="117"/>
      <c r="AF1" s="117" t="s">
        <v>198</v>
      </c>
      <c r="AG1" s="117"/>
      <c r="AH1" s="117" t="s">
        <v>208</v>
      </c>
      <c r="AI1" s="117"/>
      <c r="AJ1" s="117" t="s">
        <v>199</v>
      </c>
      <c r="AK1" s="117"/>
      <c r="AL1" s="117" t="s">
        <v>201</v>
      </c>
      <c r="AM1" s="117"/>
      <c r="AN1" s="117" t="s">
        <v>202</v>
      </c>
      <c r="AO1" s="117"/>
      <c r="AP1" s="118" t="s">
        <v>205</v>
      </c>
      <c r="AQ1" s="119"/>
      <c r="AR1" s="117" t="s">
        <v>206</v>
      </c>
      <c r="AS1" s="117"/>
      <c r="AT1" s="117" t="s">
        <v>207</v>
      </c>
      <c r="AU1" s="117"/>
    </row>
    <row r="2" spans="1:47" x14ac:dyDescent="0.3">
      <c r="A2" s="122"/>
      <c r="B2" s="124"/>
      <c r="C2" s="124"/>
      <c r="D2" s="124"/>
      <c r="E2" s="124"/>
      <c r="F2" s="89" t="s">
        <v>188</v>
      </c>
      <c r="G2" s="89" t="s">
        <v>189</v>
      </c>
      <c r="H2" s="42" t="s">
        <v>188</v>
      </c>
      <c r="I2" s="42" t="s">
        <v>189</v>
      </c>
      <c r="J2" s="42" t="s">
        <v>188</v>
      </c>
      <c r="K2" s="42" t="s">
        <v>189</v>
      </c>
      <c r="L2" s="42" t="s">
        <v>188</v>
      </c>
      <c r="M2" s="42" t="s">
        <v>189</v>
      </c>
      <c r="N2" s="42" t="s">
        <v>188</v>
      </c>
      <c r="O2" s="42" t="s">
        <v>189</v>
      </c>
      <c r="P2" s="42" t="s">
        <v>188</v>
      </c>
      <c r="Q2" s="42" t="s">
        <v>189</v>
      </c>
      <c r="R2" s="42" t="s">
        <v>188</v>
      </c>
      <c r="S2" s="42" t="s">
        <v>189</v>
      </c>
      <c r="T2" s="42" t="s">
        <v>188</v>
      </c>
      <c r="U2" s="42" t="s">
        <v>189</v>
      </c>
      <c r="V2" s="42" t="s">
        <v>188</v>
      </c>
      <c r="W2" s="42" t="s">
        <v>189</v>
      </c>
      <c r="X2" s="42" t="s">
        <v>188</v>
      </c>
      <c r="Y2" s="42" t="s">
        <v>189</v>
      </c>
      <c r="Z2" s="42" t="s">
        <v>188</v>
      </c>
      <c r="AA2" s="42" t="s">
        <v>189</v>
      </c>
      <c r="AB2" s="42" t="s">
        <v>188</v>
      </c>
      <c r="AC2" s="42" t="s">
        <v>189</v>
      </c>
      <c r="AD2" s="42" t="s">
        <v>188</v>
      </c>
      <c r="AE2" s="42" t="s">
        <v>189</v>
      </c>
      <c r="AF2" s="42" t="s">
        <v>188</v>
      </c>
      <c r="AG2" s="42" t="s">
        <v>189</v>
      </c>
      <c r="AH2" s="42" t="s">
        <v>188</v>
      </c>
      <c r="AI2" s="42" t="s">
        <v>189</v>
      </c>
      <c r="AJ2" s="42" t="s">
        <v>188</v>
      </c>
      <c r="AK2" s="42" t="s">
        <v>189</v>
      </c>
      <c r="AL2" s="42" t="s">
        <v>188</v>
      </c>
      <c r="AM2" s="42" t="s">
        <v>189</v>
      </c>
      <c r="AN2" s="42" t="s">
        <v>188</v>
      </c>
      <c r="AO2" s="42" t="s">
        <v>189</v>
      </c>
      <c r="AP2" s="42" t="s">
        <v>188</v>
      </c>
      <c r="AQ2" s="42" t="s">
        <v>189</v>
      </c>
      <c r="AR2" s="42" t="s">
        <v>188</v>
      </c>
      <c r="AS2" s="42" t="s">
        <v>189</v>
      </c>
      <c r="AT2" s="94" t="s">
        <v>188</v>
      </c>
      <c r="AU2" s="91" t="s">
        <v>189</v>
      </c>
    </row>
    <row r="3" spans="1:47" x14ac:dyDescent="0.3">
      <c r="A3" s="44"/>
      <c r="B3" s="47" t="s">
        <v>298</v>
      </c>
      <c r="C3" s="45"/>
      <c r="D3" s="45"/>
      <c r="E3" s="45"/>
      <c r="F3" s="89"/>
      <c r="G3" s="89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97"/>
      <c r="AU3" s="97"/>
    </row>
    <row r="4" spans="1:47" ht="36" x14ac:dyDescent="0.3">
      <c r="A4" s="3" t="s">
        <v>301</v>
      </c>
      <c r="B4" s="42" t="s">
        <v>14</v>
      </c>
      <c r="C4" s="42" t="s">
        <v>12</v>
      </c>
      <c r="D4" s="42">
        <v>1909.4</v>
      </c>
      <c r="E4" s="4">
        <f t="shared" ref="E4:E11" si="0">SUM(F4:AU4)</f>
        <v>108229.74446549293</v>
      </c>
      <c r="F4" s="89"/>
      <c r="G4" s="89"/>
      <c r="H4" s="42">
        <v>0</v>
      </c>
      <c r="I4" s="42">
        <v>3656.7313078328712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>
        <v>0</v>
      </c>
      <c r="AI4" s="42">
        <v>798.62142232743736</v>
      </c>
      <c r="AJ4" s="42"/>
      <c r="AK4" s="42"/>
      <c r="AL4" s="42"/>
      <c r="AM4" s="42"/>
      <c r="AN4" s="42"/>
      <c r="AO4" s="42"/>
      <c r="AP4" s="42"/>
      <c r="AQ4" s="42"/>
      <c r="AR4" s="42">
        <v>63232.085934114075</v>
      </c>
      <c r="AS4" s="42">
        <v>40542.30580121855</v>
      </c>
      <c r="AT4" s="97"/>
      <c r="AU4" s="97"/>
    </row>
    <row r="5" spans="1:47" ht="36" x14ac:dyDescent="0.3">
      <c r="A5" s="3" t="s">
        <v>302</v>
      </c>
      <c r="B5" s="42" t="s">
        <v>30</v>
      </c>
      <c r="C5" s="42" t="s">
        <v>31</v>
      </c>
      <c r="D5" s="42">
        <v>3918.8</v>
      </c>
      <c r="E5" s="4">
        <f t="shared" si="0"/>
        <v>983062.64654940763</v>
      </c>
      <c r="F5" s="89">
        <v>63563.432049023708</v>
      </c>
      <c r="G5" s="89">
        <f>19499.7136808391+179672.634168151+265171.986015563+6185.5605013101</f>
        <v>470529.89436586323</v>
      </c>
      <c r="H5" s="42">
        <v>21813.708436196241</v>
      </c>
      <c r="I5" s="42">
        <v>23427.922860474762</v>
      </c>
      <c r="J5" s="42">
        <v>0</v>
      </c>
      <c r="K5" s="42">
        <v>29031.243490663041</v>
      </c>
      <c r="L5" s="42">
        <v>0</v>
      </c>
      <c r="M5" s="42">
        <v>5497.0545259214532</v>
      </c>
      <c r="N5" s="42"/>
      <c r="O5" s="42"/>
      <c r="P5" s="42"/>
      <c r="Q5" s="42"/>
      <c r="R5" s="42">
        <v>0</v>
      </c>
      <c r="S5" s="42">
        <v>6545.454545454545</v>
      </c>
      <c r="T5" s="42"/>
      <c r="U5" s="42"/>
      <c r="V5" s="42">
        <v>0</v>
      </c>
      <c r="W5" s="42">
        <v>10220.999873483011</v>
      </c>
      <c r="X5" s="42">
        <v>81466.7</v>
      </c>
      <c r="Y5" s="42">
        <v>16293.34</v>
      </c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>
        <v>11096.858231038243</v>
      </c>
      <c r="AS5" s="42">
        <v>243576.03817128943</v>
      </c>
      <c r="AT5" s="97"/>
      <c r="AU5" s="97"/>
    </row>
    <row r="6" spans="1:47" ht="36" x14ac:dyDescent="0.3">
      <c r="A6" s="3" t="s">
        <v>303</v>
      </c>
      <c r="B6" s="42" t="s">
        <v>30</v>
      </c>
      <c r="C6" s="42" t="s">
        <v>41</v>
      </c>
      <c r="D6" s="42">
        <v>1239.3</v>
      </c>
      <c r="E6" s="4">
        <f t="shared" si="0"/>
        <v>792545.08616020321</v>
      </c>
      <c r="F6" s="89">
        <f>235276.283618582+51432.9896907217</f>
        <v>286709.27330930368</v>
      </c>
      <c r="G6" s="89">
        <f>100196.122947957+51432.9896907217</f>
        <v>151629.11263867869</v>
      </c>
      <c r="H6" s="5">
        <v>94323.37</v>
      </c>
      <c r="I6" s="42">
        <v>0</v>
      </c>
      <c r="J6" s="42"/>
      <c r="K6" s="42"/>
      <c r="L6" s="42">
        <v>7450</v>
      </c>
      <c r="M6" s="42">
        <v>2660</v>
      </c>
      <c r="N6" s="42">
        <v>0</v>
      </c>
      <c r="O6" s="42">
        <v>60000</v>
      </c>
      <c r="P6" s="42"/>
      <c r="Q6" s="42"/>
      <c r="R6" s="42">
        <v>0</v>
      </c>
      <c r="S6" s="42">
        <v>3272.7272727272725</v>
      </c>
      <c r="T6" s="42"/>
      <c r="U6" s="42"/>
      <c r="V6" s="42">
        <v>7081.0134501094772</v>
      </c>
      <c r="W6" s="42">
        <v>3034.7200500469189</v>
      </c>
      <c r="X6" s="42"/>
      <c r="Y6" s="42"/>
      <c r="Z6" s="42"/>
      <c r="AA6" s="42"/>
      <c r="AB6" s="42"/>
      <c r="AC6" s="42"/>
      <c r="AD6" s="42"/>
      <c r="AE6" s="42"/>
      <c r="AF6" s="42">
        <f>18528.9680320555+4655.29933311886</f>
        <v>23184.267365174361</v>
      </c>
      <c r="AG6" s="42">
        <f>19734.1671255245+4655.29933311886</f>
        <v>24389.466458643357</v>
      </c>
      <c r="AH6" s="42">
        <v>0</v>
      </c>
      <c r="AI6" s="42">
        <v>5179.7553323442844</v>
      </c>
      <c r="AJ6" s="42"/>
      <c r="AK6" s="42"/>
      <c r="AL6" s="42"/>
      <c r="AM6" s="42"/>
      <c r="AN6" s="42"/>
      <c r="AO6" s="42"/>
      <c r="AP6" s="42"/>
      <c r="AQ6" s="42"/>
      <c r="AR6" s="42">
        <f>46781.2146603117+41040.9155222308</f>
        <v>87822.130182542503</v>
      </c>
      <c r="AS6" s="42">
        <f>9495.18307462956+26314.067026003</f>
        <v>35809.250100632562</v>
      </c>
      <c r="AT6" s="97"/>
      <c r="AU6" s="97"/>
    </row>
    <row r="7" spans="1:47" ht="36" x14ac:dyDescent="0.3">
      <c r="A7" s="3" t="s">
        <v>304</v>
      </c>
      <c r="B7" s="42" t="s">
        <v>30</v>
      </c>
      <c r="C7" s="42" t="s">
        <v>47</v>
      </c>
      <c r="D7" s="42">
        <v>1971</v>
      </c>
      <c r="E7" s="4">
        <f t="shared" si="0"/>
        <v>576379.61650882964</v>
      </c>
      <c r="F7" s="89">
        <v>31969.869492861519</v>
      </c>
      <c r="G7" s="89">
        <f>90368.1642200228+168502.617801047+88243.32+3111.0900653471</f>
        <v>350225.19208641688</v>
      </c>
      <c r="H7" s="42">
        <v>10971.424754451054</v>
      </c>
      <c r="I7" s="42">
        <v>11783.310186280432</v>
      </c>
      <c r="J7" s="42">
        <v>0</v>
      </c>
      <c r="K7" s="42">
        <v>8386.8036750804349</v>
      </c>
      <c r="L7" s="42">
        <v>0</v>
      </c>
      <c r="M7" s="42">
        <v>2764.7990381216655</v>
      </c>
      <c r="N7" s="42"/>
      <c r="O7" s="42"/>
      <c r="P7" s="42"/>
      <c r="Q7" s="42"/>
      <c r="R7" s="42">
        <v>0</v>
      </c>
      <c r="S7" s="42">
        <v>6545.454545454545</v>
      </c>
      <c r="T7" s="42">
        <v>8870.3537715505117</v>
      </c>
      <c r="U7" s="42">
        <v>960.95499191797205</v>
      </c>
      <c r="V7" s="42">
        <v>10670.396102138411</v>
      </c>
      <c r="W7" s="42">
        <v>5140.7550144521329</v>
      </c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>
        <v>5581.2768126407</v>
      </c>
      <c r="AS7" s="42">
        <v>122509.02603746337</v>
      </c>
      <c r="AT7" s="97"/>
      <c r="AU7" s="97"/>
    </row>
    <row r="8" spans="1:47" ht="36" x14ac:dyDescent="0.3">
      <c r="A8" s="3" t="s">
        <v>305</v>
      </c>
      <c r="B8" s="42" t="s">
        <v>53</v>
      </c>
      <c r="C8" s="42" t="s">
        <v>54</v>
      </c>
      <c r="D8" s="42">
        <v>971.9</v>
      </c>
      <c r="E8" s="4">
        <f t="shared" si="0"/>
        <v>2492753.0047662822</v>
      </c>
      <c r="F8" s="89">
        <f>16458.5567010309+440000</f>
        <v>456458.55670103087</v>
      </c>
      <c r="G8" s="89">
        <f>16458.5567010309+220000+220000+220000+120645+440000</f>
        <v>1237103.556701031</v>
      </c>
      <c r="H8" s="42"/>
      <c r="I8" s="42"/>
      <c r="J8" s="42">
        <v>86756.364167525506</v>
      </c>
      <c r="K8" s="42">
        <f>298500+86756.3641675255</f>
        <v>385256.36416752549</v>
      </c>
      <c r="L8" s="42">
        <v>5970</v>
      </c>
      <c r="M8" s="42">
        <v>2130</v>
      </c>
      <c r="N8" s="42"/>
      <c r="O8" s="42"/>
      <c r="P8" s="42"/>
      <c r="Q8" s="42"/>
      <c r="R8" s="42">
        <v>0</v>
      </c>
      <c r="S8" s="42">
        <v>3272.7272727272725</v>
      </c>
      <c r="T8" s="42"/>
      <c r="U8" s="42"/>
      <c r="V8" s="42">
        <v>5110.4160150140751</v>
      </c>
      <c r="W8" s="42">
        <v>2190.1782921488893</v>
      </c>
      <c r="X8" s="42"/>
      <c r="Y8" s="42"/>
      <c r="Z8" s="42"/>
      <c r="AA8" s="42"/>
      <c r="AB8" s="42"/>
      <c r="AC8" s="42"/>
      <c r="AD8" s="42"/>
      <c r="AE8" s="42"/>
      <c r="AF8" s="42">
        <f>14531.0288310778+3650.83952381039</f>
        <v>18181.868354888189</v>
      </c>
      <c r="AG8" s="42">
        <f>15476.1857736603+170178+3650.83952381039</f>
        <v>189305.02529747071</v>
      </c>
      <c r="AH8" s="42">
        <v>0</v>
      </c>
      <c r="AI8" s="42">
        <v>4062.1352436903176</v>
      </c>
      <c r="AJ8" s="42"/>
      <c r="AK8" s="42"/>
      <c r="AL8" s="42"/>
      <c r="AM8" s="42"/>
      <c r="AN8" s="42"/>
      <c r="AO8" s="42"/>
      <c r="AP8" s="42"/>
      <c r="AQ8" s="42"/>
      <c r="AR8" s="42">
        <f>36687.3739436431+32185.6417300542</f>
        <v>68873.0156736973</v>
      </c>
      <c r="AS8" s="42">
        <f>7446.43623838656+20636.3606411461</f>
        <v>28082.79687953266</v>
      </c>
      <c r="AT8" s="97"/>
      <c r="AU8" s="97"/>
    </row>
    <row r="9" spans="1:47" ht="36" x14ac:dyDescent="0.3">
      <c r="A9" s="3" t="s">
        <v>306</v>
      </c>
      <c r="B9" s="42" t="s">
        <v>55</v>
      </c>
      <c r="C9" s="42" t="s">
        <v>56</v>
      </c>
      <c r="D9" s="42">
        <v>637.79999999999995</v>
      </c>
      <c r="E9" s="4">
        <f t="shared" si="0"/>
        <v>0</v>
      </c>
      <c r="F9" s="89"/>
      <c r="G9" s="89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97"/>
      <c r="AU9" s="97"/>
    </row>
    <row r="10" spans="1:47" ht="36" x14ac:dyDescent="0.3">
      <c r="A10" s="3" t="s">
        <v>307</v>
      </c>
      <c r="B10" s="42" t="s">
        <v>57</v>
      </c>
      <c r="C10" s="42" t="s">
        <v>58</v>
      </c>
      <c r="D10" s="42">
        <f>676.6</f>
        <v>676.6</v>
      </c>
      <c r="E10" s="4">
        <f t="shared" si="0"/>
        <v>92532.639921035981</v>
      </c>
      <c r="F10" s="89">
        <v>2057.319587628866</v>
      </c>
      <c r="G10" s="89">
        <v>2057.319587628866</v>
      </c>
      <c r="H10" s="42">
        <v>0</v>
      </c>
      <c r="I10" s="42">
        <f>33378.82</f>
        <v>33378.82</v>
      </c>
      <c r="J10" s="42"/>
      <c r="K10" s="42"/>
      <c r="L10" s="42">
        <v>3478</v>
      </c>
      <c r="M10" s="42">
        <v>1240</v>
      </c>
      <c r="N10" s="42"/>
      <c r="O10" s="42"/>
      <c r="P10" s="42"/>
      <c r="Q10" s="42"/>
      <c r="R10" s="42">
        <v>0</v>
      </c>
      <c r="S10" s="42">
        <v>3272.7272727272725</v>
      </c>
      <c r="T10" s="42"/>
      <c r="U10" s="42"/>
      <c r="V10" s="42">
        <v>1655.3018454801379</v>
      </c>
      <c r="W10" s="42">
        <v>709.41507663434481</v>
      </c>
      <c r="X10" s="42"/>
      <c r="Y10" s="42"/>
      <c r="Z10" s="42"/>
      <c r="AA10" s="42"/>
      <c r="AB10" s="42"/>
      <c r="AC10" s="42"/>
      <c r="AD10" s="42"/>
      <c r="AE10" s="42"/>
      <c r="AF10" s="42">
        <f>2541.57631629809</f>
        <v>2541.5763162980902</v>
      </c>
      <c r="AG10" s="42">
        <f>2541.57631629809</f>
        <v>2541.5763162980902</v>
      </c>
      <c r="AH10" s="42">
        <v>0</v>
      </c>
      <c r="AI10" s="42">
        <v>2827.9048316502403</v>
      </c>
      <c r="AJ10" s="42"/>
      <c r="AK10" s="42"/>
      <c r="AL10" s="42"/>
      <c r="AM10" s="42"/>
      <c r="AN10" s="42"/>
      <c r="AO10" s="42"/>
      <c r="AP10" s="42"/>
      <c r="AQ10" s="42"/>
      <c r="AR10" s="42">
        <v>22406.425758364716</v>
      </c>
      <c r="AS10" s="42">
        <v>14366.253328325376</v>
      </c>
      <c r="AT10" s="97"/>
      <c r="AU10" s="97"/>
    </row>
    <row r="11" spans="1:47" ht="36" x14ac:dyDescent="0.3">
      <c r="A11" s="3" t="s">
        <v>308</v>
      </c>
      <c r="B11" s="42" t="s">
        <v>30</v>
      </c>
      <c r="C11" s="42" t="s">
        <v>68</v>
      </c>
      <c r="D11" s="42">
        <v>4466.7</v>
      </c>
      <c r="E11" s="4">
        <f t="shared" si="0"/>
        <v>5437443.7630438823</v>
      </c>
      <c r="F11" s="89">
        <v>0</v>
      </c>
      <c r="G11" s="89">
        <f>33078+1275000</f>
        <v>1308078</v>
      </c>
      <c r="H11" s="42"/>
      <c r="I11" s="42"/>
      <c r="J11" s="42">
        <v>0</v>
      </c>
      <c r="K11" s="42">
        <f>359000+860250+1385701.76114874</f>
        <v>2604951.7611487401</v>
      </c>
      <c r="L11" s="42">
        <v>0</v>
      </c>
      <c r="M11" s="42">
        <v>7509.3649931649215</v>
      </c>
      <c r="N11" s="42"/>
      <c r="O11" s="42"/>
      <c r="P11" s="42">
        <v>0</v>
      </c>
      <c r="Q11" s="42">
        <v>7301.8867924528295</v>
      </c>
      <c r="R11" s="42">
        <v>0</v>
      </c>
      <c r="S11" s="42">
        <f>6545.45454545455+30000+28604.4</f>
        <v>65149.854545454553</v>
      </c>
      <c r="T11" s="42"/>
      <c r="U11" s="42"/>
      <c r="V11" s="42">
        <v>0</v>
      </c>
      <c r="W11" s="42">
        <v>36000</v>
      </c>
      <c r="X11" s="42">
        <v>0</v>
      </c>
      <c r="Y11" s="42">
        <f>79585.5+284582.98</f>
        <v>364168.48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>
        <v>0</v>
      </c>
      <c r="AS11" s="42">
        <f>287818.14+756466.275564069</f>
        <v>1044284.4155640691</v>
      </c>
      <c r="AT11" s="97"/>
      <c r="AU11" s="97"/>
    </row>
    <row r="12" spans="1:47" ht="36" x14ac:dyDescent="0.3">
      <c r="A12" s="3" t="s">
        <v>309</v>
      </c>
      <c r="B12" s="5" t="s">
        <v>104</v>
      </c>
      <c r="C12" s="5" t="s">
        <v>105</v>
      </c>
      <c r="D12" s="5">
        <v>11351</v>
      </c>
      <c r="E12" s="4">
        <f t="shared" ref="E12:E18" si="1">SUM(F12:AU12)</f>
        <v>7705535.2201394243</v>
      </c>
      <c r="F12" s="89">
        <v>197502.68041237112</v>
      </c>
      <c r="G12" s="89">
        <f>197502.680412371+60201+260000+1509900</f>
        <v>2027603.6804123709</v>
      </c>
      <c r="H12" s="5">
        <v>814567.61</v>
      </c>
      <c r="I12" s="42">
        <v>185432.39</v>
      </c>
      <c r="J12" s="42">
        <v>1013243.63583247</v>
      </c>
      <c r="K12" s="42">
        <f>297000+295000+1013243.63583247</f>
        <v>1605243.6358324699</v>
      </c>
      <c r="L12" s="42">
        <v>52210</v>
      </c>
      <c r="M12" s="42">
        <v>18630</v>
      </c>
      <c r="N12" s="42">
        <v>0</v>
      </c>
      <c r="O12" s="42">
        <f>26629.2134831461+199500</f>
        <v>226129.2134831461</v>
      </c>
      <c r="P12" s="42"/>
      <c r="Q12" s="42"/>
      <c r="R12" s="42">
        <v>0</v>
      </c>
      <c r="S12" s="42">
        <v>6545.454545454545</v>
      </c>
      <c r="T12" s="42"/>
      <c r="U12" s="42"/>
      <c r="V12" s="42">
        <v>43931.185486393493</v>
      </c>
      <c r="W12" s="42">
        <v>18827.650922740071</v>
      </c>
      <c r="X12" s="42">
        <f>51442.3076923077+225000</f>
        <v>276442.30769230769</v>
      </c>
      <c r="Y12" s="42">
        <v>213062.3475</v>
      </c>
      <c r="Z12" s="42"/>
      <c r="AA12" s="42"/>
      <c r="AB12" s="42"/>
      <c r="AC12" s="42"/>
      <c r="AD12" s="42">
        <v>0</v>
      </c>
      <c r="AE12" s="42">
        <v>7536.5853658536589</v>
      </c>
      <c r="AF12" s="42">
        <f>169710.57543118+42638.8305738983</f>
        <v>212349.40600507832</v>
      </c>
      <c r="AG12" s="42">
        <f>180749.238313426+42638.8305738983</f>
        <v>223388.06888732431</v>
      </c>
      <c r="AH12" s="42">
        <v>0</v>
      </c>
      <c r="AI12" s="42">
        <v>47442.429417768071</v>
      </c>
      <c r="AJ12" s="42"/>
      <c r="AK12" s="42"/>
      <c r="AL12" s="42"/>
      <c r="AM12" s="42"/>
      <c r="AN12" s="42"/>
      <c r="AO12" s="42"/>
      <c r="AP12" s="42"/>
      <c r="AQ12" s="42"/>
      <c r="AR12" s="42">
        <v>428478.63117017527</v>
      </c>
      <c r="AS12" s="42">
        <v>86968.307173501264</v>
      </c>
      <c r="AT12" s="97"/>
      <c r="AU12" s="97"/>
    </row>
    <row r="13" spans="1:47" ht="36" x14ac:dyDescent="0.3">
      <c r="A13" s="3" t="s">
        <v>310</v>
      </c>
      <c r="B13" s="5" t="s">
        <v>106</v>
      </c>
      <c r="C13" s="5" t="s">
        <v>107</v>
      </c>
      <c r="D13" s="5">
        <v>8800.7000000000007</v>
      </c>
      <c r="E13" s="4">
        <f t="shared" si="1"/>
        <v>6545.454545454545</v>
      </c>
      <c r="F13" s="89"/>
      <c r="G13" s="89"/>
      <c r="H13" s="5"/>
      <c r="I13" s="42"/>
      <c r="J13" s="42"/>
      <c r="K13" s="42"/>
      <c r="L13" s="42"/>
      <c r="M13" s="42"/>
      <c r="N13" s="42"/>
      <c r="O13" s="42"/>
      <c r="P13" s="42"/>
      <c r="Q13" s="42"/>
      <c r="R13" s="42">
        <v>0</v>
      </c>
      <c r="S13" s="42">
        <v>6545.454545454545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97"/>
      <c r="AU13" s="97"/>
    </row>
    <row r="14" spans="1:47" ht="36" x14ac:dyDescent="0.3">
      <c r="A14" s="3" t="s">
        <v>311</v>
      </c>
      <c r="B14" s="5" t="s">
        <v>108</v>
      </c>
      <c r="C14" s="5" t="s">
        <v>107</v>
      </c>
      <c r="D14" s="5">
        <v>6435.4</v>
      </c>
      <c r="E14" s="4">
        <f t="shared" si="1"/>
        <v>3403933.1940787206</v>
      </c>
      <c r="F14" s="89">
        <v>164585.56701030899</v>
      </c>
      <c r="G14" s="89">
        <f>696000+164585.567010309</f>
        <v>860585.56701030897</v>
      </c>
      <c r="H14" s="5">
        <v>447525</v>
      </c>
      <c r="I14" s="42">
        <v>0</v>
      </c>
      <c r="J14" s="42">
        <v>0</v>
      </c>
      <c r="K14" s="42">
        <v>705500</v>
      </c>
      <c r="L14" s="42">
        <v>20400</v>
      </c>
      <c r="M14" s="42">
        <v>7300</v>
      </c>
      <c r="N14" s="42">
        <v>0</v>
      </c>
      <c r="O14" s="42">
        <v>10651.685393258427</v>
      </c>
      <c r="P14" s="42">
        <v>0</v>
      </c>
      <c r="Q14" s="42">
        <v>79990</v>
      </c>
      <c r="R14" s="42">
        <v>0</v>
      </c>
      <c r="S14" s="42">
        <v>6545.454545454545</v>
      </c>
      <c r="T14" s="42"/>
      <c r="U14" s="42"/>
      <c r="V14" s="42">
        <v>19272.44291523303</v>
      </c>
      <c r="W14" s="42">
        <f>21600+8259.6</f>
        <v>29859.599999999999</v>
      </c>
      <c r="X14" s="42">
        <f>11317.3076923077+37500</f>
        <v>48817.307692307702</v>
      </c>
      <c r="Y14" s="42">
        <v>35510.391250000001</v>
      </c>
      <c r="Z14" s="42">
        <v>0</v>
      </c>
      <c r="AA14" s="42">
        <v>51464.1</v>
      </c>
      <c r="AB14" s="42"/>
      <c r="AC14" s="42"/>
      <c r="AD14" s="42"/>
      <c r="AE14" s="42"/>
      <c r="AF14" s="42">
        <f>96216.6714060274+24173.8992401784</f>
        <v>120390.5706462058</v>
      </c>
      <c r="AG14" s="42">
        <f>102474.993237796+24173.8992401784</f>
        <v>126648.89247797441</v>
      </c>
      <c r="AH14" s="42">
        <v>0</v>
      </c>
      <c r="AI14" s="42">
        <v>26897.278678099257</v>
      </c>
      <c r="AJ14" s="42"/>
      <c r="AK14" s="42"/>
      <c r="AL14" s="42"/>
      <c r="AM14" s="42"/>
      <c r="AN14" s="42"/>
      <c r="AO14" s="42"/>
      <c r="AP14" s="42"/>
      <c r="AQ14" s="42"/>
      <c r="AR14" s="42">
        <f>242924.093298612+213116.039499527</f>
        <v>456040.13279813901</v>
      </c>
      <c r="AS14" s="42">
        <f>49306.3028794247+136642.900782006</f>
        <v>185949.20366143071</v>
      </c>
      <c r="AT14" s="97"/>
      <c r="AU14" s="97"/>
    </row>
    <row r="15" spans="1:47" ht="36" x14ac:dyDescent="0.3">
      <c r="A15" s="3" t="s">
        <v>312</v>
      </c>
      <c r="B15" s="5" t="s">
        <v>132</v>
      </c>
      <c r="C15" s="5" t="s">
        <v>133</v>
      </c>
      <c r="D15" s="5">
        <v>14009.5</v>
      </c>
      <c r="E15" s="4">
        <f t="shared" si="1"/>
        <v>4260629.8191586649</v>
      </c>
      <c r="F15" s="89">
        <v>347687.01030927838</v>
      </c>
      <c r="G15" s="89">
        <v>347687.01030927838</v>
      </c>
      <c r="H15" s="5">
        <v>560000</v>
      </c>
      <c r="I15" s="42">
        <v>0</v>
      </c>
      <c r="J15" s="42"/>
      <c r="L15" s="42">
        <v>55640</v>
      </c>
      <c r="M15" s="42">
        <v>19860</v>
      </c>
      <c r="N15" s="42"/>
      <c r="O15" s="42"/>
      <c r="P15" s="42"/>
      <c r="Q15" s="42"/>
      <c r="R15" s="42">
        <v>0</v>
      </c>
      <c r="S15" s="42">
        <v>13090.90909090909</v>
      </c>
      <c r="T15" s="42"/>
      <c r="U15" s="42"/>
      <c r="V15" s="42"/>
      <c r="W15" s="42"/>
      <c r="X15" s="42">
        <f>20155+299055.2</f>
        <v>319210.2</v>
      </c>
      <c r="Y15" s="42">
        <f>7455+104080.68</f>
        <v>111535.67999999999</v>
      </c>
      <c r="Z15" s="42"/>
      <c r="AA15" s="42"/>
      <c r="AB15" s="42"/>
      <c r="AC15" s="42"/>
      <c r="AD15" s="42"/>
      <c r="AE15" s="42"/>
      <c r="AF15" s="42">
        <f>209458.224517938+52625.2045568697</f>
        <v>262083.4290748077</v>
      </c>
      <c r="AG15" s="42">
        <f>223082.235411148+52625.2045568697</f>
        <v>275707.43996801769</v>
      </c>
      <c r="AH15" s="42">
        <v>0</v>
      </c>
      <c r="AI15" s="42">
        <v>58553.846791315467</v>
      </c>
      <c r="AJ15" s="42"/>
      <c r="AK15" s="42"/>
      <c r="AL15" s="42">
        <v>0</v>
      </c>
      <c r="AM15" s="42">
        <v>492000</v>
      </c>
      <c r="AN15" s="42"/>
      <c r="AO15" s="42"/>
      <c r="AP15" s="42"/>
      <c r="AQ15" s="42"/>
      <c r="AR15" s="42">
        <f>528831.942857772+463941.504081895</f>
        <v>992773.44693966699</v>
      </c>
      <c r="AS15" s="42">
        <f>107337.018707353+297463.827968038</f>
        <v>404800.84667539096</v>
      </c>
      <c r="AT15" s="97"/>
      <c r="AU15" s="97"/>
    </row>
    <row r="16" spans="1:47" ht="36" x14ac:dyDescent="0.3">
      <c r="A16" s="3" t="s">
        <v>313</v>
      </c>
      <c r="B16" s="5" t="s">
        <v>134</v>
      </c>
      <c r="C16" s="5" t="s">
        <v>135</v>
      </c>
      <c r="D16" s="5">
        <v>11408</v>
      </c>
      <c r="E16" s="4">
        <f t="shared" si="1"/>
        <v>4136203.9876294956</v>
      </c>
      <c r="F16" s="89">
        <v>197502.68041237112</v>
      </c>
      <c r="G16" s="89">
        <v>197502.68041237112</v>
      </c>
      <c r="H16" s="5">
        <v>447525</v>
      </c>
      <c r="I16" s="42">
        <v>0</v>
      </c>
      <c r="J16" s="42"/>
      <c r="K16" s="42"/>
      <c r="L16" s="42">
        <v>49670</v>
      </c>
      <c r="M16" s="42">
        <v>17730</v>
      </c>
      <c r="N16" s="42">
        <v>0</v>
      </c>
      <c r="O16" s="42">
        <f>29880+5325.84</f>
        <v>35205.839999999997</v>
      </c>
      <c r="P16" s="42"/>
      <c r="Q16" s="42"/>
      <c r="R16" s="42">
        <v>0</v>
      </c>
      <c r="S16" s="42">
        <v>9818.181818181818</v>
      </c>
      <c r="T16" s="42"/>
      <c r="U16" s="42"/>
      <c r="V16" s="42"/>
      <c r="W16" s="42"/>
      <c r="X16" s="42">
        <f>34266+299055.2</f>
        <v>333321.2</v>
      </c>
      <c r="Y16" s="42">
        <f>12673.76+104080.68</f>
        <v>116754.43999999999</v>
      </c>
      <c r="Z16" s="42"/>
      <c r="AA16" s="42"/>
      <c r="AB16" s="42"/>
      <c r="AC16" s="42"/>
      <c r="AD16" s="42">
        <v>0</v>
      </c>
      <c r="AE16" s="42">
        <v>7536.5853658536589</v>
      </c>
      <c r="AF16" s="42">
        <f>170562.791341635+42852.945043347</f>
        <v>213415.73638498198</v>
      </c>
      <c r="AG16" s="42">
        <f>181656.885796807+42852.945043347</f>
        <v>224509.830840154</v>
      </c>
      <c r="AH16" s="42">
        <v>0</v>
      </c>
      <c r="AI16" s="42">
        <v>47680.665562320341</v>
      </c>
      <c r="AJ16" s="42">
        <v>0</v>
      </c>
      <c r="AK16" s="42">
        <v>1099980</v>
      </c>
      <c r="AL16" s="42"/>
      <c r="AM16" s="42"/>
      <c r="AN16" s="42"/>
      <c r="AO16" s="42"/>
      <c r="AP16" s="42"/>
      <c r="AQ16" s="42"/>
      <c r="AR16" s="42">
        <f>430630.272609405+377789.691178576</f>
        <v>808419.96378798096</v>
      </c>
      <c r="AS16" s="42">
        <f>87405.0258334334+242226.157211847</f>
        <v>329631.1830452804</v>
      </c>
      <c r="AT16" s="97"/>
      <c r="AU16" s="97"/>
    </row>
    <row r="17" spans="1:53" ht="36" x14ac:dyDescent="0.3">
      <c r="A17" s="3" t="s">
        <v>314</v>
      </c>
      <c r="B17" s="5" t="s">
        <v>138</v>
      </c>
      <c r="C17" s="5" t="s">
        <v>139</v>
      </c>
      <c r="D17" s="5">
        <v>7858.3</v>
      </c>
      <c r="E17" s="4">
        <f t="shared" si="1"/>
        <v>7197079.490148142</v>
      </c>
      <c r="F17" s="89">
        <f>1491867.68301453+209846.597938144</f>
        <v>1701714.2809526739</v>
      </c>
      <c r="G17" s="89">
        <f>635335.425612788+209846.597938144</f>
        <v>845182.02355093195</v>
      </c>
      <c r="H17" s="5">
        <v>447525</v>
      </c>
      <c r="I17" s="42">
        <v>0</v>
      </c>
      <c r="J17" s="42">
        <f>117714.6+1932991.1493528</f>
        <v>2050705.7493528002</v>
      </c>
      <c r="K17" s="42">
        <f>117714.6+818797.274890011</f>
        <v>936511.87489001092</v>
      </c>
      <c r="L17" s="42">
        <v>42215</v>
      </c>
      <c r="M17" s="42">
        <v>15075</v>
      </c>
      <c r="N17" s="42">
        <v>0</v>
      </c>
      <c r="O17" s="42">
        <v>37280.898876404492</v>
      </c>
      <c r="P17" s="42"/>
      <c r="Q17" s="42"/>
      <c r="R17" s="42">
        <v>0</v>
      </c>
      <c r="S17" s="42">
        <v>9818.181818181818</v>
      </c>
      <c r="T17" s="42"/>
      <c r="U17" s="42"/>
      <c r="V17" s="42"/>
      <c r="W17" s="42"/>
      <c r="X17" s="42">
        <f>12461.8+299055.2</f>
        <v>311517</v>
      </c>
      <c r="Y17" s="42">
        <f>4104.2+104080.68</f>
        <v>108184.87999999999</v>
      </c>
      <c r="Z17" s="42"/>
      <c r="AA17" s="42"/>
      <c r="AB17" s="42"/>
      <c r="AC17" s="42"/>
      <c r="AD17" s="42"/>
      <c r="AE17" s="42"/>
      <c r="AF17" s="42">
        <f>117490.671739128+29518.8725485741</f>
        <v>147009.5442877021</v>
      </c>
      <c r="AG17" s="42">
        <f>125132.740678213+29518.8725485741</f>
        <v>154651.6132267871</v>
      </c>
      <c r="AH17" s="42">
        <v>0</v>
      </c>
      <c r="AI17" s="42">
        <v>32844.405170790844</v>
      </c>
      <c r="AJ17" s="42"/>
      <c r="AK17" s="42"/>
      <c r="AL17" s="42"/>
      <c r="AM17" s="42"/>
      <c r="AN17" s="42"/>
      <c r="AO17" s="42"/>
      <c r="AP17" s="42"/>
      <c r="AQ17" s="42"/>
      <c r="AR17" s="42">
        <v>296635.85827897</v>
      </c>
      <c r="AS17" s="42">
        <v>60208.179742888293</v>
      </c>
      <c r="AT17" s="97"/>
      <c r="AU17" s="97"/>
    </row>
    <row r="18" spans="1:53" ht="36" x14ac:dyDescent="0.3">
      <c r="A18" s="3" t="s">
        <v>315</v>
      </c>
      <c r="B18" s="5" t="s">
        <v>140</v>
      </c>
      <c r="C18" s="5" t="s">
        <v>141</v>
      </c>
      <c r="D18" s="5">
        <v>7847.8</v>
      </c>
      <c r="E18" s="4">
        <f t="shared" si="1"/>
        <v>7279636.5849520294</v>
      </c>
      <c r="F18" s="89">
        <f>1489874.2988638+209846.597938144</f>
        <v>1699720.8968019439</v>
      </c>
      <c r="G18" s="89">
        <f>634486.511475006+209846.597938144</f>
        <v>844333.10941315</v>
      </c>
      <c r="H18" s="5">
        <v>447525</v>
      </c>
      <c r="I18" s="42">
        <v>0</v>
      </c>
      <c r="J18" s="42">
        <f>117714.6+1930408.3506472</f>
        <v>2048122.9506472</v>
      </c>
      <c r="K18" s="42">
        <f>117714.6+817703.225109989</f>
        <v>935417.82510998903</v>
      </c>
      <c r="L18" s="42">
        <v>42215</v>
      </c>
      <c r="M18" s="42">
        <v>15075</v>
      </c>
      <c r="N18" s="42">
        <v>0</v>
      </c>
      <c r="O18" s="42">
        <v>37280.898876404492</v>
      </c>
      <c r="P18" s="42"/>
      <c r="Q18" s="42"/>
      <c r="R18" s="42">
        <v>0</v>
      </c>
      <c r="S18" s="42">
        <v>9818.181818181818</v>
      </c>
      <c r="T18" s="42"/>
      <c r="U18" s="42"/>
      <c r="V18" s="42"/>
      <c r="W18" s="42"/>
      <c r="X18" s="42">
        <f>12461.8+299055.2</f>
        <v>311517</v>
      </c>
      <c r="Y18" s="42">
        <f>4104.2+104080.68+45000+45000</f>
        <v>198184.88</v>
      </c>
      <c r="Z18" s="42"/>
      <c r="AA18" s="42"/>
      <c r="AB18" s="42"/>
      <c r="AC18" s="42"/>
      <c r="AD18" s="42"/>
      <c r="AE18" s="42"/>
      <c r="AF18" s="42">
        <f>117333.684597729+29479.4304094651</f>
        <v>146813.11500719411</v>
      </c>
      <c r="AG18" s="42">
        <f>124965.54245759+29479.4304094651</f>
        <v>154444.9728670551</v>
      </c>
      <c r="AH18" s="42">
        <v>0</v>
      </c>
      <c r="AI18" s="42">
        <v>32800.519565215422</v>
      </c>
      <c r="AJ18" s="42"/>
      <c r="AK18" s="42"/>
      <c r="AL18" s="42"/>
      <c r="AM18" s="42"/>
      <c r="AN18" s="42"/>
      <c r="AO18" s="42"/>
      <c r="AP18" s="42"/>
      <c r="AQ18" s="42"/>
      <c r="AR18" s="42">
        <v>296239.50327700662</v>
      </c>
      <c r="AS18" s="42">
        <v>60127.731568690273</v>
      </c>
      <c r="AT18" s="97"/>
      <c r="AU18" s="97"/>
    </row>
    <row r="19" spans="1:53" ht="36" x14ac:dyDescent="0.3">
      <c r="A19" s="3" t="s">
        <v>316</v>
      </c>
      <c r="B19" s="87" t="s">
        <v>521</v>
      </c>
      <c r="C19" s="87" t="s">
        <v>170</v>
      </c>
      <c r="D19" s="87">
        <v>3021.3</v>
      </c>
      <c r="E19" s="4">
        <f t="shared" ref="E19:E20" si="2">SUM(F19:AU19)</f>
        <v>0</v>
      </c>
      <c r="F19" s="89"/>
      <c r="G19" s="89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</row>
    <row r="20" spans="1:53" ht="36" x14ac:dyDescent="0.3">
      <c r="A20" s="3" t="s">
        <v>520</v>
      </c>
      <c r="B20" s="87" t="s">
        <v>522</v>
      </c>
      <c r="C20" s="87" t="s">
        <v>176</v>
      </c>
      <c r="D20" s="87">
        <v>3989.9</v>
      </c>
      <c r="E20" s="4">
        <f t="shared" si="2"/>
        <v>0</v>
      </c>
      <c r="F20" s="89"/>
      <c r="G20" s="89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</row>
    <row r="21" spans="1:53" s="50" customFormat="1" ht="17.399999999999999" x14ac:dyDescent="0.3">
      <c r="A21" s="48"/>
      <c r="B21" s="49" t="s">
        <v>318</v>
      </c>
      <c r="C21" s="49"/>
      <c r="D21" s="49">
        <f>SUM(D4:D20)</f>
        <v>90513.400000000009</v>
      </c>
      <c r="E21" s="49">
        <f>SUM(E4:E20)</f>
        <v>44472510.252067059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92"/>
      <c r="AW21" s="92"/>
      <c r="AX21" s="92"/>
      <c r="AY21" s="92"/>
      <c r="AZ21" s="92"/>
      <c r="BA21" s="92"/>
    </row>
    <row r="22" spans="1:53" x14ac:dyDescent="0.3">
      <c r="A22" s="3"/>
      <c r="B22" s="49" t="s">
        <v>317</v>
      </c>
      <c r="C22" s="5"/>
      <c r="D22" s="5"/>
      <c r="E22" s="4"/>
      <c r="F22" s="89"/>
      <c r="G22" s="89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87"/>
      <c r="AU22" s="87"/>
    </row>
    <row r="23" spans="1:53" ht="36" x14ac:dyDescent="0.3">
      <c r="A23" s="3" t="s">
        <v>301</v>
      </c>
      <c r="B23" s="42" t="s">
        <v>14</v>
      </c>
      <c r="C23" s="42" t="s">
        <v>12</v>
      </c>
      <c r="D23" s="42">
        <v>1909.4</v>
      </c>
      <c r="E23" s="46">
        <f>SUM(F23:AU23)</f>
        <v>0</v>
      </c>
      <c r="F23" s="89"/>
      <c r="G23" s="89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95"/>
      <c r="Y23" s="95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87"/>
      <c r="AU23" s="87"/>
    </row>
    <row r="24" spans="1:53" ht="36" x14ac:dyDescent="0.3">
      <c r="A24" s="3" t="s">
        <v>302</v>
      </c>
      <c r="B24" s="42" t="s">
        <v>30</v>
      </c>
      <c r="C24" s="42" t="s">
        <v>31</v>
      </c>
      <c r="D24" s="42">
        <v>3918.8</v>
      </c>
      <c r="E24" s="46">
        <f t="shared" ref="E24:E37" si="3">SUM(F24:AU24)</f>
        <v>1867187.23</v>
      </c>
      <c r="F24" s="90">
        <v>906162.68400000001</v>
      </c>
      <c r="G24" s="90">
        <v>388355.43600000005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95">
        <f>168524.33*0.7</f>
        <v>117967.03099999999</v>
      </c>
      <c r="Y24" s="95">
        <f>168524.33*0.3</f>
        <v>50557.298999999992</v>
      </c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>
        <f>404144.78*0.7</f>
        <v>282901.34600000002</v>
      </c>
      <c r="AS24" s="42">
        <f>404144.78*0.3</f>
        <v>121243.43400000001</v>
      </c>
      <c r="AT24" s="87"/>
      <c r="AU24" s="87"/>
    </row>
    <row r="25" spans="1:53" ht="36" x14ac:dyDescent="0.3">
      <c r="A25" s="3" t="s">
        <v>303</v>
      </c>
      <c r="B25" s="42" t="s">
        <v>30</v>
      </c>
      <c r="C25" s="42" t="s">
        <v>41</v>
      </c>
      <c r="D25" s="42">
        <v>1239.3</v>
      </c>
      <c r="E25" s="46">
        <f t="shared" si="3"/>
        <v>2102251.4500000002</v>
      </c>
      <c r="F25" s="90">
        <f>906162.684+36806.24</f>
        <v>942968.924</v>
      </c>
      <c r="G25" s="90">
        <v>388355.43600000005</v>
      </c>
      <c r="H25" s="42">
        <v>204190.27</v>
      </c>
      <c r="I25" s="42"/>
      <c r="J25" s="42"/>
      <c r="K25" s="42"/>
      <c r="L25" s="42">
        <f>(440.1+2974.32+440.1+2974.32+440.1+2974.32+1760.4+11897.28)*0.7</f>
        <v>16730.657999999999</v>
      </c>
      <c r="M25" s="89">
        <f>(440.1+2974.32+440.1+2974.32+440.1+2974.32+1760.4+11897.28)*0.3</f>
        <v>7170.2820000000002</v>
      </c>
      <c r="N25" s="42"/>
      <c r="O25" s="42"/>
      <c r="P25" s="42"/>
      <c r="Q25" s="42"/>
      <c r="R25" s="42"/>
      <c r="S25" s="42"/>
      <c r="T25" s="42">
        <f>(156000*0.7)-21859.57</f>
        <v>87340.43</v>
      </c>
      <c r="U25" s="42">
        <f>156000*0.3</f>
        <v>46800</v>
      </c>
      <c r="V25" s="42">
        <f>76112.75*0.7</f>
        <v>53278.924999999996</v>
      </c>
      <c r="W25" s="42">
        <f>76112.75*0.3</f>
        <v>22833.825000000001</v>
      </c>
      <c r="X25" s="95"/>
      <c r="Y25" s="95"/>
      <c r="Z25" s="42"/>
      <c r="AA25" s="42"/>
      <c r="AB25" s="42"/>
      <c r="AC25" s="42"/>
      <c r="AD25" s="42"/>
      <c r="AE25" s="42"/>
      <c r="AF25" s="42">
        <f>(133052.21+107166.49)*0.7</f>
        <v>168153.09</v>
      </c>
      <c r="AG25" s="97">
        <f>(133052.21+107166.49)*0.3</f>
        <v>72065.61</v>
      </c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>
        <f>92364*0.7</f>
        <v>64654.799999999996</v>
      </c>
      <c r="AS25" s="42">
        <f>92364*0.3</f>
        <v>27709.200000000001</v>
      </c>
      <c r="AT25" s="87"/>
      <c r="AU25" s="87"/>
    </row>
    <row r="26" spans="1:53" ht="36" x14ac:dyDescent="0.3">
      <c r="A26" s="3" t="s">
        <v>304</v>
      </c>
      <c r="B26" s="42" t="s">
        <v>30</v>
      </c>
      <c r="C26" s="42" t="s">
        <v>47</v>
      </c>
      <c r="D26" s="42">
        <v>1971</v>
      </c>
      <c r="E26" s="46">
        <f t="shared" si="3"/>
        <v>2164223.3099999996</v>
      </c>
      <c r="F26" s="90">
        <f>906162.684+(58537.15*0.7)</f>
        <v>947138.68900000001</v>
      </c>
      <c r="G26" s="90">
        <f>388355.436+(58537.15*0.3)</f>
        <v>405916.58100000001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95"/>
      <c r="Y26" s="95"/>
      <c r="Z26" s="42"/>
      <c r="AA26" s="42"/>
      <c r="AB26" s="42"/>
      <c r="AC26" s="42"/>
      <c r="AD26" s="42"/>
      <c r="AE26" s="42"/>
      <c r="AF26" s="42">
        <f>211608.09*0.7</f>
        <v>148125.663</v>
      </c>
      <c r="AG26" s="42">
        <f>211608.09*0.3</f>
        <v>63482.426999999996</v>
      </c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>
        <f>599559.95*0.7</f>
        <v>419691.96499999997</v>
      </c>
      <c r="AS26" s="99">
        <f>599559.95*0.3</f>
        <v>179867.98499999999</v>
      </c>
      <c r="AT26" s="87"/>
      <c r="AU26" s="87"/>
    </row>
    <row r="27" spans="1:53" ht="36" x14ac:dyDescent="0.3">
      <c r="A27" s="3" t="s">
        <v>305</v>
      </c>
      <c r="B27" s="42" t="s">
        <v>53</v>
      </c>
      <c r="C27" s="42" t="s">
        <v>54</v>
      </c>
      <c r="D27" s="42">
        <v>971.9</v>
      </c>
      <c r="E27" s="46">
        <f t="shared" si="3"/>
        <v>2029066.77</v>
      </c>
      <c r="F27" s="90">
        <f>906162.684+17908.63</f>
        <v>924071.31400000001</v>
      </c>
      <c r="G27" s="90">
        <v>388355.43600000005</v>
      </c>
      <c r="H27" s="42">
        <v>35697.599999999999</v>
      </c>
      <c r="I27" s="42"/>
      <c r="J27" s="42">
        <f>((8938.85+32200+18000+4191+44694.25+15624+18300+13800+8000+11100+24050+33200)*0.7)+6257.2</f>
        <v>168725.87</v>
      </c>
      <c r="K27" s="87">
        <f>((8938.85+32200+18000+4191+44694.25+15624+18300+13800+8000+11100+24050+33200)*0.3)+6257.2+15658.42</f>
        <v>91545.049999999988</v>
      </c>
      <c r="L27" s="42">
        <f>(18844+2988+2335.2+2988+2335.2+4440+2988+2335.2+11120+11952+9340.8)*0.7</f>
        <v>50166.479999999996</v>
      </c>
      <c r="M27" s="89">
        <f>(18844+2988+2335.2+2988+2335.2+4440+2988+2335.2+11120+11952+9340.8)*0.3</f>
        <v>21499.919999999998</v>
      </c>
      <c r="N27" s="42"/>
      <c r="O27" s="42"/>
      <c r="P27" s="42"/>
      <c r="Q27" s="42"/>
      <c r="R27" s="42"/>
      <c r="S27" s="42"/>
      <c r="T27" s="42">
        <f>(143325*0.7)-21859.57</f>
        <v>78467.929999999993</v>
      </c>
      <c r="U27" s="42">
        <f>143325*0.3</f>
        <v>42997.5</v>
      </c>
      <c r="V27" s="42">
        <f>21467.7*0.7</f>
        <v>15027.39</v>
      </c>
      <c r="W27" s="42">
        <f>21467.7*0.3</f>
        <v>6440.31</v>
      </c>
      <c r="X27" s="95"/>
      <c r="Y27" s="95"/>
      <c r="Z27" s="42"/>
      <c r="AA27" s="42"/>
      <c r="AB27" s="42"/>
      <c r="AC27" s="42"/>
      <c r="AD27" s="42"/>
      <c r="AE27" s="42"/>
      <c r="AF27" s="42">
        <f>(104343.94+63904.03)*0.7</f>
        <v>117773.579</v>
      </c>
      <c r="AG27" s="42">
        <f>(104343.94+63904.03)*0.3</f>
        <v>50474.390999999996</v>
      </c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>
        <f>37824*0.7</f>
        <v>26476.799999999999</v>
      </c>
      <c r="AS27" s="42">
        <f>37824*0.3</f>
        <v>11347.199999999999</v>
      </c>
      <c r="AT27" s="87"/>
      <c r="AU27" s="87"/>
    </row>
    <row r="28" spans="1:53" s="24" customFormat="1" ht="37.5" customHeight="1" x14ac:dyDescent="0.3">
      <c r="A28" s="3" t="s">
        <v>306</v>
      </c>
      <c r="B28" s="46" t="s">
        <v>55</v>
      </c>
      <c r="C28" s="46" t="s">
        <v>56</v>
      </c>
      <c r="D28" s="46">
        <v>637.79999999999995</v>
      </c>
      <c r="E28" s="46">
        <f t="shared" si="3"/>
        <v>0</v>
      </c>
      <c r="F28" s="90"/>
      <c r="G28" s="90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96"/>
      <c r="Y28" s="9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88"/>
      <c r="AU28" s="88"/>
      <c r="AV28" s="36"/>
      <c r="AW28" s="36"/>
      <c r="AX28" s="36"/>
      <c r="AY28" s="36"/>
      <c r="AZ28" s="36"/>
      <c r="BA28" s="36"/>
    </row>
    <row r="29" spans="1:53" s="24" customFormat="1" ht="37.5" customHeight="1" x14ac:dyDescent="0.3">
      <c r="A29" s="3" t="s">
        <v>307</v>
      </c>
      <c r="B29" s="46" t="s">
        <v>57</v>
      </c>
      <c r="C29" s="46" t="s">
        <v>58</v>
      </c>
      <c r="D29" s="46">
        <f>676.6</f>
        <v>676.6</v>
      </c>
      <c r="E29" s="46">
        <f t="shared" si="3"/>
        <v>1673310.3199999998</v>
      </c>
      <c r="F29" s="90">
        <v>906164.36399999994</v>
      </c>
      <c r="G29" s="90">
        <v>388356.15600000002</v>
      </c>
      <c r="H29" s="46">
        <v>0</v>
      </c>
      <c r="I29" s="46">
        <v>45871.75</v>
      </c>
      <c r="J29" s="46">
        <f>(30596.91*0.7)+21417.84</f>
        <v>42835.676999999996</v>
      </c>
      <c r="K29" s="46">
        <f>(30569.91*0.3)+9170.97</f>
        <v>18341.942999999999</v>
      </c>
      <c r="L29" s="46">
        <f>(4130.53+1570.5+1623.84+1570.5+1623.84+6282+6495.36)*0.7</f>
        <v>16307.598999999998</v>
      </c>
      <c r="M29" s="90">
        <f>(4130.53+1570.5+1623.84+1570.5+1623.84+6282+6495.36)*0.3</f>
        <v>6988.9709999999995</v>
      </c>
      <c r="N29" s="46"/>
      <c r="O29" s="46"/>
      <c r="P29" s="46"/>
      <c r="Q29" s="46"/>
      <c r="R29" s="46"/>
      <c r="S29" s="46"/>
      <c r="T29" s="46"/>
      <c r="U29" s="46"/>
      <c r="V29" s="46">
        <f>1951.61*0.7</f>
        <v>1366.127</v>
      </c>
      <c r="W29" s="46">
        <f>1951.61*0.3</f>
        <v>585.48299999999995</v>
      </c>
      <c r="X29" s="96"/>
      <c r="Y29" s="96"/>
      <c r="Z29" s="46"/>
      <c r="AA29" s="46"/>
      <c r="AB29" s="46"/>
      <c r="AC29" s="46"/>
      <c r="AD29" s="46"/>
      <c r="AE29" s="46"/>
      <c r="AF29" s="46">
        <f>(72640.3+115507.95)*0.7</f>
        <v>131703.77499999999</v>
      </c>
      <c r="AG29" s="98">
        <f>(72640.3+115507.95)*0.3</f>
        <v>56444.474999999999</v>
      </c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>
        <f>(26520+31824)*0.7</f>
        <v>40840.799999999996</v>
      </c>
      <c r="AS29" s="46">
        <f>(26520+31824)*0.3</f>
        <v>17503.2</v>
      </c>
      <c r="AT29" s="88"/>
      <c r="AU29" s="88"/>
      <c r="AV29" s="36"/>
      <c r="AW29" s="36"/>
      <c r="AX29" s="36"/>
      <c r="AY29" s="36"/>
      <c r="AZ29" s="36"/>
      <c r="BA29" s="36"/>
    </row>
    <row r="30" spans="1:53" ht="36" x14ac:dyDescent="0.3">
      <c r="A30" s="3" t="s">
        <v>308</v>
      </c>
      <c r="B30" s="42" t="s">
        <v>30</v>
      </c>
      <c r="C30" s="42" t="s">
        <v>68</v>
      </c>
      <c r="D30" s="42">
        <v>4466.7</v>
      </c>
      <c r="E30" s="46">
        <f t="shared" si="3"/>
        <v>3938208.3379999995</v>
      </c>
      <c r="F30" s="90">
        <v>906162.68400000001</v>
      </c>
      <c r="G30" s="90">
        <v>388355.43600000005</v>
      </c>
      <c r="H30" s="42"/>
      <c r="I30" s="42">
        <v>7182</v>
      </c>
      <c r="J30" s="42">
        <f>2275408.48*0.7</f>
        <v>1592785.936</v>
      </c>
      <c r="K30" s="42">
        <f>2275408.84*0.3</f>
        <v>682622.65199999989</v>
      </c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95"/>
      <c r="Y30" s="95">
        <v>91339.63</v>
      </c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>
        <f>269760*0.7</f>
        <v>188832</v>
      </c>
      <c r="AS30" s="42">
        <f>269760*0.3</f>
        <v>80928</v>
      </c>
      <c r="AT30" s="87"/>
      <c r="AU30" s="87"/>
    </row>
    <row r="31" spans="1:53" ht="36" x14ac:dyDescent="0.3">
      <c r="A31" s="3" t="s">
        <v>309</v>
      </c>
      <c r="B31" s="5" t="s">
        <v>104</v>
      </c>
      <c r="C31" s="5" t="s">
        <v>105</v>
      </c>
      <c r="D31" s="5">
        <v>11351</v>
      </c>
      <c r="E31" s="46">
        <f t="shared" si="3"/>
        <v>9179300.540000001</v>
      </c>
      <c r="F31" s="90">
        <f>(1294520.52+1390576.65)*0.7</f>
        <v>1879568.0189999999</v>
      </c>
      <c r="G31" s="90">
        <f>(1294520.52+1390576.65)*0.3</f>
        <v>805529.15099999995</v>
      </c>
      <c r="H31" s="42">
        <f>819616.9*0.7</f>
        <v>573731.82999999996</v>
      </c>
      <c r="I31" s="42">
        <f>819616.9*0.3</f>
        <v>245885.07</v>
      </c>
      <c r="J31" s="87">
        <f>((157921+1800+480+528+8530+24300+7200+5550+6500+70460+76750+50000+34290+789605+9000+2400+2640+210000+12150+36000+27750+32500+352300+92100)*0.7)</f>
        <v>1407527.7999999998</v>
      </c>
      <c r="K31" s="87">
        <f>((157921+1800+480+528+8530+24300+7200+5550+6500+70460+76750+50000+34290+789605+9000+2400+2640+210000+12150+36000+27750+32500+352300+92100)*0.3)</f>
        <v>603226.19999999995</v>
      </c>
      <c r="L31" s="42">
        <f>(33700+9000+22442.4+29644+9000+22442.4+45620+9000+22442.4+72728+36000+89769.6)*0.7</f>
        <v>281252.15999999992</v>
      </c>
      <c r="M31" s="89">
        <f>(33700+9000+22442.4+29644+9000+22442.4+45620+9000+22442.4+72728+36000+89769.6)*0.3</f>
        <v>120536.63999999997</v>
      </c>
      <c r="N31" s="42"/>
      <c r="O31" s="42"/>
      <c r="P31" s="42"/>
      <c r="Q31" s="42"/>
      <c r="R31" s="42"/>
      <c r="S31" s="42"/>
      <c r="T31" s="42"/>
      <c r="U31" s="42"/>
      <c r="V31" s="42">
        <f>286886.52*0.7</f>
        <v>200820.56400000001</v>
      </c>
      <c r="W31" s="42">
        <f>286886.52*0.3</f>
        <v>86065.956000000006</v>
      </c>
      <c r="X31" s="95">
        <f>548037.86*0.7</f>
        <v>383626.50199999998</v>
      </c>
      <c r="Y31" s="95">
        <f>548037.86*0.3</f>
        <v>164411.35799999998</v>
      </c>
      <c r="Z31" s="42"/>
      <c r="AA31" s="42"/>
      <c r="AB31" s="42"/>
      <c r="AC31" s="42"/>
      <c r="AD31" s="42"/>
      <c r="AE31" s="42"/>
      <c r="AF31" s="42">
        <f>(1222195.05+1000974.64)*0.7</f>
        <v>1556218.7829999998</v>
      </c>
      <c r="AG31" s="97">
        <f>(1222195.05+1000974.64)*0.3</f>
        <v>666950.90700000001</v>
      </c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>
        <f>203949.6*0.7</f>
        <v>142764.72</v>
      </c>
      <c r="AS31" s="42">
        <f>203949.6*0.3</f>
        <v>61184.88</v>
      </c>
      <c r="AT31" s="87"/>
      <c r="AU31" s="87"/>
    </row>
    <row r="32" spans="1:53" ht="36" x14ac:dyDescent="0.3">
      <c r="A32" s="3" t="s">
        <v>310</v>
      </c>
      <c r="B32" s="5" t="s">
        <v>106</v>
      </c>
      <c r="C32" s="5" t="s">
        <v>107</v>
      </c>
      <c r="D32" s="5">
        <v>8800.7000000000007</v>
      </c>
      <c r="E32" s="46">
        <f t="shared" si="3"/>
        <v>0</v>
      </c>
      <c r="F32" s="90"/>
      <c r="G32" s="90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95"/>
      <c r="Y32" s="95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99"/>
      <c r="AS32" s="99"/>
      <c r="AT32" s="87"/>
      <c r="AU32" s="87"/>
    </row>
    <row r="33" spans="1:53" ht="36" x14ac:dyDescent="0.3">
      <c r="A33" s="3" t="s">
        <v>311</v>
      </c>
      <c r="B33" s="5" t="s">
        <v>108</v>
      </c>
      <c r="C33" s="5" t="s">
        <v>107</v>
      </c>
      <c r="D33" s="5">
        <v>6435.4</v>
      </c>
      <c r="E33" s="46">
        <f>SUM(F33:AU33)</f>
        <v>14058180.289999999</v>
      </c>
      <c r="F33" s="90">
        <f>1812328.73+(452500.21*0.7)</f>
        <v>2129078.8769999999</v>
      </c>
      <c r="G33" s="90">
        <f>776712.31+(452500.21*0.3)</f>
        <v>912462.37300000002</v>
      </c>
      <c r="H33" s="42">
        <f>435510.72+(6405772.46*0.6)</f>
        <v>4278974.1959999995</v>
      </c>
      <c r="I33" s="42">
        <f>6405772.46*0.4</f>
        <v>2562308.9840000002</v>
      </c>
      <c r="K33" s="42"/>
      <c r="L33" s="42">
        <f>(21464+3766.5+15056.16+4364+3766.5+15056.16+21984+3766.5+15056.16+33156+15066+60224.64)*0.7</f>
        <v>148908.63399999999</v>
      </c>
      <c r="M33" s="89">
        <f>(21464+3766.5+15056.16+4364+3766.5+15056.16+21984+3766.5+15056.16+33156+15066+60224.64)*0.3</f>
        <v>63817.985999999997</v>
      </c>
      <c r="N33" s="42"/>
      <c r="O33" s="42"/>
      <c r="P33" s="42"/>
      <c r="Q33" s="42"/>
      <c r="R33" s="42"/>
      <c r="S33" s="42"/>
      <c r="T33" s="42">
        <f>(513045*0.7)-21859.57</f>
        <v>337271.93</v>
      </c>
      <c r="U33" s="42">
        <f>513045*0.3</f>
        <v>153913.5</v>
      </c>
      <c r="V33" s="42">
        <f>234193.08*0.7</f>
        <v>163935.15599999999</v>
      </c>
      <c r="W33" s="42">
        <f>234193.08*0.3</f>
        <v>70257.923999999999</v>
      </c>
      <c r="X33" s="42">
        <f>91339.63*0.7</f>
        <v>63937.741000000002</v>
      </c>
      <c r="Y33" s="95">
        <f>91339.63*0.3</f>
        <v>27401.888999999999</v>
      </c>
      <c r="Z33" s="42"/>
      <c r="AA33" s="42"/>
      <c r="AB33" s="42"/>
      <c r="AC33" s="42"/>
      <c r="AD33" s="42"/>
      <c r="AE33" s="42"/>
      <c r="AF33" s="42">
        <f>(944849.96+787348.55)*0.7</f>
        <v>1212538.9569999999</v>
      </c>
      <c r="AG33" s="97">
        <f>(944849.96+787348.55)*0.3</f>
        <v>519659.55299999996</v>
      </c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>
        <f>(969742.59+443970)*0.7</f>
        <v>989598.81299999985</v>
      </c>
      <c r="AS33" s="42">
        <f>(969742.59+443970)*0.3</f>
        <v>424113.77699999994</v>
      </c>
      <c r="AT33" s="87"/>
      <c r="AU33" s="87"/>
    </row>
    <row r="34" spans="1:53" ht="36" x14ac:dyDescent="0.3">
      <c r="A34" s="3" t="s">
        <v>312</v>
      </c>
      <c r="B34" s="5" t="s">
        <v>132</v>
      </c>
      <c r="C34" s="5" t="s">
        <v>133</v>
      </c>
      <c r="D34" s="5">
        <v>14009.5</v>
      </c>
      <c r="E34" s="46">
        <f t="shared" si="3"/>
        <v>7302650.4300000006</v>
      </c>
      <c r="F34" s="90">
        <f>906162.684+(416071.15*0.7)</f>
        <v>1197412.4890000001</v>
      </c>
      <c r="G34" s="90">
        <f>388355.436+(416071.15*0.3)</f>
        <v>513176.78099999996</v>
      </c>
      <c r="H34" s="42">
        <v>811787.22</v>
      </c>
      <c r="I34" s="42"/>
      <c r="J34" s="42"/>
      <c r="K34" s="42"/>
      <c r="L34" s="42">
        <f>(24680+4281.75+24480+36360+4281.75+24480+15668+4281.75+24480+56376+17127+97920)*0.7</f>
        <v>234091.37499999997</v>
      </c>
      <c r="M34" s="89">
        <f>(24680+4281.75+24480+36360+4281.75+24480+15668+4281.75+24480+56376+17127+97920)*0.3</f>
        <v>100324.875</v>
      </c>
      <c r="N34" s="42"/>
      <c r="O34" s="42"/>
      <c r="P34" s="42"/>
      <c r="Q34" s="42"/>
      <c r="R34" s="42"/>
      <c r="S34" s="42"/>
      <c r="T34" s="42">
        <f>(518310*0.7)-21859.57</f>
        <v>340957.43</v>
      </c>
      <c r="U34" s="42">
        <f>518310*0.3</f>
        <v>155493</v>
      </c>
      <c r="V34" s="42">
        <f>439112.03*0.7</f>
        <v>307378.42099999997</v>
      </c>
      <c r="W34" s="42">
        <f>439112.03*0.3</f>
        <v>131733.609</v>
      </c>
      <c r="X34" s="42">
        <f>337048.67*0.7</f>
        <v>235934.06899999996</v>
      </c>
      <c r="Y34" s="42">
        <f>337048.67*0.3</f>
        <v>101114.601</v>
      </c>
      <c r="Z34" s="42"/>
      <c r="AA34" s="42"/>
      <c r="AB34" s="42"/>
      <c r="AC34" s="42"/>
      <c r="AD34" s="42"/>
      <c r="AE34" s="42"/>
      <c r="AF34" s="42">
        <f>(1504124.44+1111110.12)*0.7</f>
        <v>1830664.192</v>
      </c>
      <c r="AG34" s="97">
        <f>(1504124.44+1111110.12)*0.3</f>
        <v>784570.36800000002</v>
      </c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>
        <f>558012*0.7</f>
        <v>390608.39999999997</v>
      </c>
      <c r="AS34" s="42">
        <f>558012*0.3</f>
        <v>167403.6</v>
      </c>
      <c r="AT34" s="87"/>
      <c r="AU34" s="87"/>
    </row>
    <row r="35" spans="1:53" ht="36" x14ac:dyDescent="0.3">
      <c r="A35" s="3" t="s">
        <v>313</v>
      </c>
      <c r="B35" s="5" t="s">
        <v>134</v>
      </c>
      <c r="C35" s="5" t="s">
        <v>135</v>
      </c>
      <c r="D35" s="5">
        <v>11408</v>
      </c>
      <c r="E35" s="46">
        <f t="shared" si="3"/>
        <v>8329707.5799999982</v>
      </c>
      <c r="F35" s="90">
        <f>906162.684+(359152.61*0.7)</f>
        <v>1157569.5109999999</v>
      </c>
      <c r="G35" s="90">
        <f>388355.436+(359152.61*0.3)</f>
        <v>496101.21899999998</v>
      </c>
      <c r="H35" s="42">
        <v>966453.02</v>
      </c>
      <c r="I35" s="42"/>
      <c r="J35" s="42">
        <f>((121660+1560+320+20000+24000+4800+6475+5525+70800+108900+66000+4191+608300+7800+1600+120000+120000+24000+32375+27625+354000+108900)*0.7)+178598-68601.32</f>
        <v>1397178.38</v>
      </c>
      <c r="K35" s="87">
        <f>((121660+1560+320+20000+24000+4800+6475+5525+70800+108900+66000+4191+608300+7800+1600+120000+120000+24000+32375+27625+354000)*0.3)+178598-68601.32</f>
        <v>628975.98</v>
      </c>
      <c r="L35" s="42">
        <f>(19216+4837.5+28881.6+4837.5+28881.6+40356+4837.5+28881.6+41392+19350+115526.4)*0.7</f>
        <v>235898.38999999998</v>
      </c>
      <c r="M35" s="89">
        <f>(19216+4837.5+28881.6+4837.5+28881.6+40356+4837.5+28881.6+41392+19350+115526.4)*0.3</f>
        <v>101099.31</v>
      </c>
      <c r="N35" s="42"/>
      <c r="O35" s="42"/>
      <c r="P35" s="42"/>
      <c r="Q35" s="42"/>
      <c r="R35" s="42"/>
      <c r="S35" s="42"/>
      <c r="T35" s="42"/>
      <c r="U35" s="42"/>
      <c r="V35" s="42">
        <f>251757.56*0.7</f>
        <v>176230.29199999999</v>
      </c>
      <c r="W35" s="42">
        <f>251757.56*0.3</f>
        <v>75527.267999999996</v>
      </c>
      <c r="X35" s="95">
        <f>337048.67*0.7</f>
        <v>235934.06899999996</v>
      </c>
      <c r="Y35" s="95">
        <f>337048.67*0.3</f>
        <v>101114.601</v>
      </c>
      <c r="Z35" s="42"/>
      <c r="AA35" s="42"/>
      <c r="AB35" s="42"/>
      <c r="AC35" s="42"/>
      <c r="AD35" s="42"/>
      <c r="AE35" s="42"/>
      <c r="AF35" s="42">
        <f>(1214572.44+1157907.1)*0.7</f>
        <v>1660735.6779999998</v>
      </c>
      <c r="AG35" s="97">
        <f>(1214572.44+1157907.1)*0.3</f>
        <v>711743.86199999996</v>
      </c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>
        <f>385146*0.7</f>
        <v>269602.2</v>
      </c>
      <c r="AS35" s="42">
        <f>385146*0.3</f>
        <v>115543.8</v>
      </c>
      <c r="AT35" s="87"/>
      <c r="AU35" s="87"/>
    </row>
    <row r="36" spans="1:53" ht="36" x14ac:dyDescent="0.3">
      <c r="A36" s="3" t="s">
        <v>314</v>
      </c>
      <c r="B36" s="5" t="s">
        <v>138</v>
      </c>
      <c r="C36" s="5" t="s">
        <v>139</v>
      </c>
      <c r="D36" s="5">
        <v>7858.3</v>
      </c>
      <c r="E36" s="46">
        <f t="shared" si="3"/>
        <v>8553257.5799999982</v>
      </c>
      <c r="F36" s="90">
        <f>1359246.55+(233376.43*0.7)</f>
        <v>1522610.051</v>
      </c>
      <c r="G36" s="90">
        <f>582534.23+(2377376.43*0.3)</f>
        <v>1295747.159</v>
      </c>
      <c r="H36" s="42">
        <f>1789877.66/2</f>
        <v>894938.83</v>
      </c>
      <c r="I36" s="42"/>
      <c r="J36" s="42">
        <f>((252839.5+640+960+42000+28080+480+8695+10400+128860+131305+47498+54788+11817.45+41518.32+1264197.5+3200+4800+210000+140400+24000+43475+52000+644300+131305)*0.7)/2+165534.08</f>
        <v>1312679.6495000001</v>
      </c>
      <c r="K36" s="87">
        <f>((252839.5+640+960+42000+28080+480+8695+10400+128860+131305+47498+54788+11817.45+41518.32+1264197.5+3200+4800+210000+140400+24000+43475+52000+644300+131305)*0.3)/2+165534.08</f>
        <v>657167.89549999998</v>
      </c>
      <c r="L36" s="42">
        <f>((54924+11817.45+41518.32+39444+11817.45+41518.32+54788+11817.45+41302.32+93748+10508.9+166073.28)*0.7)/2</f>
        <v>202747.12149999998</v>
      </c>
      <c r="M36" s="89">
        <f>((54924+11817.45+41518.32+39444+11817.45+41518.32+54788+11817.45+41302.32+93748+10508.9+166073.28)*0.3)/2</f>
        <v>86891.623500000002</v>
      </c>
      <c r="N36" s="42"/>
      <c r="O36" s="42"/>
      <c r="P36" s="42"/>
      <c r="Q36" s="42"/>
      <c r="R36" s="42"/>
      <c r="S36" s="42"/>
      <c r="T36" s="42"/>
      <c r="U36" s="42"/>
      <c r="V36" s="42">
        <f>(507418.34*0.7)/2</f>
        <v>177596.41899999999</v>
      </c>
      <c r="W36" s="115">
        <f>(507418.34*0.3)/2</f>
        <v>76112.751000000004</v>
      </c>
      <c r="X36" s="95">
        <f>337048.67*0.7</f>
        <v>235934.06899999996</v>
      </c>
      <c r="Y36" s="95">
        <f>337048.67*0.3</f>
        <v>101114.601</v>
      </c>
      <c r="Z36" s="42"/>
      <c r="AA36" s="42"/>
      <c r="AB36" s="42"/>
      <c r="AC36" s="42"/>
      <c r="AD36" s="42"/>
      <c r="AE36" s="42"/>
      <c r="AF36" s="42">
        <f>(843640.96+767696.65)*0.7</f>
        <v>1127936.3269999998</v>
      </c>
      <c r="AG36" s="97">
        <f>(843640.96+767696.65)*0.3</f>
        <v>483401.28299999994</v>
      </c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>
        <f>(756759.6*0.7)/2</f>
        <v>264865.86</v>
      </c>
      <c r="AS36" s="42">
        <f>(756759.6*0.3)/2</f>
        <v>113513.93999999999</v>
      </c>
      <c r="AT36" s="87"/>
      <c r="AU36" s="87"/>
    </row>
    <row r="37" spans="1:53" ht="36" x14ac:dyDescent="0.3">
      <c r="A37" s="3" t="s">
        <v>315</v>
      </c>
      <c r="B37" s="5" t="s">
        <v>140</v>
      </c>
      <c r="C37" s="5" t="s">
        <v>141</v>
      </c>
      <c r="D37" s="5">
        <v>7847.8</v>
      </c>
      <c r="E37" s="46">
        <f t="shared" si="3"/>
        <v>7983176.9800000004</v>
      </c>
      <c r="F37" s="90">
        <f>1359246.55+(233376.43*0.7)</f>
        <v>1522610.051</v>
      </c>
      <c r="G37" s="90">
        <f>582534.23+(233376.43*0.3)</f>
        <v>652547.15899999999</v>
      </c>
      <c r="H37" s="42">
        <f>H36</f>
        <v>894938.83</v>
      </c>
      <c r="I37" s="42"/>
      <c r="J37" s="42">
        <f>J36</f>
        <v>1312679.6495000001</v>
      </c>
      <c r="K37" s="42">
        <f>K36</f>
        <v>657167.89549999998</v>
      </c>
      <c r="L37" s="42">
        <f>L36</f>
        <v>202747.12149999998</v>
      </c>
      <c r="M37" s="42">
        <f>M36</f>
        <v>86891.623500000002</v>
      </c>
      <c r="N37" s="42"/>
      <c r="O37" s="42"/>
      <c r="P37" s="42"/>
      <c r="Q37" s="42"/>
      <c r="R37" s="42"/>
      <c r="S37" s="42"/>
      <c r="T37" s="42"/>
      <c r="U37" s="42"/>
      <c r="V37" s="42">
        <f>V36</f>
        <v>177596.41899999999</v>
      </c>
      <c r="W37" s="42">
        <f>W36</f>
        <v>76112.751000000004</v>
      </c>
      <c r="X37" s="95">
        <f>337048.67*0.7</f>
        <v>235934.06899999996</v>
      </c>
      <c r="Y37" s="95">
        <f>337048.67*0.3</f>
        <v>101114.601</v>
      </c>
      <c r="Z37" s="42"/>
      <c r="AA37" s="42"/>
      <c r="AB37" s="42"/>
      <c r="AC37" s="42"/>
      <c r="AD37" s="42"/>
      <c r="AE37" s="42"/>
      <c r="AF37" s="42">
        <f>(839990.7+844466.31)*0.7</f>
        <v>1179119.9069999999</v>
      </c>
      <c r="AG37" s="42">
        <f>(839990.7+844466.31)*0.3</f>
        <v>505337.103</v>
      </c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>
        <f>AR36</f>
        <v>264865.86</v>
      </c>
      <c r="AS37" s="42">
        <f>AS36</f>
        <v>113513.93999999999</v>
      </c>
      <c r="AT37" s="87"/>
      <c r="AU37" s="87"/>
    </row>
    <row r="38" spans="1:53" s="24" customFormat="1" ht="36" x14ac:dyDescent="0.3">
      <c r="A38" s="26" t="s">
        <v>316</v>
      </c>
      <c r="B38" s="88" t="s">
        <v>521</v>
      </c>
      <c r="C38" s="88" t="s">
        <v>170</v>
      </c>
      <c r="D38" s="88">
        <v>3021.3</v>
      </c>
      <c r="E38" s="98">
        <f t="shared" ref="E38:E39" si="4">SUM(F38:AU38)</f>
        <v>3012359</v>
      </c>
      <c r="F38" s="90">
        <f>(1294520.52+89730.24)*0.7</f>
        <v>968975.53199999989</v>
      </c>
      <c r="G38" s="90">
        <f>(1294520.52+89730.24)*0.3</f>
        <v>415275.228</v>
      </c>
      <c r="H38" s="88">
        <f>125655.55*0.7</f>
        <v>87958.884999999995</v>
      </c>
      <c r="I38" s="88">
        <f>125655.55*0.3</f>
        <v>37696.665000000001</v>
      </c>
      <c r="J38" s="88">
        <f>((30786.3+6168+5470+3540+3200+1110+1885+19646+58360+120000+28750+14414.5+153931.5+30840+27350+99600+16000+5550+9425+58360)*0.7)+50263.71</f>
        <v>536334.12</v>
      </c>
      <c r="K38" s="88">
        <f>((30786.3+6168+5470+3540+3200+1110+1885+19646+58360+120000+28750+14414.5+153931.5+30840+27350+99600+16000+5550+9425+58360)*0.3)+50263.71</f>
        <v>258579.6</v>
      </c>
      <c r="L38" s="88">
        <f>(5252.4+2443.2+5252.4+2443.2+1570.5+1623.84+15088+5252.4+2443.2+28748+4673.3+21009.6+9772.8)*0.7</f>
        <v>73900.987999999998</v>
      </c>
      <c r="M38" s="90">
        <f>(5252.4+2443.2+5252.4+2443.2+1570.5+1623.84+15088+5252.4+2443.2+28748+4673.3+21009.6+9772.8)*0.3</f>
        <v>31671.852000000003</v>
      </c>
      <c r="N38" s="88"/>
      <c r="O38" s="88"/>
      <c r="P38" s="88"/>
      <c r="Q38" s="88"/>
      <c r="R38" s="88"/>
      <c r="S38" s="88"/>
      <c r="T38" s="88">
        <f>(195000*0.7)-21859.57</f>
        <v>114640.43</v>
      </c>
      <c r="U38" s="88">
        <f>195000*0.3</f>
        <v>58500</v>
      </c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>
        <f>324336.9*0.7</f>
        <v>227035.83000000002</v>
      </c>
      <c r="AG38" s="88">
        <f>324336.9*0.3</f>
        <v>97301.07</v>
      </c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>
        <f>104488.8*0.7</f>
        <v>73142.16</v>
      </c>
      <c r="AS38" s="88">
        <f>104488.8*0.3</f>
        <v>31346.639999999999</v>
      </c>
      <c r="AT38" s="88"/>
      <c r="AU38" s="88"/>
      <c r="AV38" s="36"/>
      <c r="AW38" s="36"/>
      <c r="AX38" s="36"/>
      <c r="AY38" s="36"/>
      <c r="AZ38" s="36"/>
      <c r="BA38" s="36"/>
    </row>
    <row r="39" spans="1:53" s="24" customFormat="1" ht="37.5" customHeight="1" x14ac:dyDescent="0.3">
      <c r="A39" s="26" t="s">
        <v>520</v>
      </c>
      <c r="B39" s="88" t="s">
        <v>175</v>
      </c>
      <c r="C39" s="88" t="s">
        <v>176</v>
      </c>
      <c r="D39" s="88">
        <v>3989.9</v>
      </c>
      <c r="E39" s="98">
        <f t="shared" si="4"/>
        <v>2502539.6800000006</v>
      </c>
      <c r="F39" s="90">
        <f>(1294520.52+50191.67)*0.7</f>
        <v>941298.53299999994</v>
      </c>
      <c r="G39" s="90">
        <f>(1294520.52+50191.67)*0.3</f>
        <v>403413.65699999995</v>
      </c>
      <c r="H39" s="88">
        <f>72704.11*0.7</f>
        <v>50892.877</v>
      </c>
      <c r="I39" s="88">
        <f>72704.11*0.3</f>
        <v>21811.233</v>
      </c>
      <c r="J39" s="88">
        <f>((24371.15+8100+3120+4000+8000+121857.5+40500+15600+20000+40000+67200)*0.7)+33313.81-38177.93</f>
        <v>242059.935</v>
      </c>
      <c r="K39" s="88">
        <f>((24371.15+8100+3120+4000+8000)*0.3)+14277.35</f>
        <v>28554.695</v>
      </c>
      <c r="L39" s="88">
        <f>(4005+9565.44+4005+9565.44+4005+9565.44+16020+38261.76)*0.7</f>
        <v>66495.156000000003</v>
      </c>
      <c r="M39" s="90">
        <f>(4005+9565.44+4005+9565.44+4005+9565.44+16020+38261.76)*0.3</f>
        <v>28497.924000000003</v>
      </c>
      <c r="N39" s="88"/>
      <c r="O39" s="88"/>
      <c r="P39" s="88"/>
      <c r="Q39" s="88"/>
      <c r="R39" s="88"/>
      <c r="S39" s="88"/>
      <c r="T39" s="88">
        <f>(216840*0.7)-21859.57</f>
        <v>129928.43</v>
      </c>
      <c r="U39" s="88">
        <f>216840*0.3</f>
        <v>65052</v>
      </c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>
        <f>427940.04*0.7</f>
        <v>299558.02799999999</v>
      </c>
      <c r="AG39" s="88">
        <f>427940.04*0.3</f>
        <v>128382.01199999999</v>
      </c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>
        <f>96595.2*0.7</f>
        <v>67616.639999999999</v>
      </c>
      <c r="AS39" s="88">
        <f>96595.2*0.3</f>
        <v>28978.559999999998</v>
      </c>
      <c r="AT39" s="88"/>
      <c r="AU39" s="88"/>
      <c r="AV39" s="36"/>
      <c r="AW39" s="36"/>
      <c r="AX39" s="36"/>
      <c r="AY39" s="36"/>
      <c r="AZ39" s="36"/>
      <c r="BA39" s="36"/>
    </row>
    <row r="40" spans="1:53" s="50" customFormat="1" ht="17.399999999999999" x14ac:dyDescent="0.3">
      <c r="A40" s="48"/>
      <c r="B40" s="49" t="s">
        <v>318</v>
      </c>
      <c r="C40" s="49"/>
      <c r="D40" s="49">
        <f>SUM(D23:D39)</f>
        <v>90513.400000000009</v>
      </c>
      <c r="E40" s="4">
        <f>SUM(E23:E39)</f>
        <v>74695419.497999996</v>
      </c>
      <c r="F40" s="27"/>
      <c r="G40" s="2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92"/>
      <c r="AW40" s="92"/>
      <c r="AX40" s="92"/>
      <c r="AY40" s="92"/>
      <c r="AZ40" s="92"/>
      <c r="BA40" s="92"/>
    </row>
    <row r="41" spans="1:53" x14ac:dyDescent="0.3">
      <c r="A41" s="3"/>
      <c r="B41" s="5"/>
      <c r="C41" s="5"/>
      <c r="D41" s="5"/>
      <c r="E41" s="4"/>
      <c r="F41" s="89"/>
      <c r="G41" s="89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87"/>
      <c r="AU41" s="87"/>
    </row>
    <row r="42" spans="1:53" s="8" customFormat="1" ht="22.8" x14ac:dyDescent="0.3">
      <c r="A42" s="125"/>
      <c r="B42" s="128" t="s">
        <v>179</v>
      </c>
      <c r="C42" s="6" t="s">
        <v>180</v>
      </c>
      <c r="D42" s="131"/>
      <c r="E42" s="132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93"/>
      <c r="AW42" s="93"/>
      <c r="AX42" s="93"/>
      <c r="AY42" s="93"/>
      <c r="AZ42" s="93"/>
      <c r="BA42" s="93"/>
    </row>
    <row r="43" spans="1:53" s="8" customFormat="1" ht="22.8" x14ac:dyDescent="0.3">
      <c r="A43" s="126"/>
      <c r="B43" s="129"/>
      <c r="C43" s="6" t="s">
        <v>3</v>
      </c>
      <c r="D43" s="131">
        <f>D21</f>
        <v>90513.400000000009</v>
      </c>
      <c r="E43" s="132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93"/>
      <c r="AW43" s="93"/>
      <c r="AX43" s="93"/>
      <c r="AY43" s="93"/>
      <c r="AZ43" s="93"/>
      <c r="BA43" s="93"/>
    </row>
    <row r="44" spans="1:53" s="8" customFormat="1" ht="20.25" customHeight="1" x14ac:dyDescent="0.3">
      <c r="A44" s="127"/>
      <c r="B44" s="130"/>
      <c r="C44" s="7" t="s">
        <v>209</v>
      </c>
      <c r="D44" s="133">
        <f>E21+E40</f>
        <v>119167929.75006706</v>
      </c>
      <c r="E44" s="134"/>
      <c r="F44" s="7">
        <f t="shared" ref="F44:AU44" si="5">SUM(F4:F41)</f>
        <v>22001263.289038796</v>
      </c>
      <c r="G44" s="7">
        <f t="shared" si="5"/>
        <v>16484464.354488032</v>
      </c>
      <c r="H44" s="7">
        <f t="shared" si="5"/>
        <v>12091339.671190647</v>
      </c>
      <c r="I44" s="7">
        <f t="shared" si="5"/>
        <v>3178434.8763545882</v>
      </c>
      <c r="J44" s="7">
        <f t="shared" si="5"/>
        <v>13211635.716999993</v>
      </c>
      <c r="K44" s="7">
        <f t="shared" si="5"/>
        <v>10836481.419314479</v>
      </c>
      <c r="L44" s="7">
        <f t="shared" si="5"/>
        <v>1808493.6829999995</v>
      </c>
      <c r="M44" s="7">
        <f t="shared" si="5"/>
        <v>770862.22555720794</v>
      </c>
      <c r="N44" s="7">
        <f t="shared" si="5"/>
        <v>0</v>
      </c>
      <c r="O44" s="7">
        <f t="shared" si="5"/>
        <v>406548.53662921349</v>
      </c>
      <c r="P44" s="7">
        <f t="shared" si="5"/>
        <v>0</v>
      </c>
      <c r="Q44" s="7">
        <f t="shared" si="5"/>
        <v>87291.886792452831</v>
      </c>
      <c r="R44" s="7">
        <f t="shared" si="5"/>
        <v>0</v>
      </c>
      <c r="S44" s="7">
        <f t="shared" si="5"/>
        <v>150240.76363636364</v>
      </c>
      <c r="T44" s="7">
        <f t="shared" si="5"/>
        <v>1097476.9337715504</v>
      </c>
      <c r="U44" s="7">
        <f t="shared" si="5"/>
        <v>523716.95499191794</v>
      </c>
      <c r="V44" s="7">
        <f t="shared" si="5"/>
        <v>1360950.4688143686</v>
      </c>
      <c r="W44" s="7">
        <f t="shared" si="5"/>
        <v>651653.19622950547</v>
      </c>
      <c r="X44" s="7">
        <f t="shared" si="5"/>
        <v>3191559.2653846159</v>
      </c>
      <c r="Y44" s="7">
        <f t="shared" si="5"/>
        <v>1901863.0187499998</v>
      </c>
      <c r="Z44" s="7">
        <f t="shared" si="5"/>
        <v>0</v>
      </c>
      <c r="AA44" s="7">
        <f t="shared" si="5"/>
        <v>51464.1</v>
      </c>
      <c r="AB44" s="7">
        <f t="shared" si="5"/>
        <v>0</v>
      </c>
      <c r="AC44" s="7">
        <f t="shared" si="5"/>
        <v>0</v>
      </c>
      <c r="AD44" s="7">
        <f t="shared" si="5"/>
        <v>0</v>
      </c>
      <c r="AE44" s="7">
        <f t="shared" si="5"/>
        <v>15073.170731707318</v>
      </c>
      <c r="AF44" s="7">
        <f t="shared" si="5"/>
        <v>10805533.32244233</v>
      </c>
      <c r="AG44" s="7">
        <f t="shared" si="5"/>
        <v>5515399.9473397247</v>
      </c>
      <c r="AH44" s="7">
        <f t="shared" si="5"/>
        <v>0</v>
      </c>
      <c r="AI44" s="7">
        <f t="shared" si="5"/>
        <v>259087.56201552172</v>
      </c>
      <c r="AJ44" s="7">
        <f t="shared" si="5"/>
        <v>0</v>
      </c>
      <c r="AK44" s="7">
        <f t="shared" si="5"/>
        <v>1099980</v>
      </c>
      <c r="AL44" s="7">
        <f t="shared" si="5"/>
        <v>0</v>
      </c>
      <c r="AM44" s="7">
        <f t="shared" si="5"/>
        <v>492000</v>
      </c>
      <c r="AN44" s="7">
        <f t="shared" si="5"/>
        <v>0</v>
      </c>
      <c r="AO44" s="7">
        <f t="shared" si="5"/>
        <v>0</v>
      </c>
      <c r="AP44" s="7">
        <f t="shared" si="5"/>
        <v>0</v>
      </c>
      <c r="AQ44" s="7">
        <f t="shared" si="5"/>
        <v>0</v>
      </c>
      <c r="AR44" s="7">
        <f t="shared" si="5"/>
        <v>7024061.6928443359</v>
      </c>
      <c r="AS44" s="7">
        <f t="shared" si="5"/>
        <v>4151053.6937497128</v>
      </c>
      <c r="AT44" s="7">
        <f t="shared" si="5"/>
        <v>0</v>
      </c>
      <c r="AU44" s="7">
        <f t="shared" si="5"/>
        <v>0</v>
      </c>
      <c r="AV44" s="93"/>
      <c r="AW44" s="93"/>
      <c r="AX44" s="93"/>
      <c r="AY44" s="93"/>
      <c r="AZ44" s="93"/>
      <c r="BA44" s="93"/>
    </row>
    <row r="46" spans="1:53" ht="37.5" customHeight="1" x14ac:dyDescent="0.3">
      <c r="A46" s="9"/>
      <c r="B46" s="120"/>
      <c r="C46" s="120"/>
      <c r="D46" s="120"/>
      <c r="E46" s="43"/>
    </row>
    <row r="47" spans="1:53" ht="37.5" customHeight="1" x14ac:dyDescent="0.3">
      <c r="A47" s="9"/>
      <c r="B47" s="120"/>
      <c r="C47" s="120"/>
      <c r="D47" s="120"/>
      <c r="E47" s="43"/>
    </row>
    <row r="52" spans="2:5" ht="25.2" x14ac:dyDescent="0.3">
      <c r="B52" s="12"/>
      <c r="C52" s="12"/>
      <c r="D52" s="12"/>
      <c r="E52" s="12"/>
    </row>
  </sheetData>
  <autoFilter ref="A1:D44" xr:uid="{00000000-0009-0000-0000-000005000000}"/>
  <mergeCells count="33">
    <mergeCell ref="R1:S1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N1:O1"/>
    <mergeCell ref="P1:Q1"/>
    <mergeCell ref="V1:W1"/>
    <mergeCell ref="X1:Y1"/>
    <mergeCell ref="Z1:AA1"/>
    <mergeCell ref="AB1:AC1"/>
    <mergeCell ref="AD1:AE1"/>
    <mergeCell ref="B46:D46"/>
    <mergeCell ref="B47:D47"/>
    <mergeCell ref="AR1:AS1"/>
    <mergeCell ref="AT1:AU1"/>
    <mergeCell ref="A42:A44"/>
    <mergeCell ref="B42:B44"/>
    <mergeCell ref="D42:E42"/>
    <mergeCell ref="D43:E43"/>
    <mergeCell ref="D44:E44"/>
    <mergeCell ref="AF1:AG1"/>
    <mergeCell ref="AH1:AI1"/>
    <mergeCell ref="AJ1:AK1"/>
    <mergeCell ref="AL1:AM1"/>
    <mergeCell ref="AN1:AO1"/>
    <mergeCell ref="AP1:AQ1"/>
    <mergeCell ref="T1:U1"/>
  </mergeCells>
  <pageMargins left="0.59055118110236227" right="0.39370078740157483" top="0.59055118110236227" bottom="0.59055118110236227" header="0.31496062992125984" footer="0.19685039370078741"/>
  <pageSetup paperSize="9" scale="10" fitToHeight="0" orientation="portrait" r:id="rId1"/>
  <headerFooter>
    <oddFooter>Страница  &amp;P из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fitToPage="1"/>
  </sheetPr>
  <dimension ref="A1:AY102"/>
  <sheetViews>
    <sheetView zoomScale="70" zoomScaleNormal="70" workbookViewId="0">
      <pane ySplit="2" topLeftCell="A3" activePane="bottomLeft" state="frozen"/>
      <selection pane="bottomLeft" activeCell="C6" sqref="C6"/>
    </sheetView>
  </sheetViews>
  <sheetFormatPr defaultColWidth="9.109375" defaultRowHeight="18" x14ac:dyDescent="0.3"/>
  <cols>
    <col min="1" max="1" width="7" style="37" customWidth="1"/>
    <col min="2" max="2" width="38.44140625" style="24" customWidth="1"/>
    <col min="3" max="3" width="49.5546875" style="24" customWidth="1"/>
    <col min="4" max="4" width="23.6640625" style="24" customWidth="1"/>
    <col min="5" max="5" width="25.33203125" style="24" customWidth="1"/>
    <col min="6" max="6" width="19.6640625" style="24" customWidth="1"/>
    <col min="7" max="7" width="20.109375" style="24" customWidth="1"/>
    <col min="8" max="9" width="18.33203125" style="24" customWidth="1"/>
    <col min="10" max="11" width="20.109375" style="24" customWidth="1"/>
    <col min="12" max="13" width="16" style="24" customWidth="1"/>
    <col min="14" max="14" width="11.5546875" style="24" customWidth="1"/>
    <col min="15" max="15" width="18.33203125" style="24" customWidth="1"/>
    <col min="16" max="16" width="13.44140625" style="24" customWidth="1"/>
    <col min="17" max="17" width="18.33203125" style="24" customWidth="1"/>
    <col min="18" max="18" width="11.88671875" style="24" customWidth="1"/>
    <col min="19" max="19" width="16" style="24" customWidth="1"/>
    <col min="20" max="21" width="18.33203125" style="24" customWidth="1"/>
    <col min="22" max="22" width="16" style="24" customWidth="1"/>
    <col min="23" max="25" width="18.33203125" style="24" customWidth="1"/>
    <col min="26" max="26" width="21.109375" style="24" customWidth="1"/>
    <col min="27" max="27" width="18.33203125" style="24" customWidth="1"/>
    <col min="28" max="29" width="16" style="24" customWidth="1"/>
    <col min="30" max="30" width="29.5546875" style="24" customWidth="1"/>
    <col min="31" max="31" width="20.5546875" style="24" customWidth="1"/>
    <col min="32" max="32" width="27.33203125" style="24" customWidth="1"/>
    <col min="33" max="33" width="30" style="24" customWidth="1"/>
    <col min="34" max="34" width="42.33203125" style="24" customWidth="1"/>
    <col min="35" max="35" width="26.33203125" style="24" customWidth="1"/>
    <col min="36" max="36" width="20.5546875" style="24" customWidth="1"/>
    <col min="37" max="37" width="26.109375" style="24" customWidth="1"/>
    <col min="38" max="38" width="55.109375" style="24" customWidth="1"/>
    <col min="39" max="39" width="33.88671875" style="24" customWidth="1"/>
    <col min="40" max="40" width="31.33203125" style="24" customWidth="1"/>
    <col min="41" max="41" width="18.44140625" style="24" customWidth="1"/>
    <col min="42" max="42" width="15.6640625" style="24" customWidth="1"/>
    <col min="43" max="43" width="18" style="24" customWidth="1"/>
    <col min="44" max="45" width="20.109375" style="24" customWidth="1"/>
    <col min="46" max="47" width="16" style="24" customWidth="1"/>
    <col min="48" max="48" width="16.6640625" style="24" customWidth="1"/>
    <col min="49" max="49" width="18.44140625" style="24" customWidth="1"/>
    <col min="50" max="50" width="16.33203125" style="24" customWidth="1"/>
    <col min="51" max="51" width="15" style="24" customWidth="1"/>
    <col min="52" max="16384" width="9.109375" style="24"/>
  </cols>
  <sheetData>
    <row r="1" spans="1:51" ht="37.5" customHeight="1" x14ac:dyDescent="0.3">
      <c r="A1" s="137" t="s">
        <v>0</v>
      </c>
      <c r="B1" s="139" t="s">
        <v>1</v>
      </c>
      <c r="C1" s="139" t="s">
        <v>2</v>
      </c>
      <c r="D1" s="139" t="s">
        <v>3</v>
      </c>
      <c r="E1" s="139" t="s">
        <v>210</v>
      </c>
      <c r="F1" s="136" t="s">
        <v>194</v>
      </c>
      <c r="G1" s="136"/>
      <c r="H1" s="136" t="s">
        <v>186</v>
      </c>
      <c r="I1" s="136"/>
      <c r="J1" s="136" t="s">
        <v>550</v>
      </c>
      <c r="K1" s="136"/>
      <c r="L1" s="141" t="s">
        <v>190</v>
      </c>
      <c r="M1" s="142"/>
      <c r="N1" s="141" t="s">
        <v>200</v>
      </c>
      <c r="O1" s="142"/>
      <c r="P1" s="136" t="s">
        <v>191</v>
      </c>
      <c r="Q1" s="136"/>
      <c r="R1" s="136" t="s">
        <v>204</v>
      </c>
      <c r="S1" s="136"/>
      <c r="T1" s="141" t="s">
        <v>192</v>
      </c>
      <c r="U1" s="142"/>
      <c r="V1" s="136" t="s">
        <v>203</v>
      </c>
      <c r="W1" s="136"/>
      <c r="X1" s="141" t="s">
        <v>193</v>
      </c>
      <c r="Y1" s="142"/>
      <c r="Z1" s="136" t="s">
        <v>195</v>
      </c>
      <c r="AA1" s="136"/>
      <c r="AB1" s="136" t="s">
        <v>196</v>
      </c>
      <c r="AC1" s="136"/>
      <c r="AD1" s="136" t="s">
        <v>197</v>
      </c>
      <c r="AE1" s="136"/>
      <c r="AF1" s="136" t="s">
        <v>294</v>
      </c>
      <c r="AG1" s="136"/>
      <c r="AH1" s="136" t="s">
        <v>208</v>
      </c>
      <c r="AI1" s="136"/>
      <c r="AJ1" s="136" t="s">
        <v>199</v>
      </c>
      <c r="AK1" s="136"/>
      <c r="AL1" s="136" t="s">
        <v>201</v>
      </c>
      <c r="AM1" s="136"/>
      <c r="AN1" s="136" t="s">
        <v>202</v>
      </c>
      <c r="AO1" s="136"/>
      <c r="AP1" s="141" t="s">
        <v>205</v>
      </c>
      <c r="AQ1" s="142"/>
      <c r="AR1" s="136" t="s">
        <v>206</v>
      </c>
      <c r="AS1" s="136"/>
      <c r="AT1" s="136" t="s">
        <v>207</v>
      </c>
      <c r="AU1" s="136"/>
      <c r="AV1" s="154" t="s">
        <v>292</v>
      </c>
      <c r="AW1" s="158"/>
      <c r="AX1" s="141" t="s">
        <v>291</v>
      </c>
      <c r="AY1" s="142"/>
    </row>
    <row r="2" spans="1:51" ht="18.75" customHeight="1" x14ac:dyDescent="0.3">
      <c r="A2" s="138"/>
      <c r="B2" s="140"/>
      <c r="C2" s="140"/>
      <c r="D2" s="140"/>
      <c r="E2" s="140"/>
      <c r="F2" s="100" t="s">
        <v>188</v>
      </c>
      <c r="G2" s="100" t="s">
        <v>189</v>
      </c>
      <c r="H2" s="100" t="s">
        <v>188</v>
      </c>
      <c r="I2" s="100" t="s">
        <v>189</v>
      </c>
      <c r="J2" s="100" t="s">
        <v>188</v>
      </c>
      <c r="K2" s="100" t="s">
        <v>189</v>
      </c>
      <c r="L2" s="100" t="s">
        <v>188</v>
      </c>
      <c r="M2" s="100" t="s">
        <v>189</v>
      </c>
      <c r="N2" s="100" t="s">
        <v>188</v>
      </c>
      <c r="O2" s="100" t="s">
        <v>189</v>
      </c>
      <c r="P2" s="100" t="s">
        <v>188</v>
      </c>
      <c r="Q2" s="100" t="s">
        <v>189</v>
      </c>
      <c r="R2" s="100" t="s">
        <v>188</v>
      </c>
      <c r="S2" s="100" t="s">
        <v>189</v>
      </c>
      <c r="T2" s="100" t="s">
        <v>188</v>
      </c>
      <c r="U2" s="100" t="s">
        <v>189</v>
      </c>
      <c r="V2" s="100" t="s">
        <v>188</v>
      </c>
      <c r="W2" s="100" t="s">
        <v>189</v>
      </c>
      <c r="X2" s="100" t="s">
        <v>188</v>
      </c>
      <c r="Y2" s="100" t="s">
        <v>189</v>
      </c>
      <c r="Z2" s="100" t="s">
        <v>188</v>
      </c>
      <c r="AA2" s="100" t="s">
        <v>189</v>
      </c>
      <c r="AB2" s="100" t="s">
        <v>188</v>
      </c>
      <c r="AC2" s="100" t="s">
        <v>189</v>
      </c>
      <c r="AD2" s="100" t="s">
        <v>188</v>
      </c>
      <c r="AE2" s="100" t="s">
        <v>189</v>
      </c>
      <c r="AF2" s="100" t="s">
        <v>188</v>
      </c>
      <c r="AG2" s="100" t="s">
        <v>189</v>
      </c>
      <c r="AH2" s="100" t="s">
        <v>188</v>
      </c>
      <c r="AI2" s="100" t="s">
        <v>189</v>
      </c>
      <c r="AJ2" s="100" t="s">
        <v>188</v>
      </c>
      <c r="AK2" s="100" t="s">
        <v>189</v>
      </c>
      <c r="AL2" s="100" t="s">
        <v>188</v>
      </c>
      <c r="AM2" s="100" t="s">
        <v>189</v>
      </c>
      <c r="AN2" s="100" t="s">
        <v>188</v>
      </c>
      <c r="AO2" s="100" t="s">
        <v>189</v>
      </c>
      <c r="AP2" s="100" t="s">
        <v>188</v>
      </c>
      <c r="AQ2" s="100" t="s">
        <v>189</v>
      </c>
      <c r="AR2" s="100" t="s">
        <v>188</v>
      </c>
      <c r="AS2" s="100" t="s">
        <v>189</v>
      </c>
      <c r="AT2" s="100" t="s">
        <v>188</v>
      </c>
      <c r="AU2" s="100" t="s">
        <v>189</v>
      </c>
      <c r="AV2" s="100" t="s">
        <v>188</v>
      </c>
      <c r="AW2" s="100" t="s">
        <v>189</v>
      </c>
      <c r="AX2" s="100" t="s">
        <v>188</v>
      </c>
      <c r="AY2" s="100" t="s">
        <v>189</v>
      </c>
    </row>
    <row r="3" spans="1:51" ht="18.75" customHeight="1" x14ac:dyDescent="0.3">
      <c r="A3" s="101"/>
      <c r="B3" s="103" t="s">
        <v>298</v>
      </c>
      <c r="C3" s="103"/>
      <c r="D3" s="103"/>
      <c r="E3" s="103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</row>
    <row r="4" spans="1:51" ht="37.5" customHeight="1" x14ac:dyDescent="0.3">
      <c r="A4" s="26" t="s">
        <v>301</v>
      </c>
      <c r="B4" s="100" t="s">
        <v>27</v>
      </c>
      <c r="C4" s="100" t="s">
        <v>28</v>
      </c>
      <c r="D4" s="100">
        <v>4528.3999999999996</v>
      </c>
      <c r="E4" s="27">
        <f t="shared" ref="E4:E29" si="0">SUM(F4:AU4)</f>
        <v>1619086.2866281325</v>
      </c>
      <c r="F4" s="100">
        <v>73451.22121333034</v>
      </c>
      <c r="G4" s="100">
        <f>22533.046706214+207622.118140006+306421.563099132+7147.77283202323</f>
        <v>543724.50077737519</v>
      </c>
      <c r="H4" s="100">
        <v>25207.001450053856</v>
      </c>
      <c r="I4" s="100">
        <v>27072.319557357841</v>
      </c>
      <c r="J4" s="100">
        <v>0</v>
      </c>
      <c r="K4" s="100">
        <v>2980.1011310491226</v>
      </c>
      <c r="L4" s="100">
        <v>0</v>
      </c>
      <c r="M4" s="100">
        <f>6352.16436541357+5073.98</f>
        <v>11426.144365413569</v>
      </c>
      <c r="N4" s="100">
        <v>0</v>
      </c>
      <c r="O4" s="100">
        <v>41000</v>
      </c>
      <c r="P4" s="100">
        <v>0</v>
      </c>
      <c r="Q4" s="100">
        <v>16000</v>
      </c>
      <c r="R4" s="100">
        <v>0</v>
      </c>
      <c r="S4" s="100">
        <v>6545.454545454545</v>
      </c>
      <c r="T4" s="100">
        <v>20379.761552049386</v>
      </c>
      <c r="U4" s="100">
        <v>2207.8075014720166</v>
      </c>
      <c r="V4" s="100">
        <v>24515.383921320943</v>
      </c>
      <c r="W4" s="100">
        <v>11810.956371103519</v>
      </c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>
        <v>0</v>
      </c>
      <c r="AI4" s="100">
        <f>885+6125</f>
        <v>7010</v>
      </c>
      <c r="AJ4" s="100">
        <v>0</v>
      </c>
      <c r="AK4" s="100">
        <v>460983.03281321691</v>
      </c>
      <c r="AL4" s="100"/>
      <c r="AM4" s="100"/>
      <c r="AN4" s="100"/>
      <c r="AO4" s="100"/>
      <c r="AP4" s="100"/>
      <c r="AQ4" s="100"/>
      <c r="AR4" s="100">
        <v>12823.061348737769</v>
      </c>
      <c r="AS4" s="100">
        <v>281466.19660479401</v>
      </c>
      <c r="AT4" s="100">
        <v>50483.343475403446</v>
      </c>
      <c r="AU4" s="100">
        <v>0</v>
      </c>
      <c r="AV4" s="100"/>
      <c r="AW4" s="100"/>
      <c r="AX4" s="100"/>
      <c r="AY4" s="100"/>
    </row>
    <row r="5" spans="1:51" ht="37.5" customHeight="1" x14ac:dyDescent="0.3">
      <c r="A5" s="26" t="s">
        <v>302</v>
      </c>
      <c r="B5" s="100" t="s">
        <v>27</v>
      </c>
      <c r="C5" s="100" t="s">
        <v>29</v>
      </c>
      <c r="D5" s="100">
        <v>4779.7</v>
      </c>
      <c r="E5" s="27">
        <f t="shared" si="0"/>
        <v>1123806.2552423037</v>
      </c>
      <c r="F5" s="100">
        <v>77527.339023353736</v>
      </c>
      <c r="G5" s="100">
        <f>23783.5004287809+219143.944455831+323426.186985452+7544.43286927424</f>
        <v>573898.06473933824</v>
      </c>
      <c r="H5" s="100">
        <v>26605.844190182495</v>
      </c>
      <c r="I5" s="100">
        <v>28574.676660256002</v>
      </c>
      <c r="J5" s="100"/>
      <c r="K5" s="100"/>
      <c r="L5" s="100">
        <v>0</v>
      </c>
      <c r="M5" s="100">
        <v>6704.6727359259885</v>
      </c>
      <c r="N5" s="100"/>
      <c r="O5" s="100"/>
      <c r="P5" s="100"/>
      <c r="Q5" s="100"/>
      <c r="R5" s="100">
        <v>0</v>
      </c>
      <c r="S5" s="100">
        <v>3272.7272727272725</v>
      </c>
      <c r="T5" s="100">
        <v>21510.720406839158</v>
      </c>
      <c r="U5" s="100">
        <v>2330.3280440742424</v>
      </c>
      <c r="V5" s="100">
        <v>0</v>
      </c>
      <c r="W5" s="100">
        <v>12466.396114955282</v>
      </c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>
        <v>0</v>
      </c>
      <c r="AI5" s="100">
        <f>885+6125</f>
        <v>7010</v>
      </c>
      <c r="AJ5" s="100"/>
      <c r="AK5" s="100"/>
      <c r="AL5" s="100"/>
      <c r="AM5" s="100"/>
      <c r="AN5" s="100"/>
      <c r="AO5" s="100"/>
      <c r="AP5" s="100"/>
      <c r="AQ5" s="100"/>
      <c r="AR5" s="100">
        <v>13534.667063104391</v>
      </c>
      <c r="AS5" s="100">
        <v>297085.9420351414</v>
      </c>
      <c r="AT5" s="100">
        <v>53284.876956405322</v>
      </c>
      <c r="AU5" s="100">
        <v>0</v>
      </c>
      <c r="AV5" s="100"/>
      <c r="AW5" s="100"/>
      <c r="AX5" s="100"/>
      <c r="AY5" s="100"/>
    </row>
    <row r="6" spans="1:51" ht="37.5" customHeight="1" x14ac:dyDescent="0.3">
      <c r="A6" s="26" t="s">
        <v>303</v>
      </c>
      <c r="B6" s="100" t="s">
        <v>32</v>
      </c>
      <c r="C6" s="100" t="s">
        <v>33</v>
      </c>
      <c r="D6" s="100">
        <v>4394.6000000000004</v>
      </c>
      <c r="E6" s="27">
        <f t="shared" si="0"/>
        <v>989550.44883426174</v>
      </c>
      <c r="F6" s="100">
        <v>71280.968276676431</v>
      </c>
      <c r="G6" s="100">
        <f>21867.2659339123+201487.536520199+297367.768129018+6936.57859014427</f>
        <v>527659.14917327359</v>
      </c>
      <c r="H6" s="100">
        <v>24462.213711776054</v>
      </c>
      <c r="I6" s="100">
        <v>26272.417526447483</v>
      </c>
      <c r="J6" s="100">
        <v>0</v>
      </c>
      <c r="K6" s="100">
        <v>29471.110816279146</v>
      </c>
      <c r="L6" s="100">
        <v>0</v>
      </c>
      <c r="M6" s="100">
        <f>6164.47785536757+3911.47</f>
        <v>10075.947855367569</v>
      </c>
      <c r="N6" s="100"/>
      <c r="O6" s="100"/>
      <c r="P6" s="100"/>
      <c r="Q6" s="100"/>
      <c r="R6" s="100">
        <v>0</v>
      </c>
      <c r="S6" s="100">
        <v>3272.7272727272725</v>
      </c>
      <c r="T6" s="100"/>
      <c r="U6" s="100"/>
      <c r="V6" s="100">
        <v>0</v>
      </c>
      <c r="W6" s="100">
        <v>11461.97969888957</v>
      </c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>
        <v>12444.180152628524</v>
      </c>
      <c r="AS6" s="100">
        <v>273149.7543501961</v>
      </c>
      <c r="AT6" s="100"/>
      <c r="AU6" s="100"/>
      <c r="AV6" s="100"/>
      <c r="AW6" s="100"/>
      <c r="AX6" s="100"/>
      <c r="AY6" s="100"/>
    </row>
    <row r="7" spans="1:51" ht="37.5" customHeight="1" x14ac:dyDescent="0.3">
      <c r="A7" s="26" t="s">
        <v>304</v>
      </c>
      <c r="B7" s="100" t="s">
        <v>37</v>
      </c>
      <c r="C7" s="100" t="s">
        <v>38</v>
      </c>
      <c r="D7" s="100">
        <v>4151.6000000000004</v>
      </c>
      <c r="E7" s="27">
        <f t="shared" si="0"/>
        <v>597449.7480775658</v>
      </c>
      <c r="F7" s="100"/>
      <c r="G7" s="100"/>
      <c r="H7" s="100">
        <v>23109.572303693047</v>
      </c>
      <c r="I7" s="100">
        <v>24819.680654166332</v>
      </c>
      <c r="J7" s="100">
        <v>0</v>
      </c>
      <c r="K7" s="100">
        <v>249914.07811507981</v>
      </c>
      <c r="L7" s="100">
        <v>0</v>
      </c>
      <c r="M7" s="100">
        <v>5823.6122205306483</v>
      </c>
      <c r="N7" s="100"/>
      <c r="O7" s="100"/>
      <c r="P7" s="100"/>
      <c r="Q7" s="100"/>
      <c r="R7" s="100">
        <v>0</v>
      </c>
      <c r="S7" s="100">
        <v>3272.7272727272725</v>
      </c>
      <c r="T7" s="100">
        <v>18683.998334839733</v>
      </c>
      <c r="U7" s="100">
        <v>2024.0998196076375</v>
      </c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>
        <v>11756.077531891999</v>
      </c>
      <c r="AS7" s="100">
        <v>258045.90182502937</v>
      </c>
      <c r="AT7" s="100"/>
      <c r="AU7" s="100"/>
      <c r="AV7" s="100"/>
      <c r="AW7" s="100"/>
      <c r="AX7" s="100"/>
      <c r="AY7" s="100"/>
    </row>
    <row r="8" spans="1:51" ht="37.5" customHeight="1" x14ac:dyDescent="0.3">
      <c r="A8" s="26" t="s">
        <v>305</v>
      </c>
      <c r="B8" s="100" t="s">
        <v>27</v>
      </c>
      <c r="C8" s="100" t="s">
        <v>42</v>
      </c>
      <c r="D8" s="100">
        <v>11233.4</v>
      </c>
      <c r="E8" s="27">
        <f t="shared" si="0"/>
        <v>4205787.0735264393</v>
      </c>
      <c r="F8" s="100">
        <v>182207.16994475399</v>
      </c>
      <c r="G8" s="100">
        <f>515038.932495791+960353.783260417+88243.32+17731.1614104871</f>
        <v>1581367.1971666953</v>
      </c>
      <c r="H8" s="100">
        <v>62529.884747159034</v>
      </c>
      <c r="I8" s="100">
        <v>67157.096218448802</v>
      </c>
      <c r="J8" s="100">
        <v>0</v>
      </c>
      <c r="K8" s="100">
        <f>45000+40643.7408869283</f>
        <v>85643.74088692831</v>
      </c>
      <c r="L8" s="100">
        <v>0</v>
      </c>
      <c r="M8" s="100">
        <f>15757.5309562841+11621.81</f>
        <v>27379.340956284097</v>
      </c>
      <c r="N8" s="100">
        <v>0</v>
      </c>
      <c r="O8" s="100">
        <v>41000</v>
      </c>
      <c r="P8" s="100"/>
      <c r="Q8" s="100"/>
      <c r="R8" s="100">
        <v>0</v>
      </c>
      <c r="S8" s="100">
        <v>6545.454545454545</v>
      </c>
      <c r="T8" s="100">
        <v>50555.165934721219</v>
      </c>
      <c r="U8" s="100">
        <v>5476.8096429281322</v>
      </c>
      <c r="V8" s="100">
        <v>60814.219976540648</v>
      </c>
      <c r="W8" s="100">
        <v>29298.912927116478</v>
      </c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>
        <v>0</v>
      </c>
      <c r="AI8" s="100">
        <f>885+6125</f>
        <v>7010</v>
      </c>
      <c r="AJ8" s="100">
        <v>0</v>
      </c>
      <c r="AK8" s="100">
        <v>1143540.0584762811</v>
      </c>
      <c r="AL8" s="100"/>
      <c r="AM8" s="100"/>
      <c r="AN8" s="100"/>
      <c r="AO8" s="100"/>
      <c r="AP8" s="100"/>
      <c r="AQ8" s="100"/>
      <c r="AR8" s="100">
        <v>31809.596624615948</v>
      </c>
      <c r="AS8" s="100">
        <v>698220.64591032011</v>
      </c>
      <c r="AT8" s="100">
        <v>125231.77956819121</v>
      </c>
      <c r="AU8" s="100">
        <v>0</v>
      </c>
      <c r="AV8" s="100"/>
      <c r="AW8" s="100"/>
      <c r="AX8" s="100"/>
      <c r="AY8" s="100"/>
    </row>
    <row r="9" spans="1:51" ht="37.5" customHeight="1" x14ac:dyDescent="0.3">
      <c r="A9" s="26" t="s">
        <v>306</v>
      </c>
      <c r="B9" s="100" t="s">
        <v>43</v>
      </c>
      <c r="C9" s="100" t="s">
        <v>44</v>
      </c>
      <c r="D9" s="100">
        <v>235.9</v>
      </c>
      <c r="E9" s="27">
        <f t="shared" si="0"/>
        <v>73221.448658842521</v>
      </c>
      <c r="F9" s="100">
        <v>0</v>
      </c>
      <c r="G9" s="100">
        <f>20167.3097611705+372.352179815008</f>
        <v>20539.661940985508</v>
      </c>
      <c r="H9" s="100">
        <v>1313.1197866945731</v>
      </c>
      <c r="I9" s="100">
        <v>1410.2906509099714</v>
      </c>
      <c r="J9" s="100"/>
      <c r="K9" s="100"/>
      <c r="L9" s="100">
        <v>0</v>
      </c>
      <c r="M9" s="100">
        <v>330.90618624703245</v>
      </c>
      <c r="N9" s="100"/>
      <c r="O9" s="100"/>
      <c r="P9" s="100"/>
      <c r="Q9" s="100"/>
      <c r="R9" s="100">
        <v>0</v>
      </c>
      <c r="S9" s="100">
        <v>3272.7272727272725</v>
      </c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>
        <v>0</v>
      </c>
      <c r="AI9" s="100">
        <f>885+6125</f>
        <v>7010</v>
      </c>
      <c r="AJ9" s="100">
        <v>0</v>
      </c>
      <c r="AK9" s="100">
        <v>24014.198710502136</v>
      </c>
      <c r="AL9" s="100"/>
      <c r="AM9" s="100"/>
      <c r="AN9" s="100"/>
      <c r="AO9" s="100"/>
      <c r="AP9" s="100"/>
      <c r="AQ9" s="100"/>
      <c r="AR9" s="100">
        <v>667.99756473969614</v>
      </c>
      <c r="AS9" s="100">
        <v>14662.546546036332</v>
      </c>
      <c r="AT9" s="100"/>
      <c r="AU9" s="100"/>
      <c r="AV9" s="100"/>
      <c r="AW9" s="100"/>
      <c r="AX9" s="100"/>
      <c r="AY9" s="100"/>
    </row>
    <row r="10" spans="1:51" ht="37.5" customHeight="1" x14ac:dyDescent="0.3">
      <c r="A10" s="26" t="s">
        <v>307</v>
      </c>
      <c r="B10" s="100" t="s">
        <v>27</v>
      </c>
      <c r="C10" s="100" t="s">
        <v>59</v>
      </c>
      <c r="D10" s="100">
        <v>16237.4</v>
      </c>
      <c r="E10" s="27">
        <f t="shared" si="0"/>
        <v>12267885.421505038</v>
      </c>
      <c r="F10" s="100">
        <v>0</v>
      </c>
      <c r="G10" s="100">
        <f>120247+90298.2+2550000+67116.24</f>
        <v>2827661.4400000004</v>
      </c>
      <c r="H10" s="100"/>
      <c r="I10" s="100"/>
      <c r="J10" s="100">
        <v>0</v>
      </c>
      <c r="K10" s="100">
        <f>898500+5432962.95801644</f>
        <v>6331462.9580164403</v>
      </c>
      <c r="L10" s="100">
        <v>0</v>
      </c>
      <c r="M10" s="100">
        <v>25701.473755173123</v>
      </c>
      <c r="N10" s="100"/>
      <c r="O10" s="100"/>
      <c r="P10" s="100">
        <v>0</v>
      </c>
      <c r="Q10" s="100">
        <v>286599.05660377361</v>
      </c>
      <c r="R10" s="100">
        <v>0</v>
      </c>
      <c r="S10" s="100">
        <f>6545.45454545455+40000</f>
        <v>46545.454545454551</v>
      </c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>
        <v>0</v>
      </c>
      <c r="AS10" s="100">
        <v>2749915.0385841941</v>
      </c>
      <c r="AT10" s="100"/>
      <c r="AU10" s="100"/>
      <c r="AV10" s="100"/>
      <c r="AW10" s="100"/>
      <c r="AX10" s="100"/>
      <c r="AY10" s="100"/>
    </row>
    <row r="11" spans="1:51" ht="37.5" customHeight="1" x14ac:dyDescent="0.3">
      <c r="A11" s="26" t="s">
        <v>308</v>
      </c>
      <c r="B11" s="100" t="s">
        <v>60</v>
      </c>
      <c r="C11" s="100" t="s">
        <v>61</v>
      </c>
      <c r="D11" s="100">
        <v>3051</v>
      </c>
      <c r="E11" s="27">
        <f t="shared" si="0"/>
        <v>4438477.4308331525</v>
      </c>
      <c r="F11" s="100">
        <v>0</v>
      </c>
      <c r="G11" s="100">
        <f>22595+2550000</f>
        <v>2572595</v>
      </c>
      <c r="H11" s="100">
        <v>0</v>
      </c>
      <c r="I11" s="100">
        <v>184260</v>
      </c>
      <c r="J11" s="100">
        <v>0</v>
      </c>
      <c r="K11" s="100">
        <f>586396.181384248+247550.397169464</f>
        <v>833946.578553712</v>
      </c>
      <c r="L11" s="100">
        <v>0</v>
      </c>
      <c r="M11" s="100">
        <v>4799.23596936387</v>
      </c>
      <c r="N11" s="100"/>
      <c r="O11" s="100"/>
      <c r="P11" s="100">
        <v>0</v>
      </c>
      <c r="Q11" s="100">
        <v>36509.433962264156</v>
      </c>
      <c r="R11" s="100"/>
      <c r="S11" s="100"/>
      <c r="T11" s="100"/>
      <c r="U11" s="100"/>
      <c r="V11" s="100">
        <v>0</v>
      </c>
      <c r="W11" s="100">
        <v>36000</v>
      </c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>
        <v>0</v>
      </c>
      <c r="AS11" s="100">
        <f>253659.41+516707.772347813</f>
        <v>770367.18234781304</v>
      </c>
      <c r="AT11" s="100"/>
      <c r="AU11" s="100"/>
      <c r="AV11" s="100"/>
      <c r="AW11" s="100"/>
      <c r="AX11" s="100"/>
      <c r="AY11" s="100"/>
    </row>
    <row r="12" spans="1:51" ht="37.5" customHeight="1" x14ac:dyDescent="0.3">
      <c r="A12" s="26" t="s">
        <v>309</v>
      </c>
      <c r="B12" s="100" t="s">
        <v>64</v>
      </c>
      <c r="C12" s="100" t="s">
        <v>65</v>
      </c>
      <c r="D12" s="100">
        <v>1779.1</v>
      </c>
      <c r="E12" s="27">
        <f t="shared" si="0"/>
        <v>1910993.9379249774</v>
      </c>
      <c r="F12" s="100">
        <v>0</v>
      </c>
      <c r="G12" s="100">
        <f>13175+637500</f>
        <v>650675</v>
      </c>
      <c r="H12" s="100">
        <v>0</v>
      </c>
      <c r="I12" s="100">
        <v>24900</v>
      </c>
      <c r="J12" s="100">
        <v>0</v>
      </c>
      <c r="K12" s="100">
        <f>193603.818615752+435791.13366536</f>
        <v>629394.95228111197</v>
      </c>
      <c r="L12" s="100">
        <v>0</v>
      </c>
      <c r="M12" s="100">
        <v>2810.6439954307971</v>
      </c>
      <c r="N12" s="100"/>
      <c r="O12" s="100"/>
      <c r="P12" s="100">
        <v>0</v>
      </c>
      <c r="Q12" s="100">
        <v>31033.018867924526</v>
      </c>
      <c r="R12" s="100">
        <v>0</v>
      </c>
      <c r="S12" s="100">
        <f>3272.72727272727+40000+3498</f>
        <v>46770.727272727272</v>
      </c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>
        <v>0</v>
      </c>
      <c r="AS12" s="100">
        <f>224106.810262292+301302.785245491</f>
        <v>525409.595507783</v>
      </c>
      <c r="AT12" s="100"/>
      <c r="AU12" s="100"/>
      <c r="AV12" s="100"/>
      <c r="AW12" s="100"/>
      <c r="AX12" s="100"/>
      <c r="AY12" s="100"/>
    </row>
    <row r="13" spans="1:51" ht="37.5" customHeight="1" x14ac:dyDescent="0.3">
      <c r="A13" s="26" t="s">
        <v>310</v>
      </c>
      <c r="B13" s="100" t="s">
        <v>37</v>
      </c>
      <c r="C13" s="100" t="s">
        <v>69</v>
      </c>
      <c r="D13" s="100">
        <v>912.3</v>
      </c>
      <c r="E13" s="27">
        <f t="shared" si="0"/>
        <v>759261.14424041065</v>
      </c>
      <c r="F13" s="100">
        <v>173196.60578167695</v>
      </c>
      <c r="G13" s="100">
        <v>73758.511228452247</v>
      </c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>
        <v>0</v>
      </c>
      <c r="U13" s="100">
        <v>448541.66666666669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>
        <v>0</v>
      </c>
      <c r="AK13" s="100">
        <v>63764.36056361474</v>
      </c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</row>
    <row r="14" spans="1:51" ht="37.5" customHeight="1" x14ac:dyDescent="0.3">
      <c r="A14" s="26" t="s">
        <v>311</v>
      </c>
      <c r="B14" s="100" t="s">
        <v>37</v>
      </c>
      <c r="C14" s="100" t="s">
        <v>70</v>
      </c>
      <c r="D14" s="100">
        <v>1610.7</v>
      </c>
      <c r="E14" s="27">
        <f t="shared" si="0"/>
        <v>997820.27022693108</v>
      </c>
      <c r="F14" s="100">
        <v>305785.12872141518</v>
      </c>
      <c r="G14" s="100">
        <v>130223.42873579748</v>
      </c>
      <c r="H14" s="100">
        <v>0</v>
      </c>
      <c r="I14" s="100">
        <v>90400</v>
      </c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>
        <v>0</v>
      </c>
      <c r="U14" s="100">
        <v>358833.33333333331</v>
      </c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>
        <v>0</v>
      </c>
      <c r="AK14" s="100">
        <v>112578.37943638526</v>
      </c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</row>
    <row r="15" spans="1:51" ht="37.5" customHeight="1" x14ac:dyDescent="0.3">
      <c r="A15" s="26" t="s">
        <v>312</v>
      </c>
      <c r="B15" s="22" t="s">
        <v>71</v>
      </c>
      <c r="C15" s="22" t="s">
        <v>72</v>
      </c>
      <c r="D15" s="22">
        <v>18956.5</v>
      </c>
      <c r="E15" s="27">
        <f t="shared" si="0"/>
        <v>7376624.3519296702</v>
      </c>
      <c r="F15" s="100">
        <v>172563.66824289903</v>
      </c>
      <c r="G15" s="100">
        <v>0</v>
      </c>
      <c r="H15" s="100"/>
      <c r="I15" s="100"/>
      <c r="J15" s="100">
        <v>0</v>
      </c>
      <c r="K15" s="100">
        <f>1190250+290000</f>
        <v>1480250</v>
      </c>
      <c r="L15" s="100">
        <v>12803.821878744808</v>
      </c>
      <c r="M15" s="100">
        <f>9602.86640905861+4838.83</f>
        <v>14441.69640905861</v>
      </c>
      <c r="N15" s="100">
        <v>0</v>
      </c>
      <c r="O15" s="100">
        <v>42606.741573033709</v>
      </c>
      <c r="P15" s="100">
        <v>0</v>
      </c>
      <c r="Q15" s="100">
        <v>299000</v>
      </c>
      <c r="R15" s="100">
        <v>0</v>
      </c>
      <c r="S15" s="100">
        <f>298248+13090.9090909091</f>
        <v>311338.90909090912</v>
      </c>
      <c r="T15" s="100">
        <v>452096.1080645161</v>
      </c>
      <c r="U15" s="100">
        <v>0</v>
      </c>
      <c r="V15" s="100">
        <v>0</v>
      </c>
      <c r="W15" s="100">
        <f>214920+127805.309734513</f>
        <v>342725.30973451299</v>
      </c>
      <c r="X15" s="100">
        <f>22634.6153846154+75000</f>
        <v>97634.615384615405</v>
      </c>
      <c r="Y15" s="100">
        <v>71020.782500000001</v>
      </c>
      <c r="Z15" s="100">
        <v>0</v>
      </c>
      <c r="AA15" s="100">
        <v>101498</v>
      </c>
      <c r="AB15" s="100"/>
      <c r="AC15" s="100"/>
      <c r="AD15" s="100">
        <v>0</v>
      </c>
      <c r="AE15" s="100">
        <v>22609.756097560974</v>
      </c>
      <c r="AF15" s="100">
        <f>283421.594851658+71208.0866684964</f>
        <v>354629.68152015435</v>
      </c>
      <c r="AG15" s="100">
        <f>301856.48278464+71208.0866684964</f>
        <v>373064.56945313641</v>
      </c>
      <c r="AH15" s="100">
        <v>0</v>
      </c>
      <c r="AI15" s="100">
        <f>79230.2363895622+7928.70377728609</f>
        <v>87158.94016684829</v>
      </c>
      <c r="AJ15" s="100">
        <v>0</v>
      </c>
      <c r="AK15" s="100">
        <f>892546.67+295000</f>
        <v>1187546.67</v>
      </c>
      <c r="AL15" s="100"/>
      <c r="AM15" s="100"/>
      <c r="AN15" s="100"/>
      <c r="AO15" s="100"/>
      <c r="AP15" s="100">
        <v>0</v>
      </c>
      <c r="AQ15" s="100">
        <v>59500</v>
      </c>
      <c r="AR15" s="100">
        <f>715571.770925683+627767.380857879</f>
        <v>1343339.1517835618</v>
      </c>
      <c r="AS15" s="100">
        <f>145239.601350936+402503.519388708</f>
        <v>547743.12073964393</v>
      </c>
      <c r="AT15" s="100">
        <v>3052.8092904743239</v>
      </c>
      <c r="AU15" s="100">
        <v>0</v>
      </c>
      <c r="AV15" s="100"/>
      <c r="AW15" s="100"/>
      <c r="AX15" s="100"/>
      <c r="AY15" s="100"/>
    </row>
    <row r="16" spans="1:51" ht="37.5" customHeight="1" x14ac:dyDescent="0.3">
      <c r="A16" s="26" t="s">
        <v>313</v>
      </c>
      <c r="B16" s="22" t="s">
        <v>73</v>
      </c>
      <c r="C16" s="22" t="s">
        <v>74</v>
      </c>
      <c r="D16" s="22">
        <v>2378.5</v>
      </c>
      <c r="E16" s="27">
        <f t="shared" si="0"/>
        <v>2022801.0633419217</v>
      </c>
      <c r="F16" s="100">
        <v>21651.817841676224</v>
      </c>
      <c r="G16" s="100">
        <v>61304.34782608696</v>
      </c>
      <c r="H16" s="100">
        <v>0</v>
      </c>
      <c r="I16" s="100">
        <v>45200</v>
      </c>
      <c r="J16" s="100"/>
      <c r="K16" s="100"/>
      <c r="L16" s="100">
        <v>1606.5144060662321</v>
      </c>
      <c r="M16" s="100">
        <f>1204.88580454967+3312</f>
        <v>4516.88580454967</v>
      </c>
      <c r="N16" s="100"/>
      <c r="O16" s="100"/>
      <c r="P16" s="100">
        <v>0</v>
      </c>
      <c r="Q16" s="100">
        <v>318000</v>
      </c>
      <c r="R16" s="100">
        <v>0</v>
      </c>
      <c r="S16" s="100">
        <v>6545.454545454545</v>
      </c>
      <c r="T16" s="100">
        <v>388226.92720235052</v>
      </c>
      <c r="U16" s="100">
        <v>712071.02179032797</v>
      </c>
      <c r="V16" s="100"/>
      <c r="W16" s="100"/>
      <c r="X16" s="100"/>
      <c r="Y16" s="100"/>
      <c r="Z16" s="100">
        <v>0</v>
      </c>
      <c r="AA16" s="100">
        <v>101498</v>
      </c>
      <c r="AB16" s="100"/>
      <c r="AC16" s="100"/>
      <c r="AD16" s="100">
        <v>0</v>
      </c>
      <c r="AE16" s="100">
        <v>7536.5853658536589</v>
      </c>
      <c r="AF16" s="100">
        <v>35561.325316100985</v>
      </c>
      <c r="AG16" s="100">
        <v>37874.377881110282</v>
      </c>
      <c r="AH16" s="100">
        <v>0</v>
      </c>
      <c r="AI16" s="100">
        <v>994.82615114999976</v>
      </c>
      <c r="AJ16" s="100"/>
      <c r="AK16" s="100"/>
      <c r="AL16" s="100"/>
      <c r="AM16" s="100"/>
      <c r="AN16" s="100"/>
      <c r="AO16" s="100"/>
      <c r="AP16" s="100">
        <v>0</v>
      </c>
      <c r="AQ16" s="100">
        <v>10500</v>
      </c>
      <c r="AR16" s="100">
        <f>89783.8449685721+78766.8987086469</f>
        <v>168550.743677219</v>
      </c>
      <c r="AS16" s="100">
        <f>18223.4268885713+50502.7099341146</f>
        <v>68726.136822685905</v>
      </c>
      <c r="AT16" s="100">
        <v>32436.098711289691</v>
      </c>
      <c r="AU16" s="100">
        <v>0</v>
      </c>
      <c r="AV16" s="100"/>
      <c r="AW16" s="100"/>
      <c r="AX16" s="100"/>
      <c r="AY16" s="100"/>
    </row>
    <row r="17" spans="1:51" ht="37.5" customHeight="1" x14ac:dyDescent="0.3">
      <c r="A17" s="26" t="s">
        <v>314</v>
      </c>
      <c r="B17" s="22" t="s">
        <v>75</v>
      </c>
      <c r="C17" s="22" t="s">
        <v>76</v>
      </c>
      <c r="D17" s="22">
        <v>6733.6</v>
      </c>
      <c r="E17" s="27">
        <f t="shared" si="0"/>
        <v>3474215.3360854629</v>
      </c>
      <c r="F17" s="100">
        <v>1812328.73</v>
      </c>
      <c r="G17" s="100">
        <v>776712.31</v>
      </c>
      <c r="H17" s="100"/>
      <c r="I17" s="100"/>
      <c r="J17" s="100">
        <v>0</v>
      </c>
      <c r="K17" s="100">
        <v>148998.18322167807</v>
      </c>
      <c r="L17" s="100">
        <v>4548.0871997845616</v>
      </c>
      <c r="M17" s="100">
        <v>3411.0653998384214</v>
      </c>
      <c r="N17" s="100">
        <v>0</v>
      </c>
      <c r="O17" s="100">
        <v>15977.528089887641</v>
      </c>
      <c r="P17" s="100"/>
      <c r="Q17" s="100"/>
      <c r="R17" s="100">
        <v>0</v>
      </c>
      <c r="S17" s="100">
        <v>6545.454545454545</v>
      </c>
      <c r="T17" s="100"/>
      <c r="U17" s="100"/>
      <c r="V17" s="100"/>
      <c r="W17" s="100"/>
      <c r="X17" s="100">
        <f>20576.9230769231+75000</f>
        <v>95576.923076923093</v>
      </c>
      <c r="Y17" s="100">
        <v>71020.782500000001</v>
      </c>
      <c r="Z17" s="100"/>
      <c r="AA17" s="100"/>
      <c r="AB17" s="100"/>
      <c r="AC17" s="100"/>
      <c r="AD17" s="100">
        <v>0</v>
      </c>
      <c r="AE17" s="100">
        <v>22609.756097560974</v>
      </c>
      <c r="AF17" s="100">
        <v>100675.10622177742</v>
      </c>
      <c r="AG17" s="100">
        <v>107223.42270348717</v>
      </c>
      <c r="AH17" s="100">
        <v>0</v>
      </c>
      <c r="AI17" s="100">
        <v>2816.3806480486182</v>
      </c>
      <c r="AJ17" s="100"/>
      <c r="AK17" s="100"/>
      <c r="AL17" s="100"/>
      <c r="AM17" s="100"/>
      <c r="AN17" s="100"/>
      <c r="AO17" s="100"/>
      <c r="AP17" s="100"/>
      <c r="AQ17" s="100"/>
      <c r="AR17" s="100">
        <v>254180.5753543734</v>
      </c>
      <c r="AS17" s="100">
        <v>51591.031026648598</v>
      </c>
      <c r="AT17" s="100"/>
      <c r="AU17" s="100"/>
      <c r="AV17" s="100"/>
      <c r="AW17" s="100"/>
      <c r="AX17" s="100"/>
      <c r="AY17" s="100"/>
    </row>
    <row r="18" spans="1:51" ht="37.5" customHeight="1" x14ac:dyDescent="0.3">
      <c r="A18" s="26" t="s">
        <v>315</v>
      </c>
      <c r="B18" s="22" t="s">
        <v>77</v>
      </c>
      <c r="C18" s="22" t="s">
        <v>78</v>
      </c>
      <c r="D18" s="22">
        <v>1557</v>
      </c>
      <c r="E18" s="27">
        <f t="shared" si="0"/>
        <v>361065.35272919619</v>
      </c>
      <c r="F18" s="100">
        <v>14173.588555598013</v>
      </c>
      <c r="G18" s="100">
        <v>0</v>
      </c>
      <c r="H18" s="100"/>
      <c r="I18" s="100"/>
      <c r="J18" s="100"/>
      <c r="K18" s="100"/>
      <c r="L18" s="100">
        <v>1051.6472273471193</v>
      </c>
      <c r="M18" s="100">
        <v>788.73542051033951</v>
      </c>
      <c r="N18" s="100">
        <v>0</v>
      </c>
      <c r="O18" s="100">
        <v>111842.69662921347</v>
      </c>
      <c r="P18" s="100"/>
      <c r="Q18" s="100"/>
      <c r="R18" s="100">
        <v>0</v>
      </c>
      <c r="S18" s="100">
        <v>6545.454545454545</v>
      </c>
      <c r="T18" s="100">
        <v>96190.661290322576</v>
      </c>
      <c r="U18" s="100">
        <v>0</v>
      </c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>
        <f>23278.9503961191+5848.7057707303</f>
        <v>29127.6561668494</v>
      </c>
      <c r="AG18" s="100">
        <f>24793.1075723728+5848.7057707303</f>
        <v>30641.813343103098</v>
      </c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>
        <v>58773.784576862206</v>
      </c>
      <c r="AS18" s="100">
        <v>11929.314973935467</v>
      </c>
      <c r="AT18" s="100"/>
      <c r="AU18" s="100"/>
      <c r="AV18" s="100"/>
      <c r="AW18" s="100"/>
      <c r="AX18" s="100"/>
      <c r="AY18" s="100"/>
    </row>
    <row r="19" spans="1:51" ht="37.5" customHeight="1" x14ac:dyDescent="0.3">
      <c r="A19" s="26" t="s">
        <v>316</v>
      </c>
      <c r="B19" s="22" t="s">
        <v>79</v>
      </c>
      <c r="C19" s="22" t="s">
        <v>80</v>
      </c>
      <c r="D19" s="22">
        <v>5057.3</v>
      </c>
      <c r="E19" s="27">
        <f t="shared" si="0"/>
        <v>3621228.7780256099</v>
      </c>
      <c r="F19" s="100">
        <v>46037.308543497646</v>
      </c>
      <c r="G19" s="100">
        <v>0</v>
      </c>
      <c r="H19" s="100"/>
      <c r="I19" s="100"/>
      <c r="J19" s="100"/>
      <c r="K19" s="100"/>
      <c r="L19" s="100">
        <v>3415.8609652296641</v>
      </c>
      <c r="M19" s="100">
        <v>2561.8957239222477</v>
      </c>
      <c r="N19" s="100"/>
      <c r="O19" s="100"/>
      <c r="P19" s="100"/>
      <c r="Q19" s="100"/>
      <c r="R19" s="100">
        <v>0</v>
      </c>
      <c r="S19" s="100">
        <v>6545.454545454545</v>
      </c>
      <c r="T19" s="100">
        <v>38476.264516129027</v>
      </c>
      <c r="U19" s="100">
        <v>0</v>
      </c>
      <c r="V19" s="100"/>
      <c r="W19" s="100"/>
      <c r="X19" s="100"/>
      <c r="Y19" s="100"/>
      <c r="Z19" s="100">
        <v>0</v>
      </c>
      <c r="AA19" s="100">
        <v>101498</v>
      </c>
      <c r="AB19" s="100"/>
      <c r="AC19" s="100"/>
      <c r="AD19" s="100"/>
      <c r="AE19" s="100"/>
      <c r="AF19" s="100">
        <f>75612.4828762319+18997.212391981</f>
        <v>94609.69526821289</v>
      </c>
      <c r="AG19" s="100">
        <f>80530.6248720366+18997.212391981</f>
        <v>99527.837264017595</v>
      </c>
      <c r="AH19" s="100"/>
      <c r="AI19" s="100"/>
      <c r="AJ19" s="100">
        <v>0</v>
      </c>
      <c r="AK19" s="100">
        <v>2724045.06</v>
      </c>
      <c r="AL19" s="100"/>
      <c r="AM19" s="100"/>
      <c r="AN19" s="100"/>
      <c r="AO19" s="100"/>
      <c r="AP19" s="100"/>
      <c r="AQ19" s="100"/>
      <c r="AR19" s="100">
        <f>190903.442993298+167478.594424738</f>
        <v>358382.03741803602</v>
      </c>
      <c r="AS19" s="100">
        <f>38747.6715592061+107381.692221904</f>
        <v>146129.36378111009</v>
      </c>
      <c r="AT19" s="100"/>
      <c r="AU19" s="100"/>
      <c r="AV19" s="100"/>
      <c r="AW19" s="100"/>
      <c r="AX19" s="100"/>
      <c r="AY19" s="100"/>
    </row>
    <row r="20" spans="1:51" ht="37.5" customHeight="1" x14ac:dyDescent="0.3">
      <c r="A20" s="26" t="s">
        <v>520</v>
      </c>
      <c r="B20" s="22" t="s">
        <v>81</v>
      </c>
      <c r="C20" s="22" t="s">
        <v>82</v>
      </c>
      <c r="D20" s="22">
        <v>286.89999999999998</v>
      </c>
      <c r="E20" s="27">
        <f t="shared" si="0"/>
        <v>2950.8081812918272</v>
      </c>
      <c r="F20" s="100">
        <v>2611.6907877977328</v>
      </c>
      <c r="G20" s="100">
        <v>0</v>
      </c>
      <c r="H20" s="100"/>
      <c r="I20" s="100"/>
      <c r="J20" s="100"/>
      <c r="K20" s="100"/>
      <c r="L20" s="100">
        <v>193.78136771091104</v>
      </c>
      <c r="M20" s="100">
        <v>145.33602578318326</v>
      </c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</row>
    <row r="21" spans="1:51" ht="37.5" customHeight="1" x14ac:dyDescent="0.3">
      <c r="A21" s="26" t="s">
        <v>523</v>
      </c>
      <c r="B21" s="22" t="s">
        <v>81</v>
      </c>
      <c r="C21" s="22" t="s">
        <v>83</v>
      </c>
      <c r="D21" s="22">
        <v>155.69999999999999</v>
      </c>
      <c r="E21" s="27">
        <f t="shared" si="0"/>
        <v>4534561.3971203454</v>
      </c>
      <c r="F21" s="100">
        <v>1417.3588555598014</v>
      </c>
      <c r="G21" s="100">
        <v>0</v>
      </c>
      <c r="H21" s="100"/>
      <c r="I21" s="100"/>
      <c r="J21" s="100"/>
      <c r="K21" s="100"/>
      <c r="L21" s="100">
        <v>105.16472273471193</v>
      </c>
      <c r="M21" s="100">
        <v>78.873542051033951</v>
      </c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>
        <v>0</v>
      </c>
      <c r="AK21" s="100">
        <v>4532960</v>
      </c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</row>
    <row r="22" spans="1:51" ht="37.5" customHeight="1" x14ac:dyDescent="0.3">
      <c r="A22" s="26" t="s">
        <v>524</v>
      </c>
      <c r="B22" s="22" t="s">
        <v>81</v>
      </c>
      <c r="C22" s="22" t="s">
        <v>84</v>
      </c>
      <c r="D22" s="22">
        <v>1142.7</v>
      </c>
      <c r="E22" s="27">
        <f t="shared" si="0"/>
        <v>1770688.5833999906</v>
      </c>
      <c r="F22" s="100">
        <v>10402.157766526558</v>
      </c>
      <c r="G22" s="100">
        <v>7826.086956521739</v>
      </c>
      <c r="H22" s="100"/>
      <c r="I22" s="100"/>
      <c r="J22" s="100"/>
      <c r="K22" s="100"/>
      <c r="L22" s="100">
        <v>771.8158552919416</v>
      </c>
      <c r="M22" s="100">
        <v>578.86189146895629</v>
      </c>
      <c r="N22" s="100">
        <v>0</v>
      </c>
      <c r="O22" s="100">
        <v>37280.898876404492</v>
      </c>
      <c r="P22" s="100"/>
      <c r="Q22" s="100"/>
      <c r="R22" s="100">
        <v>0</v>
      </c>
      <c r="S22" s="100">
        <v>6545.454545454545</v>
      </c>
      <c r="T22" s="100">
        <v>186515.41295527678</v>
      </c>
      <c r="U22" s="100">
        <v>342099.45621181739</v>
      </c>
      <c r="V22" s="100"/>
      <c r="W22" s="100"/>
      <c r="X22" s="100"/>
      <c r="Y22" s="100"/>
      <c r="Z22" s="100">
        <v>0</v>
      </c>
      <c r="AA22" s="100">
        <v>101498</v>
      </c>
      <c r="AB22" s="100"/>
      <c r="AC22" s="100"/>
      <c r="AD22" s="100"/>
      <c r="AE22" s="100"/>
      <c r="AF22" s="100">
        <v>17084.686331178724</v>
      </c>
      <c r="AG22" s="100">
        <v>18195.94349579345</v>
      </c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>
        <v>43134.748642248196</v>
      </c>
      <c r="AS22" s="100">
        <v>8755.0598720077433</v>
      </c>
      <c r="AT22" s="100">
        <v>0</v>
      </c>
      <c r="AU22" s="100">
        <v>990000</v>
      </c>
      <c r="AV22" s="100"/>
      <c r="AW22" s="100"/>
      <c r="AX22" s="100"/>
      <c r="AY22" s="100"/>
    </row>
    <row r="23" spans="1:51" ht="37.5" customHeight="1" x14ac:dyDescent="0.3">
      <c r="A23" s="26" t="s">
        <v>525</v>
      </c>
      <c r="B23" s="22" t="s">
        <v>81</v>
      </c>
      <c r="C23" s="22" t="s">
        <v>85</v>
      </c>
      <c r="D23" s="22">
        <v>1186.4000000000001</v>
      </c>
      <c r="E23" s="27">
        <f t="shared" si="0"/>
        <v>235520.64547636756</v>
      </c>
      <c r="F23" s="100">
        <v>10799.964972614955</v>
      </c>
      <c r="G23" s="100">
        <v>0</v>
      </c>
      <c r="H23" s="100"/>
      <c r="I23" s="100"/>
      <c r="J23" s="100"/>
      <c r="K23" s="100"/>
      <c r="L23" s="100">
        <v>801.33222255916667</v>
      </c>
      <c r="M23" s="100">
        <v>600.99916691937494</v>
      </c>
      <c r="N23" s="100">
        <v>0</v>
      </c>
      <c r="O23" s="100">
        <v>53258.426966292136</v>
      </c>
      <c r="P23" s="100"/>
      <c r="Q23" s="100"/>
      <c r="R23" s="100">
        <v>0</v>
      </c>
      <c r="S23" s="100">
        <v>6545.454545454545</v>
      </c>
      <c r="T23" s="100"/>
      <c r="U23" s="100"/>
      <c r="V23" s="100"/>
      <c r="W23" s="100"/>
      <c r="X23" s="100">
        <v>37500</v>
      </c>
      <c r="Y23" s="100">
        <v>35510.391250000001</v>
      </c>
      <c r="Z23" s="100"/>
      <c r="AA23" s="100"/>
      <c r="AB23" s="100"/>
      <c r="AC23" s="100"/>
      <c r="AD23" s="100"/>
      <c r="AE23" s="100"/>
      <c r="AF23" s="100">
        <v>17738.051862527729</v>
      </c>
      <c r="AG23" s="100">
        <v>18891.806566386058</v>
      </c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>
        <v>44784.340412324549</v>
      </c>
      <c r="AS23" s="100">
        <v>9089.8775112890416</v>
      </c>
      <c r="AT23" s="100"/>
      <c r="AU23" s="100"/>
      <c r="AV23" s="100"/>
      <c r="AW23" s="100"/>
      <c r="AX23" s="100"/>
      <c r="AY23" s="100"/>
    </row>
    <row r="24" spans="1:51" ht="37.5" customHeight="1" x14ac:dyDescent="0.3">
      <c r="A24" s="26" t="s">
        <v>526</v>
      </c>
      <c r="B24" s="22" t="s">
        <v>81</v>
      </c>
      <c r="C24" s="22" t="s">
        <v>86</v>
      </c>
      <c r="D24" s="22">
        <v>122.7</v>
      </c>
      <c r="E24" s="27">
        <f t="shared" si="0"/>
        <v>1261.9873260526567</v>
      </c>
      <c r="F24" s="100">
        <v>1116.9552445548338</v>
      </c>
      <c r="G24" s="100">
        <v>0</v>
      </c>
      <c r="H24" s="100"/>
      <c r="I24" s="100"/>
      <c r="J24" s="100"/>
      <c r="K24" s="100"/>
      <c r="L24" s="100">
        <v>82.875475141613066</v>
      </c>
      <c r="M24" s="100">
        <v>62.156606356209799</v>
      </c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</row>
    <row r="25" spans="1:51" ht="37.5" customHeight="1" x14ac:dyDescent="0.3">
      <c r="A25" s="26" t="s">
        <v>527</v>
      </c>
      <c r="B25" s="22" t="s">
        <v>60</v>
      </c>
      <c r="C25" s="22" t="s">
        <v>89</v>
      </c>
      <c r="D25" s="22">
        <v>11053.9</v>
      </c>
      <c r="E25" s="27">
        <f t="shared" si="0"/>
        <v>7193616.6157902842</v>
      </c>
      <c r="F25" s="100"/>
      <c r="G25" s="100"/>
      <c r="H25" s="100">
        <v>0</v>
      </c>
      <c r="I25" s="100">
        <v>13851.255300523817</v>
      </c>
      <c r="J25" s="100">
        <v>3609883.8517911453</v>
      </c>
      <c r="K25" s="100">
        <v>642398.67138219427</v>
      </c>
      <c r="L25" s="100">
        <v>7466.15496876835</v>
      </c>
      <c r="M25" s="100">
        <f>5599.61622657626+3192.8</f>
        <v>8792.4162265762607</v>
      </c>
      <c r="N25" s="100">
        <v>0</v>
      </c>
      <c r="O25" s="100">
        <v>15977.528089887641</v>
      </c>
      <c r="P25" s="100"/>
      <c r="Q25" s="100"/>
      <c r="R25" s="100">
        <v>0</v>
      </c>
      <c r="S25" s="100">
        <v>6545.454545454545</v>
      </c>
      <c r="T25" s="100">
        <v>96190.661290322576</v>
      </c>
      <c r="U25" s="100">
        <v>0</v>
      </c>
      <c r="V25" s="100"/>
      <c r="W25" s="100"/>
      <c r="X25" s="100">
        <f>11317.3076923077+37500</f>
        <v>48817.307692307702</v>
      </c>
      <c r="Y25" s="100">
        <v>35510.391250000001</v>
      </c>
      <c r="Z25" s="100">
        <v>0</v>
      </c>
      <c r="AA25" s="100">
        <f>101498+94350.85</f>
        <v>195848.85</v>
      </c>
      <c r="AB25" s="100"/>
      <c r="AC25" s="100"/>
      <c r="AD25" s="100"/>
      <c r="AE25" s="100"/>
      <c r="AF25" s="100">
        <f>165268.586887386+41522.8058568244</f>
        <v>206791.39274421037</v>
      </c>
      <c r="AG25" s="100">
        <f>176018.324851799+41522.8058568244</f>
        <v>217541.13070862339</v>
      </c>
      <c r="AH25" s="100"/>
      <c r="AI25" s="100"/>
      <c r="AJ25" s="100">
        <v>0</v>
      </c>
      <c r="AK25" s="100">
        <v>98047.2</v>
      </c>
      <c r="AL25" s="100"/>
      <c r="AM25" s="100"/>
      <c r="AN25" s="100">
        <v>0</v>
      </c>
      <c r="AO25" s="100">
        <v>1351680.56</v>
      </c>
      <c r="AP25" s="100"/>
      <c r="AQ25" s="100"/>
      <c r="AR25" s="100">
        <v>417263.6720193816</v>
      </c>
      <c r="AS25" s="100">
        <v>84692.006930241012</v>
      </c>
      <c r="AT25" s="100">
        <v>136318.1108506468</v>
      </c>
      <c r="AU25" s="100">
        <v>0</v>
      </c>
      <c r="AV25" s="100"/>
      <c r="AW25" s="100"/>
      <c r="AX25" s="100"/>
      <c r="AY25" s="100"/>
    </row>
    <row r="26" spans="1:51" ht="37.5" customHeight="1" x14ac:dyDescent="0.3">
      <c r="A26" s="26" t="s">
        <v>528</v>
      </c>
      <c r="B26" s="22" t="s">
        <v>90</v>
      </c>
      <c r="C26" s="22" t="s">
        <v>91</v>
      </c>
      <c r="D26" s="22">
        <v>17563.900000000001</v>
      </c>
      <c r="E26" s="27">
        <f t="shared" si="0"/>
        <v>3058110.9581608297</v>
      </c>
      <c r="F26" s="100"/>
      <c r="G26" s="100"/>
      <c r="H26" s="100">
        <v>0</v>
      </c>
      <c r="I26" s="100">
        <f>67800+22008.7085076643</f>
        <v>89808.708507664298</v>
      </c>
      <c r="J26" s="100">
        <v>0</v>
      </c>
      <c r="K26" s="100">
        <f>99973+199000</f>
        <v>298973</v>
      </c>
      <c r="L26" s="100">
        <v>11863.215630316037</v>
      </c>
      <c r="M26" s="100">
        <f>8897.41172273703+60192.3</f>
        <v>69089.711722737033</v>
      </c>
      <c r="N26" s="100"/>
      <c r="O26" s="100"/>
      <c r="P26" s="100"/>
      <c r="Q26" s="100"/>
      <c r="R26" s="100">
        <v>0</v>
      </c>
      <c r="S26" s="100">
        <v>6545.454545454545</v>
      </c>
      <c r="T26" s="100">
        <v>163524.12419354837</v>
      </c>
      <c r="U26" s="100">
        <v>0</v>
      </c>
      <c r="V26" s="100"/>
      <c r="W26" s="100"/>
      <c r="X26" s="100">
        <f>22634.6153846154+75000</f>
        <v>97634.615384615405</v>
      </c>
      <c r="Y26" s="100">
        <v>71020.782500000001</v>
      </c>
      <c r="Z26" s="100"/>
      <c r="AA26" s="100"/>
      <c r="AB26" s="100"/>
      <c r="AC26" s="100"/>
      <c r="AD26" s="100">
        <v>0</v>
      </c>
      <c r="AE26" s="100">
        <v>15073.170731707318</v>
      </c>
      <c r="AF26" s="100">
        <f>262600.614555168+65976.9321043866</f>
        <v>328577.54665955459</v>
      </c>
      <c r="AG26" s="100">
        <f>279681.221638021+65976.9321043866</f>
        <v>345658.15374240757</v>
      </c>
      <c r="AH26" s="100">
        <v>0</v>
      </c>
      <c r="AI26" s="100">
        <v>7346.2379803167878</v>
      </c>
      <c r="AJ26" s="100">
        <v>0</v>
      </c>
      <c r="AK26" s="100">
        <f>133618.24+247260+260064</f>
        <v>640942.24</v>
      </c>
      <c r="AL26" s="100"/>
      <c r="AM26" s="100"/>
      <c r="AN26" s="100"/>
      <c r="AO26" s="100"/>
      <c r="AP26" s="100"/>
      <c r="AQ26" s="100"/>
      <c r="AR26" s="100">
        <v>663003.77323670534</v>
      </c>
      <c r="AS26" s="100">
        <v>134569.8749330155</v>
      </c>
      <c r="AT26" s="100">
        <v>114480.34839278714</v>
      </c>
      <c r="AU26" s="100">
        <v>0</v>
      </c>
      <c r="AV26" s="100"/>
      <c r="AW26" s="100"/>
      <c r="AX26" s="100"/>
      <c r="AY26" s="100"/>
    </row>
    <row r="27" spans="1:51" ht="37.5" customHeight="1" x14ac:dyDescent="0.3">
      <c r="A27" s="26" t="s">
        <v>529</v>
      </c>
      <c r="B27" s="22" t="s">
        <v>92</v>
      </c>
      <c r="C27" s="22" t="s">
        <v>93</v>
      </c>
      <c r="D27" s="22">
        <v>21448.3</v>
      </c>
      <c r="E27" s="27">
        <f t="shared" si="0"/>
        <v>6830478.2706842134</v>
      </c>
      <c r="F27" s="100"/>
      <c r="G27" s="100"/>
      <c r="H27" s="100">
        <v>0</v>
      </c>
      <c r="I27" s="100">
        <v>26876.114227758979</v>
      </c>
      <c r="J27" s="100">
        <v>2959761.6282088547</v>
      </c>
      <c r="K27" s="100">
        <v>526705.84861780563</v>
      </c>
      <c r="L27" s="100">
        <v>14486.862701547345</v>
      </c>
      <c r="M27" s="100">
        <v>10865.14702616051</v>
      </c>
      <c r="N27" s="100">
        <v>0</v>
      </c>
      <c r="O27" s="100">
        <v>10651.685393258427</v>
      </c>
      <c r="P27" s="100"/>
      <c r="Q27" s="100"/>
      <c r="R27" s="100">
        <v>0</v>
      </c>
      <c r="S27" s="100">
        <v>26181.81818181818</v>
      </c>
      <c r="T27" s="100">
        <v>76952.529032258055</v>
      </c>
      <c r="U27" s="100">
        <v>0</v>
      </c>
      <c r="V27" s="100"/>
      <c r="W27" s="100"/>
      <c r="X27" s="100">
        <f>11317.3076923077+37500</f>
        <v>48817.307692307702</v>
      </c>
      <c r="Y27" s="100">
        <v>35510.391250000001</v>
      </c>
      <c r="Z27" s="100">
        <v>0</v>
      </c>
      <c r="AA27" s="100">
        <v>101498</v>
      </c>
      <c r="AB27" s="100"/>
      <c r="AC27" s="100"/>
      <c r="AD27" s="100">
        <v>0</v>
      </c>
      <c r="AE27" s="100">
        <v>7536.5853658536589</v>
      </c>
      <c r="AF27" s="100">
        <f>320676.886179243+80568.2697381854</f>
        <v>401245.15591742838</v>
      </c>
      <c r="AG27" s="100">
        <f>341535.009084472+80568.2697381854</f>
        <v>422103.27882265742</v>
      </c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>
        <f>809632.475105918+710286.345836733</f>
        <v>1519918.820942651</v>
      </c>
      <c r="AS27" s="100">
        <f>164331.102347759+455411.929148568</f>
        <v>619743.03149632702</v>
      </c>
      <c r="AT27" s="100">
        <v>21624.065807526462</v>
      </c>
      <c r="AU27" s="100">
        <v>0</v>
      </c>
      <c r="AV27" s="100"/>
      <c r="AW27" s="100"/>
      <c r="AX27" s="100"/>
      <c r="AY27" s="100"/>
    </row>
    <row r="28" spans="1:51" ht="37.5" customHeight="1" x14ac:dyDescent="0.3">
      <c r="A28" s="26" t="s">
        <v>530</v>
      </c>
      <c r="B28" s="22" t="s">
        <v>81</v>
      </c>
      <c r="C28" s="22" t="s">
        <v>96</v>
      </c>
      <c r="D28" s="22">
        <v>60.7</v>
      </c>
      <c r="E28" s="27">
        <f t="shared" si="0"/>
        <v>182258.43169766787</v>
      </c>
      <c r="F28" s="100"/>
      <c r="G28" s="100"/>
      <c r="H28" s="100">
        <v>0</v>
      </c>
      <c r="I28" s="100">
        <v>76.061046032784432</v>
      </c>
      <c r="J28" s="100"/>
      <c r="K28" s="100"/>
      <c r="L28" s="100">
        <v>40.998706936397006</v>
      </c>
      <c r="M28" s="100">
        <v>30.749030202297757</v>
      </c>
      <c r="N28" s="100"/>
      <c r="O28" s="100"/>
      <c r="P28" s="100"/>
      <c r="Q28" s="100"/>
      <c r="R28" s="100"/>
      <c r="S28" s="100"/>
      <c r="T28" s="100">
        <v>9907.6621741360832</v>
      </c>
      <c r="U28" s="100">
        <v>18172.256053257479</v>
      </c>
      <c r="V28" s="100"/>
      <c r="W28" s="100"/>
      <c r="X28" s="100"/>
      <c r="Y28" s="100"/>
      <c r="Z28" s="100"/>
      <c r="AA28" s="100"/>
      <c r="AB28" s="100"/>
      <c r="AC28" s="100"/>
      <c r="AD28" s="100">
        <v>0</v>
      </c>
      <c r="AE28" s="100">
        <v>150731.70731707316</v>
      </c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>
        <v>2010.1537740655308</v>
      </c>
      <c r="AS28" s="100">
        <v>1288.8435959641595</v>
      </c>
      <c r="AT28" s="100"/>
      <c r="AU28" s="100"/>
      <c r="AV28" s="100"/>
      <c r="AW28" s="100"/>
      <c r="AX28" s="100"/>
      <c r="AY28" s="100"/>
    </row>
    <row r="29" spans="1:51" ht="37.5" customHeight="1" x14ac:dyDescent="0.3">
      <c r="A29" s="26" t="s">
        <v>531</v>
      </c>
      <c r="B29" s="22" t="s">
        <v>73</v>
      </c>
      <c r="C29" s="22" t="s">
        <v>97</v>
      </c>
      <c r="D29" s="22">
        <v>358.3</v>
      </c>
      <c r="E29" s="27">
        <f t="shared" si="0"/>
        <v>200500.88045263203</v>
      </c>
      <c r="F29" s="100"/>
      <c r="G29" s="100"/>
      <c r="H29" s="100">
        <v>0</v>
      </c>
      <c r="I29" s="100">
        <v>448.97319264492029</v>
      </c>
      <c r="J29" s="100"/>
      <c r="K29" s="100"/>
      <c r="L29" s="100">
        <v>242.00719432143407</v>
      </c>
      <c r="M29" s="100">
        <v>181.50539574107555</v>
      </c>
      <c r="N29" s="100"/>
      <c r="O29" s="100"/>
      <c r="P29" s="100"/>
      <c r="Q29" s="100"/>
      <c r="R29" s="100">
        <v>0</v>
      </c>
      <c r="S29" s="100">
        <v>6545.454545454545</v>
      </c>
      <c r="T29" s="100">
        <v>58482.954810427655</v>
      </c>
      <c r="U29" s="100">
        <v>107267.20500629579</v>
      </c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>
        <v>5356.9993108089056</v>
      </c>
      <c r="AG29" s="100">
        <v>5705.4402332570171</v>
      </c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>
        <v>13525.142590809075</v>
      </c>
      <c r="AS29" s="100">
        <v>2745.1981728715978</v>
      </c>
      <c r="AT29" s="100"/>
      <c r="AU29" s="100"/>
      <c r="AV29" s="100"/>
      <c r="AW29" s="100"/>
      <c r="AX29" s="100"/>
      <c r="AY29" s="100"/>
    </row>
    <row r="30" spans="1:51" ht="37.5" customHeight="1" x14ac:dyDescent="0.3">
      <c r="A30" s="26" t="s">
        <v>532</v>
      </c>
      <c r="B30" s="22" t="s">
        <v>98</v>
      </c>
      <c r="C30" s="22" t="s">
        <v>99</v>
      </c>
      <c r="D30" s="22">
        <v>196.6</v>
      </c>
      <c r="E30" s="27">
        <f t="shared" ref="E30:E45" si="1">SUM(F30:AU30)</f>
        <v>478.7348726773115</v>
      </c>
      <c r="F30" s="100"/>
      <c r="G30" s="100"/>
      <c r="H30" s="100">
        <v>0</v>
      </c>
      <c r="I30" s="100">
        <v>246.35258072562468</v>
      </c>
      <c r="J30" s="100"/>
      <c r="K30" s="100"/>
      <c r="L30" s="100">
        <v>132.78988111524961</v>
      </c>
      <c r="M30" s="100">
        <v>99.59241083643721</v>
      </c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</row>
    <row r="31" spans="1:51" ht="37.5" customHeight="1" x14ac:dyDescent="0.3">
      <c r="A31" s="26" t="s">
        <v>533</v>
      </c>
      <c r="B31" s="22" t="s">
        <v>81</v>
      </c>
      <c r="C31" s="22" t="s">
        <v>100</v>
      </c>
      <c r="D31" s="22">
        <v>54.4</v>
      </c>
      <c r="E31" s="27">
        <f t="shared" si="1"/>
        <v>132.4678386248512</v>
      </c>
      <c r="F31" s="100"/>
      <c r="G31" s="100"/>
      <c r="H31" s="100">
        <v>0</v>
      </c>
      <c r="I31" s="100">
        <v>68.166736477487191</v>
      </c>
      <c r="J31" s="100"/>
      <c r="K31" s="100"/>
      <c r="L31" s="100">
        <v>36.743486941350859</v>
      </c>
      <c r="M31" s="100">
        <v>27.557615206013146</v>
      </c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</row>
    <row r="32" spans="1:51" ht="56.25" customHeight="1" x14ac:dyDescent="0.3">
      <c r="A32" s="26" t="s">
        <v>534</v>
      </c>
      <c r="B32" s="22" t="s">
        <v>119</v>
      </c>
      <c r="C32" s="22" t="s">
        <v>120</v>
      </c>
      <c r="D32" s="22">
        <v>5741.2</v>
      </c>
      <c r="E32" s="27">
        <f t="shared" si="1"/>
        <v>614391.87994284742</v>
      </c>
      <c r="F32" s="100"/>
      <c r="G32" s="100"/>
      <c r="H32" s="22">
        <v>0</v>
      </c>
      <c r="I32" s="100">
        <v>7194.096828392454</v>
      </c>
      <c r="J32" s="100"/>
      <c r="K32" s="100"/>
      <c r="L32" s="100">
        <v>3877.7887358030061</v>
      </c>
      <c r="M32" s="100">
        <v>2908.3415518522547</v>
      </c>
      <c r="N32" s="100"/>
      <c r="O32" s="100"/>
      <c r="P32" s="100"/>
      <c r="Q32" s="100"/>
      <c r="R32" s="100">
        <v>0</v>
      </c>
      <c r="S32" s="100">
        <v>6545.454545454545</v>
      </c>
      <c r="T32" s="100">
        <v>19238.132258064514</v>
      </c>
      <c r="U32" s="100">
        <v>0</v>
      </c>
      <c r="V32" s="100"/>
      <c r="W32" s="100"/>
      <c r="X32" s="100"/>
      <c r="Y32" s="100"/>
      <c r="Z32" s="100"/>
      <c r="AA32" s="100"/>
      <c r="AB32" s="100"/>
      <c r="AC32" s="100"/>
      <c r="AD32" s="100">
        <v>0</v>
      </c>
      <c r="AE32" s="100">
        <v>15073.170731707318</v>
      </c>
      <c r="AF32" s="100">
        <f>85837.5786860622+21566.2103859453</f>
        <v>107403.78907200749</v>
      </c>
      <c r="AG32" s="100">
        <f>91420.8023086106+21566.2103859453</f>
        <v>112987.01269455589</v>
      </c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>
        <v>216719.36545451594</v>
      </c>
      <c r="AS32" s="100">
        <v>43987.529305303979</v>
      </c>
      <c r="AT32" s="100">
        <v>78457.198765190129</v>
      </c>
      <c r="AU32" s="100">
        <v>0</v>
      </c>
      <c r="AV32" s="100"/>
      <c r="AW32" s="100"/>
      <c r="AX32" s="100"/>
      <c r="AY32" s="100"/>
    </row>
    <row r="33" spans="1:51" ht="37.5" customHeight="1" x14ac:dyDescent="0.3">
      <c r="A33" s="26" t="s">
        <v>535</v>
      </c>
      <c r="B33" s="22" t="s">
        <v>128</v>
      </c>
      <c r="C33" s="22" t="s">
        <v>129</v>
      </c>
      <c r="D33" s="22">
        <v>3106.9</v>
      </c>
      <c r="E33" s="27">
        <f t="shared" si="1"/>
        <v>6158999.3526575807</v>
      </c>
      <c r="F33" s="100"/>
      <c r="G33" s="100"/>
      <c r="H33" s="22">
        <v>33656</v>
      </c>
      <c r="I33" s="100">
        <f>50000+3893.14767577031</f>
        <v>53893.147675770313</v>
      </c>
      <c r="J33" s="100">
        <f>5062600.34*0.6</f>
        <v>3037560.2039999999</v>
      </c>
      <c r="K33" s="100">
        <f>161290.32+98000+(5062600.34*0.4)</f>
        <v>2284330.4559999998</v>
      </c>
      <c r="L33" s="100">
        <v>2098.4988893029963</v>
      </c>
      <c r="M33" s="100">
        <f>1573.87416697725</f>
        <v>1573.8741669772501</v>
      </c>
      <c r="N33" s="100">
        <v>0</v>
      </c>
      <c r="O33" s="100">
        <v>15977.528089887641</v>
      </c>
      <c r="P33" s="100"/>
      <c r="Q33" s="100"/>
      <c r="R33" s="100">
        <v>0</v>
      </c>
      <c r="S33" s="100">
        <v>6545.454545454545</v>
      </c>
      <c r="T33" s="100">
        <v>19238.132258064514</v>
      </c>
      <c r="U33" s="100">
        <v>0</v>
      </c>
      <c r="V33" s="100">
        <v>0</v>
      </c>
      <c r="W33" s="100">
        <v>70513.274336283182</v>
      </c>
      <c r="X33" s="100">
        <f>22634.6153846154+75000</f>
        <v>97634.615384615405</v>
      </c>
      <c r="Y33" s="100">
        <v>71020.782500000001</v>
      </c>
      <c r="Z33" s="100"/>
      <c r="AA33" s="100"/>
      <c r="AB33" s="100"/>
      <c r="AC33" s="100"/>
      <c r="AD33" s="100">
        <v>0</v>
      </c>
      <c r="AE33" s="100">
        <v>7536.5853658536589</v>
      </c>
      <c r="AF33" s="100">
        <f>46451.7475823394+11670.7411426345</f>
        <v>58122.488724973897</v>
      </c>
      <c r="AG33" s="100">
        <f>49473.1573003244+11670.7411426345</f>
        <v>61143.898442958896</v>
      </c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>
        <f>117279.557676206+102888.743997433</f>
        <v>220168.30167363898</v>
      </c>
      <c r="AS33" s="100">
        <f>23804.2316586513+65968.8330856845</f>
        <v>89773.064744335803</v>
      </c>
      <c r="AT33" s="100">
        <v>28213.045859466878</v>
      </c>
      <c r="AU33" s="100">
        <v>0</v>
      </c>
      <c r="AV33" s="100"/>
      <c r="AW33" s="100"/>
      <c r="AX33" s="100"/>
      <c r="AY33" s="100"/>
    </row>
    <row r="34" spans="1:51" ht="37.5" customHeight="1" x14ac:dyDescent="0.3">
      <c r="A34" s="26" t="s">
        <v>536</v>
      </c>
      <c r="B34" s="22" t="s">
        <v>130</v>
      </c>
      <c r="C34" s="22" t="s">
        <v>131</v>
      </c>
      <c r="D34" s="22">
        <v>18213.3</v>
      </c>
      <c r="E34" s="27">
        <f t="shared" si="1"/>
        <v>2648168.3831367674</v>
      </c>
      <c r="F34" s="100">
        <f>551155.07*0.6</f>
        <v>330693.04199999996</v>
      </c>
      <c r="G34" s="100">
        <f>551155.07*0.4</f>
        <v>220462.02799999999</v>
      </c>
      <c r="H34" s="22">
        <v>0</v>
      </c>
      <c r="I34" s="100">
        <v>22822.448924364293</v>
      </c>
      <c r="J34" s="100"/>
      <c r="K34" s="100"/>
      <c r="L34" s="100">
        <v>12301.841005678411</v>
      </c>
      <c r="M34" s="100">
        <v>9226.3807542588074</v>
      </c>
      <c r="N34" s="100">
        <v>0</v>
      </c>
      <c r="O34" s="100">
        <v>21303.370786516854</v>
      </c>
      <c r="P34" s="100"/>
      <c r="Q34" s="100"/>
      <c r="R34" s="100">
        <v>0</v>
      </c>
      <c r="S34" s="100">
        <v>13090.90909090909</v>
      </c>
      <c r="T34" s="100"/>
      <c r="U34" s="100"/>
      <c r="V34" s="100">
        <v>0</v>
      </c>
      <c r="W34" s="100">
        <v>79327.433628318584</v>
      </c>
      <c r="X34" s="100">
        <f>40125+187500</f>
        <v>227625</v>
      </c>
      <c r="Y34" s="100">
        <v>177551.95625000002</v>
      </c>
      <c r="Z34" s="100"/>
      <c r="AA34" s="100"/>
      <c r="AB34" s="100"/>
      <c r="AC34" s="100"/>
      <c r="AD34" s="100">
        <v>0</v>
      </c>
      <c r="AE34" s="100">
        <v>7536.5853658536589</v>
      </c>
      <c r="AF34" s="100">
        <f>272309.895471828+68416.3344984214</f>
        <v>340726.22997024941</v>
      </c>
      <c r="AG34" s="100">
        <f>290022.033492548+68416.3344984214</f>
        <v>358438.36799096939</v>
      </c>
      <c r="AH34" s="100"/>
      <c r="AI34" s="100"/>
      <c r="AJ34" s="100">
        <v>0</v>
      </c>
      <c r="AK34" s="100"/>
      <c r="AL34" s="100"/>
      <c r="AM34" s="100"/>
      <c r="AN34" s="100"/>
      <c r="AO34" s="100"/>
      <c r="AP34" s="100"/>
      <c r="AQ34" s="100"/>
      <c r="AR34" s="100">
        <f>687517.386405758</f>
        <v>687517.38640575798</v>
      </c>
      <c r="AS34" s="100">
        <f>139545.402963891</f>
        <v>139545.40296389101</v>
      </c>
      <c r="AT34" s="100"/>
      <c r="AU34" s="100"/>
      <c r="AV34" s="100"/>
      <c r="AW34" s="100"/>
      <c r="AX34" s="100"/>
      <c r="AY34" s="100"/>
    </row>
    <row r="35" spans="1:51" ht="37.5" customHeight="1" x14ac:dyDescent="0.3">
      <c r="A35" s="26" t="s">
        <v>537</v>
      </c>
      <c r="B35" s="22" t="s">
        <v>136</v>
      </c>
      <c r="C35" s="22" t="s">
        <v>137</v>
      </c>
      <c r="D35" s="22">
        <v>1318.7</v>
      </c>
      <c r="E35" s="27">
        <f t="shared" si="1"/>
        <v>1294518.1200000001</v>
      </c>
      <c r="F35" s="106">
        <v>906162.68400000001</v>
      </c>
      <c r="G35" s="106">
        <v>388355.43600000005</v>
      </c>
      <c r="H35" s="22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</row>
    <row r="36" spans="1:51" ht="37.5" customHeight="1" x14ac:dyDescent="0.3">
      <c r="A36" s="26" t="s">
        <v>538</v>
      </c>
      <c r="B36" s="22" t="s">
        <v>142</v>
      </c>
      <c r="C36" s="22" t="s">
        <v>143</v>
      </c>
      <c r="D36" s="22">
        <v>1453.6</v>
      </c>
      <c r="E36" s="27">
        <f t="shared" si="1"/>
        <v>734623.92201791157</v>
      </c>
      <c r="F36" s="100"/>
      <c r="G36" s="100"/>
      <c r="H36" s="100"/>
      <c r="I36" s="100"/>
      <c r="J36" s="100"/>
      <c r="K36" s="100"/>
      <c r="L36" s="100"/>
      <c r="M36" s="100"/>
      <c r="N36" s="100">
        <v>0</v>
      </c>
      <c r="O36" s="100">
        <v>10651.685393258427</v>
      </c>
      <c r="P36" s="100"/>
      <c r="Q36" s="100"/>
      <c r="R36" s="100">
        <v>0</v>
      </c>
      <c r="S36" s="100">
        <v>13090.90909090909</v>
      </c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>
        <v>21733.00083224065</v>
      </c>
      <c r="AG36" s="100">
        <v>23146.603190238344</v>
      </c>
      <c r="AH36" s="100"/>
      <c r="AI36" s="100"/>
      <c r="AJ36" s="100"/>
      <c r="AK36" s="100">
        <v>599994</v>
      </c>
      <c r="AL36" s="100"/>
      <c r="AM36" s="100"/>
      <c r="AN36" s="100"/>
      <c r="AO36" s="100"/>
      <c r="AP36" s="100"/>
      <c r="AQ36" s="100"/>
      <c r="AR36" s="100">
        <v>54870.631509908097</v>
      </c>
      <c r="AS36" s="100">
        <v>11137.092001356836</v>
      </c>
      <c r="AT36" s="100"/>
      <c r="AU36" s="100"/>
      <c r="AV36" s="100"/>
      <c r="AW36" s="100"/>
      <c r="AX36" s="100"/>
      <c r="AY36" s="100"/>
    </row>
    <row r="37" spans="1:51" ht="37.5" customHeight="1" x14ac:dyDescent="0.3">
      <c r="A37" s="26" t="s">
        <v>539</v>
      </c>
      <c r="B37" s="22" t="s">
        <v>144</v>
      </c>
      <c r="C37" s="22" t="s">
        <v>145</v>
      </c>
      <c r="D37" s="22">
        <v>6172.3</v>
      </c>
      <c r="E37" s="27">
        <f t="shared" si="1"/>
        <v>5768565.2199999997</v>
      </c>
      <c r="F37" s="100"/>
      <c r="G37" s="100">
        <v>2589041.04</v>
      </c>
      <c r="H37" s="100">
        <v>0</v>
      </c>
      <c r="I37" s="100">
        <v>363300</v>
      </c>
      <c r="J37" s="100">
        <v>0</v>
      </c>
      <c r="K37" s="100">
        <v>1211554.3799999999</v>
      </c>
      <c r="L37" s="100">
        <v>0</v>
      </c>
      <c r="M37" s="100">
        <f>24600+59800</f>
        <v>84400</v>
      </c>
      <c r="N37" s="100">
        <v>0</v>
      </c>
      <c r="O37" s="100">
        <v>149000</v>
      </c>
      <c r="P37" s="100">
        <v>0</v>
      </c>
      <c r="Q37" s="100">
        <f>70000+199000</f>
        <v>269000</v>
      </c>
      <c r="R37" s="100">
        <v>0</v>
      </c>
      <c r="S37" s="100">
        <f>342500</f>
        <v>342500</v>
      </c>
      <c r="T37" s="100">
        <v>0</v>
      </c>
      <c r="U37" s="100">
        <v>32400</v>
      </c>
      <c r="V37" s="100">
        <v>0</v>
      </c>
      <c r="W37" s="100"/>
      <c r="X37" s="100"/>
      <c r="Y37" s="100">
        <v>103938.2</v>
      </c>
      <c r="Z37" s="100"/>
      <c r="AA37" s="100"/>
      <c r="AB37" s="100"/>
      <c r="AC37" s="100"/>
      <c r="AD37" s="100"/>
      <c r="AE37" s="100"/>
      <c r="AF37" s="100"/>
      <c r="AG37" s="100"/>
      <c r="AH37" s="100">
        <v>0</v>
      </c>
      <c r="AI37" s="100"/>
      <c r="AJ37" s="100"/>
      <c r="AK37" s="100"/>
      <c r="AL37" s="100"/>
      <c r="AM37" s="100"/>
      <c r="AN37" s="100"/>
      <c r="AO37" s="100"/>
      <c r="AP37" s="100">
        <v>0</v>
      </c>
      <c r="AQ37" s="100">
        <v>299500</v>
      </c>
      <c r="AR37" s="100">
        <v>0</v>
      </c>
      <c r="AS37" s="100">
        <v>323931.59999999998</v>
      </c>
      <c r="AT37" s="100"/>
      <c r="AU37" s="100"/>
      <c r="AV37" s="100"/>
      <c r="AW37" s="100">
        <v>267936</v>
      </c>
      <c r="AX37" s="100"/>
      <c r="AY37" s="100"/>
    </row>
    <row r="38" spans="1:51" ht="37.5" customHeight="1" x14ac:dyDescent="0.3">
      <c r="A38" s="26" t="s">
        <v>540</v>
      </c>
      <c r="B38" s="22" t="s">
        <v>146</v>
      </c>
      <c r="C38" s="22" t="s">
        <v>147</v>
      </c>
      <c r="D38" s="22">
        <f>3618.1+54197.28</f>
        <v>57815.38</v>
      </c>
      <c r="E38" s="27">
        <f>SUM(F38:AU38)</f>
        <v>9893967.6277264599</v>
      </c>
      <c r="F38" s="24">
        <v>7534109</v>
      </c>
      <c r="G38" s="100"/>
      <c r="H38" s="100">
        <v>133200</v>
      </c>
      <c r="I38" s="100">
        <v>0</v>
      </c>
      <c r="J38" s="100">
        <f>71573.5977947661+42000</f>
        <v>113573.5977947661</v>
      </c>
      <c r="K38" s="100">
        <v>0</v>
      </c>
      <c r="L38" s="100">
        <v>24282</v>
      </c>
      <c r="M38" s="100"/>
      <c r="N38" s="100">
        <v>0</v>
      </c>
      <c r="O38" s="100">
        <v>5325.8426966292136</v>
      </c>
      <c r="P38" s="100"/>
      <c r="Q38" s="100"/>
      <c r="R38" s="100">
        <v>0</v>
      </c>
      <c r="S38" s="100">
        <v>6545.454545454545</v>
      </c>
      <c r="T38" s="100">
        <f>354750-T39</f>
        <v>266266</v>
      </c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>
        <v>0</v>
      </c>
      <c r="AI38" s="100"/>
      <c r="AJ38" s="100"/>
      <c r="AK38" s="100"/>
      <c r="AL38" s="100"/>
      <c r="AM38" s="100"/>
      <c r="AN38" s="100"/>
      <c r="AO38" s="100"/>
      <c r="AP38" s="100">
        <v>0</v>
      </c>
      <c r="AQ38" s="100">
        <v>177172.69675494215</v>
      </c>
      <c r="AR38" s="100">
        <f>312625+93273.6</f>
        <v>405898.6</v>
      </c>
      <c r="AS38" s="100">
        <v>1227594.4359346679</v>
      </c>
      <c r="AT38" s="100"/>
      <c r="AU38" s="100"/>
      <c r="AV38" s="100"/>
      <c r="AW38" s="100">
        <v>78500</v>
      </c>
      <c r="AX38" s="100"/>
      <c r="AY38" s="100"/>
    </row>
    <row r="39" spans="1:51" ht="37.5" customHeight="1" x14ac:dyDescent="0.3">
      <c r="A39" s="26" t="s">
        <v>541</v>
      </c>
      <c r="B39" s="22" t="s">
        <v>148</v>
      </c>
      <c r="C39" s="22" t="s">
        <v>149</v>
      </c>
      <c r="D39" s="22">
        <v>1556.1</v>
      </c>
      <c r="E39" s="27">
        <f t="shared" si="1"/>
        <v>8176735.7026923755</v>
      </c>
      <c r="F39" s="100">
        <f>233014+14925.32+60424+21929.98</f>
        <v>330293.3</v>
      </c>
      <c r="G39" s="100"/>
      <c r="H39" s="100">
        <v>62248</v>
      </c>
      <c r="I39" s="100">
        <v>0</v>
      </c>
      <c r="J39" s="100">
        <f>1926.40220523389+42000</f>
        <v>43926.402205233891</v>
      </c>
      <c r="K39" s="100">
        <v>0</v>
      </c>
      <c r="L39" s="100">
        <v>10974</v>
      </c>
      <c r="M39" s="100"/>
      <c r="N39" s="100">
        <v>0</v>
      </c>
      <c r="O39" s="100">
        <v>5325.8426966292136</v>
      </c>
      <c r="P39" s="100"/>
      <c r="Q39" s="100"/>
      <c r="R39" s="100">
        <v>0</v>
      </c>
      <c r="S39" s="100">
        <v>6545.454545454545</v>
      </c>
      <c r="T39" s="100">
        <v>88484</v>
      </c>
      <c r="U39" s="100"/>
      <c r="V39" s="100"/>
      <c r="W39" s="100"/>
      <c r="X39" s="100"/>
      <c r="Y39" s="100"/>
      <c r="Z39" s="100"/>
      <c r="AA39" s="100"/>
      <c r="AB39" s="100">
        <f>84000+204000</f>
        <v>288000</v>
      </c>
      <c r="AC39" s="100">
        <v>0</v>
      </c>
      <c r="AD39" s="100"/>
      <c r="AE39" s="100"/>
      <c r="AF39" s="100">
        <f>25000</f>
        <v>25000</v>
      </c>
      <c r="AG39" s="100">
        <f>25000</f>
        <v>25000</v>
      </c>
      <c r="AH39" s="100">
        <v>0</v>
      </c>
      <c r="AI39" s="100"/>
      <c r="AJ39" s="100">
        <v>6864140</v>
      </c>
      <c r="AK39" s="100"/>
      <c r="AL39" s="100"/>
      <c r="AM39" s="100"/>
      <c r="AN39" s="100"/>
      <c r="AO39" s="100"/>
      <c r="AP39" s="100">
        <v>0</v>
      </c>
      <c r="AQ39" s="100">
        <v>22827.303245057814</v>
      </c>
      <c r="AR39" s="100">
        <v>312625</v>
      </c>
      <c r="AS39" s="100">
        <v>91346.4</v>
      </c>
      <c r="AT39" s="100"/>
      <c r="AU39" s="100"/>
      <c r="AV39" s="100"/>
      <c r="AW39" s="100">
        <v>78500</v>
      </c>
      <c r="AX39" s="100"/>
      <c r="AY39" s="100"/>
    </row>
    <row r="40" spans="1:51" ht="56.25" customHeight="1" x14ac:dyDescent="0.3">
      <c r="A40" s="26" t="s">
        <v>542</v>
      </c>
      <c r="B40" s="22" t="s">
        <v>150</v>
      </c>
      <c r="C40" s="22" t="s">
        <v>151</v>
      </c>
      <c r="D40" s="22">
        <v>2615.5</v>
      </c>
      <c r="E40" s="27">
        <f t="shared" si="1"/>
        <v>30194159.740000002</v>
      </c>
      <c r="F40" s="100">
        <f>12945205.2+500000</f>
        <v>13445205.199999999</v>
      </c>
      <c r="G40" s="100">
        <f>1743000+79200+54049.2+94586.1</f>
        <v>1970835.3</v>
      </c>
      <c r="H40" s="100">
        <f>10300+569560</f>
        <v>579860</v>
      </c>
      <c r="I40" s="100">
        <v>30163</v>
      </c>
      <c r="J40" s="100">
        <v>150323.47</v>
      </c>
      <c r="K40" s="100">
        <v>226579</v>
      </c>
      <c r="L40" s="100"/>
      <c r="M40" s="100">
        <f>36538.86+53000+295116.59</f>
        <v>384655.45</v>
      </c>
      <c r="N40" s="100"/>
      <c r="O40" s="100"/>
      <c r="P40" s="100"/>
      <c r="Q40" s="100">
        <v>88000</v>
      </c>
      <c r="R40" s="100">
        <v>0</v>
      </c>
      <c r="S40" s="100"/>
      <c r="T40" s="100">
        <v>430392.75</v>
      </c>
      <c r="U40" s="100">
        <v>1069607.25</v>
      </c>
      <c r="V40" s="100"/>
      <c r="W40" s="100"/>
      <c r="X40" s="100"/>
      <c r="Y40" s="100"/>
      <c r="Z40" s="100">
        <v>153000</v>
      </c>
      <c r="AA40" s="100"/>
      <c r="AB40" s="100"/>
      <c r="AC40" s="100"/>
      <c r="AD40" s="100"/>
      <c r="AE40" s="100"/>
      <c r="AF40" s="100">
        <f>115000+25000</f>
        <v>140000</v>
      </c>
      <c r="AG40" s="100">
        <f>502739.38+25000</f>
        <v>527739.38</v>
      </c>
      <c r="AH40" s="100">
        <v>0</v>
      </c>
      <c r="AI40" s="100">
        <f>20157+7080</f>
        <v>27237</v>
      </c>
      <c r="AJ40" s="100"/>
      <c r="AK40" s="100">
        <v>7298464.2800000003</v>
      </c>
      <c r="AL40" s="100"/>
      <c r="AM40" s="100"/>
      <c r="AN40" s="100"/>
      <c r="AO40" s="100"/>
      <c r="AP40" s="100"/>
      <c r="AQ40" s="100"/>
      <c r="AR40" s="100">
        <f>149834.69+107004</f>
        <v>256838.69</v>
      </c>
      <c r="AS40" s="100">
        <f>3415258.97</f>
        <v>3415258.97</v>
      </c>
      <c r="AT40" s="100"/>
      <c r="AU40" s="100">
        <v>0</v>
      </c>
      <c r="AV40" s="100">
        <v>119000</v>
      </c>
      <c r="AW40" s="100">
        <v>78894</v>
      </c>
      <c r="AX40" s="100">
        <v>190000</v>
      </c>
      <c r="AY40" s="100"/>
    </row>
    <row r="41" spans="1:51" ht="37.5" customHeight="1" x14ac:dyDescent="0.3">
      <c r="A41" s="26" t="s">
        <v>543</v>
      </c>
      <c r="B41" s="100" t="s">
        <v>152</v>
      </c>
      <c r="C41" s="100" t="s">
        <v>153</v>
      </c>
      <c r="D41" s="22">
        <v>22228.9</v>
      </c>
      <c r="E41" s="27">
        <f t="shared" si="1"/>
        <v>31330115.977122445</v>
      </c>
      <c r="F41" s="100">
        <v>15534246.24</v>
      </c>
      <c r="G41" s="100"/>
      <c r="H41" s="100">
        <f>5950+109148.98</f>
        <v>115098.98</v>
      </c>
      <c r="I41" s="100">
        <v>46778.14</v>
      </c>
      <c r="J41" s="100">
        <v>5124440.68</v>
      </c>
      <c r="K41" s="100">
        <f>6024032-J41+290000</f>
        <v>1189591.3200000003</v>
      </c>
      <c r="L41" s="100">
        <v>0</v>
      </c>
      <c r="M41" s="100"/>
      <c r="N41" s="100"/>
      <c r="O41" s="100"/>
      <c r="P41" s="100"/>
      <c r="Q41" s="100"/>
      <c r="R41" s="100">
        <v>0</v>
      </c>
      <c r="S41" s="100">
        <v>32727.272727272728</v>
      </c>
      <c r="T41" s="100"/>
      <c r="U41" s="100"/>
      <c r="V41" s="100">
        <v>0</v>
      </c>
      <c r="W41" s="100">
        <v>354974.56912338495</v>
      </c>
      <c r="X41" s="100">
        <v>0</v>
      </c>
      <c r="Y41" s="100">
        <v>415752.78</v>
      </c>
      <c r="Z41" s="100"/>
      <c r="AA41" s="100"/>
      <c r="AB41" s="100"/>
      <c r="AC41" s="100"/>
      <c r="AD41" s="100">
        <v>0</v>
      </c>
      <c r="AE41" s="100">
        <v>7536.5853658536589</v>
      </c>
      <c r="AF41" s="100">
        <f>3005580+594432</f>
        <v>3600012</v>
      </c>
      <c r="AG41" s="100">
        <f>265127.57+265127.57+594432</f>
        <v>1124687.1400000001</v>
      </c>
      <c r="AH41" s="100">
        <v>0</v>
      </c>
      <c r="AI41" s="100">
        <v>92907.49883575234</v>
      </c>
      <c r="AJ41" s="100">
        <v>0</v>
      </c>
      <c r="AK41" s="100">
        <f>449434.8+461276.4</f>
        <v>910711.2</v>
      </c>
      <c r="AL41" s="100"/>
      <c r="AM41" s="100"/>
      <c r="AN41" s="100"/>
      <c r="AO41" s="100"/>
      <c r="AP41" s="100"/>
      <c r="AQ41" s="100"/>
      <c r="AR41" s="100">
        <v>0</v>
      </c>
      <c r="AS41" s="100">
        <f>11472.6670121583+257315.35+2511863.55405802</f>
        <v>2780651.5710701784</v>
      </c>
      <c r="AT41" s="100"/>
      <c r="AU41" s="100"/>
      <c r="AV41" s="100"/>
      <c r="AW41" s="100"/>
      <c r="AX41" s="100"/>
      <c r="AY41" s="100"/>
    </row>
    <row r="42" spans="1:51" ht="36" x14ac:dyDescent="0.3">
      <c r="A42" s="26" t="s">
        <v>544</v>
      </c>
      <c r="B42" s="100" t="s">
        <v>158</v>
      </c>
      <c r="C42" s="100" t="s">
        <v>159</v>
      </c>
      <c r="D42" s="100">
        <v>7998.2</v>
      </c>
      <c r="E42" s="27">
        <f t="shared" si="1"/>
        <v>4829389.0650926698</v>
      </c>
      <c r="F42" s="100">
        <v>0</v>
      </c>
      <c r="G42" s="100"/>
      <c r="H42" s="100">
        <f>52775.33/2</f>
        <v>26387.665000000001</v>
      </c>
      <c r="I42" s="100">
        <f>22618/2</f>
        <v>11309</v>
      </c>
      <c r="J42" s="100"/>
      <c r="K42" s="100">
        <f>2167512+145000</f>
        <v>2312512</v>
      </c>
      <c r="L42" s="100">
        <f>31993/2</f>
        <v>15996.5</v>
      </c>
      <c r="M42" s="100">
        <f>31993/2</f>
        <v>15996.5</v>
      </c>
      <c r="N42" s="100"/>
      <c r="O42" s="100"/>
      <c r="P42" s="100"/>
      <c r="Q42" s="100"/>
      <c r="R42" s="100"/>
      <c r="S42" s="100"/>
      <c r="T42" s="100"/>
      <c r="U42" s="100"/>
      <c r="V42" s="100">
        <v>0</v>
      </c>
      <c r="W42" s="100">
        <v>127723.71096917335</v>
      </c>
      <c r="X42" s="100"/>
      <c r="Y42" s="100"/>
      <c r="Z42" s="100"/>
      <c r="AA42" s="100"/>
      <c r="AB42" s="100"/>
      <c r="AC42" s="100"/>
      <c r="AD42" s="100"/>
      <c r="AE42" s="100"/>
      <c r="AF42" s="100">
        <f>1087755+174311</f>
        <v>1262066</v>
      </c>
      <c r="AG42" s="100">
        <f>268672.889123497+174311</f>
        <v>442983.88912349701</v>
      </c>
      <c r="AH42" s="100"/>
      <c r="AI42" s="100"/>
      <c r="AJ42" s="100"/>
      <c r="AK42" s="100">
        <v>145323</v>
      </c>
      <c r="AL42" s="100"/>
      <c r="AM42" s="100"/>
      <c r="AN42" s="100"/>
      <c r="AO42" s="100"/>
      <c r="AP42" s="100"/>
      <c r="AQ42" s="100"/>
      <c r="AR42" s="100">
        <v>202542</v>
      </c>
      <c r="AS42" s="100">
        <v>266548.8</v>
      </c>
      <c r="AT42" s="100"/>
      <c r="AU42" s="100"/>
      <c r="AV42" s="100"/>
      <c r="AW42" s="100"/>
      <c r="AX42" s="100"/>
      <c r="AY42" s="100"/>
    </row>
    <row r="43" spans="1:51" ht="36" x14ac:dyDescent="0.3">
      <c r="A43" s="26" t="s">
        <v>545</v>
      </c>
      <c r="B43" s="100" t="s">
        <v>158</v>
      </c>
      <c r="C43" s="100" t="s">
        <v>160</v>
      </c>
      <c r="D43" s="100">
        <v>4101.8999999999996</v>
      </c>
      <c r="E43" s="27">
        <f t="shared" si="1"/>
        <v>2501561.8126971228</v>
      </c>
      <c r="F43" s="100">
        <v>0</v>
      </c>
      <c r="G43" s="100"/>
      <c r="H43" s="100">
        <v>26387.67</v>
      </c>
      <c r="I43" s="100">
        <v>11309</v>
      </c>
      <c r="J43" s="100"/>
      <c r="K43" s="100">
        <f>1111615+145000</f>
        <v>1256615</v>
      </c>
      <c r="L43" s="100">
        <f>16408/2</f>
        <v>8204</v>
      </c>
      <c r="M43" s="100">
        <f>16408/2</f>
        <v>8204</v>
      </c>
      <c r="N43" s="100"/>
      <c r="O43" s="100"/>
      <c r="P43" s="100"/>
      <c r="Q43" s="100"/>
      <c r="R43" s="100"/>
      <c r="S43" s="100"/>
      <c r="T43" s="100"/>
      <c r="U43" s="100"/>
      <c r="V43" s="100">
        <v>0</v>
      </c>
      <c r="W43" s="100">
        <v>65503.474534826855</v>
      </c>
      <c r="X43" s="100"/>
      <c r="Y43" s="100"/>
      <c r="Z43" s="100"/>
      <c r="AA43" s="100"/>
      <c r="AB43" s="100"/>
      <c r="AC43" s="100"/>
      <c r="AD43" s="100"/>
      <c r="AE43" s="100"/>
      <c r="AF43" s="100">
        <f>557858+142184</f>
        <v>700042</v>
      </c>
      <c r="AG43" s="100">
        <f>137789.668162296+142184</f>
        <v>279973.668162296</v>
      </c>
      <c r="AH43" s="100"/>
      <c r="AI43" s="100"/>
      <c r="AJ43" s="100"/>
      <c r="AK43" s="100">
        <v>145323</v>
      </c>
      <c r="AL43" s="100"/>
      <c r="AM43" s="100"/>
      <c r="AN43" s="100"/>
      <c r="AO43" s="100"/>
      <c r="AP43" s="100"/>
      <c r="AQ43" s="100"/>
      <c r="AR43" s="100">
        <v>0</v>
      </c>
      <c r="AS43" s="100"/>
      <c r="AT43" s="100"/>
      <c r="AU43" s="100"/>
      <c r="AV43" s="100"/>
      <c r="AW43" s="100"/>
      <c r="AX43" s="100"/>
      <c r="AY43" s="100"/>
    </row>
    <row r="44" spans="1:51" ht="36" x14ac:dyDescent="0.3">
      <c r="A44" s="26" t="s">
        <v>546</v>
      </c>
      <c r="B44" s="100" t="s">
        <v>165</v>
      </c>
      <c r="C44" s="100" t="s">
        <v>166</v>
      </c>
      <c r="D44" s="100">
        <v>10231.5</v>
      </c>
      <c r="E44" s="27">
        <f t="shared" si="1"/>
        <v>24059568.925118577</v>
      </c>
      <c r="F44" s="100">
        <v>0</v>
      </c>
      <c r="G44" s="100"/>
      <c r="H44" s="100">
        <f>165172.8/2</f>
        <v>82586.399999999994</v>
      </c>
      <c r="I44" s="100">
        <f>70788.34/2</f>
        <v>35394.17</v>
      </c>
      <c r="J44" s="100"/>
      <c r="K44" s="100">
        <v>2772737</v>
      </c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>
        <v>0</v>
      </c>
      <c r="W44" s="100">
        <v>163387.40576393402</v>
      </c>
      <c r="X44" s="100"/>
      <c r="Y44" s="100"/>
      <c r="Z44" s="100"/>
      <c r="AA44" s="100"/>
      <c r="AB44" s="100"/>
      <c r="AC44" s="100"/>
      <c r="AD44" s="100">
        <v>0</v>
      </c>
      <c r="AE44" s="100">
        <v>7536.5853658536589</v>
      </c>
      <c r="AF44" s="100">
        <f>1391484+248377</f>
        <v>1639861</v>
      </c>
      <c r="AG44" s="100">
        <f>343693.164095304+248377</f>
        <v>592070.16409530398</v>
      </c>
      <c r="AH44" s="100"/>
      <c r="AI44" s="100"/>
      <c r="AJ44" s="100">
        <v>17354248.030000001</v>
      </c>
      <c r="AK44" s="100">
        <v>145323</v>
      </c>
      <c r="AL44" s="100"/>
      <c r="AM44" s="100"/>
      <c r="AN44" s="100"/>
      <c r="AO44" s="100"/>
      <c r="AP44" s="100"/>
      <c r="AQ44" s="100"/>
      <c r="AR44" s="100">
        <v>0</v>
      </c>
      <c r="AS44" s="100">
        <f>5280.62983480505+104986.027791108+1156158.51226757</f>
        <v>1266425.1698934832</v>
      </c>
      <c r="AT44" s="100"/>
      <c r="AU44" s="100"/>
      <c r="AV44" s="100"/>
      <c r="AW44" s="100"/>
      <c r="AX44" s="100"/>
      <c r="AY44" s="100"/>
    </row>
    <row r="45" spans="1:51" ht="36" x14ac:dyDescent="0.3">
      <c r="A45" s="26" t="s">
        <v>547</v>
      </c>
      <c r="B45" s="100" t="s">
        <v>167</v>
      </c>
      <c r="C45" s="100" t="s">
        <v>168</v>
      </c>
      <c r="D45" s="100">
        <v>2674.6</v>
      </c>
      <c r="E45" s="27">
        <f t="shared" si="1"/>
        <v>1941582.86008871</v>
      </c>
      <c r="F45" s="100">
        <v>0</v>
      </c>
      <c r="G45" s="100"/>
      <c r="H45" s="100">
        <v>82586.399999999994</v>
      </c>
      <c r="I45" s="100">
        <v>35394.17</v>
      </c>
      <c r="J45" s="100"/>
      <c r="K45" s="100">
        <v>735206</v>
      </c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>
        <v>0</v>
      </c>
      <c r="W45" s="100">
        <v>42710.839608680835</v>
      </c>
      <c r="X45" s="100"/>
      <c r="Y45" s="100"/>
      <c r="Z45" s="100"/>
      <c r="AA45" s="100"/>
      <c r="AB45" s="100"/>
      <c r="AC45" s="100"/>
      <c r="AD45" s="100"/>
      <c r="AE45" s="100"/>
      <c r="AF45" s="100">
        <f>363746+57859</f>
        <v>421605</v>
      </c>
      <c r="AG45" s="100">
        <f>89844.2786189025+57859</f>
        <v>147703.27861890249</v>
      </c>
      <c r="AH45" s="100"/>
      <c r="AI45" s="100"/>
      <c r="AJ45" s="100"/>
      <c r="AK45" s="100">
        <v>145323</v>
      </c>
      <c r="AL45" s="100"/>
      <c r="AM45" s="100"/>
      <c r="AN45" s="100"/>
      <c r="AO45" s="100"/>
      <c r="AP45" s="100"/>
      <c r="AQ45" s="100"/>
      <c r="AR45" s="100">
        <v>0</v>
      </c>
      <c r="AS45" s="100">
        <f>1380.40097308993+27444.2290895858+302229.541798451</f>
        <v>331054.17186112673</v>
      </c>
      <c r="AT45" s="100"/>
      <c r="AU45" s="100"/>
      <c r="AV45" s="100"/>
      <c r="AW45" s="100"/>
      <c r="AX45" s="100"/>
      <c r="AY45" s="100"/>
    </row>
    <row r="46" spans="1:51" x14ac:dyDescent="0.3">
      <c r="A46" s="110"/>
      <c r="B46" s="102" t="s">
        <v>318</v>
      </c>
      <c r="C46" s="100"/>
      <c r="D46" s="104">
        <f>SUM(D4:D45)</f>
        <v>286455.57999999996</v>
      </c>
      <c r="E46" s="111">
        <f>SUM(E4:E45)</f>
        <v>199996182.71710441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</row>
    <row r="47" spans="1:51" x14ac:dyDescent="0.3">
      <c r="A47" s="110"/>
      <c r="B47" s="102" t="s">
        <v>299</v>
      </c>
      <c r="C47" s="100"/>
      <c r="D47" s="104"/>
      <c r="E47" s="111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</row>
    <row r="48" spans="1:51" ht="37.5" customHeight="1" x14ac:dyDescent="0.3">
      <c r="A48" s="26" t="s">
        <v>301</v>
      </c>
      <c r="B48" s="100" t="s">
        <v>27</v>
      </c>
      <c r="C48" s="100" t="s">
        <v>28</v>
      </c>
      <c r="D48" s="100">
        <v>4528.3999999999996</v>
      </c>
      <c r="E48" s="27">
        <f t="shared" ref="E48:E73" si="2">SUM(F48:AU48)</f>
        <v>4719213.18</v>
      </c>
      <c r="F48" s="100">
        <f>(12945205.2*0.6)/3</f>
        <v>2589041.0399999996</v>
      </c>
      <c r="G48" s="106">
        <f>(12945205.2*0.4)/3</f>
        <v>1726027.36</v>
      </c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>
        <v>0</v>
      </c>
      <c r="AK48" s="100"/>
      <c r="AL48" s="100"/>
      <c r="AM48" s="100"/>
      <c r="AN48" s="100"/>
      <c r="AO48" s="100"/>
      <c r="AP48" s="100"/>
      <c r="AQ48" s="100"/>
      <c r="AR48" s="100">
        <f>404144.78*0.6</f>
        <v>242486.86800000002</v>
      </c>
      <c r="AS48" s="100">
        <f>404144.78*0.4</f>
        <v>161657.91200000001</v>
      </c>
      <c r="AT48" s="100"/>
      <c r="AU48" s="100"/>
      <c r="AV48" s="100"/>
      <c r="AW48" s="100"/>
      <c r="AX48" s="100"/>
      <c r="AY48" s="100"/>
    </row>
    <row r="49" spans="1:51" ht="37.5" customHeight="1" x14ac:dyDescent="0.3">
      <c r="A49" s="26" t="s">
        <v>302</v>
      </c>
      <c r="B49" s="100" t="s">
        <v>27</v>
      </c>
      <c r="C49" s="100" t="s">
        <v>29</v>
      </c>
      <c r="D49" s="100">
        <v>4779.7</v>
      </c>
      <c r="E49" s="27">
        <f t="shared" si="2"/>
        <v>4719213.18</v>
      </c>
      <c r="F49" s="106">
        <f>(12945205.2*0.6)/3</f>
        <v>2589041.0399999996</v>
      </c>
      <c r="G49" s="106">
        <f>(12945205.2*0.4)/3</f>
        <v>1726027.36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12">
        <f>404144.78*0.6</f>
        <v>242486.86800000002</v>
      </c>
      <c r="AS49" s="112">
        <f>404144.78*0.4</f>
        <v>161657.91200000001</v>
      </c>
      <c r="AT49" s="100"/>
      <c r="AU49" s="100"/>
      <c r="AV49" s="100"/>
      <c r="AW49" s="100"/>
      <c r="AX49" s="100"/>
      <c r="AY49" s="100"/>
    </row>
    <row r="50" spans="1:51" ht="37.5" customHeight="1" x14ac:dyDescent="0.3">
      <c r="A50" s="26" t="s">
        <v>303</v>
      </c>
      <c r="B50" s="100" t="s">
        <v>32</v>
      </c>
      <c r="C50" s="100" t="s">
        <v>33</v>
      </c>
      <c r="D50" s="100">
        <v>4394.6000000000004</v>
      </c>
      <c r="E50" s="27">
        <f t="shared" si="2"/>
        <v>4719213.18</v>
      </c>
      <c r="F50" s="106">
        <f>(12945205.2*0.6)/3</f>
        <v>2589041.0399999996</v>
      </c>
      <c r="G50" s="106">
        <f>(12945205.2*0.4)/3</f>
        <v>1726027.36</v>
      </c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12">
        <f>404144.78*0.6</f>
        <v>242486.86800000002</v>
      </c>
      <c r="AS50" s="112">
        <f>404144.78*0.4</f>
        <v>161657.91200000001</v>
      </c>
      <c r="AT50" s="100"/>
      <c r="AU50" s="100"/>
      <c r="AV50" s="100"/>
      <c r="AW50" s="100"/>
      <c r="AX50" s="100"/>
      <c r="AY50" s="100"/>
    </row>
    <row r="51" spans="1:51" ht="37.5" customHeight="1" x14ac:dyDescent="0.3">
      <c r="A51" s="26" t="s">
        <v>304</v>
      </c>
      <c r="B51" s="100" t="s">
        <v>37</v>
      </c>
      <c r="C51" s="100" t="s">
        <v>38</v>
      </c>
      <c r="D51" s="100">
        <v>4151.6000000000004</v>
      </c>
      <c r="E51" s="27">
        <f t="shared" si="2"/>
        <v>1401610.9200000002</v>
      </c>
      <c r="F51" s="106">
        <v>906162.68400000001</v>
      </c>
      <c r="G51" s="106">
        <v>388355.43600000005</v>
      </c>
      <c r="H51" s="100">
        <f>107092.8*0.6</f>
        <v>64255.68</v>
      </c>
      <c r="I51" s="100">
        <f>107092.8*0.4</f>
        <v>42837.120000000003</v>
      </c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</row>
    <row r="52" spans="1:51" ht="37.5" customHeight="1" x14ac:dyDescent="0.3">
      <c r="A52" s="26" t="s">
        <v>305</v>
      </c>
      <c r="B52" s="100" t="s">
        <v>27</v>
      </c>
      <c r="C52" s="100" t="s">
        <v>42</v>
      </c>
      <c r="D52" s="100">
        <v>11233.4</v>
      </c>
      <c r="E52" s="27">
        <f t="shared" si="2"/>
        <v>1894078.07</v>
      </c>
      <c r="F52" s="106">
        <v>906162.68400000001</v>
      </c>
      <c r="G52" s="106">
        <v>388355.43600000005</v>
      </c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>
        <v>0</v>
      </c>
      <c r="AK52" s="100"/>
      <c r="AL52" s="100"/>
      <c r="AM52" s="100"/>
      <c r="AN52" s="100"/>
      <c r="AO52" s="100"/>
      <c r="AP52" s="100"/>
      <c r="AQ52" s="100"/>
      <c r="AR52" s="100">
        <f>599559.95*0.6</f>
        <v>359735.97</v>
      </c>
      <c r="AS52" s="100">
        <f>599559.95*0.4</f>
        <v>239823.97999999998</v>
      </c>
      <c r="AT52" s="100"/>
      <c r="AU52" s="100"/>
      <c r="AV52" s="100"/>
      <c r="AW52" s="100"/>
      <c r="AX52" s="100"/>
      <c r="AY52" s="100"/>
    </row>
    <row r="53" spans="1:51" ht="37.5" customHeight="1" x14ac:dyDescent="0.3">
      <c r="A53" s="26" t="s">
        <v>306</v>
      </c>
      <c r="B53" s="100" t="s">
        <v>43</v>
      </c>
      <c r="C53" s="100" t="s">
        <v>44</v>
      </c>
      <c r="D53" s="100">
        <v>235.9</v>
      </c>
      <c r="E53" s="27">
        <f t="shared" si="2"/>
        <v>599559.94999999995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>
        <v>0</v>
      </c>
      <c r="AK53" s="100"/>
      <c r="AL53" s="100"/>
      <c r="AM53" s="100"/>
      <c r="AN53" s="100"/>
      <c r="AO53" s="100"/>
      <c r="AP53" s="100"/>
      <c r="AQ53" s="100"/>
      <c r="AR53" s="112">
        <f>599559.95*0.6</f>
        <v>359735.97</v>
      </c>
      <c r="AS53" s="112">
        <f>599559.95*0.4</f>
        <v>239823.97999999998</v>
      </c>
      <c r="AT53" s="100"/>
      <c r="AU53" s="100"/>
      <c r="AV53" s="100"/>
      <c r="AW53" s="100"/>
      <c r="AX53" s="100"/>
      <c r="AY53" s="100"/>
    </row>
    <row r="54" spans="1:51" ht="37.5" customHeight="1" x14ac:dyDescent="0.3">
      <c r="A54" s="26" t="s">
        <v>307</v>
      </c>
      <c r="B54" s="100" t="s">
        <v>27</v>
      </c>
      <c r="C54" s="100" t="s">
        <v>59</v>
      </c>
      <c r="D54" s="100">
        <v>16237.4</v>
      </c>
      <c r="E54" s="27">
        <f t="shared" si="2"/>
        <v>14520843.59</v>
      </c>
      <c r="F54" s="100">
        <f>(10356164.16*0.6)/2</f>
        <v>3106849.2480000001</v>
      </c>
      <c r="G54" s="106">
        <f>(10356164.16*0.4)/2</f>
        <v>2071232.8320000002</v>
      </c>
      <c r="H54" s="100"/>
      <c r="I54" s="100"/>
      <c r="J54" s="100">
        <f>8271591.51*0.6</f>
        <v>4962954.9059999995</v>
      </c>
      <c r="K54" s="100">
        <f>8271591.51*0.4</f>
        <v>3308636.6040000003</v>
      </c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>
        <f>1071170*0.6</f>
        <v>642702</v>
      </c>
      <c r="AS54" s="100">
        <f>1071170*0.4</f>
        <v>428468</v>
      </c>
      <c r="AT54" s="100"/>
      <c r="AU54" s="100"/>
      <c r="AV54" s="100"/>
      <c r="AW54" s="100"/>
      <c r="AX54" s="100"/>
      <c r="AY54" s="100"/>
    </row>
    <row r="55" spans="1:51" ht="37.5" customHeight="1" x14ac:dyDescent="0.3">
      <c r="A55" s="26" t="s">
        <v>308</v>
      </c>
      <c r="B55" s="100" t="s">
        <v>60</v>
      </c>
      <c r="C55" s="100" t="s">
        <v>61</v>
      </c>
      <c r="D55" s="100">
        <v>3051</v>
      </c>
      <c r="E55" s="27">
        <f t="shared" si="2"/>
        <v>5711202.0800000001</v>
      </c>
      <c r="F55" s="106">
        <f>(10356164.16*0.6)/2</f>
        <v>3106849.2480000001</v>
      </c>
      <c r="G55" s="106">
        <f>(10356164.16*0.4)/2</f>
        <v>2071232.8320000002</v>
      </c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>
        <f>533120*0.6</f>
        <v>319872</v>
      </c>
      <c r="AS55" s="100">
        <f>533120*0.4</f>
        <v>213248</v>
      </c>
      <c r="AT55" s="100"/>
      <c r="AU55" s="100"/>
      <c r="AV55" s="100"/>
      <c r="AW55" s="100"/>
      <c r="AX55" s="100"/>
      <c r="AY55" s="100"/>
    </row>
    <row r="56" spans="1:51" ht="37.5" customHeight="1" x14ac:dyDescent="0.3">
      <c r="A56" s="26" t="s">
        <v>309</v>
      </c>
      <c r="B56" s="100" t="s">
        <v>64</v>
      </c>
      <c r="C56" s="100" t="s">
        <v>65</v>
      </c>
      <c r="D56" s="100">
        <v>1779.1</v>
      </c>
      <c r="E56" s="27">
        <f t="shared" si="2"/>
        <v>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</row>
    <row r="57" spans="1:51" ht="37.5" customHeight="1" x14ac:dyDescent="0.3">
      <c r="A57" s="26" t="s">
        <v>310</v>
      </c>
      <c r="B57" s="100" t="s">
        <v>37</v>
      </c>
      <c r="C57" s="100" t="s">
        <v>69</v>
      </c>
      <c r="D57" s="100">
        <v>912.3</v>
      </c>
      <c r="E57" s="27">
        <f t="shared" si="2"/>
        <v>0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>
        <v>0</v>
      </c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</row>
    <row r="58" spans="1:51" ht="37.5" customHeight="1" x14ac:dyDescent="0.3">
      <c r="A58" s="26" t="s">
        <v>311</v>
      </c>
      <c r="B58" s="100" t="s">
        <v>37</v>
      </c>
      <c r="C58" s="100" t="s">
        <v>70</v>
      </c>
      <c r="D58" s="100">
        <v>1610.7</v>
      </c>
      <c r="E58" s="27">
        <f t="shared" si="2"/>
        <v>0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>
        <v>0</v>
      </c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</row>
    <row r="59" spans="1:51" ht="37.5" customHeight="1" x14ac:dyDescent="0.3">
      <c r="A59" s="26" t="s">
        <v>312</v>
      </c>
      <c r="B59" s="22" t="s">
        <v>71</v>
      </c>
      <c r="C59" s="22" t="s">
        <v>72</v>
      </c>
      <c r="D59" s="22">
        <v>18956.5</v>
      </c>
      <c r="E59" s="27">
        <f t="shared" si="2"/>
        <v>20367374.000000004</v>
      </c>
      <c r="F59" s="100">
        <f>562927.83*0.6</f>
        <v>337756.69799999997</v>
      </c>
      <c r="G59" s="100">
        <f>562927.83*0.4</f>
        <v>225171.13199999998</v>
      </c>
      <c r="H59" s="100"/>
      <c r="I59" s="100"/>
      <c r="J59" s="100">
        <f>12859563.05*0.6</f>
        <v>7715737.8300000001</v>
      </c>
      <c r="K59" s="100">
        <f>12859563.05*0.4</f>
        <v>5143825.2200000007</v>
      </c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>
        <f>(58548.27+214676.99)*0.6</f>
        <v>163935.15599999999</v>
      </c>
      <c r="W59" s="100">
        <f>(58548.27+214676.99)*0.4</f>
        <v>109290.10400000001</v>
      </c>
      <c r="X59" s="100"/>
      <c r="Y59" s="100"/>
      <c r="Z59" s="100"/>
      <c r="AA59" s="100"/>
      <c r="AB59" s="100"/>
      <c r="AC59" s="100"/>
      <c r="AD59" s="100"/>
      <c r="AE59" s="100"/>
      <c r="AF59" s="100">
        <f>(2035184.51+3179649.66)*0.6</f>
        <v>3128900.5019999999</v>
      </c>
      <c r="AG59" s="100">
        <f>(2035184.51+3179649.66)*0.4</f>
        <v>2085933.6680000001</v>
      </c>
      <c r="AH59" s="100"/>
      <c r="AI59" s="100"/>
      <c r="AJ59" s="100">
        <v>0</v>
      </c>
      <c r="AK59" s="100"/>
      <c r="AL59" s="100"/>
      <c r="AM59" s="100"/>
      <c r="AN59" s="100"/>
      <c r="AO59" s="100"/>
      <c r="AP59" s="100">
        <v>0</v>
      </c>
      <c r="AQ59" s="100"/>
      <c r="AR59" s="100">
        <f>(467976+988847.69)*0.6</f>
        <v>874094.21399999992</v>
      </c>
      <c r="AS59" s="100">
        <f>(467976+988847.69)*0.4</f>
        <v>582729.47600000002</v>
      </c>
      <c r="AT59" s="100"/>
      <c r="AU59" s="100"/>
      <c r="AV59" s="100"/>
      <c r="AW59" s="100"/>
      <c r="AX59" s="100"/>
      <c r="AY59" s="100"/>
    </row>
    <row r="60" spans="1:51" ht="37.5" customHeight="1" x14ac:dyDescent="0.3">
      <c r="A60" s="26" t="s">
        <v>313</v>
      </c>
      <c r="B60" s="22" t="s">
        <v>73</v>
      </c>
      <c r="C60" s="22" t="s">
        <v>74</v>
      </c>
      <c r="D60" s="22">
        <v>2378.5</v>
      </c>
      <c r="E60" s="27">
        <f t="shared" si="2"/>
        <v>4616327.1399999997</v>
      </c>
      <c r="F60" s="100">
        <f>75712.21*0.6</f>
        <v>45427.326000000001</v>
      </c>
      <c r="G60" s="100">
        <f>75712.21*0.4</f>
        <v>30284.884000000005</v>
      </c>
      <c r="H60" s="100"/>
      <c r="I60" s="100"/>
      <c r="J60" s="100">
        <f>3461328.81*0.6</f>
        <v>2076797.2859999998</v>
      </c>
      <c r="K60" s="100">
        <f>3461328.81*0.4</f>
        <v>1384531.5240000002</v>
      </c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>
        <f>35128.96*0.6</f>
        <v>21077.376</v>
      </c>
      <c r="W60" s="100">
        <f>35128.96*0.4</f>
        <v>14051.584000000001</v>
      </c>
      <c r="X60" s="100"/>
      <c r="Y60" s="100"/>
      <c r="Z60" s="100"/>
      <c r="AA60" s="100"/>
      <c r="AB60" s="100"/>
      <c r="AC60" s="100"/>
      <c r="AD60" s="100"/>
      <c r="AE60" s="100"/>
      <c r="AF60" s="100">
        <f>(273662.61+597898.55)*0.6</f>
        <v>522936.696</v>
      </c>
      <c r="AG60" s="100">
        <f>(273662.61+597898.55)*0.4</f>
        <v>348624.46400000004</v>
      </c>
      <c r="AH60" s="100"/>
      <c r="AI60" s="100"/>
      <c r="AJ60" s="100"/>
      <c r="AK60" s="100"/>
      <c r="AL60" s="100"/>
      <c r="AM60" s="100"/>
      <c r="AN60" s="100"/>
      <c r="AO60" s="100"/>
      <c r="AP60" s="100">
        <v>0</v>
      </c>
      <c r="AQ60" s="100"/>
      <c r="AR60" s="100">
        <f>172596*0.6</f>
        <v>103557.59999999999</v>
      </c>
      <c r="AS60" s="100">
        <f>172596*0.4</f>
        <v>69038.400000000009</v>
      </c>
      <c r="AT60" s="100"/>
      <c r="AU60" s="100"/>
      <c r="AV60" s="100"/>
      <c r="AW60" s="100"/>
      <c r="AX60" s="100"/>
      <c r="AY60" s="100"/>
    </row>
    <row r="61" spans="1:51" ht="37.5" customHeight="1" x14ac:dyDescent="0.3">
      <c r="A61" s="26" t="s">
        <v>314</v>
      </c>
      <c r="B61" s="22" t="s">
        <v>75</v>
      </c>
      <c r="C61" s="22" t="s">
        <v>76</v>
      </c>
      <c r="D61" s="22">
        <v>6733.6</v>
      </c>
      <c r="E61" s="27">
        <f t="shared" si="2"/>
        <v>12641042.520000001</v>
      </c>
      <c r="F61" s="100">
        <f>246767.81*0.6</f>
        <v>148060.68599999999</v>
      </c>
      <c r="G61" s="100">
        <f>246767.81*0.4</f>
        <v>98707.124000000011</v>
      </c>
      <c r="H61" s="100">
        <f>83294.4*0.6</f>
        <v>49976.639999999992</v>
      </c>
      <c r="I61" s="100">
        <f>83294.4*0.4</f>
        <v>33317.760000000002</v>
      </c>
      <c r="J61" s="100">
        <f>11241387.64*0.6</f>
        <v>6744832.5839999998</v>
      </c>
      <c r="K61" s="100">
        <f>11241387.64*0.4</f>
        <v>4496555.0560000008</v>
      </c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>
        <f>(722924.51+271167.99)*0.6</f>
        <v>596455.5</v>
      </c>
      <c r="AG61" s="100">
        <f>(722924.51+271167.99)*0.4</f>
        <v>397637</v>
      </c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>
        <f>(58216.8+17283.37)*0.6</f>
        <v>45300.101999999999</v>
      </c>
      <c r="AS61" s="100">
        <f>(58216.8+17283.37)*0.4</f>
        <v>30200.067999999999</v>
      </c>
      <c r="AT61" s="100"/>
      <c r="AU61" s="100"/>
      <c r="AV61" s="100"/>
      <c r="AW61" s="100"/>
      <c r="AX61" s="100"/>
      <c r="AY61" s="100"/>
    </row>
    <row r="62" spans="1:51" ht="37.5" customHeight="1" x14ac:dyDescent="0.3">
      <c r="A62" s="26" t="s">
        <v>315</v>
      </c>
      <c r="B62" s="22" t="s">
        <v>77</v>
      </c>
      <c r="C62" s="22" t="s">
        <v>78</v>
      </c>
      <c r="D62" s="22">
        <v>1557</v>
      </c>
      <c r="E62" s="27">
        <f t="shared" si="2"/>
        <v>2041426.8499999999</v>
      </c>
      <c r="F62" s="100">
        <f>46241.68*0.6</f>
        <v>27745.007999999998</v>
      </c>
      <c r="G62" s="100">
        <f>46241.68*0.4</f>
        <v>18496.672000000002</v>
      </c>
      <c r="H62" s="100"/>
      <c r="I62" s="100"/>
      <c r="J62" s="100">
        <f>1156236.95*0.6</f>
        <v>693742.16999999993</v>
      </c>
      <c r="K62" s="100">
        <f>1156236.95*0.4</f>
        <v>462494.78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>
        <f>(167160.73+341151.38)*0.6</f>
        <v>304987.266</v>
      </c>
      <c r="AG62" s="100">
        <f>(167160.73+341151.38)*0.4</f>
        <v>203324.84400000001</v>
      </c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>
        <f>(88144.8+255691.31)*0.6</f>
        <v>206301.666</v>
      </c>
      <c r="AS62" s="100">
        <f>(55144.8+255691.31)*0.4</f>
        <v>124334.444</v>
      </c>
      <c r="AT62" s="100"/>
      <c r="AU62" s="100"/>
      <c r="AV62" s="100"/>
      <c r="AW62" s="100"/>
      <c r="AX62" s="100"/>
      <c r="AY62" s="100"/>
    </row>
    <row r="63" spans="1:51" ht="37.5" customHeight="1" x14ac:dyDescent="0.3">
      <c r="A63" s="26" t="s">
        <v>316</v>
      </c>
      <c r="B63" s="22" t="s">
        <v>79</v>
      </c>
      <c r="C63" s="22" t="s">
        <v>80</v>
      </c>
      <c r="D63" s="22">
        <v>5057.3</v>
      </c>
      <c r="E63" s="27">
        <f t="shared" si="2"/>
        <v>2262684.25</v>
      </c>
      <c r="F63" s="100">
        <f>150197.84*0.6</f>
        <v>90118.703999999998</v>
      </c>
      <c r="G63" s="100">
        <f>150197.84*0.4</f>
        <v>60079.135999999999</v>
      </c>
      <c r="H63" s="100"/>
      <c r="I63" s="100"/>
      <c r="J63" s="100">
        <f>97768.2*0.6</f>
        <v>58660.92</v>
      </c>
      <c r="K63" s="100">
        <f>97768.2*0.4</f>
        <v>39107.279999999999</v>
      </c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>
        <f>107338.5*0.6</f>
        <v>64403.1</v>
      </c>
      <c r="W63" s="100">
        <f>107338.5*0.4</f>
        <v>42935.4</v>
      </c>
      <c r="X63" s="100"/>
      <c r="Y63" s="100"/>
      <c r="Z63" s="100"/>
      <c r="AA63" s="100"/>
      <c r="AB63" s="100"/>
      <c r="AC63" s="100"/>
      <c r="AD63" s="100"/>
      <c r="AE63" s="100"/>
      <c r="AF63" s="100">
        <f>(542955.64+1028402.47)*0.6</f>
        <v>942814.86599999992</v>
      </c>
      <c r="AG63" s="100">
        <f>(542955.64+1028402.47)*0.4</f>
        <v>628543.24399999995</v>
      </c>
      <c r="AH63" s="100"/>
      <c r="AI63" s="100"/>
      <c r="AJ63" s="100">
        <v>0</v>
      </c>
      <c r="AK63" s="100"/>
      <c r="AL63" s="100"/>
      <c r="AM63" s="100"/>
      <c r="AN63" s="100"/>
      <c r="AO63" s="100"/>
      <c r="AP63" s="100"/>
      <c r="AQ63" s="100"/>
      <c r="AR63" s="100">
        <f>336021.6*0.6</f>
        <v>201612.96</v>
      </c>
      <c r="AS63" s="100">
        <f>336021.6*0.4</f>
        <v>134408.63999999998</v>
      </c>
      <c r="AT63" s="100"/>
      <c r="AU63" s="100"/>
      <c r="AV63" s="100"/>
      <c r="AW63" s="100"/>
      <c r="AX63" s="100"/>
      <c r="AY63" s="100"/>
    </row>
    <row r="64" spans="1:51" ht="37.5" customHeight="1" x14ac:dyDescent="0.3">
      <c r="A64" s="26" t="s">
        <v>520</v>
      </c>
      <c r="B64" s="22" t="s">
        <v>81</v>
      </c>
      <c r="C64" s="22" t="s">
        <v>82</v>
      </c>
      <c r="D64" s="22">
        <v>286.89999999999998</v>
      </c>
      <c r="E64" s="27">
        <f t="shared" si="2"/>
        <v>0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</row>
    <row r="65" spans="1:51" ht="37.5" customHeight="1" x14ac:dyDescent="0.3">
      <c r="A65" s="26" t="s">
        <v>523</v>
      </c>
      <c r="B65" s="22" t="s">
        <v>81</v>
      </c>
      <c r="C65" s="22" t="s">
        <v>83</v>
      </c>
      <c r="D65" s="22">
        <v>155.69999999999999</v>
      </c>
      <c r="E65" s="27">
        <f t="shared" si="2"/>
        <v>0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>
        <v>0</v>
      </c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</row>
    <row r="66" spans="1:51" ht="37.5" customHeight="1" x14ac:dyDescent="0.3">
      <c r="A66" s="26" t="s">
        <v>524</v>
      </c>
      <c r="B66" s="22" t="s">
        <v>81</v>
      </c>
      <c r="C66" s="22" t="s">
        <v>84</v>
      </c>
      <c r="D66" s="22">
        <v>1142.7</v>
      </c>
      <c r="E66" s="27">
        <f t="shared" si="2"/>
        <v>2399270.63</v>
      </c>
      <c r="F66" s="100"/>
      <c r="G66" s="100">
        <v>33937.29</v>
      </c>
      <c r="H66" s="100"/>
      <c r="I66" s="100"/>
      <c r="J66" s="100">
        <f>1692286.07*0.6</f>
        <v>1015371.642</v>
      </c>
      <c r="K66" s="100">
        <f>1692286.07*0.4</f>
        <v>676914.42800000007</v>
      </c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>
        <f>(218580.21+56596.66)*0.6</f>
        <v>165106.122</v>
      </c>
      <c r="W66" s="100">
        <f>(218580.21+56596.66)*0.4</f>
        <v>110070.74800000001</v>
      </c>
      <c r="X66" s="100"/>
      <c r="Y66" s="100"/>
      <c r="Z66" s="100"/>
      <c r="AA66" s="100"/>
      <c r="AB66" s="100"/>
      <c r="AC66" s="100"/>
      <c r="AD66" s="100"/>
      <c r="AE66" s="100"/>
      <c r="AF66" s="100">
        <f>59692.59*0.6</f>
        <v>35815.553999999996</v>
      </c>
      <c r="AG66" s="100">
        <f>59692.59*0.4</f>
        <v>23877.036</v>
      </c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>
        <f>(171145.2+167032.61)*0.6</f>
        <v>202906.68599999999</v>
      </c>
      <c r="AS66" s="100">
        <f>(171145.2+167032.61)*0.4</f>
        <v>135271.12400000001</v>
      </c>
      <c r="AT66" s="100"/>
      <c r="AU66" s="100"/>
      <c r="AV66" s="100"/>
      <c r="AW66" s="100"/>
      <c r="AX66" s="100"/>
      <c r="AY66" s="100"/>
    </row>
    <row r="67" spans="1:51" ht="37.5" customHeight="1" x14ac:dyDescent="0.3">
      <c r="A67" s="26" t="s">
        <v>525</v>
      </c>
      <c r="B67" s="22" t="s">
        <v>81</v>
      </c>
      <c r="C67" s="22" t="s">
        <v>85</v>
      </c>
      <c r="D67" s="22">
        <v>1186.4000000000001</v>
      </c>
      <c r="E67" s="27">
        <f t="shared" si="2"/>
        <v>5179690.67</v>
      </c>
      <c r="F67" s="100">
        <f>85560.47*0.6</f>
        <v>51336.281999999999</v>
      </c>
      <c r="G67" s="100">
        <f>85560.47*0.4</f>
        <v>34224.188000000002</v>
      </c>
      <c r="H67" s="100"/>
      <c r="I67" s="100"/>
      <c r="J67" s="100">
        <f>4407113.45*0.6</f>
        <v>2644268.0699999998</v>
      </c>
      <c r="K67" s="100">
        <f>4407113.45*0.4</f>
        <v>1762845.3800000001</v>
      </c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>
        <f>127329.88*0.6</f>
        <v>76397.928</v>
      </c>
      <c r="AG67" s="100">
        <f>127329.88*0.4</f>
        <v>50931.952000000005</v>
      </c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>
        <f>(178802.4+380884.47)*0.6</f>
        <v>335812.12199999997</v>
      </c>
      <c r="AS67" s="100">
        <f>(178802.4+380884.47)*0.4</f>
        <v>223874.74800000002</v>
      </c>
      <c r="AT67" s="100"/>
      <c r="AU67" s="100"/>
      <c r="AV67" s="100"/>
      <c r="AW67" s="100"/>
      <c r="AX67" s="100"/>
      <c r="AY67" s="100"/>
    </row>
    <row r="68" spans="1:51" ht="37.5" customHeight="1" x14ac:dyDescent="0.3">
      <c r="A68" s="26" t="s">
        <v>526</v>
      </c>
      <c r="B68" s="22" t="s">
        <v>81</v>
      </c>
      <c r="C68" s="22" t="s">
        <v>86</v>
      </c>
      <c r="D68" s="22">
        <v>122.7</v>
      </c>
      <c r="E68" s="27">
        <f t="shared" si="2"/>
        <v>7069.03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>
        <f>7069.03*0.6</f>
        <v>4241.4179999999997</v>
      </c>
      <c r="AG68" s="100">
        <f>7069.03*0.4</f>
        <v>2827.6120000000001</v>
      </c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</row>
    <row r="69" spans="1:51" ht="37.5" customHeight="1" x14ac:dyDescent="0.3">
      <c r="A69" s="26" t="s">
        <v>527</v>
      </c>
      <c r="B69" s="22" t="s">
        <v>60</v>
      </c>
      <c r="C69" s="22" t="s">
        <v>89</v>
      </c>
      <c r="D69" s="22">
        <v>11053.9</v>
      </c>
      <c r="E69" s="27">
        <f t="shared" si="2"/>
        <v>8909094.8071428575</v>
      </c>
      <c r="F69" s="100">
        <f>328292.15*0.6</f>
        <v>196975.29</v>
      </c>
      <c r="G69" s="100">
        <f>328292.15*0.4</f>
        <v>131316.86000000002</v>
      </c>
      <c r="H69" s="100">
        <f>(2028837.21*0.6)/7</f>
        <v>173900.33228571428</v>
      </c>
      <c r="I69" s="112">
        <f>(2028837.21*0.4)/7</f>
        <v>115933.55485714287</v>
      </c>
      <c r="J69" s="100">
        <f>(3603591.09+638426.35)*0.6</f>
        <v>2545210.4639999997</v>
      </c>
      <c r="K69" s="100">
        <f>(3603591.09+638426.35)*0.4</f>
        <v>1696806.9759999998</v>
      </c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>
        <f>(29274.14*0.6)/2</f>
        <v>8782.2420000000002</v>
      </c>
      <c r="W69" s="100">
        <f>(29274.14*0.4)/2</f>
        <v>5854.8280000000004</v>
      </c>
      <c r="X69" s="100"/>
      <c r="Y69" s="100"/>
      <c r="Z69" s="100"/>
      <c r="AA69" s="100"/>
      <c r="AB69" s="100"/>
      <c r="AC69" s="100"/>
      <c r="AD69" s="100"/>
      <c r="AE69" s="100"/>
      <c r="AF69" s="100">
        <f>(1186755.26+1706463.82)*0.6</f>
        <v>1735931.4480000001</v>
      </c>
      <c r="AG69" s="100">
        <f>(1186755.26+1706463.82)*0.4</f>
        <v>1157287.632</v>
      </c>
      <c r="AH69" s="100"/>
      <c r="AI69" s="100"/>
      <c r="AJ69" s="100">
        <v>0</v>
      </c>
      <c r="AK69" s="100"/>
      <c r="AL69" s="100"/>
      <c r="AM69" s="100"/>
      <c r="AN69" s="100">
        <v>0</v>
      </c>
      <c r="AO69" s="100"/>
      <c r="AP69" s="100"/>
      <c r="AQ69" s="100"/>
      <c r="AR69" s="100">
        <f>(252036+889059.18)*0.6</f>
        <v>684657.10800000012</v>
      </c>
      <c r="AS69" s="100">
        <f>(252036+889059.18)*0.4</f>
        <v>456438.0720000001</v>
      </c>
      <c r="AT69" s="100"/>
      <c r="AU69" s="100"/>
      <c r="AV69" s="100"/>
      <c r="AW69" s="100"/>
      <c r="AX69" s="100"/>
      <c r="AY69" s="100"/>
    </row>
    <row r="70" spans="1:51" ht="37.5" customHeight="1" x14ac:dyDescent="0.3">
      <c r="A70" s="26" t="s">
        <v>528</v>
      </c>
      <c r="B70" s="22" t="s">
        <v>90</v>
      </c>
      <c r="C70" s="22" t="s">
        <v>91</v>
      </c>
      <c r="D70" s="22">
        <v>17563.900000000001</v>
      </c>
      <c r="E70" s="27">
        <f t="shared" si="2"/>
        <v>4647460.9971428569</v>
      </c>
      <c r="F70" s="100">
        <f>521634.05*0.6</f>
        <v>312980.43</v>
      </c>
      <c r="G70" s="100">
        <f>521634.05*0.4</f>
        <v>208653.62</v>
      </c>
      <c r="H70" s="100">
        <f>H69</f>
        <v>173900.33228571428</v>
      </c>
      <c r="I70" s="112">
        <f t="shared" ref="I70:I75" si="3">(2028837.21*0.4)/7</f>
        <v>115933.55485714287</v>
      </c>
      <c r="J70" s="100">
        <f>1162139.47*0.6</f>
        <v>697283.68199999991</v>
      </c>
      <c r="K70" s="100">
        <f>1162139.47*0.4</f>
        <v>464855.788</v>
      </c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>
        <f>105386.89*0.7</f>
        <v>73770.822999999989</v>
      </c>
      <c r="W70" s="100">
        <f>105386.89*0.3</f>
        <v>31616.066999999999</v>
      </c>
      <c r="X70" s="100"/>
      <c r="Y70" s="100"/>
      <c r="Z70" s="100"/>
      <c r="AA70" s="100"/>
      <c r="AB70" s="100"/>
      <c r="AC70" s="100"/>
      <c r="AD70" s="100"/>
      <c r="AE70" s="100"/>
      <c r="AF70" s="100">
        <f>1885673.9*0.6</f>
        <v>1131404.3399999999</v>
      </c>
      <c r="AG70" s="100">
        <f>1885673.9*0.4</f>
        <v>754269.56</v>
      </c>
      <c r="AH70" s="100"/>
      <c r="AI70" s="100"/>
      <c r="AJ70" s="100">
        <v>0</v>
      </c>
      <c r="AK70" s="100"/>
      <c r="AL70" s="100"/>
      <c r="AM70" s="100"/>
      <c r="AN70" s="100"/>
      <c r="AO70" s="100"/>
      <c r="AP70" s="100"/>
      <c r="AQ70" s="100"/>
      <c r="AR70" s="100">
        <f>682792.8*0.6</f>
        <v>409675.68</v>
      </c>
      <c r="AS70" s="100">
        <f>682792.8*0.4</f>
        <v>273117.12000000005</v>
      </c>
      <c r="AT70" s="100"/>
      <c r="AU70" s="100"/>
      <c r="AV70" s="100"/>
      <c r="AW70" s="100"/>
      <c r="AX70" s="100"/>
      <c r="AY70" s="100"/>
    </row>
    <row r="71" spans="1:51" ht="37.5" customHeight="1" x14ac:dyDescent="0.3">
      <c r="A71" s="26" t="s">
        <v>529</v>
      </c>
      <c r="B71" s="22" t="s">
        <v>92</v>
      </c>
      <c r="C71" s="22" t="s">
        <v>93</v>
      </c>
      <c r="D71" s="22">
        <v>21448.3</v>
      </c>
      <c r="E71" s="27">
        <f t="shared" si="2"/>
        <v>10595174.057142857</v>
      </c>
      <c r="F71" s="100">
        <f>711890.19*0.6</f>
        <v>427134.11399999994</v>
      </c>
      <c r="G71" s="100">
        <f>711890.19*0.4</f>
        <v>284756.076</v>
      </c>
      <c r="H71" s="112">
        <f t="shared" ref="H71:H75" si="4">H70</f>
        <v>173900.33228571428</v>
      </c>
      <c r="I71" s="112">
        <f t="shared" si="3"/>
        <v>115933.55485714287</v>
      </c>
      <c r="J71" s="114">
        <f>3603591.09*0.6</f>
        <v>2162154.6539999996</v>
      </c>
      <c r="K71" s="114">
        <f>3603591.09*0.4</f>
        <v>1441436.436</v>
      </c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>
        <f>V69</f>
        <v>8782.2420000000002</v>
      </c>
      <c r="W71" s="116">
        <f>W69</f>
        <v>5854.8280000000004</v>
      </c>
      <c r="X71" s="100"/>
      <c r="Y71" s="100"/>
      <c r="Z71" s="100"/>
      <c r="AA71" s="100"/>
      <c r="AB71" s="100"/>
      <c r="AC71" s="100"/>
      <c r="AD71" s="100"/>
      <c r="AE71" s="100"/>
      <c r="AF71" s="100">
        <f>(2302706.09+1499906.77)*0.6</f>
        <v>2281567.716</v>
      </c>
      <c r="AG71" s="100">
        <f>(2302706.09+1499906.77)*0.4</f>
        <v>1521045.1440000001</v>
      </c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>
        <f>(576090+1596518.96)*0.6</f>
        <v>1303565.3759999999</v>
      </c>
      <c r="AS71" s="100">
        <f>(576090+1596518.96)*0.4</f>
        <v>869043.58400000003</v>
      </c>
      <c r="AT71" s="100"/>
      <c r="AU71" s="100"/>
      <c r="AV71" s="100"/>
      <c r="AW71" s="100"/>
      <c r="AX71" s="100"/>
      <c r="AY71" s="100"/>
    </row>
    <row r="72" spans="1:51" ht="37.5" customHeight="1" x14ac:dyDescent="0.3">
      <c r="A72" s="26" t="s">
        <v>530</v>
      </c>
      <c r="B72" s="22" t="s">
        <v>81</v>
      </c>
      <c r="C72" s="22" t="s">
        <v>96</v>
      </c>
      <c r="D72" s="22">
        <v>60.7</v>
      </c>
      <c r="E72" s="27">
        <f t="shared" si="2"/>
        <v>434435.53714285715</v>
      </c>
      <c r="F72" s="100"/>
      <c r="G72" s="100"/>
      <c r="H72" s="112">
        <f t="shared" si="4"/>
        <v>173900.33228571428</v>
      </c>
      <c r="I72" s="112">
        <f t="shared" si="3"/>
        <v>115933.55485714287</v>
      </c>
      <c r="J72" s="100">
        <f>136549.59*0.6</f>
        <v>81929.754000000001</v>
      </c>
      <c r="K72" s="100">
        <f>136549.59*0.4</f>
        <v>54619.836000000003</v>
      </c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>
        <f>8052.06*0.6</f>
        <v>4831.2359999999999</v>
      </c>
      <c r="AG72" s="100">
        <f>8052.06*0.4</f>
        <v>3220.8240000000005</v>
      </c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</row>
    <row r="73" spans="1:51" ht="37.5" customHeight="1" x14ac:dyDescent="0.3">
      <c r="A73" s="26" t="s">
        <v>531</v>
      </c>
      <c r="B73" s="22" t="s">
        <v>73</v>
      </c>
      <c r="C73" s="22" t="s">
        <v>97</v>
      </c>
      <c r="D73" s="22">
        <v>358.3</v>
      </c>
      <c r="E73" s="27">
        <f t="shared" si="2"/>
        <v>997899.7971428571</v>
      </c>
      <c r="F73" s="100">
        <f>15262.43</f>
        <v>15262.43</v>
      </c>
      <c r="G73" s="100"/>
      <c r="H73" s="112">
        <f t="shared" si="4"/>
        <v>173900.33228571428</v>
      </c>
      <c r="I73" s="112">
        <f t="shared" si="3"/>
        <v>115933.55485714287</v>
      </c>
      <c r="J73" s="100">
        <f>553368.01*0.6</f>
        <v>332020.80599999998</v>
      </c>
      <c r="K73" s="100">
        <f>553368.01*0.4</f>
        <v>221347.20400000003</v>
      </c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>
        <f>38467.37*0.6</f>
        <v>23080.422000000002</v>
      </c>
      <c r="AG73" s="100">
        <f>38467.37*0.4</f>
        <v>15386.948000000002</v>
      </c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>
        <f>(76377.7+24590.4)*0.6</f>
        <v>60580.86</v>
      </c>
      <c r="AS73" s="100">
        <f>(76377.7+24590.4)*0.4</f>
        <v>40387.240000000005</v>
      </c>
      <c r="AT73" s="100"/>
      <c r="AU73" s="100"/>
      <c r="AV73" s="100"/>
      <c r="AW73" s="100"/>
      <c r="AX73" s="100"/>
      <c r="AY73" s="100"/>
    </row>
    <row r="74" spans="1:51" ht="37.5" customHeight="1" x14ac:dyDescent="0.3">
      <c r="A74" s="26" t="s">
        <v>532</v>
      </c>
      <c r="B74" s="22" t="s">
        <v>98</v>
      </c>
      <c r="C74" s="22" t="s">
        <v>99</v>
      </c>
      <c r="D74" s="22">
        <v>196.6</v>
      </c>
      <c r="E74" s="27">
        <f t="shared" ref="E74:E81" si="5">SUM(F74:AU74)</f>
        <v>289833.88714285713</v>
      </c>
      <c r="F74" s="100"/>
      <c r="G74" s="100"/>
      <c r="H74" s="112">
        <f t="shared" si="4"/>
        <v>173900.33228571428</v>
      </c>
      <c r="I74" s="112">
        <f t="shared" si="3"/>
        <v>115933.55485714287</v>
      </c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</row>
    <row r="75" spans="1:51" ht="37.5" customHeight="1" x14ac:dyDescent="0.3">
      <c r="A75" s="26" t="s">
        <v>533</v>
      </c>
      <c r="B75" s="22" t="s">
        <v>81</v>
      </c>
      <c r="C75" s="22" t="s">
        <v>100</v>
      </c>
      <c r="D75" s="22">
        <v>54.4</v>
      </c>
      <c r="E75" s="27">
        <f t="shared" si="5"/>
        <v>289833.88714285713</v>
      </c>
      <c r="F75" s="100"/>
      <c r="G75" s="100"/>
      <c r="H75" s="112">
        <f t="shared" si="4"/>
        <v>173900.33228571428</v>
      </c>
      <c r="I75" s="112">
        <f t="shared" si="3"/>
        <v>115933.55485714287</v>
      </c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</row>
    <row r="76" spans="1:51" ht="56.25" customHeight="1" x14ac:dyDescent="0.3">
      <c r="A76" s="26" t="s">
        <v>534</v>
      </c>
      <c r="B76" s="22" t="s">
        <v>119</v>
      </c>
      <c r="C76" s="22" t="s">
        <v>120</v>
      </c>
      <c r="D76" s="22">
        <v>5741.2</v>
      </c>
      <c r="E76" s="27">
        <f t="shared" si="5"/>
        <v>2690902.0300000003</v>
      </c>
      <c r="F76" s="100">
        <f>166018.61*0.6</f>
        <v>99611.165999999983</v>
      </c>
      <c r="G76" s="100">
        <f>166018.61*0.4</f>
        <v>66407.444000000003</v>
      </c>
      <c r="H76" s="22">
        <f>140410.56*0.6</f>
        <v>84246.335999999996</v>
      </c>
      <c r="I76" s="100">
        <f>140410.56*0.4</f>
        <v>56164.224000000002</v>
      </c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>
        <f>(600243.35+731644.6)*0.6</f>
        <v>799132.7699999999</v>
      </c>
      <c r="AG76" s="100">
        <f>(600243.35+731644.6)*0.4</f>
        <v>532755.18000000005</v>
      </c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>
        <f>(259630.8+294076.8+498877.31)*0.6</f>
        <v>631550.94599999988</v>
      </c>
      <c r="AS76" s="100">
        <f>(259630.8+294076.8+498877.31)*0.4</f>
        <v>421033.96399999998</v>
      </c>
      <c r="AT76" s="100"/>
      <c r="AU76" s="100"/>
      <c r="AV76" s="100"/>
      <c r="AW76" s="100"/>
      <c r="AX76" s="100"/>
      <c r="AY76" s="100"/>
    </row>
    <row r="77" spans="1:51" ht="37.5" customHeight="1" x14ac:dyDescent="0.3">
      <c r="A77" s="26" t="s">
        <v>535</v>
      </c>
      <c r="B77" s="22" t="s">
        <v>128</v>
      </c>
      <c r="C77" s="22" t="s">
        <v>129</v>
      </c>
      <c r="D77" s="22">
        <v>3106.9</v>
      </c>
      <c r="E77" s="27">
        <f t="shared" si="5"/>
        <v>4226276.3600000003</v>
      </c>
      <c r="F77" s="100">
        <f>1294520.52*0.6</f>
        <v>776712.31200000003</v>
      </c>
      <c r="G77" s="114">
        <f>1294520.52*0.4</f>
        <v>517808.20800000004</v>
      </c>
      <c r="H77" s="22">
        <f>72466.13*0.6</f>
        <v>43479.678</v>
      </c>
      <c r="I77" s="100">
        <f>72466.13*0.4</f>
        <v>28986.452000000005</v>
      </c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>
        <f>25370.92+138900</f>
        <v>164270.91999999998</v>
      </c>
      <c r="X77" s="100"/>
      <c r="Y77" s="100"/>
      <c r="Z77" s="100"/>
      <c r="AA77" s="100"/>
      <c r="AB77" s="100"/>
      <c r="AC77" s="100"/>
      <c r="AD77" s="100"/>
      <c r="AE77" s="100"/>
      <c r="AF77" s="100">
        <f>(333569.92+2361448.87)*0.6</f>
        <v>1617011.274</v>
      </c>
      <c r="AG77" s="100">
        <f>(333569.92+2361448.87)*0.4</f>
        <v>1078007.5160000001</v>
      </c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</row>
    <row r="78" spans="1:51" ht="37.5" customHeight="1" x14ac:dyDescent="0.3">
      <c r="A78" s="26" t="s">
        <v>536</v>
      </c>
      <c r="B78" s="22" t="s">
        <v>130</v>
      </c>
      <c r="C78" s="22" t="s">
        <v>131</v>
      </c>
      <c r="D78" s="22">
        <v>18213.3</v>
      </c>
      <c r="E78" s="27">
        <f t="shared" si="5"/>
        <v>9406844.0199999996</v>
      </c>
      <c r="F78" s="100">
        <f>3883563.6*0.6</f>
        <v>2330138.16</v>
      </c>
      <c r="G78" s="100">
        <f>3883563.6*0.4</f>
        <v>1553425.4400000002</v>
      </c>
      <c r="H78" s="22">
        <f>230844.48*0.6</f>
        <v>138506.68799999999</v>
      </c>
      <c r="I78" s="100">
        <f>230844.48*0.4</f>
        <v>92337.792000000016</v>
      </c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>
        <f>138900*0.6</f>
        <v>83340</v>
      </c>
      <c r="W78" s="116">
        <f>138900*0.4</f>
        <v>55560</v>
      </c>
      <c r="X78" s="100"/>
      <c r="Y78" s="100"/>
      <c r="Z78" s="100"/>
      <c r="AA78" s="100"/>
      <c r="AB78" s="100"/>
      <c r="AC78" s="100"/>
      <c r="AD78" s="100"/>
      <c r="AE78" s="100"/>
      <c r="AF78" s="100">
        <f>(1992390.51+1852934.12)*0.6</f>
        <v>2307194.7779999999</v>
      </c>
      <c r="AG78" s="100">
        <f>(1992390.51+1852934.12)*0.4</f>
        <v>1538129.852</v>
      </c>
      <c r="AH78" s="100"/>
      <c r="AI78" s="100"/>
      <c r="AJ78" s="100">
        <v>0</v>
      </c>
      <c r="AK78" s="100"/>
      <c r="AL78" s="100"/>
      <c r="AM78" s="100"/>
      <c r="AN78" s="100"/>
      <c r="AO78" s="100"/>
      <c r="AP78" s="100"/>
      <c r="AQ78" s="100"/>
      <c r="AR78" s="100">
        <f>(105570+431878.8+770762.51)*0.6</f>
        <v>784926.78599999996</v>
      </c>
      <c r="AS78" s="100">
        <f>(105570+431878.8+770762.51)*0.4</f>
        <v>523284.52400000003</v>
      </c>
      <c r="AT78" s="100"/>
      <c r="AU78" s="100"/>
      <c r="AV78" s="100"/>
      <c r="AW78" s="100"/>
      <c r="AX78" s="100"/>
      <c r="AY78" s="100"/>
    </row>
    <row r="79" spans="1:51" ht="37.5" customHeight="1" x14ac:dyDescent="0.3">
      <c r="A79" s="26" t="s">
        <v>537</v>
      </c>
      <c r="B79" s="22" t="s">
        <v>136</v>
      </c>
      <c r="C79" s="22" t="s">
        <v>137</v>
      </c>
      <c r="D79" s="22">
        <v>1318.7</v>
      </c>
      <c r="E79" s="27">
        <f t="shared" si="5"/>
        <v>0</v>
      </c>
      <c r="F79" s="100"/>
      <c r="G79" s="100"/>
      <c r="H79" s="22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</row>
    <row r="80" spans="1:51" ht="37.5" customHeight="1" x14ac:dyDescent="0.3">
      <c r="A80" s="26" t="s">
        <v>538</v>
      </c>
      <c r="B80" s="22" t="s">
        <v>142</v>
      </c>
      <c r="C80" s="22" t="s">
        <v>143</v>
      </c>
      <c r="D80" s="22">
        <v>1453.6</v>
      </c>
      <c r="E80" s="27">
        <f t="shared" si="5"/>
        <v>150531.6</v>
      </c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>
        <f>150531.6*0.6</f>
        <v>90318.96</v>
      </c>
      <c r="AS80" s="100">
        <f>150531.6*0.4</f>
        <v>60212.640000000007</v>
      </c>
      <c r="AT80" s="100"/>
      <c r="AU80" s="100"/>
      <c r="AV80" s="100"/>
      <c r="AW80" s="100"/>
      <c r="AX80" s="100"/>
      <c r="AY80" s="100"/>
    </row>
    <row r="81" spans="1:51" ht="37.5" customHeight="1" x14ac:dyDescent="0.3">
      <c r="A81" s="26" t="s">
        <v>539</v>
      </c>
      <c r="B81" s="22" t="s">
        <v>144</v>
      </c>
      <c r="C81" s="22" t="s">
        <v>145</v>
      </c>
      <c r="D81" s="22">
        <v>6172.3</v>
      </c>
      <c r="E81" s="27">
        <f t="shared" si="5"/>
        <v>3399177.81</v>
      </c>
      <c r="F81" s="100">
        <f>(2589041.04+193128.06)*0.6</f>
        <v>1669301.46</v>
      </c>
      <c r="G81" s="100">
        <f>(2589041.04+193128.06)*0.4</f>
        <v>1112867.6400000001</v>
      </c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>
        <f>(154177.11+138900)*0.6</f>
        <v>175846.26599999997</v>
      </c>
      <c r="W81" s="100">
        <f>(154177.11+138900)*0.4</f>
        <v>117230.844</v>
      </c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>
        <v>0</v>
      </c>
      <c r="AQ81" s="100"/>
      <c r="AR81" s="100"/>
      <c r="AS81" s="100">
        <v>323931.59999999998</v>
      </c>
      <c r="AT81" s="100"/>
      <c r="AU81" s="100"/>
      <c r="AV81" s="100"/>
      <c r="AW81" s="100"/>
      <c r="AX81" s="100"/>
      <c r="AY81" s="100"/>
    </row>
    <row r="82" spans="1:51" ht="37.5" customHeight="1" x14ac:dyDescent="0.3">
      <c r="A82" s="26" t="s">
        <v>540</v>
      </c>
      <c r="B82" s="22" t="s">
        <v>146</v>
      </c>
      <c r="C82" s="22" t="s">
        <v>147</v>
      </c>
      <c r="D82" s="22">
        <f>3618.1+54197.28</f>
        <v>57815.38</v>
      </c>
      <c r="E82" s="27">
        <f>SUM(F82:AU82)</f>
        <v>4532701.8549999995</v>
      </c>
      <c r="F82" s="106">
        <f>(7767123.12*0.6)/2+(107436.91*0.6)</f>
        <v>2394599.0819999999</v>
      </c>
      <c r="G82" s="106">
        <f>(7767123.12*0.4)/2+(107436.91*0.4)</f>
        <v>1596399.388</v>
      </c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>
        <f>(132709.41*0.6)/2+(138900*0.6)/2</f>
        <v>81482.823000000004</v>
      </c>
      <c r="W82" s="100">
        <f>(132709.41*0.4)/2+(138900*0.4)/2</f>
        <v>54321.881999999998</v>
      </c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>
        <v>0</v>
      </c>
      <c r="AQ82" s="100"/>
      <c r="AR82" s="100">
        <f>(93273.6*0.6)+(312625.08*0.6)</f>
        <v>243539.20800000001</v>
      </c>
      <c r="AS82" s="100">
        <f>(93273.6*0.4)+(312625.08*0.4)</f>
        <v>162359.47200000001</v>
      </c>
      <c r="AT82" s="100"/>
      <c r="AU82" s="100"/>
      <c r="AV82" s="100"/>
      <c r="AW82" s="100"/>
      <c r="AX82" s="100"/>
      <c r="AY82" s="100"/>
    </row>
    <row r="83" spans="1:51" ht="37.5" customHeight="1" x14ac:dyDescent="0.3">
      <c r="A83" s="26" t="s">
        <v>541</v>
      </c>
      <c r="B83" s="22" t="s">
        <v>148</v>
      </c>
      <c r="C83" s="22" t="s">
        <v>149</v>
      </c>
      <c r="D83" s="22">
        <v>1556.1</v>
      </c>
      <c r="E83" s="27">
        <f t="shared" ref="E83:E89" si="6">SUM(F83:AU83)</f>
        <v>4469552.6950000003</v>
      </c>
      <c r="F83" s="106">
        <f>(7767123.12*0.6)/2+46214.95</f>
        <v>2376351.8859999999</v>
      </c>
      <c r="G83" s="106">
        <f>(7767123.12*0.4)/2</f>
        <v>1553424.6240000001</v>
      </c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>
        <f>V82</f>
        <v>81482.823000000004</v>
      </c>
      <c r="W83" s="100">
        <f>W82</f>
        <v>54321.881999999998</v>
      </c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>
        <v>0</v>
      </c>
      <c r="AQ83" s="100"/>
      <c r="AR83" s="100">
        <f>(91346.4*0.6)+(312625.08*0.6)</f>
        <v>242382.88800000001</v>
      </c>
      <c r="AS83" s="100">
        <f>(91346.4*0.4)+(312625.08*0.4)</f>
        <v>161588.592</v>
      </c>
      <c r="AT83" s="100"/>
      <c r="AU83" s="100"/>
      <c r="AV83" s="100"/>
      <c r="AW83" s="100"/>
      <c r="AX83" s="100"/>
      <c r="AY83" s="100"/>
    </row>
    <row r="84" spans="1:51" ht="56.25" customHeight="1" x14ac:dyDescent="0.3">
      <c r="A84" s="26" t="s">
        <v>542</v>
      </c>
      <c r="B84" s="22" t="s">
        <v>150</v>
      </c>
      <c r="C84" s="22" t="s">
        <v>151</v>
      </c>
      <c r="D84" s="22">
        <v>2615.5</v>
      </c>
      <c r="E84" s="27">
        <f t="shared" si="6"/>
        <v>2923543.18</v>
      </c>
      <c r="F84" s="106">
        <f>(2589041.04+77663.45)*0.6</f>
        <v>1600022.6940000001</v>
      </c>
      <c r="G84" s="106">
        <f>(2589041.04+77663.45)*0.4</f>
        <v>1066681.7960000001</v>
      </c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>
        <f>(107004+149834.69)*0.6</f>
        <v>154103.21400000001</v>
      </c>
      <c r="AS84" s="100">
        <f>(107004+149834.69)*0.4</f>
        <v>102735.47600000001</v>
      </c>
      <c r="AT84" s="100"/>
      <c r="AU84" s="100">
        <v>0</v>
      </c>
      <c r="AV84" s="100"/>
      <c r="AW84" s="100"/>
      <c r="AX84" s="100"/>
      <c r="AY84" s="100"/>
    </row>
    <row r="85" spans="1:51" ht="37.5" customHeight="1" x14ac:dyDescent="0.3">
      <c r="A85" s="26" t="s">
        <v>543</v>
      </c>
      <c r="B85" s="100" t="s">
        <v>152</v>
      </c>
      <c r="C85" s="100" t="s">
        <v>153</v>
      </c>
      <c r="D85" s="22">
        <v>22228.9</v>
      </c>
      <c r="E85" s="27">
        <f t="shared" si="6"/>
        <v>11060688.73</v>
      </c>
      <c r="F85" s="100">
        <f>660180.88*0.6</f>
        <v>396108.52799999999</v>
      </c>
      <c r="G85" s="100">
        <f>660180.88*0.4</f>
        <v>264072.35200000001</v>
      </c>
      <c r="H85" s="100">
        <f>160401.22*0.6</f>
        <v>96240.732000000004</v>
      </c>
      <c r="I85" s="100">
        <f>160401.92*0.4</f>
        <v>64160.768000000011</v>
      </c>
      <c r="J85" s="100">
        <f>(6141374.82+290000)*0.6</f>
        <v>3858824.892</v>
      </c>
      <c r="K85" s="114">
        <f>(6141374.82+290000)*0.4</f>
        <v>2572549.9280000003</v>
      </c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>
        <f>279080.09*0.6</f>
        <v>167448.054</v>
      </c>
      <c r="W85" s="100">
        <f>279080.99*0.4</f>
        <v>111632.39600000001</v>
      </c>
      <c r="X85" s="100"/>
      <c r="Y85" s="100"/>
      <c r="Z85" s="100"/>
      <c r="AA85" s="100"/>
      <c r="AB85" s="100"/>
      <c r="AC85" s="100"/>
      <c r="AD85" s="100"/>
      <c r="AE85" s="100"/>
      <c r="AF85" s="100">
        <f>(2386511.9+1143139.18)*0.6</f>
        <v>2117790.648</v>
      </c>
      <c r="AG85" s="100">
        <f>(2386511.9+1143139.18)*0.4</f>
        <v>1411860.432</v>
      </c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</row>
    <row r="86" spans="1:51" ht="36" x14ac:dyDescent="0.3">
      <c r="A86" s="26" t="s">
        <v>544</v>
      </c>
      <c r="B86" s="100" t="s">
        <v>158</v>
      </c>
      <c r="C86" s="100" t="s">
        <v>159</v>
      </c>
      <c r="D86" s="100">
        <v>7998.2</v>
      </c>
      <c r="E86" s="27">
        <f t="shared" si="6"/>
        <v>7082762.5399999991</v>
      </c>
      <c r="F86" s="100">
        <f>(14239725.72*0.6)/4+(237540.26*0.6)</f>
        <v>2278483.014</v>
      </c>
      <c r="G86" s="106">
        <f>(14239725.72*0.4)/4+(237540.26*0.4)</f>
        <v>1518988.6760000002</v>
      </c>
      <c r="H86" s="100"/>
      <c r="I86" s="100"/>
      <c r="J86" s="100">
        <f>(1627744.07+72500)*0.6</f>
        <v>1020146.442</v>
      </c>
      <c r="K86" s="114">
        <f>(1627744.07+72500)*0.4</f>
        <v>680097.62800000003</v>
      </c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>
        <f>124902.98*0.6</f>
        <v>74941.788</v>
      </c>
      <c r="W86" s="100">
        <f>124902.98*0.4</f>
        <v>49961.192000000003</v>
      </c>
      <c r="X86" s="100"/>
      <c r="Y86" s="100"/>
      <c r="Z86" s="100"/>
      <c r="AA86" s="100"/>
      <c r="AB86" s="100"/>
      <c r="AC86" s="100"/>
      <c r="AD86" s="100"/>
      <c r="AE86" s="100"/>
      <c r="AF86" s="100">
        <f>(858381.6+335213.4)*0.6</f>
        <v>716157</v>
      </c>
      <c r="AG86" s="100">
        <f>(858381.6+335213.4)*0.4</f>
        <v>477438</v>
      </c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>
        <f>266548.8*0.6</f>
        <v>159929.28</v>
      </c>
      <c r="AS86" s="100">
        <f>266548.8*0.4</f>
        <v>106619.52</v>
      </c>
      <c r="AT86" s="100"/>
      <c r="AU86" s="100"/>
      <c r="AV86" s="100"/>
      <c r="AW86" s="100"/>
      <c r="AX86" s="100"/>
      <c r="AY86" s="100"/>
    </row>
    <row r="87" spans="1:51" ht="36" x14ac:dyDescent="0.3">
      <c r="A87" s="26" t="s">
        <v>545</v>
      </c>
      <c r="B87" s="100" t="s">
        <v>158</v>
      </c>
      <c r="C87" s="100" t="s">
        <v>160</v>
      </c>
      <c r="D87" s="100">
        <v>4101.8999999999996</v>
      </c>
      <c r="E87" s="27">
        <f t="shared" si="6"/>
        <v>5874110.8640000001</v>
      </c>
      <c r="F87" s="106">
        <f>(14239725.72*0.6)/4+(121823*0.6)</f>
        <v>2209052.6579999998</v>
      </c>
      <c r="G87" s="106">
        <f>(14239725.72*0.4)/4+(121823.21*0.4)</f>
        <v>1472701.8560000001</v>
      </c>
      <c r="H87" s="100"/>
      <c r="I87" s="100"/>
      <c r="J87" s="100">
        <f>(1203501.11+72500)*0.6</f>
        <v>765600.66600000008</v>
      </c>
      <c r="K87" s="100">
        <f>(1203501.11+72500)*0.4</f>
        <v>510400.44400000008</v>
      </c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>
        <f>(440383.16+273430.08)*0.6</f>
        <v>428287.94399999996</v>
      </c>
      <c r="AG87" s="100">
        <f>(440383.16+273430.08)*0.4</f>
        <v>285525.29600000003</v>
      </c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>
        <f>202542*0.6</f>
        <v>121525.2</v>
      </c>
      <c r="AS87" s="100">
        <f>202542*0.4</f>
        <v>81016.800000000003</v>
      </c>
      <c r="AT87" s="100"/>
      <c r="AU87" s="100"/>
      <c r="AV87" s="100"/>
      <c r="AW87" s="100"/>
      <c r="AX87" s="100"/>
      <c r="AY87" s="100"/>
    </row>
    <row r="88" spans="1:51" ht="36" x14ac:dyDescent="0.3">
      <c r="A88" s="26" t="s">
        <v>546</v>
      </c>
      <c r="B88" s="100" t="s">
        <v>165</v>
      </c>
      <c r="C88" s="100" t="s">
        <v>166</v>
      </c>
      <c r="D88" s="100">
        <v>10231.5</v>
      </c>
      <c r="E88" s="27">
        <f t="shared" si="6"/>
        <v>8369116.2500000009</v>
      </c>
      <c r="F88" s="106">
        <f>(14239725.72*0.6)/4+(303867.52*0.6)</f>
        <v>2318279.37</v>
      </c>
      <c r="G88" s="106">
        <f>(14239725.72*0.4)/4+(303867.52*0.4)</f>
        <v>1545519.58</v>
      </c>
      <c r="H88" s="100">
        <f>125655.55*0.6</f>
        <v>75393.33</v>
      </c>
      <c r="I88" s="100">
        <f>125655.55*0.4</f>
        <v>50262.22</v>
      </c>
      <c r="J88" s="100">
        <f>(2590458.64+72500)*0.6</f>
        <v>1597775.1840000001</v>
      </c>
      <c r="K88" s="114">
        <f>(2590458.64+72500)*0.4</f>
        <v>1065183.456</v>
      </c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>
        <f>138564.24*0.6</f>
        <v>83138.543999999994</v>
      </c>
      <c r="W88" s="100">
        <f>138564.24*0.4</f>
        <v>55425.695999999996</v>
      </c>
      <c r="X88" s="100"/>
      <c r="Y88" s="100"/>
      <c r="Z88" s="100"/>
      <c r="AA88" s="100"/>
      <c r="AB88" s="100"/>
      <c r="AC88" s="100"/>
      <c r="AD88" s="100"/>
      <c r="AE88" s="100"/>
      <c r="AF88" s="100">
        <f>(1100490.87+477648)*0.6</f>
        <v>946883.32200000004</v>
      </c>
      <c r="AG88" s="100">
        <f>(1100490.87+477648)*0.4</f>
        <v>631255.54800000007</v>
      </c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</row>
    <row r="89" spans="1:51" ht="36" x14ac:dyDescent="0.3">
      <c r="A89" s="26" t="s">
        <v>547</v>
      </c>
      <c r="B89" s="100" t="s">
        <v>167</v>
      </c>
      <c r="C89" s="100" t="s">
        <v>168</v>
      </c>
      <c r="D89" s="100">
        <v>2674.6</v>
      </c>
      <c r="E89" s="27">
        <f t="shared" si="6"/>
        <v>5784685.5419999994</v>
      </c>
      <c r="F89" s="106">
        <f>(14239725.72*0.6)/4+(79433.52*0.6)</f>
        <v>2183618.9700000002</v>
      </c>
      <c r="G89" s="106">
        <f>(14239725.72*0.4)/4+(79433.52*0.4)</f>
        <v>1455745.9800000002</v>
      </c>
      <c r="H89" s="100">
        <f>388746.86*0.6</f>
        <v>233248.11599999998</v>
      </c>
      <c r="I89" s="112">
        <f>388746.86*0.4</f>
        <v>155498.74400000001</v>
      </c>
      <c r="J89" s="100">
        <f>(1247845.17+72500)*0.6</f>
        <v>792207.10199999996</v>
      </c>
      <c r="K89" s="114">
        <f>499315.96+21750</f>
        <v>521065.96</v>
      </c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>
        <f>44887.01*0.6</f>
        <v>26932.206000000002</v>
      </c>
      <c r="W89" s="100">
        <f>44887.01*0.4</f>
        <v>17954.804</v>
      </c>
      <c r="X89" s="100"/>
      <c r="Y89" s="100"/>
      <c r="Z89" s="100"/>
      <c r="AA89" s="100"/>
      <c r="AB89" s="100"/>
      <c r="AC89" s="100"/>
      <c r="AD89" s="100"/>
      <c r="AE89" s="100"/>
      <c r="AF89" s="100">
        <f>(287147.13+111266.53)*0.6</f>
        <v>239048.196</v>
      </c>
      <c r="AG89" s="100">
        <f>(287147.13+111266.53)*0.4</f>
        <v>159365.46400000004</v>
      </c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</row>
    <row r="90" spans="1:51" x14ac:dyDescent="0.3">
      <c r="A90" s="110" t="s">
        <v>548</v>
      </c>
      <c r="B90" s="102" t="s">
        <v>318</v>
      </c>
      <c r="C90" s="100"/>
      <c r="D90" s="100">
        <f>SUM(D48:D89)</f>
        <v>286455.57999999996</v>
      </c>
      <c r="E90" s="27">
        <f>SUM(E48:E89)</f>
        <v>183934445.68599993</v>
      </c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</row>
    <row r="91" spans="1:51" x14ac:dyDescent="0.3">
      <c r="A91" s="110"/>
      <c r="B91" s="102"/>
      <c r="C91" s="100"/>
      <c r="D91" s="104"/>
      <c r="E91" s="111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</row>
    <row r="92" spans="1:51" s="33" customFormat="1" ht="22.5" customHeight="1" x14ac:dyDescent="0.3">
      <c r="A92" s="143"/>
      <c r="B92" s="146" t="s">
        <v>179</v>
      </c>
      <c r="C92" s="31" t="s">
        <v>180</v>
      </c>
      <c r="D92" s="149"/>
      <c r="E92" s="150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</row>
    <row r="93" spans="1:51" s="33" customFormat="1" ht="22.5" customHeight="1" x14ac:dyDescent="0.3">
      <c r="A93" s="144"/>
      <c r="B93" s="147"/>
      <c r="C93" s="31" t="s">
        <v>3</v>
      </c>
      <c r="D93" s="149">
        <f>D46</f>
        <v>286455.57999999996</v>
      </c>
      <c r="E93" s="150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</row>
    <row r="94" spans="1:51" s="33" customFormat="1" ht="20.25" customHeight="1" x14ac:dyDescent="0.3">
      <c r="A94" s="145"/>
      <c r="B94" s="148"/>
      <c r="C94" s="32" t="s">
        <v>209</v>
      </c>
      <c r="D94" s="151">
        <f>E46+E90</f>
        <v>383930628.40310431</v>
      </c>
      <c r="E94" s="152"/>
      <c r="F94" s="32">
        <f>SUM(F4:F90)</f>
        <v>79135484.391771942</v>
      </c>
      <c r="G94" s="32">
        <f t="shared" ref="G94:AY94" si="7">SUM(G4:G90)</f>
        <v>40463567.084544525</v>
      </c>
      <c r="H94" s="32">
        <f t="shared" si="7"/>
        <v>3307888.2771895588</v>
      </c>
      <c r="I94" s="32">
        <f t="shared" si="7"/>
        <v>2604099.2502879421</v>
      </c>
      <c r="J94" s="32">
        <f t="shared" si="7"/>
        <v>54804988.887999997</v>
      </c>
      <c r="K94" s="32">
        <f t="shared" si="7"/>
        <v>49752538.307022288</v>
      </c>
      <c r="L94" s="32">
        <f t="shared" si="7"/>
        <v>137384.30252134131</v>
      </c>
      <c r="M94" s="32">
        <f t="shared" si="7"/>
        <v>718289.70993074263</v>
      </c>
      <c r="N94" s="32">
        <f t="shared" si="7"/>
        <v>0</v>
      </c>
      <c r="O94" s="32">
        <f t="shared" si="7"/>
        <v>577179.7752808989</v>
      </c>
      <c r="P94" s="32">
        <f t="shared" si="7"/>
        <v>0</v>
      </c>
      <c r="Q94" s="32">
        <f t="shared" si="7"/>
        <v>1344141.5094339624</v>
      </c>
      <c r="R94" s="32">
        <f t="shared" si="7"/>
        <v>0</v>
      </c>
      <c r="S94" s="32">
        <f t="shared" si="7"/>
        <v>943518.72727272718</v>
      </c>
      <c r="T94" s="32">
        <f t="shared" si="7"/>
        <v>2501311.9662738666</v>
      </c>
      <c r="U94" s="32">
        <f t="shared" si="7"/>
        <v>3101031.2340697804</v>
      </c>
      <c r="V94" s="32">
        <f t="shared" si="7"/>
        <v>1365799.1688978614</v>
      </c>
      <c r="W94" s="32">
        <f t="shared" si="7"/>
        <v>2348257.4378111796</v>
      </c>
      <c r="X94" s="32">
        <f t="shared" si="7"/>
        <v>751240.38461538474</v>
      </c>
      <c r="Y94" s="32">
        <f t="shared" si="7"/>
        <v>1087857.24</v>
      </c>
      <c r="Z94" s="32">
        <f t="shared" si="7"/>
        <v>153000</v>
      </c>
      <c r="AA94" s="32">
        <f t="shared" si="7"/>
        <v>703338.85</v>
      </c>
      <c r="AB94" s="32">
        <f t="shared" si="7"/>
        <v>288000</v>
      </c>
      <c r="AC94" s="32">
        <f t="shared" si="7"/>
        <v>0</v>
      </c>
      <c r="AD94" s="32">
        <f t="shared" si="7"/>
        <v>0</v>
      </c>
      <c r="AE94" s="32">
        <f t="shared" si="7"/>
        <v>271317.07317073172</v>
      </c>
      <c r="AF94" s="32">
        <f t="shared" si="7"/>
        <v>29868839.62991827</v>
      </c>
      <c r="AG94" s="32">
        <f t="shared" si="7"/>
        <v>18679548.392532703</v>
      </c>
      <c r="AH94" s="32">
        <f t="shared" si="7"/>
        <v>0</v>
      </c>
      <c r="AI94" s="32">
        <f t="shared" si="7"/>
        <v>246500.88378211603</v>
      </c>
      <c r="AJ94" s="32">
        <f t="shared" si="7"/>
        <v>24218388.030000001</v>
      </c>
      <c r="AK94" s="32">
        <f t="shared" si="7"/>
        <v>20378882.68</v>
      </c>
      <c r="AL94" s="32">
        <f t="shared" si="7"/>
        <v>0</v>
      </c>
      <c r="AM94" s="32">
        <f t="shared" si="7"/>
        <v>0</v>
      </c>
      <c r="AN94" s="32">
        <f t="shared" si="7"/>
        <v>0</v>
      </c>
      <c r="AO94" s="32">
        <f t="shared" si="7"/>
        <v>1351680.56</v>
      </c>
      <c r="AP94" s="32">
        <f t="shared" si="7"/>
        <v>0</v>
      </c>
      <c r="AQ94" s="32">
        <f t="shared" si="7"/>
        <v>569500</v>
      </c>
      <c r="AR94" s="32">
        <f t="shared" si="7"/>
        <v>16592929.899757778</v>
      </c>
      <c r="AS94" s="32">
        <f t="shared" si="7"/>
        <v>24030543.071341399</v>
      </c>
      <c r="AT94" s="32">
        <f t="shared" si="7"/>
        <v>643581.67767738132</v>
      </c>
      <c r="AU94" s="32">
        <f t="shared" si="7"/>
        <v>990000</v>
      </c>
      <c r="AV94" s="32">
        <f t="shared" si="7"/>
        <v>119000</v>
      </c>
      <c r="AW94" s="32">
        <f t="shared" si="7"/>
        <v>503830</v>
      </c>
      <c r="AX94" s="32">
        <f t="shared" si="7"/>
        <v>190000</v>
      </c>
      <c r="AY94" s="32">
        <f t="shared" si="7"/>
        <v>0</v>
      </c>
    </row>
    <row r="96" spans="1:51" ht="37.5" customHeight="1" x14ac:dyDescent="0.3">
      <c r="A96" s="34" t="s">
        <v>181</v>
      </c>
      <c r="B96" s="153" t="s">
        <v>182</v>
      </c>
      <c r="C96" s="153"/>
      <c r="D96" s="153"/>
      <c r="E96" s="105"/>
    </row>
    <row r="97" spans="1:9" ht="37.5" customHeight="1" x14ac:dyDescent="0.3">
      <c r="A97" s="34" t="s">
        <v>183</v>
      </c>
      <c r="B97" s="153" t="s">
        <v>184</v>
      </c>
      <c r="C97" s="153"/>
      <c r="D97" s="153"/>
      <c r="E97" s="105"/>
      <c r="G97" s="36"/>
      <c r="H97" s="36"/>
      <c r="I97" s="36"/>
    </row>
    <row r="102" spans="1:9" ht="25.2" x14ac:dyDescent="0.3">
      <c r="B102" s="23"/>
      <c r="C102" s="23"/>
      <c r="D102" s="23"/>
      <c r="E102" s="23"/>
    </row>
  </sheetData>
  <autoFilter ref="A1:AY94" xr:uid="{00000000-0009-0000-0000-000006000000}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A1:A2"/>
    <mergeCell ref="B1:B2"/>
    <mergeCell ref="C1:C2"/>
    <mergeCell ref="D1:D2"/>
    <mergeCell ref="E1:E2"/>
    <mergeCell ref="AX1:AY1"/>
    <mergeCell ref="A92:A94"/>
    <mergeCell ref="B92:B94"/>
    <mergeCell ref="D92:E92"/>
    <mergeCell ref="D93:E93"/>
    <mergeCell ref="D94:E94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B96:D96"/>
    <mergeCell ref="B97:D97"/>
    <mergeCell ref="AR1:AS1"/>
    <mergeCell ref="AT1:AU1"/>
    <mergeCell ref="AV1:AW1"/>
    <mergeCell ref="AB1:AC1"/>
    <mergeCell ref="AD1:AE1"/>
    <mergeCell ref="H1:I1"/>
    <mergeCell ref="J1:K1"/>
    <mergeCell ref="L1:M1"/>
    <mergeCell ref="N1:O1"/>
    <mergeCell ref="P1:Q1"/>
    <mergeCell ref="R1:S1"/>
    <mergeCell ref="F1:G1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AY84"/>
  <sheetViews>
    <sheetView zoomScale="70" zoomScaleNormal="70" workbookViewId="0">
      <pane ySplit="2" topLeftCell="A35" activePane="bottomLeft" state="frozen"/>
      <selection pane="bottomLeft" activeCell="I51" sqref="I51"/>
    </sheetView>
  </sheetViews>
  <sheetFormatPr defaultColWidth="9.109375" defaultRowHeight="18" x14ac:dyDescent="0.3"/>
  <cols>
    <col min="1" max="1" width="7" style="37" customWidth="1"/>
    <col min="2" max="2" width="38.44140625" style="24" customWidth="1"/>
    <col min="3" max="3" width="49.5546875" style="24" customWidth="1"/>
    <col min="4" max="4" width="23.6640625" style="24" customWidth="1"/>
    <col min="5" max="5" width="25.33203125" style="24" customWidth="1"/>
    <col min="6" max="6" width="19.6640625" style="24" customWidth="1"/>
    <col min="7" max="7" width="20.109375" style="24" customWidth="1"/>
    <col min="8" max="9" width="18.33203125" style="24" customWidth="1"/>
    <col min="10" max="11" width="20.109375" style="24" customWidth="1"/>
    <col min="12" max="13" width="16" style="24" customWidth="1"/>
    <col min="14" max="14" width="11.5546875" style="24" customWidth="1"/>
    <col min="15" max="15" width="18.33203125" style="24" customWidth="1"/>
    <col min="16" max="16" width="13.44140625" style="24" customWidth="1"/>
    <col min="17" max="17" width="18.33203125" style="24" customWidth="1"/>
    <col min="18" max="18" width="11.88671875" style="24" customWidth="1"/>
    <col min="19" max="19" width="16" style="24" customWidth="1"/>
    <col min="20" max="21" width="18.33203125" style="24" customWidth="1"/>
    <col min="22" max="22" width="16" style="24" customWidth="1"/>
    <col min="23" max="23" width="23" style="24" customWidth="1"/>
    <col min="24" max="25" width="18.33203125" style="24" customWidth="1"/>
    <col min="26" max="26" width="13.44140625" style="24" customWidth="1"/>
    <col min="27" max="27" width="18.33203125" style="24" customWidth="1"/>
    <col min="28" max="29" width="16" style="24" customWidth="1"/>
    <col min="30" max="30" width="29.5546875" style="24" customWidth="1"/>
    <col min="31" max="31" width="13.5546875" style="24" customWidth="1"/>
    <col min="32" max="32" width="27.33203125" style="24" customWidth="1"/>
    <col min="33" max="33" width="30" style="24" customWidth="1"/>
    <col min="34" max="34" width="42.33203125" style="24" customWidth="1"/>
    <col min="35" max="35" width="26.33203125" style="24" customWidth="1"/>
    <col min="36" max="36" width="20.5546875" style="24" customWidth="1"/>
    <col min="37" max="37" width="26.109375" style="24" customWidth="1"/>
    <col min="38" max="38" width="55.109375" style="24" customWidth="1"/>
    <col min="39" max="39" width="33.88671875" style="24" customWidth="1"/>
    <col min="40" max="40" width="31.33203125" style="24" customWidth="1"/>
    <col min="41" max="41" width="18.44140625" style="24" customWidth="1"/>
    <col min="42" max="42" width="15.6640625" style="24" customWidth="1"/>
    <col min="43" max="43" width="14.109375" style="24" customWidth="1"/>
    <col min="44" max="45" width="20.109375" style="24" customWidth="1"/>
    <col min="46" max="47" width="16" style="24" customWidth="1"/>
    <col min="48" max="48" width="16.6640625" style="24" customWidth="1"/>
    <col min="49" max="49" width="18.44140625" style="24" customWidth="1"/>
    <col min="50" max="50" width="16.33203125" style="24" customWidth="1"/>
    <col min="51" max="51" width="15" style="24" customWidth="1"/>
    <col min="52" max="16384" width="9.109375" style="24"/>
  </cols>
  <sheetData>
    <row r="1" spans="1:51" ht="37.5" customHeight="1" x14ac:dyDescent="0.3">
      <c r="A1" s="137" t="s">
        <v>0</v>
      </c>
      <c r="B1" s="139" t="s">
        <v>1</v>
      </c>
      <c r="C1" s="139" t="s">
        <v>2</v>
      </c>
      <c r="D1" s="139" t="s">
        <v>3</v>
      </c>
      <c r="E1" s="139" t="s">
        <v>210</v>
      </c>
      <c r="F1" s="136" t="s">
        <v>194</v>
      </c>
      <c r="G1" s="136"/>
      <c r="H1" s="136" t="s">
        <v>186</v>
      </c>
      <c r="I1" s="136"/>
      <c r="J1" s="136" t="s">
        <v>550</v>
      </c>
      <c r="K1" s="136"/>
      <c r="L1" s="141" t="s">
        <v>190</v>
      </c>
      <c r="M1" s="142"/>
      <c r="N1" s="141" t="s">
        <v>200</v>
      </c>
      <c r="O1" s="142"/>
      <c r="P1" s="136" t="s">
        <v>191</v>
      </c>
      <c r="Q1" s="136"/>
      <c r="R1" s="136" t="s">
        <v>204</v>
      </c>
      <c r="S1" s="136"/>
      <c r="T1" s="141" t="s">
        <v>192</v>
      </c>
      <c r="U1" s="142"/>
      <c r="V1" s="136" t="s">
        <v>203</v>
      </c>
      <c r="W1" s="136"/>
      <c r="X1" s="141" t="s">
        <v>193</v>
      </c>
      <c r="Y1" s="142"/>
      <c r="Z1" s="136" t="s">
        <v>195</v>
      </c>
      <c r="AA1" s="136"/>
      <c r="AB1" s="136" t="s">
        <v>196</v>
      </c>
      <c r="AC1" s="136"/>
      <c r="AD1" s="136" t="s">
        <v>197</v>
      </c>
      <c r="AE1" s="136"/>
      <c r="AF1" s="136" t="s">
        <v>294</v>
      </c>
      <c r="AG1" s="136"/>
      <c r="AH1" s="136" t="s">
        <v>208</v>
      </c>
      <c r="AI1" s="136"/>
      <c r="AJ1" s="136" t="s">
        <v>199</v>
      </c>
      <c r="AK1" s="136"/>
      <c r="AL1" s="136" t="s">
        <v>201</v>
      </c>
      <c r="AM1" s="136"/>
      <c r="AN1" s="136" t="s">
        <v>202</v>
      </c>
      <c r="AO1" s="136"/>
      <c r="AP1" s="141" t="s">
        <v>205</v>
      </c>
      <c r="AQ1" s="142"/>
      <c r="AR1" s="136" t="s">
        <v>206</v>
      </c>
      <c r="AS1" s="136"/>
      <c r="AT1" s="136" t="s">
        <v>207</v>
      </c>
      <c r="AU1" s="136"/>
      <c r="AV1" s="154" t="s">
        <v>292</v>
      </c>
      <c r="AW1" s="158"/>
      <c r="AX1" s="141" t="s">
        <v>291</v>
      </c>
      <c r="AY1" s="142"/>
    </row>
    <row r="2" spans="1:51" ht="18.75" customHeight="1" x14ac:dyDescent="0.3">
      <c r="A2" s="138"/>
      <c r="B2" s="140"/>
      <c r="C2" s="140"/>
      <c r="D2" s="140"/>
      <c r="E2" s="140"/>
      <c r="F2" s="100" t="s">
        <v>188</v>
      </c>
      <c r="G2" s="100" t="s">
        <v>189</v>
      </c>
      <c r="H2" s="100" t="s">
        <v>188</v>
      </c>
      <c r="I2" s="100" t="s">
        <v>189</v>
      </c>
      <c r="J2" s="100" t="s">
        <v>188</v>
      </c>
      <c r="K2" s="100" t="s">
        <v>189</v>
      </c>
      <c r="L2" s="100" t="s">
        <v>188</v>
      </c>
      <c r="M2" s="100" t="s">
        <v>189</v>
      </c>
      <c r="N2" s="100" t="s">
        <v>188</v>
      </c>
      <c r="O2" s="100" t="s">
        <v>189</v>
      </c>
      <c r="P2" s="100" t="s">
        <v>188</v>
      </c>
      <c r="Q2" s="100" t="s">
        <v>189</v>
      </c>
      <c r="R2" s="100" t="s">
        <v>188</v>
      </c>
      <c r="S2" s="100" t="s">
        <v>189</v>
      </c>
      <c r="T2" s="100" t="s">
        <v>188</v>
      </c>
      <c r="U2" s="100" t="s">
        <v>189</v>
      </c>
      <c r="V2" s="100" t="s">
        <v>188</v>
      </c>
      <c r="W2" s="100" t="s">
        <v>189</v>
      </c>
      <c r="X2" s="100" t="s">
        <v>188</v>
      </c>
      <c r="Y2" s="100" t="s">
        <v>189</v>
      </c>
      <c r="Z2" s="100" t="s">
        <v>188</v>
      </c>
      <c r="AA2" s="100" t="s">
        <v>189</v>
      </c>
      <c r="AB2" s="100" t="s">
        <v>188</v>
      </c>
      <c r="AC2" s="100" t="s">
        <v>189</v>
      </c>
      <c r="AD2" s="100" t="s">
        <v>188</v>
      </c>
      <c r="AE2" s="100" t="s">
        <v>189</v>
      </c>
      <c r="AF2" s="100" t="s">
        <v>188</v>
      </c>
      <c r="AG2" s="100" t="s">
        <v>189</v>
      </c>
      <c r="AH2" s="100" t="s">
        <v>188</v>
      </c>
      <c r="AI2" s="100" t="s">
        <v>189</v>
      </c>
      <c r="AJ2" s="100" t="s">
        <v>188</v>
      </c>
      <c r="AK2" s="100" t="s">
        <v>189</v>
      </c>
      <c r="AL2" s="100" t="s">
        <v>188</v>
      </c>
      <c r="AM2" s="100" t="s">
        <v>189</v>
      </c>
      <c r="AN2" s="100" t="s">
        <v>188</v>
      </c>
      <c r="AO2" s="100" t="s">
        <v>189</v>
      </c>
      <c r="AP2" s="100" t="s">
        <v>188</v>
      </c>
      <c r="AQ2" s="100" t="s">
        <v>189</v>
      </c>
      <c r="AR2" s="100" t="s">
        <v>188</v>
      </c>
      <c r="AS2" s="100" t="s">
        <v>189</v>
      </c>
      <c r="AT2" s="100" t="s">
        <v>188</v>
      </c>
      <c r="AU2" s="100" t="s">
        <v>189</v>
      </c>
      <c r="AV2" s="100" t="s">
        <v>188</v>
      </c>
      <c r="AW2" s="100" t="s">
        <v>189</v>
      </c>
      <c r="AX2" s="100" t="s">
        <v>188</v>
      </c>
      <c r="AY2" s="100" t="s">
        <v>189</v>
      </c>
    </row>
    <row r="3" spans="1:51" ht="18.75" customHeight="1" x14ac:dyDescent="0.3">
      <c r="A3" s="107"/>
      <c r="B3" s="109" t="s">
        <v>298</v>
      </c>
      <c r="C3" s="109"/>
      <c r="D3" s="109"/>
      <c r="E3" s="109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</row>
    <row r="4" spans="1:51" ht="37.5" customHeight="1" x14ac:dyDescent="0.3">
      <c r="A4" s="26" t="s">
        <v>301</v>
      </c>
      <c r="B4" s="100" t="s">
        <v>34</v>
      </c>
      <c r="C4" s="100" t="s">
        <v>35</v>
      </c>
      <c r="D4" s="100">
        <v>17.5</v>
      </c>
      <c r="E4" s="27">
        <f t="shared" ref="E4:E16" si="0">SUM(F4:AU4)</f>
        <v>1525.4488760220804</v>
      </c>
      <c r="F4" s="100">
        <v>0</v>
      </c>
      <c r="G4" s="100">
        <f>87.0789500394722+1184.16600879666+27.6225652681756</f>
        <v>1298.8675241043077</v>
      </c>
      <c r="H4" s="100">
        <v>97.412447084167141</v>
      </c>
      <c r="I4" s="100">
        <v>104.62096816839551</v>
      </c>
      <c r="J4" s="100"/>
      <c r="K4" s="100"/>
      <c r="L4" s="100">
        <v>0</v>
      </c>
      <c r="M4" s="100">
        <v>24.547936665210123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</row>
    <row r="5" spans="1:51" ht="37.5" customHeight="1" x14ac:dyDescent="0.3">
      <c r="A5" s="26" t="s">
        <v>302</v>
      </c>
      <c r="B5" s="100" t="s">
        <v>21</v>
      </c>
      <c r="C5" s="100" t="s">
        <v>36</v>
      </c>
      <c r="D5" s="100">
        <v>95</v>
      </c>
      <c r="E5" s="27">
        <f t="shared" si="0"/>
        <v>11553.735456847147</v>
      </c>
      <c r="F5" s="100">
        <v>0</v>
      </c>
      <c r="G5" s="100">
        <f>472.714300214278+6428.32976203902+149.951068598668</f>
        <v>7050.9951308519667</v>
      </c>
      <c r="H5" s="100">
        <v>528.81042702833588</v>
      </c>
      <c r="I5" s="100">
        <v>567.94239862843267</v>
      </c>
      <c r="J5" s="100"/>
      <c r="K5" s="100"/>
      <c r="L5" s="100">
        <v>0</v>
      </c>
      <c r="M5" s="100">
        <v>133.26022761114066</v>
      </c>
      <c r="N5" s="100"/>
      <c r="O5" s="100"/>
      <c r="P5" s="100"/>
      <c r="Q5" s="100"/>
      <c r="R5" s="100">
        <v>0</v>
      </c>
      <c r="S5" s="100">
        <v>3272.7272727272725</v>
      </c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</row>
    <row r="6" spans="1:51" ht="37.5" customHeight="1" x14ac:dyDescent="0.3">
      <c r="A6" s="26" t="s">
        <v>303</v>
      </c>
      <c r="B6" s="100" t="s">
        <v>39</v>
      </c>
      <c r="C6" s="100" t="s">
        <v>40</v>
      </c>
      <c r="D6" s="100">
        <v>101.1</v>
      </c>
      <c r="E6" s="27">
        <f t="shared" si="0"/>
        <v>17237.875186773555</v>
      </c>
      <c r="F6" s="100"/>
      <c r="G6" s="100"/>
      <c r="H6" s="100">
        <v>562.76562286910269</v>
      </c>
      <c r="I6" s="100">
        <v>604.41027896141622</v>
      </c>
      <c r="J6" s="100">
        <v>0</v>
      </c>
      <c r="K6" s="100">
        <v>6085.921884920167</v>
      </c>
      <c r="L6" s="100">
        <v>0</v>
      </c>
      <c r="M6" s="100">
        <v>141.81693696301389</v>
      </c>
      <c r="N6" s="100"/>
      <c r="O6" s="100"/>
      <c r="P6" s="100"/>
      <c r="Q6" s="100"/>
      <c r="R6" s="100">
        <v>0</v>
      </c>
      <c r="S6" s="100">
        <v>3272.7272727272725</v>
      </c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>
        <v>286.28467060272692</v>
      </c>
      <c r="AS6" s="100">
        <v>6283.9485197298563</v>
      </c>
      <c r="AT6" s="100"/>
      <c r="AU6" s="100"/>
      <c r="AV6" s="100"/>
      <c r="AW6" s="100"/>
      <c r="AX6" s="100"/>
      <c r="AY6" s="100"/>
    </row>
    <row r="7" spans="1:51" ht="37.5" customHeight="1" x14ac:dyDescent="0.3">
      <c r="A7" s="26" t="s">
        <v>304</v>
      </c>
      <c r="B7" s="100" t="s">
        <v>45</v>
      </c>
      <c r="C7" s="100" t="s">
        <v>46</v>
      </c>
      <c r="D7" s="100">
        <v>173.4</v>
      </c>
      <c r="E7" s="27">
        <f t="shared" si="0"/>
        <v>17342.924472839128</v>
      </c>
      <c r="F7" s="100">
        <v>0</v>
      </c>
      <c r="G7" s="100">
        <f>14824.1268019795+273.700161000095</f>
        <v>15097.826962979596</v>
      </c>
      <c r="H7" s="100">
        <v>965.2181899654048</v>
      </c>
      <c r="I7" s="100">
        <v>1036.6443360228448</v>
      </c>
      <c r="J7" s="100"/>
      <c r="K7" s="100"/>
      <c r="L7" s="100">
        <v>0</v>
      </c>
      <c r="M7" s="100">
        <v>243.23498387128203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</row>
    <row r="8" spans="1:51" ht="18.75" customHeight="1" x14ac:dyDescent="0.3">
      <c r="A8" s="26" t="s">
        <v>305</v>
      </c>
      <c r="B8" s="100" t="s">
        <v>48</v>
      </c>
      <c r="C8" s="100" t="s">
        <v>49</v>
      </c>
      <c r="D8" s="100">
        <v>126.6</v>
      </c>
      <c r="E8" s="27">
        <f t="shared" si="0"/>
        <v>12662.135168751076</v>
      </c>
      <c r="F8" s="100">
        <v>0</v>
      </c>
      <c r="G8" s="100">
        <f>10823.1514021373+199.829529311488</f>
        <v>11022.980931448788</v>
      </c>
      <c r="H8" s="100">
        <v>704.70947433460333</v>
      </c>
      <c r="I8" s="100">
        <v>756.85797543536398</v>
      </c>
      <c r="J8" s="100"/>
      <c r="K8" s="100"/>
      <c r="L8" s="100">
        <v>0</v>
      </c>
      <c r="M8" s="100">
        <v>177.58678753232007</v>
      </c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</row>
    <row r="9" spans="1:51" ht="37.5" customHeight="1" x14ac:dyDescent="0.3">
      <c r="A9" s="26" t="s">
        <v>306</v>
      </c>
      <c r="B9" s="100" t="s">
        <v>48</v>
      </c>
      <c r="C9" s="100" t="s">
        <v>50</v>
      </c>
      <c r="D9" s="100">
        <v>71</v>
      </c>
      <c r="E9" s="27">
        <f t="shared" si="0"/>
        <v>7101.1974485096734</v>
      </c>
      <c r="F9" s="100">
        <v>0</v>
      </c>
      <c r="G9" s="100">
        <f>6069.85584164097+112.068693373741</f>
        <v>6181.9245350147103</v>
      </c>
      <c r="H9" s="100">
        <v>395.21621388433527</v>
      </c>
      <c r="I9" s="100">
        <v>424.46221371177609</v>
      </c>
      <c r="J9" s="100"/>
      <c r="K9" s="100"/>
      <c r="L9" s="100">
        <v>0</v>
      </c>
      <c r="M9" s="100">
        <v>99.594485898852497</v>
      </c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</row>
    <row r="10" spans="1:51" ht="37.5" customHeight="1" x14ac:dyDescent="0.3">
      <c r="A10" s="26" t="s">
        <v>307</v>
      </c>
      <c r="B10" s="100" t="s">
        <v>48</v>
      </c>
      <c r="C10" s="100" t="s">
        <v>51</v>
      </c>
      <c r="D10" s="100">
        <v>34.700000000000003</v>
      </c>
      <c r="E10" s="27">
        <f t="shared" si="0"/>
        <v>3470.5852318772536</v>
      </c>
      <c r="F10" s="100">
        <v>0</v>
      </c>
      <c r="G10" s="100">
        <f>2966.53517894283+54.7716008460397</f>
        <v>3021.3067797888698</v>
      </c>
      <c r="H10" s="100">
        <v>193.15496650403429</v>
      </c>
      <c r="I10" s="100">
        <v>207.44843402533283</v>
      </c>
      <c r="J10" s="100"/>
      <c r="K10" s="100"/>
      <c r="L10" s="100">
        <v>0</v>
      </c>
      <c r="M10" s="100">
        <v>48.675051559016644</v>
      </c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</row>
    <row r="11" spans="1:51" ht="37.5" customHeight="1" x14ac:dyDescent="0.3">
      <c r="A11" s="26" t="s">
        <v>308</v>
      </c>
      <c r="B11" s="100" t="s">
        <v>48</v>
      </c>
      <c r="C11" s="100" t="s">
        <v>52</v>
      </c>
      <c r="D11" s="100">
        <v>97</v>
      </c>
      <c r="E11" s="27">
        <f t="shared" si="0"/>
        <v>9701.6359507808211</v>
      </c>
      <c r="F11" s="100">
        <v>0</v>
      </c>
      <c r="G11" s="100">
        <f>8292.61995266442+153.107933200745</f>
        <v>8445.7278858651644</v>
      </c>
      <c r="H11" s="100">
        <v>539.9432781236693</v>
      </c>
      <c r="I11" s="100">
        <v>579.89908070482079</v>
      </c>
      <c r="J11" s="100"/>
      <c r="K11" s="100"/>
      <c r="L11" s="100">
        <v>0</v>
      </c>
      <c r="M11" s="100">
        <v>136.06570608716467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</row>
    <row r="12" spans="1:51" ht="37.5" customHeight="1" x14ac:dyDescent="0.3">
      <c r="A12" s="26" t="s">
        <v>309</v>
      </c>
      <c r="B12" s="100" t="s">
        <v>62</v>
      </c>
      <c r="C12" s="100" t="s">
        <v>63</v>
      </c>
      <c r="D12" s="100">
        <v>1467.1</v>
      </c>
      <c r="E12" s="27">
        <f t="shared" si="0"/>
        <v>3090151.6340127387</v>
      </c>
      <c r="F12" s="100">
        <v>0</v>
      </c>
      <c r="G12" s="100">
        <f>10865+2550000</f>
        <v>2560865</v>
      </c>
      <c r="H12" s="100"/>
      <c r="I12" s="100"/>
      <c r="J12" s="100"/>
      <c r="K12" s="100"/>
      <c r="L12" s="100"/>
      <c r="M12" s="100"/>
      <c r="N12" s="100"/>
      <c r="O12" s="100"/>
      <c r="P12" s="100">
        <v>0</v>
      </c>
      <c r="Q12" s="100">
        <v>25556.603773584906</v>
      </c>
      <c r="R12" s="100">
        <v>0</v>
      </c>
      <c r="S12" s="100">
        <v>6545.454545454545</v>
      </c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>
        <v>0</v>
      </c>
      <c r="AS12" s="100">
        <f>248721.13+248463.445693699</f>
        <v>497184.57569369901</v>
      </c>
      <c r="AT12" s="100"/>
      <c r="AU12" s="100"/>
      <c r="AV12" s="100"/>
      <c r="AW12" s="100"/>
      <c r="AX12" s="100"/>
      <c r="AY12" s="100"/>
    </row>
    <row r="13" spans="1:51" ht="37.5" customHeight="1" x14ac:dyDescent="0.3">
      <c r="A13" s="26" t="s">
        <v>310</v>
      </c>
      <c r="B13" s="100" t="s">
        <v>66</v>
      </c>
      <c r="C13" s="100" t="s">
        <v>67</v>
      </c>
      <c r="D13" s="100">
        <v>561.79999999999995</v>
      </c>
      <c r="E13" s="27">
        <f t="shared" si="0"/>
        <v>808751.88358930836</v>
      </c>
      <c r="F13" s="100">
        <v>0</v>
      </c>
      <c r="G13" s="100">
        <f>4160+637500</f>
        <v>641660</v>
      </c>
      <c r="H13" s="100"/>
      <c r="I13" s="100"/>
      <c r="J13" s="100"/>
      <c r="K13" s="100"/>
      <c r="L13" s="100">
        <v>0</v>
      </c>
      <c r="M13" s="100">
        <v>1179.281286867287</v>
      </c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>
        <v>0</v>
      </c>
      <c r="AS13" s="100">
        <f>70767.9197377077+95144.6825647333</f>
        <v>165912.60230244102</v>
      </c>
      <c r="AT13" s="100"/>
      <c r="AU13" s="100"/>
      <c r="AV13" s="100"/>
      <c r="AW13" s="100"/>
      <c r="AX13" s="100"/>
      <c r="AY13" s="100"/>
    </row>
    <row r="14" spans="1:51" ht="37.5" customHeight="1" x14ac:dyDescent="0.3">
      <c r="A14" s="26" t="s">
        <v>311</v>
      </c>
      <c r="B14" s="22" t="s">
        <v>34</v>
      </c>
      <c r="C14" s="22" t="s">
        <v>87</v>
      </c>
      <c r="D14" s="22">
        <v>52.6</v>
      </c>
      <c r="E14" s="27">
        <f t="shared" si="0"/>
        <v>936.17131174218707</v>
      </c>
      <c r="F14" s="100">
        <v>478.82514966246345</v>
      </c>
      <c r="G14" s="100">
        <v>0</v>
      </c>
      <c r="H14" s="100"/>
      <c r="I14" s="100"/>
      <c r="J14" s="100"/>
      <c r="K14" s="100"/>
      <c r="L14" s="100">
        <v>35.527709799909104</v>
      </c>
      <c r="M14" s="100">
        <v>26.645782349931828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>
        <v>197.58633496494139</v>
      </c>
      <c r="AG14" s="100">
        <v>197.58633496494139</v>
      </c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</row>
    <row r="15" spans="1:51" ht="37.5" customHeight="1" x14ac:dyDescent="0.3">
      <c r="A15" s="26" t="s">
        <v>312</v>
      </c>
      <c r="B15" s="22" t="s">
        <v>34</v>
      </c>
      <c r="C15" s="22" t="s">
        <v>88</v>
      </c>
      <c r="D15" s="22">
        <v>54.9</v>
      </c>
      <c r="E15" s="27">
        <f t="shared" si="0"/>
        <v>146479.52814677978</v>
      </c>
      <c r="F15" s="100">
        <v>499.76237103553694</v>
      </c>
      <c r="G15" s="100">
        <v>0</v>
      </c>
      <c r="H15" s="100">
        <v>0</v>
      </c>
      <c r="I15" s="100">
        <v>68.793268981875869</v>
      </c>
      <c r="J15" s="100"/>
      <c r="K15" s="100"/>
      <c r="L15" s="100">
        <v>37.081202813973569</v>
      </c>
      <c r="M15" s="100">
        <v>27.810902110480175</v>
      </c>
      <c r="N15" s="100"/>
      <c r="O15" s="100"/>
      <c r="P15" s="100"/>
      <c r="Q15" s="100"/>
      <c r="R15" s="100"/>
      <c r="S15" s="100"/>
      <c r="T15" s="100"/>
      <c r="U15" s="100"/>
      <c r="V15" s="100">
        <v>0</v>
      </c>
      <c r="W15" s="100">
        <v>145433.62831858409</v>
      </c>
      <c r="X15" s="100"/>
      <c r="Y15" s="100"/>
      <c r="AB15" s="100"/>
      <c r="AC15" s="100"/>
      <c r="AD15" s="100"/>
      <c r="AE15" s="100"/>
      <c r="AF15" s="100">
        <v>206.22604162690649</v>
      </c>
      <c r="AG15" s="100">
        <v>206.22604162690649</v>
      </c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</row>
    <row r="16" spans="1:51" ht="37.5" customHeight="1" x14ac:dyDescent="0.3">
      <c r="A16" s="26" t="s">
        <v>313</v>
      </c>
      <c r="B16" s="22" t="s">
        <v>94</v>
      </c>
      <c r="C16" s="22" t="s">
        <v>95</v>
      </c>
      <c r="D16" s="22">
        <v>348.4</v>
      </c>
      <c r="E16" s="27">
        <f t="shared" si="0"/>
        <v>207531.61154151248</v>
      </c>
      <c r="F16" s="100"/>
      <c r="G16" s="100"/>
      <c r="H16" s="100">
        <v>0</v>
      </c>
      <c r="I16" s="100">
        <v>436.56784905802459</v>
      </c>
      <c r="J16" s="100"/>
      <c r="K16" s="100"/>
      <c r="L16" s="100">
        <v>235.32042004350438</v>
      </c>
      <c r="M16" s="100">
        <v>176.49031503262827</v>
      </c>
      <c r="N16" s="100"/>
      <c r="O16" s="100"/>
      <c r="P16" s="100"/>
      <c r="Q16" s="100"/>
      <c r="R16" s="100"/>
      <c r="S16" s="100"/>
      <c r="T16" s="100">
        <v>56867.04285780908</v>
      </c>
      <c r="U16" s="100">
        <v>104303.36093830156</v>
      </c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>
        <v>5208.9828632035233</v>
      </c>
      <c r="AG16" s="100">
        <v>5547.7961966696748</v>
      </c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>
        <f>13151.4364461007+11537.6865714074</f>
        <v>24689.1230175081</v>
      </c>
      <c r="AS16" s="100">
        <f>2669.34703719918+7397.5800466872</f>
        <v>10066.927083886379</v>
      </c>
      <c r="AT16" s="100"/>
      <c r="AU16" s="100"/>
      <c r="AV16" s="100"/>
      <c r="AW16" s="100"/>
      <c r="AX16" s="100"/>
      <c r="AY16" s="100"/>
    </row>
    <row r="17" spans="1:51" ht="37.5" customHeight="1" x14ac:dyDescent="0.3">
      <c r="A17" s="26" t="s">
        <v>314</v>
      </c>
      <c r="B17" s="22" t="s">
        <v>101</v>
      </c>
      <c r="C17" s="22" t="s">
        <v>102</v>
      </c>
      <c r="D17" s="22">
        <v>217</v>
      </c>
      <c r="E17" s="27">
        <f t="shared" ref="E17:E36" si="1">SUM(F17:AU17)</f>
        <v>2158.6853953324398</v>
      </c>
      <c r="F17" s="100"/>
      <c r="G17" s="100"/>
      <c r="H17" s="100">
        <v>0</v>
      </c>
      <c r="I17" s="100">
        <v>271.91510690468237</v>
      </c>
      <c r="J17" s="100"/>
      <c r="K17" s="100"/>
      <c r="L17" s="100">
        <v>146.56868871825617</v>
      </c>
      <c r="M17" s="100">
        <v>109.92651653869213</v>
      </c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>
        <v>815.13754158540451</v>
      </c>
      <c r="AG17" s="100">
        <v>815.13754158540451</v>
      </c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</row>
    <row r="18" spans="1:51" ht="37.5" customHeight="1" x14ac:dyDescent="0.3">
      <c r="A18" s="26" t="s">
        <v>315</v>
      </c>
      <c r="B18" s="22" t="s">
        <v>293</v>
      </c>
      <c r="C18" s="22" t="s">
        <v>103</v>
      </c>
      <c r="D18" s="22">
        <v>482.8</v>
      </c>
      <c r="E18" s="27">
        <f t="shared" si="1"/>
        <v>3559040.8831046554</v>
      </c>
      <c r="F18" s="100"/>
      <c r="G18" s="100">
        <v>2589041.4</v>
      </c>
      <c r="H18" s="100"/>
      <c r="I18" s="100">
        <f>4760+29093.54</f>
        <v>33853.54</v>
      </c>
      <c r="J18" s="100"/>
      <c r="K18" s="100">
        <v>894112</v>
      </c>
      <c r="L18" s="100">
        <f>1931/2</f>
        <v>965.5</v>
      </c>
      <c r="M18" s="100">
        <f>1931/2</f>
        <v>965.5</v>
      </c>
      <c r="N18" s="100"/>
      <c r="O18" s="100"/>
      <c r="P18" s="100"/>
      <c r="Q18" s="100"/>
      <c r="R18" s="100">
        <v>0</v>
      </c>
      <c r="S18" s="100">
        <v>3272.7272727272725</v>
      </c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>
        <v>7218.4182731190049</v>
      </c>
      <c r="AG18" s="100">
        <v>7687.9334206432814</v>
      </c>
      <c r="AH18" s="100"/>
      <c r="AI18" s="100"/>
      <c r="AJ18" s="100"/>
      <c r="AK18" s="100">
        <v>0</v>
      </c>
      <c r="AL18" s="100"/>
      <c r="AM18" s="100"/>
      <c r="AN18" s="100"/>
      <c r="AO18" s="100"/>
      <c r="AP18" s="100"/>
      <c r="AQ18" s="100"/>
      <c r="AR18" s="100">
        <v>18224.780471232545</v>
      </c>
      <c r="AS18" s="100">
        <v>3699.0836669338746</v>
      </c>
      <c r="AT18" s="100"/>
      <c r="AU18" s="100"/>
      <c r="AV18" s="100"/>
      <c r="AW18" s="100"/>
      <c r="AX18" s="100"/>
      <c r="AY18" s="100"/>
    </row>
    <row r="19" spans="1:51" ht="37.5" customHeight="1" x14ac:dyDescent="0.3">
      <c r="A19" s="26" t="s">
        <v>316</v>
      </c>
      <c r="B19" s="22" t="s">
        <v>109</v>
      </c>
      <c r="C19" s="22" t="s">
        <v>110</v>
      </c>
      <c r="D19" s="22">
        <v>6896.7</v>
      </c>
      <c r="E19" s="27">
        <f t="shared" si="1"/>
        <v>13391714.386508718</v>
      </c>
      <c r="F19" s="100"/>
      <c r="G19" s="100">
        <f>5178082.08+204790.94</f>
        <v>5382873.0200000005</v>
      </c>
      <c r="H19" s="22"/>
      <c r="I19" s="100">
        <v>83532.38</v>
      </c>
      <c r="J19" s="100"/>
      <c r="K19" s="100"/>
      <c r="L19" s="100">
        <f>27587/2</f>
        <v>13793.5</v>
      </c>
      <c r="M19" s="100">
        <f>27587/2</f>
        <v>13793.5</v>
      </c>
      <c r="N19" s="100">
        <v>0</v>
      </c>
      <c r="O19" s="100">
        <v>5325.8426966292136</v>
      </c>
      <c r="P19" s="100"/>
      <c r="Q19" s="100"/>
      <c r="R19" s="100">
        <v>0</v>
      </c>
      <c r="S19" s="100">
        <v>6545.454545454545</v>
      </c>
      <c r="T19" s="100">
        <v>76952.529032258055</v>
      </c>
      <c r="U19" s="100">
        <v>0</v>
      </c>
      <c r="V19" s="100">
        <v>0</v>
      </c>
      <c r="W19" s="100">
        <v>8814.1592920353978</v>
      </c>
      <c r="X19" s="100"/>
      <c r="Y19" s="100"/>
      <c r="Z19" s="100"/>
      <c r="AA19" s="100"/>
      <c r="AB19" s="100"/>
      <c r="AC19" s="100"/>
      <c r="AD19" s="100">
        <v>0</v>
      </c>
      <c r="AE19" s="100">
        <v>7536.5853658536589</v>
      </c>
      <c r="AF19" s="100">
        <v>1044065</v>
      </c>
      <c r="AG19" s="100">
        <v>1044065</v>
      </c>
      <c r="AH19" s="100"/>
      <c r="AI19" s="100"/>
      <c r="AJ19" s="100"/>
      <c r="AK19" s="100">
        <v>4545786</v>
      </c>
      <c r="AL19" s="100"/>
      <c r="AM19" s="100"/>
      <c r="AN19" s="100"/>
      <c r="AO19" s="100"/>
      <c r="AP19" s="100"/>
      <c r="AQ19" s="100"/>
      <c r="AR19" s="100">
        <f>260337.289718205+228392.545858282</f>
        <v>488729.83557648701</v>
      </c>
      <c r="AS19" s="100">
        <f>417935.18+251966.4</f>
        <v>669901.57999999996</v>
      </c>
      <c r="AT19" s="100"/>
      <c r="AU19" s="100"/>
      <c r="AV19" s="100"/>
      <c r="AW19" s="100"/>
      <c r="AX19" s="100"/>
      <c r="AY19" s="100"/>
    </row>
    <row r="20" spans="1:51" ht="37.5" customHeight="1" x14ac:dyDescent="0.3">
      <c r="A20" s="26" t="s">
        <v>520</v>
      </c>
      <c r="B20" s="22" t="s">
        <v>111</v>
      </c>
      <c r="C20" s="22" t="s">
        <v>112</v>
      </c>
      <c r="D20" s="22">
        <v>38.4</v>
      </c>
      <c r="E20" s="27">
        <f t="shared" si="1"/>
        <v>0</v>
      </c>
      <c r="F20" s="100"/>
      <c r="G20" s="100"/>
      <c r="H20" s="22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</row>
    <row r="21" spans="1:51" ht="37.5" customHeight="1" x14ac:dyDescent="0.3">
      <c r="A21" s="26" t="s">
        <v>523</v>
      </c>
      <c r="B21" s="22" t="s">
        <v>113</v>
      </c>
      <c r="C21" s="22" t="s">
        <v>114</v>
      </c>
      <c r="D21" s="22">
        <v>3455.5</v>
      </c>
      <c r="E21" s="27">
        <f t="shared" si="1"/>
        <v>17476282.200046379</v>
      </c>
      <c r="F21" s="100"/>
      <c r="G21" s="100">
        <f>2589041.04/2</f>
        <v>1294520.52</v>
      </c>
      <c r="H21" s="22">
        <v>0</v>
      </c>
      <c r="I21" s="100">
        <f>8330+64255.68</f>
        <v>72585.679999999993</v>
      </c>
      <c r="J21" s="100">
        <v>0</v>
      </c>
      <c r="K21" s="100">
        <f>(294000+359100+652935)-548535</f>
        <v>757500</v>
      </c>
      <c r="L21" s="100">
        <f>13822/2</f>
        <v>6911</v>
      </c>
      <c r="M21" s="100">
        <f>13822/2</f>
        <v>6911</v>
      </c>
      <c r="N21" s="100">
        <v>0</v>
      </c>
      <c r="O21" s="100">
        <f>396000/2</f>
        <v>198000</v>
      </c>
      <c r="P21" s="100"/>
      <c r="Q21" s="100"/>
      <c r="R21" s="100">
        <v>0</v>
      </c>
      <c r="S21" s="100">
        <v>3272.7272727272725</v>
      </c>
      <c r="T21" s="100">
        <v>76952.529032258055</v>
      </c>
      <c r="U21" s="100">
        <v>0</v>
      </c>
      <c r="V21" s="100"/>
      <c r="W21" s="100"/>
      <c r="X21" s="100"/>
      <c r="Y21" s="100"/>
      <c r="Z21" s="100">
        <v>0</v>
      </c>
      <c r="AA21" s="100">
        <v>1000000</v>
      </c>
      <c r="AB21" s="100"/>
      <c r="AC21" s="100"/>
      <c r="AD21" s="100"/>
      <c r="AE21" s="100"/>
      <c r="AF21" s="100">
        <v>522032</v>
      </c>
      <c r="AG21" s="100">
        <v>522032</v>
      </c>
      <c r="AH21" s="100"/>
      <c r="AI21" s="100"/>
      <c r="AJ21" s="100">
        <f>3777960+499701.6</f>
        <v>4277661.5999999996</v>
      </c>
      <c r="AK21" s="100">
        <f>4396581.6+2125660</f>
        <v>6522241.5999999996</v>
      </c>
      <c r="AL21" s="100"/>
      <c r="AM21" s="100"/>
      <c r="AN21" s="100"/>
      <c r="AO21" s="100"/>
      <c r="AP21" s="100">
        <v>0</v>
      </c>
      <c r="AQ21" s="100">
        <f>200000+490000+490000+490000</f>
        <v>1670000</v>
      </c>
      <c r="AR21" s="100">
        <v>130438.543741392</v>
      </c>
      <c r="AS21" s="100">
        <f>207157+208066</f>
        <v>415223</v>
      </c>
      <c r="AT21" s="100"/>
      <c r="AU21" s="100"/>
      <c r="AV21" s="100"/>
      <c r="AW21" s="100"/>
      <c r="AX21" s="100"/>
      <c r="AY21" s="100"/>
    </row>
    <row r="22" spans="1:51" ht="37.5" customHeight="1" x14ac:dyDescent="0.3">
      <c r="A22" s="26" t="s">
        <v>524</v>
      </c>
      <c r="B22" s="22" t="s">
        <v>115</v>
      </c>
      <c r="C22" s="22" t="s">
        <v>116</v>
      </c>
      <c r="D22" s="22">
        <v>2482.1</v>
      </c>
      <c r="E22" s="27">
        <f t="shared" si="1"/>
        <v>4070382.1986498618</v>
      </c>
      <c r="F22" s="100"/>
      <c r="G22" s="100">
        <f>2589041.04/2</f>
        <v>1294520.52</v>
      </c>
      <c r="H22" s="22">
        <v>0</v>
      </c>
      <c r="I22" s="100">
        <f>8330+64255.68</f>
        <v>72585.679999999993</v>
      </c>
      <c r="J22" s="100">
        <v>0</v>
      </c>
      <c r="K22" s="100">
        <v>548535</v>
      </c>
      <c r="L22" s="100">
        <f>9928/2</f>
        <v>4964</v>
      </c>
      <c r="M22" s="100">
        <f>9928/2</f>
        <v>4964</v>
      </c>
      <c r="N22" s="100">
        <v>0</v>
      </c>
      <c r="O22" s="100">
        <f>396000/2</f>
        <v>198000</v>
      </c>
      <c r="P22" s="100"/>
      <c r="Q22" s="100"/>
      <c r="R22" s="100">
        <v>0</v>
      </c>
      <c r="S22" s="100">
        <v>3272.7272727272725</v>
      </c>
      <c r="T22" s="100">
        <v>76952.529032258055</v>
      </c>
      <c r="U22" s="100">
        <v>0</v>
      </c>
      <c r="V22" s="100">
        <v>0</v>
      </c>
      <c r="W22" s="100">
        <v>66106.194690265489</v>
      </c>
      <c r="X22" s="100"/>
      <c r="Y22" s="100"/>
      <c r="Z22" s="100">
        <v>0</v>
      </c>
      <c r="AA22" s="100">
        <v>247500</v>
      </c>
      <c r="AB22" s="100"/>
      <c r="AC22" s="100"/>
      <c r="AD22" s="100"/>
      <c r="AE22" s="100"/>
      <c r="AF22" s="100">
        <v>522032</v>
      </c>
      <c r="AG22" s="100">
        <v>522032</v>
      </c>
      <c r="AH22" s="100"/>
      <c r="AI22" s="100"/>
      <c r="AJ22" s="100">
        <v>0</v>
      </c>
      <c r="AK22" s="100"/>
      <c r="AL22" s="100"/>
      <c r="AM22" s="100"/>
      <c r="AN22" s="100"/>
      <c r="AO22" s="100"/>
      <c r="AP22" s="100"/>
      <c r="AQ22" s="100"/>
      <c r="AR22" s="100">
        <v>93694.547654611219</v>
      </c>
      <c r="AS22" s="100">
        <f>207157+208066</f>
        <v>415223</v>
      </c>
      <c r="AT22" s="100"/>
      <c r="AU22" s="100"/>
      <c r="AV22" s="100"/>
      <c r="AW22" s="100"/>
      <c r="AX22" s="100"/>
      <c r="AY22" s="100"/>
    </row>
    <row r="23" spans="1:51" ht="37.5" customHeight="1" x14ac:dyDescent="0.3">
      <c r="A23" s="26" t="s">
        <v>525</v>
      </c>
      <c r="B23" s="22" t="s">
        <v>117</v>
      </c>
      <c r="C23" s="22" t="s">
        <v>118</v>
      </c>
      <c r="D23" s="22">
        <v>404.9</v>
      </c>
      <c r="E23" s="27">
        <f t="shared" si="1"/>
        <v>57589.244515489387</v>
      </c>
      <c r="F23" s="100">
        <v>54197.279999999999</v>
      </c>
      <c r="G23" s="100">
        <v>0</v>
      </c>
      <c r="H23" s="22">
        <v>0</v>
      </c>
      <c r="I23" s="100">
        <v>507.36602205394416</v>
      </c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>
        <v>0</v>
      </c>
      <c r="AI23" s="100">
        <v>2884.5984934354437</v>
      </c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</row>
    <row r="24" spans="1:51" ht="37.5" customHeight="1" x14ac:dyDescent="0.3">
      <c r="A24" s="26" t="s">
        <v>526</v>
      </c>
      <c r="B24" s="22" t="s">
        <v>121</v>
      </c>
      <c r="C24" s="22" t="s">
        <v>122</v>
      </c>
      <c r="D24" s="22">
        <v>9.1999999999999993</v>
      </c>
      <c r="E24" s="27">
        <f t="shared" si="1"/>
        <v>91.52030247492371</v>
      </c>
      <c r="F24" s="100"/>
      <c r="G24" s="100"/>
      <c r="H24" s="22">
        <v>0</v>
      </c>
      <c r="I24" s="100">
        <v>11.52819808075151</v>
      </c>
      <c r="J24" s="100"/>
      <c r="K24" s="100"/>
      <c r="L24" s="100">
        <v>6.213972056257866</v>
      </c>
      <c r="M24" s="100">
        <v>4.6604790421933995</v>
      </c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>
        <v>34.558826647860464</v>
      </c>
      <c r="AG24" s="100">
        <v>34.558826647860464</v>
      </c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</row>
    <row r="25" spans="1:51" ht="37.5" customHeight="1" x14ac:dyDescent="0.3">
      <c r="A25" s="26" t="s">
        <v>527</v>
      </c>
      <c r="B25" s="22" t="s">
        <v>123</v>
      </c>
      <c r="C25" s="22" t="s">
        <v>124</v>
      </c>
      <c r="D25" s="22">
        <v>43</v>
      </c>
      <c r="E25" s="27">
        <f t="shared" si="1"/>
        <v>427.75793548062165</v>
      </c>
      <c r="F25" s="100"/>
      <c r="G25" s="100"/>
      <c r="H25" s="22">
        <v>0</v>
      </c>
      <c r="I25" s="100">
        <v>53.88179537742554</v>
      </c>
      <c r="J25" s="100"/>
      <c r="K25" s="100"/>
      <c r="L25" s="100">
        <v>29.04356504555307</v>
      </c>
      <c r="M25" s="100">
        <v>21.782673784164803</v>
      </c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>
        <v>161.52495063673913</v>
      </c>
      <c r="AG25" s="100">
        <v>161.52495063673913</v>
      </c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</row>
    <row r="26" spans="1:51" ht="37.5" customHeight="1" x14ac:dyDescent="0.3">
      <c r="A26" s="26" t="s">
        <v>528</v>
      </c>
      <c r="B26" s="22" t="s">
        <v>123</v>
      </c>
      <c r="C26" s="22" t="s">
        <v>125</v>
      </c>
      <c r="D26" s="22">
        <v>31.6</v>
      </c>
      <c r="E26" s="27">
        <f t="shared" si="1"/>
        <v>314.35234328343364</v>
      </c>
      <c r="F26" s="100"/>
      <c r="G26" s="100"/>
      <c r="H26" s="22">
        <v>0</v>
      </c>
      <c r="I26" s="100">
        <v>39.596854277363889</v>
      </c>
      <c r="J26" s="100"/>
      <c r="K26" s="100"/>
      <c r="L26" s="100">
        <v>21.34364314975528</v>
      </c>
      <c r="M26" s="100">
        <v>16.00773236231646</v>
      </c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>
        <v>118.70205674699901</v>
      </c>
      <c r="AG26" s="100">
        <v>118.70205674699901</v>
      </c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</row>
    <row r="27" spans="1:51" ht="37.5" customHeight="1" x14ac:dyDescent="0.3">
      <c r="A27" s="26" t="s">
        <v>529</v>
      </c>
      <c r="B27" s="22" t="s">
        <v>126</v>
      </c>
      <c r="C27" s="22" t="s">
        <v>127</v>
      </c>
      <c r="D27" s="22">
        <v>147.5</v>
      </c>
      <c r="E27" s="27">
        <f t="shared" si="1"/>
        <v>14416.167007478465</v>
      </c>
      <c r="F27" s="100"/>
      <c r="G27" s="100">
        <v>12948.857810190286</v>
      </c>
      <c r="H27" s="22">
        <v>0</v>
      </c>
      <c r="I27" s="100">
        <v>184.82708879465739</v>
      </c>
      <c r="J27" s="100"/>
      <c r="K27" s="100"/>
      <c r="L27" s="100">
        <v>99.626182423699476</v>
      </c>
      <c r="M27" s="100">
        <v>74.7196368177746</v>
      </c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>
        <v>554.06814462602381</v>
      </c>
      <c r="AG27" s="100">
        <v>554.06814462602381</v>
      </c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</row>
    <row r="28" spans="1:51" ht="56.25" customHeight="1" x14ac:dyDescent="0.3">
      <c r="A28" s="26" t="s">
        <v>530</v>
      </c>
      <c r="B28" s="22" t="s">
        <v>150</v>
      </c>
      <c r="C28" s="22" t="s">
        <v>151</v>
      </c>
      <c r="D28" s="22">
        <v>2615.5</v>
      </c>
      <c r="E28" s="27">
        <f t="shared" si="1"/>
        <v>30194159.740000002</v>
      </c>
      <c r="F28" s="100">
        <f>12945205.2+500000</f>
        <v>13445205.199999999</v>
      </c>
      <c r="G28" s="100">
        <f>1743000+79200+54049.2+94586.1</f>
        <v>1970835.3</v>
      </c>
      <c r="H28" s="100">
        <f>10300+569560</f>
        <v>579860</v>
      </c>
      <c r="I28" s="100">
        <v>30163</v>
      </c>
      <c r="J28" s="100">
        <v>150323.47</v>
      </c>
      <c r="K28" s="100">
        <v>226579</v>
      </c>
      <c r="L28" s="100"/>
      <c r="M28" s="100">
        <f>36538.86+53000+295116.59</f>
        <v>384655.45</v>
      </c>
      <c r="N28" s="100"/>
      <c r="O28" s="100"/>
      <c r="P28" s="100"/>
      <c r="Q28" s="100">
        <v>88000</v>
      </c>
      <c r="R28" s="100">
        <v>0</v>
      </c>
      <c r="S28" s="100"/>
      <c r="T28" s="100">
        <v>430392.75</v>
      </c>
      <c r="U28" s="100">
        <v>1069607.25</v>
      </c>
      <c r="V28" s="100"/>
      <c r="W28" s="100"/>
      <c r="X28" s="100"/>
      <c r="Y28" s="100"/>
      <c r="Z28" s="100">
        <v>153000</v>
      </c>
      <c r="AA28" s="100"/>
      <c r="AB28" s="100"/>
      <c r="AC28" s="100"/>
      <c r="AD28" s="100"/>
      <c r="AE28" s="100"/>
      <c r="AF28" s="100">
        <f>115000+25000</f>
        <v>140000</v>
      </c>
      <c r="AG28" s="100">
        <f>502739.38+25000</f>
        <v>527739.38</v>
      </c>
      <c r="AH28" s="100">
        <v>0</v>
      </c>
      <c r="AI28" s="100">
        <f>20157+7080</f>
        <v>27237</v>
      </c>
      <c r="AJ28" s="100"/>
      <c r="AK28" s="100">
        <v>7298464.2800000003</v>
      </c>
      <c r="AL28" s="100"/>
      <c r="AM28" s="100"/>
      <c r="AN28" s="100"/>
      <c r="AO28" s="100"/>
      <c r="AP28" s="100"/>
      <c r="AQ28" s="100"/>
      <c r="AR28" s="100">
        <f>149834.69+107004</f>
        <v>256838.69</v>
      </c>
      <c r="AS28" s="100">
        <f>3415258.97</f>
        <v>3415258.97</v>
      </c>
      <c r="AT28" s="100"/>
      <c r="AU28" s="100">
        <v>0</v>
      </c>
      <c r="AV28" s="100">
        <v>119000</v>
      </c>
      <c r="AW28" s="100">
        <v>78894</v>
      </c>
      <c r="AX28" s="100">
        <v>190000</v>
      </c>
      <c r="AY28" s="100"/>
    </row>
    <row r="29" spans="1:51" ht="37.5" customHeight="1" x14ac:dyDescent="0.3">
      <c r="A29" s="26" t="s">
        <v>531</v>
      </c>
      <c r="B29" s="100" t="s">
        <v>152</v>
      </c>
      <c r="C29" s="100" t="s">
        <v>153</v>
      </c>
      <c r="D29" s="22">
        <v>22228.9</v>
      </c>
      <c r="E29" s="27">
        <f t="shared" si="1"/>
        <v>31330115.977122445</v>
      </c>
      <c r="F29" s="100">
        <v>15534246.24</v>
      </c>
      <c r="G29" s="100"/>
      <c r="H29" s="100">
        <f>5950+109148.98</f>
        <v>115098.98</v>
      </c>
      <c r="I29" s="100">
        <v>46778.14</v>
      </c>
      <c r="J29" s="100">
        <v>5124440.68</v>
      </c>
      <c r="K29" s="100">
        <f>6024032-J29+290000</f>
        <v>1189591.3200000003</v>
      </c>
      <c r="L29" s="100">
        <v>0</v>
      </c>
      <c r="M29" s="100"/>
      <c r="N29" s="100"/>
      <c r="O29" s="100"/>
      <c r="P29" s="100"/>
      <c r="Q29" s="100"/>
      <c r="R29" s="100">
        <v>0</v>
      </c>
      <c r="S29" s="100">
        <v>32727.272727272728</v>
      </c>
      <c r="T29" s="100"/>
      <c r="U29" s="100"/>
      <c r="V29" s="100">
        <v>0</v>
      </c>
      <c r="W29" s="100">
        <v>354974.56912338495</v>
      </c>
      <c r="X29" s="100">
        <v>0</v>
      </c>
      <c r="Y29" s="100">
        <v>415752.78</v>
      </c>
      <c r="Z29" s="100"/>
      <c r="AA29" s="100"/>
      <c r="AB29" s="100"/>
      <c r="AC29" s="100"/>
      <c r="AD29" s="100">
        <v>0</v>
      </c>
      <c r="AE29" s="100">
        <v>7536.5853658536589</v>
      </c>
      <c r="AF29" s="100">
        <f>3005580+594432</f>
        <v>3600012</v>
      </c>
      <c r="AG29" s="100">
        <f>265127.57+265127.57+594432</f>
        <v>1124687.1400000001</v>
      </c>
      <c r="AH29" s="100">
        <v>0</v>
      </c>
      <c r="AI29" s="100">
        <v>92907.49883575234</v>
      </c>
      <c r="AJ29" s="100">
        <v>0</v>
      </c>
      <c r="AK29" s="100">
        <f>449434.8+461276.4</f>
        <v>910711.2</v>
      </c>
      <c r="AL29" s="100"/>
      <c r="AM29" s="100"/>
      <c r="AN29" s="100"/>
      <c r="AO29" s="100"/>
      <c r="AP29" s="100"/>
      <c r="AQ29" s="100"/>
      <c r="AR29" s="100">
        <v>0</v>
      </c>
      <c r="AS29" s="100">
        <f>11472.6670121583+257315.35+2511863.55405802</f>
        <v>2780651.5710701784</v>
      </c>
      <c r="AT29" s="100"/>
      <c r="AU29" s="100"/>
      <c r="AV29" s="100"/>
      <c r="AW29" s="100"/>
      <c r="AX29" s="100"/>
      <c r="AY29" s="100"/>
    </row>
    <row r="30" spans="1:51" ht="37.5" customHeight="1" x14ac:dyDescent="0.3">
      <c r="A30" s="26" t="s">
        <v>532</v>
      </c>
      <c r="B30" s="100" t="s">
        <v>154</v>
      </c>
      <c r="C30" s="100" t="s">
        <v>155</v>
      </c>
      <c r="D30" s="22">
        <v>481.3</v>
      </c>
      <c r="E30" s="27">
        <f t="shared" si="1"/>
        <v>132341.4</v>
      </c>
      <c r="F30" s="100"/>
      <c r="G30" s="100"/>
      <c r="H30" s="100"/>
      <c r="I30" s="100"/>
      <c r="J30" s="100"/>
      <c r="K30" s="100"/>
      <c r="L30" s="100">
        <v>0</v>
      </c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>
        <v>65457</v>
      </c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>
        <v>66884.399999999994</v>
      </c>
      <c r="AT30" s="100"/>
      <c r="AU30" s="100"/>
      <c r="AV30" s="100"/>
      <c r="AW30" s="100"/>
      <c r="AX30" s="100"/>
      <c r="AY30" s="100"/>
    </row>
    <row r="31" spans="1:51" ht="37.5" customHeight="1" x14ac:dyDescent="0.3">
      <c r="A31" s="26" t="s">
        <v>533</v>
      </c>
      <c r="B31" s="100" t="s">
        <v>156</v>
      </c>
      <c r="C31" s="100" t="s">
        <v>157</v>
      </c>
      <c r="D31" s="22">
        <v>140.9</v>
      </c>
      <c r="E31" s="27">
        <f t="shared" si="1"/>
        <v>19162</v>
      </c>
      <c r="F31" s="100"/>
      <c r="G31" s="100"/>
      <c r="H31" s="100"/>
      <c r="I31" s="100"/>
      <c r="J31" s="100"/>
      <c r="K31" s="100"/>
      <c r="L31" s="100">
        <v>0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>
        <v>19162</v>
      </c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</row>
    <row r="32" spans="1:51" ht="36" x14ac:dyDescent="0.3">
      <c r="A32" s="26" t="s">
        <v>534</v>
      </c>
      <c r="B32" s="100" t="s">
        <v>161</v>
      </c>
      <c r="C32" s="100" t="s">
        <v>162</v>
      </c>
      <c r="D32" s="100">
        <v>489.2</v>
      </c>
      <c r="E32" s="27">
        <f t="shared" si="1"/>
        <v>100174.2</v>
      </c>
      <c r="F32" s="100"/>
      <c r="G32" s="100"/>
      <c r="H32" s="100"/>
      <c r="I32" s="100"/>
      <c r="J32" s="100"/>
      <c r="K32" s="100"/>
      <c r="L32" s="100">
        <v>0</v>
      </c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>
        <v>66531</v>
      </c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>
        <v>33643.199999999997</v>
      </c>
      <c r="AT32" s="100"/>
      <c r="AU32" s="100"/>
      <c r="AV32" s="100"/>
      <c r="AW32" s="100"/>
      <c r="AX32" s="100"/>
      <c r="AY32" s="100"/>
    </row>
    <row r="33" spans="1:51" ht="36" x14ac:dyDescent="0.3">
      <c r="A33" s="26" t="s">
        <v>535</v>
      </c>
      <c r="B33" s="100" t="s">
        <v>163</v>
      </c>
      <c r="C33" s="100" t="s">
        <v>164</v>
      </c>
      <c r="D33" s="100">
        <v>482.4</v>
      </c>
      <c r="E33" s="27">
        <f t="shared" si="1"/>
        <v>98847.2</v>
      </c>
      <c r="F33" s="100"/>
      <c r="G33" s="100"/>
      <c r="H33" s="100"/>
      <c r="I33" s="100"/>
      <c r="J33" s="100"/>
      <c r="K33" s="100"/>
      <c r="L33" s="100">
        <v>0</v>
      </c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>
        <v>65606</v>
      </c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>
        <v>33241.199999999997</v>
      </c>
      <c r="AT33" s="100"/>
      <c r="AU33" s="100"/>
      <c r="AV33" s="100"/>
      <c r="AW33" s="100"/>
      <c r="AX33" s="100"/>
      <c r="AY33" s="100"/>
    </row>
    <row r="34" spans="1:51" ht="36" x14ac:dyDescent="0.3">
      <c r="A34" s="26" t="s">
        <v>536</v>
      </c>
      <c r="B34" s="100" t="s">
        <v>171</v>
      </c>
      <c r="C34" s="100" t="s">
        <v>172</v>
      </c>
      <c r="D34" s="100">
        <v>1759.2</v>
      </c>
      <c r="E34" s="27">
        <f t="shared" si="1"/>
        <v>239251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>
        <v>239251</v>
      </c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</row>
    <row r="35" spans="1:51" ht="36" x14ac:dyDescent="0.3">
      <c r="A35" s="26" t="s">
        <v>537</v>
      </c>
      <c r="B35" s="100" t="s">
        <v>173</v>
      </c>
      <c r="C35" s="100" t="s">
        <v>174</v>
      </c>
      <c r="D35" s="100">
        <v>110.3</v>
      </c>
      <c r="E35" s="27">
        <f t="shared" si="1"/>
        <v>15001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>
        <v>15001</v>
      </c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</row>
    <row r="36" spans="1:51" ht="18.75" customHeight="1" x14ac:dyDescent="0.3">
      <c r="A36" s="26" t="s">
        <v>538</v>
      </c>
      <c r="B36" s="100" t="s">
        <v>177</v>
      </c>
      <c r="C36" s="100" t="s">
        <v>178</v>
      </c>
      <c r="D36" s="100">
        <v>1762.7</v>
      </c>
      <c r="E36" s="27">
        <f t="shared" si="1"/>
        <v>7499994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>
        <v>7499994</v>
      </c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</row>
    <row r="37" spans="1:51" ht="18.75" customHeight="1" x14ac:dyDescent="0.3">
      <c r="A37" s="110"/>
      <c r="B37" s="108" t="s">
        <v>318</v>
      </c>
      <c r="C37" s="106"/>
      <c r="D37" s="27">
        <f>SUM(D4:D36)</f>
        <v>47480.2</v>
      </c>
      <c r="E37" s="111">
        <f>SUM(E4:E36)</f>
        <v>112535910.27932608</v>
      </c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 ht="18.75" customHeight="1" x14ac:dyDescent="0.3">
      <c r="A38" s="110"/>
      <c r="B38" s="108" t="s">
        <v>299</v>
      </c>
      <c r="C38" s="106"/>
      <c r="D38" s="106"/>
      <c r="E38" s="111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 ht="37.5" customHeight="1" x14ac:dyDescent="0.3">
      <c r="A39" s="26" t="s">
        <v>301</v>
      </c>
      <c r="B39" s="106" t="s">
        <v>34</v>
      </c>
      <c r="C39" s="106" t="s">
        <v>35</v>
      </c>
      <c r="D39" s="106">
        <v>17.5</v>
      </c>
      <c r="E39" s="27">
        <f t="shared" ref="E39:E51" si="2">SUM(F39:AU39)</f>
        <v>1107271.06</v>
      </c>
      <c r="F39" s="106"/>
      <c r="G39" s="106">
        <v>1107271.06</v>
      </c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 ht="37.5" customHeight="1" x14ac:dyDescent="0.3">
      <c r="A40" s="26" t="s">
        <v>302</v>
      </c>
      <c r="B40" s="106" t="s">
        <v>21</v>
      </c>
      <c r="C40" s="106" t="s">
        <v>36</v>
      </c>
      <c r="D40" s="106">
        <v>95</v>
      </c>
      <c r="E40" s="27">
        <f t="shared" si="2"/>
        <v>1107271.06</v>
      </c>
      <c r="F40" s="106"/>
      <c r="G40" s="106">
        <v>1107271.06</v>
      </c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 ht="37.5" customHeight="1" x14ac:dyDescent="0.3">
      <c r="A41" s="26" t="s">
        <v>303</v>
      </c>
      <c r="B41" s="106" t="s">
        <v>39</v>
      </c>
      <c r="C41" s="106" t="s">
        <v>40</v>
      </c>
      <c r="D41" s="106">
        <v>101.1</v>
      </c>
      <c r="E41" s="27">
        <f t="shared" si="2"/>
        <v>59496</v>
      </c>
      <c r="F41" s="106"/>
      <c r="G41" s="106"/>
      <c r="H41" s="106"/>
      <c r="I41" s="106">
        <v>59496</v>
      </c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 ht="37.5" customHeight="1" x14ac:dyDescent="0.3">
      <c r="A42" s="26" t="s">
        <v>304</v>
      </c>
      <c r="B42" s="106" t="s">
        <v>45</v>
      </c>
      <c r="C42" s="106" t="s">
        <v>46</v>
      </c>
      <c r="D42" s="106">
        <v>173.4</v>
      </c>
      <c r="E42" s="27">
        <f t="shared" si="2"/>
        <v>0</v>
      </c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 ht="18.75" customHeight="1" x14ac:dyDescent="0.3">
      <c r="A43" s="26" t="s">
        <v>305</v>
      </c>
      <c r="B43" s="106" t="s">
        <v>48</v>
      </c>
      <c r="C43" s="106" t="s">
        <v>49</v>
      </c>
      <c r="D43" s="106">
        <v>126.6</v>
      </c>
      <c r="E43" s="27">
        <f t="shared" si="2"/>
        <v>0</v>
      </c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 ht="37.5" customHeight="1" x14ac:dyDescent="0.3">
      <c r="A44" s="26" t="s">
        <v>306</v>
      </c>
      <c r="B44" s="106" t="s">
        <v>48</v>
      </c>
      <c r="C44" s="106" t="s">
        <v>50</v>
      </c>
      <c r="D44" s="106">
        <v>71</v>
      </c>
      <c r="E44" s="27">
        <f t="shared" si="2"/>
        <v>0</v>
      </c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</row>
    <row r="45" spans="1:51" ht="37.5" customHeight="1" x14ac:dyDescent="0.3">
      <c r="A45" s="26" t="s">
        <v>307</v>
      </c>
      <c r="B45" s="106" t="s">
        <v>48</v>
      </c>
      <c r="C45" s="106" t="s">
        <v>51</v>
      </c>
      <c r="D45" s="106">
        <v>34.700000000000003</v>
      </c>
      <c r="E45" s="27">
        <f t="shared" si="2"/>
        <v>0</v>
      </c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</row>
    <row r="46" spans="1:51" ht="37.5" customHeight="1" x14ac:dyDescent="0.3">
      <c r="A46" s="26" t="s">
        <v>308</v>
      </c>
      <c r="B46" s="106" t="s">
        <v>48</v>
      </c>
      <c r="C46" s="106" t="s">
        <v>52</v>
      </c>
      <c r="D46" s="106">
        <v>97</v>
      </c>
      <c r="E46" s="27">
        <f t="shared" si="2"/>
        <v>0</v>
      </c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</row>
    <row r="47" spans="1:51" ht="37.5" customHeight="1" x14ac:dyDescent="0.3">
      <c r="A47" s="26" t="s">
        <v>309</v>
      </c>
      <c r="B47" s="106" t="s">
        <v>62</v>
      </c>
      <c r="C47" s="106" t="s">
        <v>63</v>
      </c>
      <c r="D47" s="106">
        <v>1467.1</v>
      </c>
      <c r="E47" s="27">
        <f t="shared" si="2"/>
        <v>147080</v>
      </c>
      <c r="F47" s="106"/>
      <c r="G47" s="106">
        <f>147080</f>
        <v>147080</v>
      </c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</row>
    <row r="48" spans="1:51" ht="37.5" customHeight="1" x14ac:dyDescent="0.3">
      <c r="A48" s="26" t="s">
        <v>310</v>
      </c>
      <c r="B48" s="106" t="s">
        <v>66</v>
      </c>
      <c r="C48" s="106" t="s">
        <v>67</v>
      </c>
      <c r="D48" s="106">
        <v>561.79999999999995</v>
      </c>
      <c r="E48" s="27">
        <f t="shared" si="2"/>
        <v>264170</v>
      </c>
      <c r="F48" s="106"/>
      <c r="G48" s="106">
        <v>264170</v>
      </c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</row>
    <row r="49" spans="1:51" ht="37.5" customHeight="1" x14ac:dyDescent="0.3">
      <c r="A49" s="26" t="s">
        <v>311</v>
      </c>
      <c r="B49" s="22" t="s">
        <v>34</v>
      </c>
      <c r="C49" s="22" t="s">
        <v>87</v>
      </c>
      <c r="D49" s="22">
        <v>52.6</v>
      </c>
      <c r="E49" s="27">
        <f t="shared" si="2"/>
        <v>397774.29</v>
      </c>
      <c r="F49" s="106"/>
      <c r="G49" s="106"/>
      <c r="H49" s="106"/>
      <c r="I49" s="106"/>
      <c r="J49" s="106"/>
      <c r="K49" s="106">
        <f>85644.94+25256.79</f>
        <v>110901.73000000001</v>
      </c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>
        <f>93677.23+138900</f>
        <v>232577.22999999998</v>
      </c>
      <c r="X49" s="106"/>
      <c r="Y49" s="106"/>
      <c r="Z49" s="106"/>
      <c r="AA49" s="106"/>
      <c r="AB49" s="106"/>
      <c r="AC49" s="106"/>
      <c r="AD49" s="106"/>
      <c r="AE49" s="106"/>
      <c r="AF49" s="106">
        <f>12582.87/2</f>
        <v>6291.4350000000004</v>
      </c>
      <c r="AG49" s="106">
        <f>12582.87/2</f>
        <v>6291.4350000000004</v>
      </c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>
        <v>41712.46</v>
      </c>
      <c r="AT49" s="106"/>
      <c r="AU49" s="106"/>
      <c r="AV49" s="106"/>
      <c r="AW49" s="106"/>
      <c r="AX49" s="106"/>
      <c r="AY49" s="106"/>
    </row>
    <row r="50" spans="1:51" ht="37.5" customHeight="1" x14ac:dyDescent="0.3">
      <c r="A50" s="26" t="s">
        <v>312</v>
      </c>
      <c r="B50" s="22" t="s">
        <v>34</v>
      </c>
      <c r="C50" s="22" t="s">
        <v>88</v>
      </c>
      <c r="D50" s="22">
        <v>54.9</v>
      </c>
      <c r="E50" s="27">
        <f t="shared" si="2"/>
        <v>287483.05</v>
      </c>
      <c r="F50" s="106"/>
      <c r="G50" s="106"/>
      <c r="H50" s="106"/>
      <c r="I50" s="106"/>
      <c r="J50" s="106"/>
      <c r="K50" s="106">
        <f>78817.46+20286.9</f>
        <v>99104.360000000015</v>
      </c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>
        <v>138900</v>
      </c>
      <c r="X50" s="106"/>
      <c r="Y50" s="106"/>
      <c r="AB50" s="106"/>
      <c r="AC50" s="106"/>
      <c r="AD50" s="106"/>
      <c r="AE50" s="106"/>
      <c r="AF50" s="106">
        <f>12017.35/2</f>
        <v>6008.6750000000002</v>
      </c>
      <c r="AG50" s="106">
        <f>12017.35/2</f>
        <v>6008.6750000000002</v>
      </c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>
        <v>37461.339999999997</v>
      </c>
      <c r="AT50" s="106"/>
      <c r="AU50" s="106"/>
      <c r="AV50" s="106"/>
      <c r="AW50" s="106"/>
      <c r="AX50" s="106"/>
      <c r="AY50" s="106"/>
    </row>
    <row r="51" spans="1:51" ht="37.5" customHeight="1" x14ac:dyDescent="0.3">
      <c r="A51" s="26" t="s">
        <v>313</v>
      </c>
      <c r="B51" s="22" t="s">
        <v>94</v>
      </c>
      <c r="C51" s="22" t="s">
        <v>95</v>
      </c>
      <c r="D51" s="22">
        <v>348.4</v>
      </c>
      <c r="E51" s="27">
        <f t="shared" si="2"/>
        <v>884685.95000000007</v>
      </c>
      <c r="F51" s="106"/>
      <c r="G51" s="106"/>
      <c r="H51" s="106"/>
      <c r="I51" s="106"/>
      <c r="J51" s="106"/>
      <c r="K51" s="106">
        <v>847324.4</v>
      </c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>
        <v>37361.550000000003</v>
      </c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</row>
    <row r="52" spans="1:51" ht="37.5" customHeight="1" x14ac:dyDescent="0.3">
      <c r="A52" s="26" t="s">
        <v>314</v>
      </c>
      <c r="B52" s="22" t="s">
        <v>101</v>
      </c>
      <c r="C52" s="22" t="s">
        <v>102</v>
      </c>
      <c r="D52" s="22">
        <v>217</v>
      </c>
      <c r="E52" s="27">
        <f t="shared" ref="E52:E70" si="3">SUM(F52:AU52)</f>
        <v>126843.6</v>
      </c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>
        <v>126843.6</v>
      </c>
      <c r="AT52" s="106"/>
      <c r="AU52" s="106"/>
      <c r="AV52" s="106"/>
      <c r="AW52" s="106"/>
      <c r="AX52" s="106"/>
      <c r="AY52" s="106"/>
    </row>
    <row r="53" spans="1:51" ht="37.5" customHeight="1" x14ac:dyDescent="0.3">
      <c r="A53" s="26" t="s">
        <v>315</v>
      </c>
      <c r="B53" s="22" t="s">
        <v>293</v>
      </c>
      <c r="C53" s="22" t="s">
        <v>103</v>
      </c>
      <c r="D53" s="22">
        <v>482.8</v>
      </c>
      <c r="E53" s="27">
        <f t="shared" si="3"/>
        <v>3767643.1100000003</v>
      </c>
      <c r="F53" s="106"/>
      <c r="G53" s="106">
        <f>2589041.04+14338.78</f>
        <v>2603379.8199999998</v>
      </c>
      <c r="H53" s="106"/>
      <c r="I53" s="106">
        <v>110305.58</v>
      </c>
      <c r="J53" s="106"/>
      <c r="K53" s="106">
        <v>786708.12</v>
      </c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>
        <f>25370.92+13661.26+138900</f>
        <v>177932.18</v>
      </c>
      <c r="X53" s="106"/>
      <c r="Y53" s="106"/>
      <c r="Z53" s="106"/>
      <c r="AA53" s="106"/>
      <c r="AB53" s="106"/>
      <c r="AC53" s="106"/>
      <c r="AD53" s="106"/>
      <c r="AE53" s="106"/>
      <c r="AF53" s="106">
        <f>51962.61/2</f>
        <v>25981.305</v>
      </c>
      <c r="AG53" s="106">
        <f>51962.61/2</f>
        <v>25981.305</v>
      </c>
      <c r="AH53" s="106"/>
      <c r="AI53" s="106"/>
      <c r="AJ53" s="106"/>
      <c r="AK53" s="106">
        <v>0</v>
      </c>
      <c r="AL53" s="106"/>
      <c r="AM53" s="106"/>
      <c r="AN53" s="106"/>
      <c r="AO53" s="106"/>
      <c r="AP53" s="106"/>
      <c r="AQ53" s="106"/>
      <c r="AR53" s="106"/>
      <c r="AS53" s="106">
        <v>37354.800000000003</v>
      </c>
      <c r="AT53" s="106"/>
      <c r="AU53" s="106"/>
      <c r="AV53" s="106"/>
      <c r="AW53" s="106"/>
      <c r="AX53" s="106"/>
      <c r="AY53" s="106"/>
    </row>
    <row r="54" spans="1:51" ht="37.5" customHeight="1" x14ac:dyDescent="0.3">
      <c r="A54" s="26" t="s">
        <v>316</v>
      </c>
      <c r="B54" s="22" t="s">
        <v>109</v>
      </c>
      <c r="C54" s="22" t="s">
        <v>110</v>
      </c>
      <c r="D54" s="22">
        <v>6896.7</v>
      </c>
      <c r="E54" s="27">
        <f t="shared" si="3"/>
        <v>6837619.8899999997</v>
      </c>
      <c r="F54" s="106"/>
      <c r="G54" s="106">
        <v>5178082.08</v>
      </c>
      <c r="H54" s="22"/>
      <c r="I54" s="106">
        <v>87935.09</v>
      </c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>
        <f>33177.35+138900</f>
        <v>172077.35</v>
      </c>
      <c r="X54" s="106"/>
      <c r="Y54" s="106"/>
      <c r="Z54" s="106"/>
      <c r="AA54" s="106"/>
      <c r="AB54" s="106"/>
      <c r="AC54" s="106"/>
      <c r="AD54" s="106"/>
      <c r="AE54" s="106"/>
      <c r="AF54" s="106">
        <f>729623.82/2</f>
        <v>364811.91</v>
      </c>
      <c r="AG54" s="106">
        <f>729623.82/2</f>
        <v>364811.91</v>
      </c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>
        <f>251966.4+417935.15</f>
        <v>669901.55000000005</v>
      </c>
      <c r="AT54" s="106"/>
      <c r="AU54" s="106"/>
      <c r="AV54" s="106"/>
      <c r="AW54" s="106"/>
      <c r="AX54" s="106"/>
      <c r="AY54" s="106"/>
    </row>
    <row r="55" spans="1:51" ht="37.5" customHeight="1" x14ac:dyDescent="0.3">
      <c r="A55" s="26" t="s">
        <v>520</v>
      </c>
      <c r="B55" s="22" t="s">
        <v>111</v>
      </c>
      <c r="C55" s="22" t="s">
        <v>112</v>
      </c>
      <c r="D55" s="22">
        <v>38.4</v>
      </c>
      <c r="E55" s="27">
        <f t="shared" si="3"/>
        <v>0</v>
      </c>
      <c r="F55" s="106"/>
      <c r="G55" s="106"/>
      <c r="H55" s="22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</row>
    <row r="56" spans="1:51" ht="37.5" customHeight="1" x14ac:dyDescent="0.3">
      <c r="A56" s="26" t="s">
        <v>523</v>
      </c>
      <c r="B56" s="22" t="s">
        <v>113</v>
      </c>
      <c r="C56" s="22" t="s">
        <v>114</v>
      </c>
      <c r="D56" s="22">
        <v>3455.5</v>
      </c>
      <c r="E56" s="27">
        <f t="shared" si="3"/>
        <v>2929558.3450000002</v>
      </c>
      <c r="F56" s="106"/>
      <c r="G56" s="106">
        <f>2589041.04/2+176353.94/2</f>
        <v>1382697.49</v>
      </c>
      <c r="H56" s="22"/>
      <c r="I56" s="106"/>
      <c r="J56" s="106"/>
      <c r="K56" s="106">
        <f>(294000+359100+652935)/2</f>
        <v>653017.5</v>
      </c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>
        <f>(80015.97+138900)/2</f>
        <v>109457.985</v>
      </c>
      <c r="X56" s="106"/>
      <c r="Y56" s="106"/>
      <c r="Z56" s="106"/>
      <c r="AA56" s="106"/>
      <c r="AB56" s="106"/>
      <c r="AC56" s="106"/>
      <c r="AD56" s="106"/>
      <c r="AE56" s="106"/>
      <c r="AF56" s="106">
        <f>371038.83/2</f>
        <v>185519.41500000001</v>
      </c>
      <c r="AG56" s="106">
        <f>371038.83/2</f>
        <v>185519.41500000001</v>
      </c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>
        <f>206190+207156.54</f>
        <v>413346.54000000004</v>
      </c>
      <c r="AT56" s="106"/>
      <c r="AU56" s="106"/>
      <c r="AV56" s="106"/>
      <c r="AW56" s="106"/>
      <c r="AX56" s="106"/>
      <c r="AY56" s="106"/>
    </row>
    <row r="57" spans="1:51" ht="37.5" customHeight="1" x14ac:dyDescent="0.3">
      <c r="A57" s="26" t="s">
        <v>524</v>
      </c>
      <c r="B57" s="22" t="s">
        <v>115</v>
      </c>
      <c r="C57" s="22" t="s">
        <v>116</v>
      </c>
      <c r="D57" s="22">
        <v>2482.1</v>
      </c>
      <c r="E57" s="27">
        <f t="shared" si="3"/>
        <v>2828741.3550000004</v>
      </c>
      <c r="F57" s="106"/>
      <c r="G57" s="106">
        <f>G56</f>
        <v>1382697.49</v>
      </c>
      <c r="H57" s="22"/>
      <c r="I57" s="106"/>
      <c r="J57" s="106"/>
      <c r="K57" s="106">
        <f>K56</f>
        <v>653017.5</v>
      </c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>
        <f>W56</f>
        <v>109457.985</v>
      </c>
      <c r="X57" s="106"/>
      <c r="Y57" s="106"/>
      <c r="Z57" s="106"/>
      <c r="AA57" s="106"/>
      <c r="AB57" s="106"/>
      <c r="AC57" s="106"/>
      <c r="AD57" s="106"/>
      <c r="AE57" s="106"/>
      <c r="AF57" s="106">
        <f>266469.44/2</f>
        <v>133234.72</v>
      </c>
      <c r="AG57" s="106">
        <f>266469.44/2</f>
        <v>133234.72</v>
      </c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>
        <f>209942.4+207156.54</f>
        <v>417098.94</v>
      </c>
      <c r="AT57" s="106"/>
      <c r="AU57" s="106"/>
      <c r="AV57" s="106"/>
      <c r="AW57" s="106"/>
      <c r="AX57" s="106"/>
      <c r="AY57" s="106"/>
    </row>
    <row r="58" spans="1:51" ht="37.5" customHeight="1" x14ac:dyDescent="0.3">
      <c r="A58" s="26" t="s">
        <v>525</v>
      </c>
      <c r="B58" s="22" t="s">
        <v>117</v>
      </c>
      <c r="C58" s="22" t="s">
        <v>118</v>
      </c>
      <c r="D58" s="22">
        <v>404.9</v>
      </c>
      <c r="E58" s="27">
        <f t="shared" si="3"/>
        <v>0</v>
      </c>
      <c r="F58" s="106"/>
      <c r="H58" s="22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</row>
    <row r="59" spans="1:51" ht="37.5" customHeight="1" x14ac:dyDescent="0.3">
      <c r="A59" s="26" t="s">
        <v>526</v>
      </c>
      <c r="B59" s="22" t="s">
        <v>121</v>
      </c>
      <c r="C59" s="22" t="s">
        <v>122</v>
      </c>
      <c r="D59" s="22">
        <v>9.1999999999999993</v>
      </c>
      <c r="E59" s="27">
        <f t="shared" si="3"/>
        <v>0</v>
      </c>
      <c r="F59" s="106"/>
      <c r="G59" s="106"/>
      <c r="H59" s="22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</row>
    <row r="60" spans="1:51" ht="37.5" customHeight="1" x14ac:dyDescent="0.3">
      <c r="A60" s="26" t="s">
        <v>527</v>
      </c>
      <c r="B60" s="22" t="s">
        <v>123</v>
      </c>
      <c r="C60" s="22" t="s">
        <v>124</v>
      </c>
      <c r="D60" s="22">
        <v>43</v>
      </c>
      <c r="E60" s="27">
        <f t="shared" si="3"/>
        <v>0</v>
      </c>
      <c r="F60" s="106"/>
      <c r="G60" s="106"/>
      <c r="H60" s="22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</row>
    <row r="61" spans="1:51" ht="37.5" customHeight="1" x14ac:dyDescent="0.3">
      <c r="A61" s="26" t="s">
        <v>528</v>
      </c>
      <c r="B61" s="22" t="s">
        <v>123</v>
      </c>
      <c r="C61" s="22" t="s">
        <v>125</v>
      </c>
      <c r="D61" s="22">
        <v>31.6</v>
      </c>
      <c r="E61" s="27">
        <f t="shared" si="3"/>
        <v>0</v>
      </c>
      <c r="F61" s="106"/>
      <c r="G61" s="106"/>
      <c r="H61" s="22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</row>
    <row r="62" spans="1:51" ht="37.5" customHeight="1" x14ac:dyDescent="0.3">
      <c r="A62" s="26" t="s">
        <v>529</v>
      </c>
      <c r="B62" s="22" t="s">
        <v>126</v>
      </c>
      <c r="C62" s="22" t="s">
        <v>127</v>
      </c>
      <c r="D62" s="22">
        <v>147.5</v>
      </c>
      <c r="E62" s="27">
        <f t="shared" si="3"/>
        <v>60459.539999999994</v>
      </c>
      <c r="F62" s="106"/>
      <c r="G62" s="106"/>
      <c r="H62" s="22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>
        <v>9758.0499999999993</v>
      </c>
      <c r="X62" s="106"/>
      <c r="Y62" s="106"/>
      <c r="Z62" s="106"/>
      <c r="AA62" s="106"/>
      <c r="AB62" s="106"/>
      <c r="AC62" s="106"/>
      <c r="AD62" s="106"/>
      <c r="AE62" s="106"/>
      <c r="AF62" s="106"/>
      <c r="AG62" s="106">
        <v>29972.69</v>
      </c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>
        <v>20728.8</v>
      </c>
      <c r="AT62" s="106"/>
      <c r="AU62" s="106"/>
      <c r="AV62" s="106"/>
      <c r="AW62" s="106"/>
      <c r="AX62" s="106"/>
      <c r="AY62" s="106"/>
    </row>
    <row r="63" spans="1:51" ht="37.5" customHeight="1" x14ac:dyDescent="0.3">
      <c r="A63" s="26" t="s">
        <v>530</v>
      </c>
      <c r="B63" s="106" t="s">
        <v>152</v>
      </c>
      <c r="C63" s="106" t="s">
        <v>153</v>
      </c>
      <c r="D63" s="22">
        <v>22228.9</v>
      </c>
      <c r="E63" s="27">
        <f t="shared" si="3"/>
        <v>0</v>
      </c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</row>
    <row r="64" spans="1:51" ht="37.5" customHeight="1" x14ac:dyDescent="0.3">
      <c r="A64" s="26" t="s">
        <v>531</v>
      </c>
      <c r="B64" s="106" t="s">
        <v>154</v>
      </c>
      <c r="C64" s="106" t="s">
        <v>155</v>
      </c>
      <c r="D64" s="22">
        <v>481.3</v>
      </c>
      <c r="E64" s="27">
        <f t="shared" si="3"/>
        <v>0</v>
      </c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</row>
    <row r="65" spans="1:51" ht="37.5" customHeight="1" x14ac:dyDescent="0.3">
      <c r="A65" s="26" t="s">
        <v>532</v>
      </c>
      <c r="B65" s="106" t="s">
        <v>156</v>
      </c>
      <c r="C65" s="106" t="s">
        <v>157</v>
      </c>
      <c r="D65" s="22">
        <v>140.9</v>
      </c>
      <c r="E65" s="27">
        <f t="shared" si="3"/>
        <v>0</v>
      </c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</row>
    <row r="66" spans="1:51" ht="36" x14ac:dyDescent="0.3">
      <c r="A66" s="26" t="s">
        <v>533</v>
      </c>
      <c r="B66" s="106" t="s">
        <v>161</v>
      </c>
      <c r="C66" s="106" t="s">
        <v>162</v>
      </c>
      <c r="D66" s="106">
        <v>489.2</v>
      </c>
      <c r="E66" s="27">
        <f t="shared" si="3"/>
        <v>33643.199999999997</v>
      </c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>
        <v>33643.199999999997</v>
      </c>
      <c r="AT66" s="106"/>
      <c r="AU66" s="106"/>
      <c r="AV66" s="106"/>
      <c r="AW66" s="106"/>
      <c r="AX66" s="106"/>
      <c r="AY66" s="106"/>
    </row>
    <row r="67" spans="1:51" ht="36" x14ac:dyDescent="0.3">
      <c r="A67" s="26" t="s">
        <v>534</v>
      </c>
      <c r="B67" s="106" t="s">
        <v>163</v>
      </c>
      <c r="C67" s="106" t="s">
        <v>164</v>
      </c>
      <c r="D67" s="106">
        <v>482.4</v>
      </c>
      <c r="E67" s="27">
        <f t="shared" si="3"/>
        <v>33241.199999999997</v>
      </c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>
        <v>33241.199999999997</v>
      </c>
      <c r="AT67" s="106"/>
      <c r="AU67" s="106"/>
      <c r="AV67" s="106"/>
      <c r="AW67" s="106"/>
      <c r="AX67" s="106"/>
      <c r="AY67" s="106"/>
    </row>
    <row r="68" spans="1:51" ht="36" x14ac:dyDescent="0.3">
      <c r="A68" s="26" t="s">
        <v>535</v>
      </c>
      <c r="B68" s="106" t="s">
        <v>171</v>
      </c>
      <c r="C68" s="106" t="s">
        <v>172</v>
      </c>
      <c r="D68" s="106">
        <v>1759.2</v>
      </c>
      <c r="E68" s="27">
        <f t="shared" si="3"/>
        <v>0</v>
      </c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</row>
    <row r="69" spans="1:51" ht="36" x14ac:dyDescent="0.3">
      <c r="A69" s="26" t="s">
        <v>536</v>
      </c>
      <c r="B69" s="106" t="s">
        <v>173</v>
      </c>
      <c r="C69" s="106" t="s">
        <v>174</v>
      </c>
      <c r="D69" s="106">
        <v>110.3</v>
      </c>
      <c r="E69" s="27">
        <f t="shared" si="3"/>
        <v>0</v>
      </c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</row>
    <row r="70" spans="1:51" ht="18.75" customHeight="1" x14ac:dyDescent="0.3">
      <c r="A70" s="26" t="s">
        <v>537</v>
      </c>
      <c r="B70" s="106" t="s">
        <v>177</v>
      </c>
      <c r="C70" s="106" t="s">
        <v>178</v>
      </c>
      <c r="D70" s="106">
        <v>1762.7</v>
      </c>
      <c r="E70" s="27">
        <f t="shared" si="3"/>
        <v>1294520.52</v>
      </c>
      <c r="F70" s="106"/>
      <c r="G70" s="106">
        <v>1294520.52</v>
      </c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</row>
    <row r="71" spans="1:51" ht="18.75" customHeight="1" x14ac:dyDescent="0.3">
      <c r="A71" s="110"/>
      <c r="B71" s="108" t="s">
        <v>318</v>
      </c>
      <c r="C71" s="106"/>
      <c r="D71" s="27">
        <f>SUM(D39:D70)</f>
        <v>44864.7</v>
      </c>
      <c r="E71" s="111">
        <f>SUM(E39:E70)</f>
        <v>22167502.169999998</v>
      </c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</row>
    <row r="72" spans="1:51" ht="18.75" customHeight="1" x14ac:dyDescent="0.3">
      <c r="A72" s="110"/>
      <c r="B72" s="108"/>
      <c r="C72" s="106"/>
      <c r="D72" s="106"/>
      <c r="E72" s="111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</row>
    <row r="73" spans="1:51" ht="18.75" customHeight="1" x14ac:dyDescent="0.3">
      <c r="A73" s="110"/>
      <c r="B73" s="113"/>
      <c r="C73" s="106"/>
      <c r="D73" s="106"/>
      <c r="E73" s="111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</row>
    <row r="74" spans="1:51" s="33" customFormat="1" ht="22.5" customHeight="1" x14ac:dyDescent="0.3">
      <c r="A74" s="143"/>
      <c r="B74" s="146" t="s">
        <v>179</v>
      </c>
      <c r="C74" s="31" t="s">
        <v>180</v>
      </c>
      <c r="D74" s="149"/>
      <c r="E74" s="150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</row>
    <row r="75" spans="1:51" s="33" customFormat="1" ht="22.5" customHeight="1" x14ac:dyDescent="0.3">
      <c r="A75" s="144"/>
      <c r="B75" s="147"/>
      <c r="C75" s="31" t="s">
        <v>3</v>
      </c>
      <c r="D75" s="149">
        <f>D37</f>
        <v>47480.2</v>
      </c>
      <c r="E75" s="150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</row>
    <row r="76" spans="1:51" s="33" customFormat="1" ht="20.25" customHeight="1" x14ac:dyDescent="0.3">
      <c r="A76" s="145"/>
      <c r="B76" s="148"/>
      <c r="C76" s="32" t="s">
        <v>209</v>
      </c>
      <c r="D76" s="151">
        <f>E37+E71</f>
        <v>134703412.44932607</v>
      </c>
      <c r="E76" s="152"/>
      <c r="F76" s="32">
        <f>SUM(F4:F71)</f>
        <v>29034627.307520695</v>
      </c>
      <c r="G76" s="32">
        <f t="shared" ref="G76:AY76" si="4">SUM(G4:G71)</f>
        <v>30266553.76756024</v>
      </c>
      <c r="H76" s="32">
        <f t="shared" si="4"/>
        <v>698946.21061979362</v>
      </c>
      <c r="I76" s="32">
        <f t="shared" si="4"/>
        <v>603091.8518691872</v>
      </c>
      <c r="J76" s="32">
        <f t="shared" si="4"/>
        <v>5274764.1499999994</v>
      </c>
      <c r="K76" s="32">
        <f t="shared" si="4"/>
        <v>6772476.8518849211</v>
      </c>
      <c r="L76" s="32">
        <f t="shared" si="4"/>
        <v>27244.725384050911</v>
      </c>
      <c r="M76" s="32">
        <f t="shared" si="4"/>
        <v>413931.55744109349</v>
      </c>
      <c r="N76" s="32">
        <f t="shared" si="4"/>
        <v>0</v>
      </c>
      <c r="O76" s="32">
        <f t="shared" si="4"/>
        <v>401325.84269662923</v>
      </c>
      <c r="P76" s="32">
        <f t="shared" si="4"/>
        <v>0</v>
      </c>
      <c r="Q76" s="32">
        <f t="shared" si="4"/>
        <v>113556.60377358491</v>
      </c>
      <c r="R76" s="32">
        <f t="shared" si="4"/>
        <v>0</v>
      </c>
      <c r="S76" s="32">
        <f t="shared" si="4"/>
        <v>62181.818181818177</v>
      </c>
      <c r="T76" s="32">
        <f t="shared" si="4"/>
        <v>718117.37995458324</v>
      </c>
      <c r="U76" s="32">
        <f t="shared" si="4"/>
        <v>1173910.6109383015</v>
      </c>
      <c r="V76" s="32">
        <f t="shared" si="4"/>
        <v>0</v>
      </c>
      <c r="W76" s="32">
        <f t="shared" si="4"/>
        <v>1525489.3314242703</v>
      </c>
      <c r="X76" s="32">
        <f t="shared" si="4"/>
        <v>0</v>
      </c>
      <c r="Y76" s="32">
        <f t="shared" si="4"/>
        <v>415752.78</v>
      </c>
      <c r="Z76" s="32">
        <f t="shared" si="4"/>
        <v>153000</v>
      </c>
      <c r="AA76" s="32">
        <f t="shared" si="4"/>
        <v>1247500</v>
      </c>
      <c r="AB76" s="32">
        <f t="shared" si="4"/>
        <v>0</v>
      </c>
      <c r="AC76" s="32">
        <f t="shared" si="4"/>
        <v>0</v>
      </c>
      <c r="AD76" s="32">
        <f t="shared" si="4"/>
        <v>0</v>
      </c>
      <c r="AE76" s="32">
        <f t="shared" si="4"/>
        <v>15073.170731707318</v>
      </c>
      <c r="AF76" s="32">
        <f t="shared" si="4"/>
        <v>7035511.6650331561</v>
      </c>
      <c r="AG76" s="32">
        <f t="shared" si="4"/>
        <v>4545060.7535141474</v>
      </c>
      <c r="AH76" s="32">
        <f t="shared" si="4"/>
        <v>0</v>
      </c>
      <c r="AI76" s="32">
        <f t="shared" si="4"/>
        <v>123029.09732918779</v>
      </c>
      <c r="AJ76" s="32">
        <f t="shared" si="4"/>
        <v>4277661.5999999996</v>
      </c>
      <c r="AK76" s="32">
        <f t="shared" si="4"/>
        <v>26777197.079999998</v>
      </c>
      <c r="AL76" s="32">
        <f t="shared" si="4"/>
        <v>0</v>
      </c>
      <c r="AM76" s="32">
        <f t="shared" si="4"/>
        <v>0</v>
      </c>
      <c r="AN76" s="32">
        <f t="shared" si="4"/>
        <v>0</v>
      </c>
      <c r="AO76" s="32">
        <f t="shared" si="4"/>
        <v>0</v>
      </c>
      <c r="AP76" s="32">
        <f t="shared" si="4"/>
        <v>0</v>
      </c>
      <c r="AQ76" s="32">
        <f t="shared" si="4"/>
        <v>1670000</v>
      </c>
      <c r="AR76" s="32">
        <f t="shared" si="4"/>
        <v>1012901.8051318335</v>
      </c>
      <c r="AS76" s="32">
        <f t="shared" si="4"/>
        <v>10344506.488336867</v>
      </c>
      <c r="AT76" s="32">
        <f t="shared" si="4"/>
        <v>0</v>
      </c>
      <c r="AU76" s="32">
        <f t="shared" si="4"/>
        <v>0</v>
      </c>
      <c r="AV76" s="32">
        <f t="shared" si="4"/>
        <v>119000</v>
      </c>
      <c r="AW76" s="32">
        <f t="shared" si="4"/>
        <v>78894</v>
      </c>
      <c r="AX76" s="32">
        <f t="shared" si="4"/>
        <v>190000</v>
      </c>
      <c r="AY76" s="32">
        <f t="shared" si="4"/>
        <v>0</v>
      </c>
    </row>
    <row r="78" spans="1:51" ht="37.5" customHeight="1" x14ac:dyDescent="0.3">
      <c r="A78" s="34" t="s">
        <v>181</v>
      </c>
      <c r="B78" s="153" t="s">
        <v>182</v>
      </c>
      <c r="C78" s="153"/>
      <c r="D78" s="153"/>
      <c r="E78" s="105"/>
    </row>
    <row r="79" spans="1:51" ht="37.5" customHeight="1" x14ac:dyDescent="0.3">
      <c r="A79" s="34" t="s">
        <v>183</v>
      </c>
      <c r="B79" s="153" t="s">
        <v>184</v>
      </c>
      <c r="C79" s="153"/>
      <c r="D79" s="153"/>
      <c r="E79" s="105"/>
      <c r="G79" s="36"/>
      <c r="H79" s="36"/>
      <c r="I79" s="36"/>
    </row>
    <row r="84" spans="2:5" ht="25.2" x14ac:dyDescent="0.3">
      <c r="B84" s="23"/>
      <c r="C84" s="23"/>
      <c r="D84" s="23"/>
      <c r="E84" s="23"/>
    </row>
  </sheetData>
  <autoFilter ref="A1:AY76" xr:uid="{00000000-0009-0000-0000-000007000000}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</autoFilter>
  <mergeCells count="35">
    <mergeCell ref="A1:A2"/>
    <mergeCell ref="B1:B2"/>
    <mergeCell ref="C1:C2"/>
    <mergeCell ref="D1:D2"/>
    <mergeCell ref="E1:E2"/>
    <mergeCell ref="AX1:AY1"/>
    <mergeCell ref="A74:A76"/>
    <mergeCell ref="B74:B76"/>
    <mergeCell ref="D74:E74"/>
    <mergeCell ref="D75:E75"/>
    <mergeCell ref="D76:E76"/>
    <mergeCell ref="AF1:AG1"/>
    <mergeCell ref="AH1:AI1"/>
    <mergeCell ref="AJ1:AK1"/>
    <mergeCell ref="AL1:AM1"/>
    <mergeCell ref="AN1:AO1"/>
    <mergeCell ref="AP1:AQ1"/>
    <mergeCell ref="T1:U1"/>
    <mergeCell ref="V1:W1"/>
    <mergeCell ref="X1:Y1"/>
    <mergeCell ref="Z1:AA1"/>
    <mergeCell ref="B78:D78"/>
    <mergeCell ref="B79:D79"/>
    <mergeCell ref="AR1:AS1"/>
    <mergeCell ref="AT1:AU1"/>
    <mergeCell ref="AV1:AW1"/>
    <mergeCell ref="AB1:AC1"/>
    <mergeCell ref="AD1:AE1"/>
    <mergeCell ref="H1:I1"/>
    <mergeCell ref="J1:K1"/>
    <mergeCell ref="L1:M1"/>
    <mergeCell ref="N1:O1"/>
    <mergeCell ref="P1:Q1"/>
    <mergeCell ref="R1:S1"/>
    <mergeCell ref="F1:G1"/>
  </mergeCells>
  <pageMargins left="0.59055118110236227" right="0.39370078740157483" top="0.59055118110236227" bottom="0.59055118110236227" header="0.31496062992125984" footer="0.19685039370078741"/>
  <pageSetup paperSize="9" scale="52" fitToHeight="0" orientation="portrait" r:id="rId1"/>
  <headerFooter>
    <oddFooter>Страница  &amp;P из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Cвод 2020</vt:lpstr>
      <vt:lpstr>Адреса</vt:lpstr>
      <vt:lpstr>Cвод 2021</vt:lpstr>
      <vt:lpstr>Кадры</vt:lpstr>
      <vt:lpstr>балласт</vt:lpstr>
      <vt:lpstr>Общежития</vt:lpstr>
      <vt:lpstr>Учебные корпуса</vt:lpstr>
      <vt:lpstr>иное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Лаптева Дарья Павловна</dc:creator>
  <cp:lastModifiedBy>Nikolay Grinchar</cp:lastModifiedBy>
  <cp:lastPrinted>2022-02-18T10:10:25Z</cp:lastPrinted>
  <dcterms:created xsi:type="dcterms:W3CDTF">2021-07-16T07:40:44Z</dcterms:created>
  <dcterms:modified xsi:type="dcterms:W3CDTF">2022-05-16T09:27:03Z</dcterms:modified>
</cp:coreProperties>
</file>