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-120" yWindow="-120" windowWidth="20730" windowHeight="11160" firstSheet="11" activeTab="22"/>
  </bookViews>
  <sheets>
    <sheet name="Sheet1" sheetId="1" r:id="rId1"/>
    <sheet name="F.logika" sheetId="2" r:id="rId2"/>
    <sheet name="F.countIF" sheetId="3" r:id="rId3"/>
    <sheet name="F.sumif" sheetId="4" r:id="rId4"/>
    <sheet name="F.sumifs" sheetId="5" r:id="rId5"/>
    <sheet name="F.sumifs (2)" sheetId="6" r:id="rId6"/>
    <sheet name="sumproduct" sheetId="7" r:id="rId7"/>
    <sheet name="logicalIF" sheetId="8" r:id="rId8"/>
    <sheet name="concatenate" sheetId="9" r:id="rId9"/>
    <sheet name="Len" sheetId="11" r:id="rId10"/>
    <sheet name="Replace" sheetId="10" r:id="rId11"/>
    <sheet name="V.Hlookup" sheetId="12" r:id="rId12"/>
    <sheet name="V.Hlookup (2)" sheetId="13" r:id="rId13"/>
    <sheet name="V.Hlookup (3)" sheetId="15" r:id="rId14"/>
    <sheet name="V.Hlookup (4)" sheetId="16" r:id="rId15"/>
    <sheet name="if" sheetId="17" r:id="rId16"/>
    <sheet name="if&amp;right" sheetId="18" r:id="rId17"/>
    <sheet name="if&amp;left (2)" sheetId="19" r:id="rId18"/>
    <sheet name="if&amp;mid (3)" sheetId="20" r:id="rId19"/>
    <sheet name="soalIF" sheetId="21" r:id="rId20"/>
    <sheet name="soal Vhlookup" sheetId="22" r:id="rId21"/>
    <sheet name="tugas" sheetId="24" r:id="rId22"/>
    <sheet name="tugas 2" sheetId="25" r:id="rId23"/>
  </sheets>
  <definedNames>
    <definedName name="maskapai">tugas!$C$31:$L$37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5" l="1"/>
  <c r="H6" i="24" l="1"/>
  <c r="J6" i="24"/>
  <c r="H7" i="25"/>
  <c r="N6" i="25"/>
  <c r="N8" i="25"/>
  <c r="N9" i="25"/>
  <c r="N10" i="25"/>
  <c r="N11" i="25"/>
  <c r="N12" i="25"/>
  <c r="N13" i="25"/>
  <c r="N14" i="25"/>
  <c r="N15" i="25"/>
  <c r="N16" i="25"/>
  <c r="M6" i="25"/>
  <c r="M8" i="25"/>
  <c r="M9" i="25"/>
  <c r="M10" i="25"/>
  <c r="M11" i="25"/>
  <c r="M12" i="25"/>
  <c r="M13" i="25"/>
  <c r="M14" i="25"/>
  <c r="M15" i="25"/>
  <c r="M16" i="25"/>
  <c r="M5" i="25"/>
  <c r="N5" i="25" s="1"/>
  <c r="K6" i="25"/>
  <c r="K10" i="25"/>
  <c r="K14" i="25"/>
  <c r="J6" i="25"/>
  <c r="J7" i="25"/>
  <c r="J9" i="25"/>
  <c r="J10" i="25"/>
  <c r="J11" i="25"/>
  <c r="J12" i="25"/>
  <c r="J14" i="25"/>
  <c r="J15" i="25"/>
  <c r="L6" i="25"/>
  <c r="L14" i="25"/>
  <c r="I6" i="25"/>
  <c r="I14" i="25"/>
  <c r="H5" i="25"/>
  <c r="H6" i="25"/>
  <c r="L7" i="25"/>
  <c r="H8" i="25"/>
  <c r="L8" i="25" s="1"/>
  <c r="H9" i="25"/>
  <c r="L9" i="25" s="1"/>
  <c r="H10" i="25"/>
  <c r="L10" i="25" s="1"/>
  <c r="H11" i="25"/>
  <c r="L11" i="25" s="1"/>
  <c r="H12" i="25"/>
  <c r="L12" i="25" s="1"/>
  <c r="H13" i="25"/>
  <c r="L13" i="25" s="1"/>
  <c r="H14" i="25"/>
  <c r="H15" i="25"/>
  <c r="L15" i="25" s="1"/>
  <c r="H16" i="25"/>
  <c r="L16" i="25" s="1"/>
  <c r="E6" i="25"/>
  <c r="E7" i="25"/>
  <c r="E8" i="25"/>
  <c r="E9" i="25"/>
  <c r="E10" i="25"/>
  <c r="E11" i="25"/>
  <c r="E12" i="25"/>
  <c r="E13" i="25"/>
  <c r="E14" i="25"/>
  <c r="E15" i="25"/>
  <c r="E16" i="25"/>
  <c r="E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G6" i="24"/>
  <c r="G7" i="24"/>
  <c r="G8" i="24"/>
  <c r="G9" i="24"/>
  <c r="G10" i="24"/>
  <c r="G11" i="24"/>
  <c r="G12" i="24"/>
  <c r="I10" i="24"/>
  <c r="G5" i="24"/>
  <c r="J4" i="24"/>
  <c r="J3" i="24"/>
  <c r="I4" i="24"/>
  <c r="I6" i="24"/>
  <c r="I7" i="24"/>
  <c r="I11" i="24"/>
  <c r="I12" i="24"/>
  <c r="I3" i="24"/>
  <c r="H4" i="24"/>
  <c r="H7" i="24"/>
  <c r="J7" i="24" s="1"/>
  <c r="H11" i="24"/>
  <c r="J11" i="24" s="1"/>
  <c r="H12" i="24"/>
  <c r="J12" i="24" s="1"/>
  <c r="H3" i="24"/>
  <c r="G4" i="24"/>
  <c r="G3" i="24"/>
  <c r="F4" i="24"/>
  <c r="F5" i="24"/>
  <c r="F6" i="24"/>
  <c r="F7" i="24"/>
  <c r="F8" i="24"/>
  <c r="F9" i="24"/>
  <c r="F10" i="24"/>
  <c r="F11" i="24"/>
  <c r="F12" i="24"/>
  <c r="F3" i="24"/>
  <c r="C30" i="25" l="1"/>
  <c r="C32" i="25"/>
  <c r="C31" i="25"/>
  <c r="I5" i="25"/>
  <c r="L5" i="25"/>
  <c r="J5" i="25"/>
  <c r="J13" i="25"/>
  <c r="K13" i="25"/>
  <c r="K9" i="25"/>
  <c r="J16" i="25"/>
  <c r="J8" i="25"/>
  <c r="K16" i="25"/>
  <c r="K12" i="25"/>
  <c r="K8" i="25"/>
  <c r="I10" i="25"/>
  <c r="K15" i="25"/>
  <c r="K11" i="25"/>
  <c r="K7" i="25"/>
  <c r="I13" i="25"/>
  <c r="I9" i="25"/>
  <c r="I16" i="25"/>
  <c r="I12" i="25"/>
  <c r="I8" i="25"/>
  <c r="I15" i="25"/>
  <c r="I11" i="25"/>
  <c r="I7" i="25"/>
  <c r="M7" i="25" s="1"/>
  <c r="N7" i="25" s="1"/>
  <c r="H9" i="24"/>
  <c r="J9" i="24" s="1"/>
  <c r="I9" i="24"/>
  <c r="H8" i="24"/>
  <c r="I8" i="24"/>
  <c r="J8" i="24" s="1"/>
  <c r="H10" i="24"/>
  <c r="G13" i="24"/>
  <c r="I5" i="24"/>
  <c r="H5" i="24"/>
  <c r="D24" i="24"/>
  <c r="D23" i="24"/>
  <c r="D25" i="24"/>
  <c r="D22" i="24"/>
  <c r="D21" i="24"/>
  <c r="D20" i="24"/>
  <c r="D19" i="24"/>
  <c r="E4" i="24"/>
  <c r="E5" i="24"/>
  <c r="E6" i="24"/>
  <c r="E7" i="24"/>
  <c r="E8" i="24"/>
  <c r="E9" i="24"/>
  <c r="E10" i="24"/>
  <c r="E11" i="24"/>
  <c r="E12" i="24"/>
  <c r="E3" i="24"/>
  <c r="D3" i="24"/>
  <c r="D4" i="24"/>
  <c r="D5" i="24"/>
  <c r="D6" i="24"/>
  <c r="D7" i="24"/>
  <c r="D8" i="24"/>
  <c r="D9" i="24"/>
  <c r="D10" i="24"/>
  <c r="D11" i="24"/>
  <c r="D12" i="24"/>
  <c r="F4" i="22"/>
  <c r="G4" i="22" s="1"/>
  <c r="I4" i="22" s="1"/>
  <c r="F5" i="22"/>
  <c r="G5" i="22" s="1"/>
  <c r="I5" i="22" s="1"/>
  <c r="F6" i="22"/>
  <c r="G6" i="22" s="1"/>
  <c r="I6" i="22" s="1"/>
  <c r="F7" i="22"/>
  <c r="G7" i="22" s="1"/>
  <c r="F8" i="22"/>
  <c r="G8" i="22" s="1"/>
  <c r="I8" i="22" s="1"/>
  <c r="F9" i="22"/>
  <c r="G9" i="22" s="1"/>
  <c r="I9" i="22" s="1"/>
  <c r="F10" i="22"/>
  <c r="G10" i="22" s="1"/>
  <c r="I10" i="22" s="1"/>
  <c r="F11" i="22"/>
  <c r="G11" i="22" s="1"/>
  <c r="I11" i="22" s="1"/>
  <c r="F12" i="22"/>
  <c r="G12" i="22" s="1"/>
  <c r="I12" i="22" s="1"/>
  <c r="F13" i="22"/>
  <c r="G13" i="22" s="1"/>
  <c r="I13" i="22" s="1"/>
  <c r="J13" i="22" s="1"/>
  <c r="E5" i="22"/>
  <c r="E6" i="22"/>
  <c r="E7" i="22"/>
  <c r="E8" i="22"/>
  <c r="E9" i="22"/>
  <c r="E10" i="22"/>
  <c r="E11" i="22"/>
  <c r="E12" i="22"/>
  <c r="E13" i="22"/>
  <c r="E4" i="22"/>
  <c r="D7" i="16"/>
  <c r="F7" i="16"/>
  <c r="D13" i="22"/>
  <c r="H13" i="22" s="1"/>
  <c r="D12" i="22"/>
  <c r="H12" i="22" s="1"/>
  <c r="D11" i="22"/>
  <c r="H11" i="22" s="1"/>
  <c r="D10" i="22"/>
  <c r="H10" i="22" s="1"/>
  <c r="D9" i="22"/>
  <c r="H9" i="22" s="1"/>
  <c r="D8" i="22"/>
  <c r="H8" i="22" s="1"/>
  <c r="D7" i="22"/>
  <c r="H7" i="22" s="1"/>
  <c r="D6" i="22"/>
  <c r="H6" i="22" s="1"/>
  <c r="D5" i="22"/>
  <c r="H5" i="22" s="1"/>
  <c r="D4" i="22"/>
  <c r="H4" i="22" s="1"/>
  <c r="G7" i="21"/>
  <c r="I7" i="21" s="1"/>
  <c r="G11" i="21"/>
  <c r="I11" i="21" s="1"/>
  <c r="F5" i="21"/>
  <c r="G5" i="21" s="1"/>
  <c r="I5" i="21" s="1"/>
  <c r="F6" i="21"/>
  <c r="G6" i="21" s="1"/>
  <c r="I6" i="21" s="1"/>
  <c r="F7" i="21"/>
  <c r="F8" i="21"/>
  <c r="G8" i="21" s="1"/>
  <c r="I8" i="21" s="1"/>
  <c r="F9" i="21"/>
  <c r="G9" i="21" s="1"/>
  <c r="I9" i="21" s="1"/>
  <c r="F10" i="21"/>
  <c r="G10" i="21" s="1"/>
  <c r="I10" i="21" s="1"/>
  <c r="F11" i="21"/>
  <c r="F12" i="21"/>
  <c r="G12" i="21" s="1"/>
  <c r="I12" i="21" s="1"/>
  <c r="F13" i="21"/>
  <c r="G13" i="21" s="1"/>
  <c r="I13" i="21" s="1"/>
  <c r="F4" i="21"/>
  <c r="G4" i="21" s="1"/>
  <c r="I4" i="21" s="1"/>
  <c r="E5" i="21"/>
  <c r="H5" i="21" s="1"/>
  <c r="E6" i="21"/>
  <c r="H6" i="21" s="1"/>
  <c r="E7" i="21"/>
  <c r="H7" i="21" s="1"/>
  <c r="E8" i="21"/>
  <c r="H8" i="21" s="1"/>
  <c r="E9" i="21"/>
  <c r="H9" i="21" s="1"/>
  <c r="E10" i="21"/>
  <c r="H10" i="21" s="1"/>
  <c r="E11" i="21"/>
  <c r="H11" i="21" s="1"/>
  <c r="E12" i="21"/>
  <c r="H12" i="21" s="1"/>
  <c r="E13" i="21"/>
  <c r="H13" i="21" s="1"/>
  <c r="E4" i="21"/>
  <c r="H4" i="21" s="1"/>
  <c r="D5" i="21"/>
  <c r="D6" i="21"/>
  <c r="D7" i="21"/>
  <c r="D8" i="21"/>
  <c r="D9" i="21"/>
  <c r="D10" i="21"/>
  <c r="D11" i="21"/>
  <c r="D12" i="21"/>
  <c r="D13" i="21"/>
  <c r="D4" i="21"/>
  <c r="I13" i="24" l="1"/>
  <c r="H13" i="24"/>
  <c r="J10" i="24"/>
  <c r="J5" i="24"/>
  <c r="J13" i="24" s="1"/>
  <c r="D26" i="24"/>
  <c r="J4" i="21"/>
  <c r="J10" i="21"/>
  <c r="J6" i="21"/>
  <c r="J13" i="21"/>
  <c r="J9" i="21"/>
  <c r="J5" i="21"/>
  <c r="I7" i="22"/>
  <c r="J7" i="22" s="1"/>
  <c r="J12" i="21"/>
  <c r="J8" i="21"/>
  <c r="J11" i="21"/>
  <c r="J10" i="22"/>
  <c r="J6" i="22"/>
  <c r="J7" i="21"/>
  <c r="J9" i="22"/>
  <c r="J5" i="22"/>
  <c r="J4" i="22"/>
  <c r="J12" i="22"/>
  <c r="J8" i="22"/>
  <c r="J11" i="22"/>
  <c r="F4" i="20"/>
  <c r="G4" i="20" s="1"/>
  <c r="H4" i="20" s="1"/>
  <c r="F5" i="20"/>
  <c r="F6" i="20"/>
  <c r="F7" i="20"/>
  <c r="G7" i="20" s="1"/>
  <c r="H7" i="20" s="1"/>
  <c r="F3" i="20"/>
  <c r="E4" i="20"/>
  <c r="E5" i="20"/>
  <c r="E6" i="20"/>
  <c r="E7" i="20"/>
  <c r="E3" i="20"/>
  <c r="G6" i="20"/>
  <c r="H6" i="20" s="1"/>
  <c r="G5" i="20"/>
  <c r="H5" i="20" s="1"/>
  <c r="G3" i="20"/>
  <c r="H3" i="20" s="1"/>
  <c r="F4" i="19"/>
  <c r="G4" i="19" s="1"/>
  <c r="F5" i="19"/>
  <c r="F6" i="19"/>
  <c r="F7" i="19"/>
  <c r="G7" i="19" s="1"/>
  <c r="F3" i="19"/>
  <c r="G3" i="19" s="1"/>
  <c r="E4" i="19"/>
  <c r="E5" i="19"/>
  <c r="E6" i="19"/>
  <c r="E7" i="19"/>
  <c r="E3" i="19"/>
  <c r="G6" i="19"/>
  <c r="G5" i="19"/>
  <c r="F4" i="18"/>
  <c r="G4" i="18" s="1"/>
  <c r="H4" i="18" s="1"/>
  <c r="F5" i="18"/>
  <c r="F6" i="18"/>
  <c r="F7" i="18"/>
  <c r="G7" i="18" s="1"/>
  <c r="H7" i="18" s="1"/>
  <c r="F3" i="18"/>
  <c r="E4" i="18"/>
  <c r="E5" i="18"/>
  <c r="E6" i="18"/>
  <c r="E7" i="18"/>
  <c r="E3" i="18"/>
  <c r="G6" i="18"/>
  <c r="H6" i="18" s="1"/>
  <c r="G5" i="18"/>
  <c r="H5" i="18" s="1"/>
  <c r="G3" i="18"/>
  <c r="H3" i="18" s="1"/>
  <c r="E7" i="17"/>
  <c r="G7" i="17"/>
  <c r="F4" i="17"/>
  <c r="G4" i="17" s="1"/>
  <c r="H4" i="17" s="1"/>
  <c r="I4" i="17" s="1"/>
  <c r="F5" i="17"/>
  <c r="G5" i="17" s="1"/>
  <c r="F6" i="17"/>
  <c r="G6" i="17" s="1"/>
  <c r="F7" i="17"/>
  <c r="F3" i="17"/>
  <c r="G3" i="17" s="1"/>
  <c r="E4" i="17"/>
  <c r="E5" i="17"/>
  <c r="E6" i="17"/>
  <c r="E3" i="17"/>
  <c r="F7" i="13"/>
  <c r="G7" i="13" s="1"/>
  <c r="D7" i="13"/>
  <c r="H8" i="16"/>
  <c r="H9" i="16"/>
  <c r="H11" i="16"/>
  <c r="H7" i="16"/>
  <c r="F8" i="16"/>
  <c r="F9" i="16"/>
  <c r="G9" i="16" s="1"/>
  <c r="I9" i="16" s="1"/>
  <c r="F10" i="16"/>
  <c r="F11" i="16"/>
  <c r="D8" i="16"/>
  <c r="D9" i="16"/>
  <c r="D10" i="16"/>
  <c r="D11" i="16"/>
  <c r="G11" i="16"/>
  <c r="G10" i="16"/>
  <c r="H10" i="16" s="1"/>
  <c r="G8" i="16"/>
  <c r="G7" i="16"/>
  <c r="F8" i="15"/>
  <c r="G8" i="15" s="1"/>
  <c r="F9" i="15"/>
  <c r="F10" i="15"/>
  <c r="G10" i="15" s="1"/>
  <c r="F11" i="15"/>
  <c r="F7" i="15"/>
  <c r="G7" i="15" s="1"/>
  <c r="I7" i="15" s="1"/>
  <c r="D8" i="15"/>
  <c r="D9" i="15"/>
  <c r="D10" i="15"/>
  <c r="D11" i="15"/>
  <c r="D7" i="15"/>
  <c r="H11" i="15"/>
  <c r="G11" i="15"/>
  <c r="I11" i="15" s="1"/>
  <c r="H9" i="15"/>
  <c r="G9" i="15"/>
  <c r="H8" i="15"/>
  <c r="H7" i="15"/>
  <c r="G8" i="17" l="1"/>
  <c r="H3" i="17"/>
  <c r="I3" i="17"/>
  <c r="H6" i="17"/>
  <c r="I6" i="17"/>
  <c r="H5" i="17"/>
  <c r="I5" i="17" s="1"/>
  <c r="I8" i="17" s="1"/>
  <c r="J14" i="22"/>
  <c r="I9" i="15"/>
  <c r="H7" i="17"/>
  <c r="I7" i="17" s="1"/>
  <c r="D10" i="20"/>
  <c r="J14" i="21"/>
  <c r="I4" i="20"/>
  <c r="I6" i="20"/>
  <c r="I3" i="20"/>
  <c r="G8" i="20"/>
  <c r="I7" i="20"/>
  <c r="I5" i="20"/>
  <c r="H3" i="19"/>
  <c r="G8" i="19"/>
  <c r="H4" i="19"/>
  <c r="I4" i="19" s="1"/>
  <c r="H6" i="19"/>
  <c r="I6" i="19" s="1"/>
  <c r="H7" i="19"/>
  <c r="I7" i="19" s="1"/>
  <c r="H5" i="19"/>
  <c r="I5" i="19" s="1"/>
  <c r="H8" i="18"/>
  <c r="G8" i="18"/>
  <c r="I5" i="18"/>
  <c r="I7" i="18"/>
  <c r="I4" i="18"/>
  <c r="I6" i="18"/>
  <c r="I8" i="16"/>
  <c r="I7" i="16"/>
  <c r="I11" i="16"/>
  <c r="I10" i="16"/>
  <c r="I8" i="15"/>
  <c r="H10" i="15"/>
  <c r="I10" i="15" s="1"/>
  <c r="F8" i="13"/>
  <c r="G8" i="13" s="1"/>
  <c r="F9" i="13"/>
  <c r="G9" i="13" s="1"/>
  <c r="F10" i="13"/>
  <c r="G10" i="13" s="1"/>
  <c r="F11" i="13"/>
  <c r="G11" i="13" s="1"/>
  <c r="D8" i="13"/>
  <c r="D9" i="13"/>
  <c r="D10" i="13"/>
  <c r="D11" i="13"/>
  <c r="H11" i="13"/>
  <c r="H9" i="13"/>
  <c r="H8" i="13"/>
  <c r="H7" i="13"/>
  <c r="H8" i="12"/>
  <c r="H9" i="12"/>
  <c r="H11" i="12"/>
  <c r="H7" i="12"/>
  <c r="F8" i="12"/>
  <c r="G8" i="12" s="1"/>
  <c r="I8" i="12" s="1"/>
  <c r="F9" i="12"/>
  <c r="G9" i="12" s="1"/>
  <c r="F10" i="12"/>
  <c r="G10" i="12" s="1"/>
  <c r="F11" i="12"/>
  <c r="G11" i="12" s="1"/>
  <c r="I11" i="12" s="1"/>
  <c r="F7" i="12"/>
  <c r="G7" i="12" s="1"/>
  <c r="I7" i="12" s="1"/>
  <c r="D8" i="12"/>
  <c r="D9" i="12"/>
  <c r="D10" i="12"/>
  <c r="D11" i="12"/>
  <c r="D7" i="12"/>
  <c r="C26" i="11"/>
  <c r="C27" i="11"/>
  <c r="C28" i="11"/>
  <c r="C25" i="11"/>
  <c r="B20" i="11"/>
  <c r="C17" i="11"/>
  <c r="C15" i="11"/>
  <c r="C16" i="11"/>
  <c r="C14" i="11"/>
  <c r="B10" i="11"/>
  <c r="B9" i="11"/>
  <c r="C5" i="11"/>
  <c r="C6" i="11"/>
  <c r="C4" i="11"/>
  <c r="B15" i="10"/>
  <c r="B16" i="10"/>
  <c r="B14" i="10"/>
  <c r="B7" i="10"/>
  <c r="B8" i="10"/>
  <c r="B9" i="10"/>
  <c r="B10" i="10"/>
  <c r="B6" i="10"/>
  <c r="D5" i="9"/>
  <c r="D6" i="9"/>
  <c r="D7" i="9"/>
  <c r="D4" i="9"/>
  <c r="H8" i="17" l="1"/>
  <c r="I9" i="12"/>
  <c r="I8" i="20"/>
  <c r="H8" i="20"/>
  <c r="H8" i="19"/>
  <c r="I3" i="19"/>
  <c r="I8" i="19" s="1"/>
  <c r="I3" i="18"/>
  <c r="I8" i="18" s="1"/>
  <c r="I13" i="16"/>
  <c r="I14" i="16"/>
  <c r="I15" i="16"/>
  <c r="I12" i="16"/>
  <c r="I12" i="15"/>
  <c r="I15" i="15"/>
  <c r="I14" i="15"/>
  <c r="I13" i="15"/>
  <c r="H10" i="12"/>
  <c r="I10" i="12" s="1"/>
  <c r="I7" i="13"/>
  <c r="I8" i="13"/>
  <c r="I11" i="13"/>
  <c r="I9" i="13"/>
  <c r="H10" i="13"/>
  <c r="I10" i="13" s="1"/>
  <c r="D24" i="8"/>
  <c r="D25" i="8"/>
  <c r="D26" i="8"/>
  <c r="C25" i="8"/>
  <c r="E25" i="8" s="1"/>
  <c r="C26" i="8"/>
  <c r="E26" i="8" s="1"/>
  <c r="C24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5" i="8"/>
  <c r="H26" i="8" s="1"/>
  <c r="D33" i="8"/>
  <c r="D34" i="8"/>
  <c r="D35" i="8"/>
  <c r="D32" i="8"/>
  <c r="C33" i="8"/>
  <c r="C34" i="8"/>
  <c r="C32" i="8"/>
  <c r="E20" i="8"/>
  <c r="C13" i="7"/>
  <c r="E7" i="7"/>
  <c r="E8" i="7"/>
  <c r="E9" i="7"/>
  <c r="E10" i="7"/>
  <c r="E11" i="7"/>
  <c r="E6" i="7"/>
  <c r="I15" i="12" l="1"/>
  <c r="I14" i="12"/>
  <c r="D27" i="8"/>
  <c r="E13" i="7"/>
  <c r="C27" i="8"/>
  <c r="I20" i="8"/>
  <c r="H25" i="8"/>
  <c r="G24" i="8"/>
  <c r="H24" i="8"/>
  <c r="E24" i="8"/>
  <c r="E27" i="8" s="1"/>
  <c r="G26" i="8"/>
  <c r="I26" i="8" s="1"/>
  <c r="I13" i="12"/>
  <c r="I12" i="12"/>
  <c r="G25" i="8"/>
  <c r="I15" i="13"/>
  <c r="I12" i="13"/>
  <c r="I13" i="13"/>
  <c r="I14" i="13"/>
  <c r="C16" i="6"/>
  <c r="D16" i="5"/>
  <c r="D15" i="5"/>
  <c r="D14" i="5"/>
  <c r="D13" i="5"/>
  <c r="J9" i="3"/>
  <c r="J10" i="3"/>
  <c r="J11" i="3"/>
  <c r="J12" i="3"/>
  <c r="J13" i="3"/>
  <c r="J8" i="3"/>
  <c r="C16" i="4"/>
  <c r="C15" i="4"/>
  <c r="C14" i="4"/>
  <c r="C13" i="4"/>
  <c r="I9" i="3"/>
  <c r="K9" i="3" s="1"/>
  <c r="I10" i="3"/>
  <c r="I11" i="3"/>
  <c r="K11" i="3" s="1"/>
  <c r="I12" i="3"/>
  <c r="I13" i="3"/>
  <c r="K13" i="3" s="1"/>
  <c r="I8" i="3"/>
  <c r="K8" i="3" s="1"/>
  <c r="B18" i="2"/>
  <c r="B17" i="2"/>
  <c r="B16" i="2"/>
  <c r="B15" i="2"/>
  <c r="B14" i="2"/>
  <c r="D8" i="1"/>
  <c r="D9" i="1"/>
  <c r="D10" i="1"/>
  <c r="D11" i="1"/>
  <c r="D7" i="1"/>
  <c r="H7" i="1"/>
  <c r="I7" i="1"/>
  <c r="J7" i="1"/>
  <c r="H8" i="1"/>
  <c r="I8" i="1"/>
  <c r="J8" i="1"/>
  <c r="H9" i="1"/>
  <c r="I9" i="1"/>
  <c r="J9" i="1"/>
  <c r="H10" i="1"/>
  <c r="I10" i="1"/>
  <c r="J10" i="1"/>
  <c r="G8" i="1"/>
  <c r="G9" i="1"/>
  <c r="G10" i="1"/>
  <c r="G7" i="1"/>
  <c r="K12" i="3" l="1"/>
  <c r="H27" i="8"/>
  <c r="I24" i="8"/>
  <c r="I27" i="8" s="1"/>
  <c r="G27" i="8"/>
  <c r="K10" i="3"/>
  <c r="K14" i="3" s="1"/>
  <c r="I25" i="8"/>
</calcChain>
</file>

<file path=xl/sharedStrings.xml><?xml version="1.0" encoding="utf-8"?>
<sst xmlns="http://schemas.openxmlformats.org/spreadsheetml/2006/main" count="782" uniqueCount="374">
  <si>
    <t>Harga spare Part Coputer</t>
  </si>
  <si>
    <t>Tanggal</t>
  </si>
  <si>
    <t>1$=</t>
  </si>
  <si>
    <t>No</t>
  </si>
  <si>
    <t>Nama Barang</t>
  </si>
  <si>
    <t>Harga Dolar</t>
  </si>
  <si>
    <t>Harga rupiah</t>
  </si>
  <si>
    <t>Monitor</t>
  </si>
  <si>
    <t>Hardisk</t>
  </si>
  <si>
    <t>Mouse</t>
  </si>
  <si>
    <t>Keyboard</t>
  </si>
  <si>
    <t>Speaker</t>
  </si>
  <si>
    <t>Daftar Nilai Matematika</t>
  </si>
  <si>
    <t>Nama</t>
  </si>
  <si>
    <t>Nilai</t>
  </si>
  <si>
    <t>Andi</t>
  </si>
  <si>
    <t>Fina</t>
  </si>
  <si>
    <t>Bimo</t>
  </si>
  <si>
    <t>Bambang</t>
  </si>
  <si>
    <t>Susi</t>
  </si>
  <si>
    <t>Santi</t>
  </si>
  <si>
    <t>Ranti</t>
  </si>
  <si>
    <t>Agus</t>
  </si>
  <si>
    <t>Galuh</t>
  </si>
  <si>
    <t>Total</t>
  </si>
  <si>
    <t>Terkecil</t>
  </si>
  <si>
    <t>Terbesar</t>
  </si>
  <si>
    <t>Rata-rata</t>
  </si>
  <si>
    <t>Jumlah Siswa</t>
  </si>
  <si>
    <t>Rumus</t>
  </si>
  <si>
    <t>sum</t>
  </si>
  <si>
    <t>min</t>
  </si>
  <si>
    <t>max</t>
  </si>
  <si>
    <t>average</t>
  </si>
  <si>
    <t>count</t>
  </si>
  <si>
    <t xml:space="preserve">        </t>
  </si>
  <si>
    <t>PT. Ayo Giat Bekerja</t>
  </si>
  <si>
    <t>Laporan Pembayaran Honor Pekerja Kontrak</t>
  </si>
  <si>
    <t>Proyek pembangunan Mall Seratus Mangga</t>
  </si>
  <si>
    <t>Honor harian</t>
  </si>
  <si>
    <t>Wartono</t>
  </si>
  <si>
    <t>Wartoyo</t>
  </si>
  <si>
    <t>Wartoso</t>
  </si>
  <si>
    <t>Wardono</t>
  </si>
  <si>
    <t>Warkoto</t>
  </si>
  <si>
    <t>Warjono</t>
  </si>
  <si>
    <t>Senin</t>
  </si>
  <si>
    <t>Selasa</t>
  </si>
  <si>
    <t>Rabu</t>
  </si>
  <si>
    <t>Kamis</t>
  </si>
  <si>
    <t>Jumat</t>
  </si>
  <si>
    <t>Sabtu</t>
  </si>
  <si>
    <t>Absensi</t>
  </si>
  <si>
    <t>jml hadir</t>
  </si>
  <si>
    <t>Uang Honor</t>
  </si>
  <si>
    <t>Jumlah Honor</t>
  </si>
  <si>
    <t>x</t>
  </si>
  <si>
    <t>-</t>
  </si>
  <si>
    <t>Total Upah Mingguan</t>
  </si>
  <si>
    <t>Nama Pekerja</t>
  </si>
  <si>
    <t>Toko Komputer "Anti Hank"</t>
  </si>
  <si>
    <t xml:space="preserve">Daftar Penjualan Accessories Komputer </t>
  </si>
  <si>
    <t>Tanggal Jual</t>
  </si>
  <si>
    <t>Jumlah Terjual</t>
  </si>
  <si>
    <t>12-Aug-04</t>
  </si>
  <si>
    <t>Headset</t>
  </si>
  <si>
    <t>14-Aug-05</t>
  </si>
  <si>
    <t>17-Aug-06</t>
  </si>
  <si>
    <t>18-Aug-07</t>
  </si>
  <si>
    <t>21-Aug-08</t>
  </si>
  <si>
    <t>23-Aug-09</t>
  </si>
  <si>
    <t>25-Aug-10</t>
  </si>
  <si>
    <t>29-Aug-11</t>
  </si>
  <si>
    <t>Jumlah terjual untuk jenis Speaker</t>
  </si>
  <si>
    <t>jumlah terjual untuk jenis Mouse</t>
  </si>
  <si>
    <t>Jumlah terjual untuk jenis Headset</t>
  </si>
  <si>
    <t>Jmlah terjual untuk jenis Keyboard</t>
  </si>
  <si>
    <t>Nama Sales</t>
  </si>
  <si>
    <t>Andre</t>
  </si>
  <si>
    <t>Fino</t>
  </si>
  <si>
    <t>Bima</t>
  </si>
  <si>
    <t>Jumlah terjual untuk jenis Speaker, nama salesnya Andre</t>
  </si>
  <si>
    <t>jumlah terjual untuk jenis Mouse, nama salesnya Bima</t>
  </si>
  <si>
    <t>Jumlah terjual untuk jenis Headset, nama salesnya Fino</t>
  </si>
  <si>
    <t>Jmlah terjual untuk jenis Keyboard, nama salesnya Andre</t>
  </si>
  <si>
    <t>DATA 1</t>
  </si>
  <si>
    <t>DATA 2</t>
  </si>
  <si>
    <t>Hasil</t>
  </si>
  <si>
    <t>PT.INDO PERSADA</t>
  </si>
  <si>
    <t>Laporan Pengeluaran Biaya</t>
  </si>
  <si>
    <t>NO</t>
  </si>
  <si>
    <t>TANGGAL</t>
  </si>
  <si>
    <t>NO BON</t>
  </si>
  <si>
    <t>JML.LITER</t>
  </si>
  <si>
    <t>PEMINTA</t>
  </si>
  <si>
    <t>DIVISI</t>
  </si>
  <si>
    <t>JENIS</t>
  </si>
  <si>
    <t>JML.BIAYA</t>
  </si>
  <si>
    <t>NOPOL</t>
  </si>
  <si>
    <t>Junita</t>
  </si>
  <si>
    <t>Cholik</t>
  </si>
  <si>
    <t>Siswanto</t>
  </si>
  <si>
    <t>Miet Indah</t>
  </si>
  <si>
    <t>Niken</t>
  </si>
  <si>
    <t>Marsyah</t>
  </si>
  <si>
    <t>Christina</t>
  </si>
  <si>
    <t>Agustin</t>
  </si>
  <si>
    <t>Ernawati</t>
  </si>
  <si>
    <t>Hendra</t>
  </si>
  <si>
    <t>Susanto</t>
  </si>
  <si>
    <t>Triana</t>
  </si>
  <si>
    <t>Rina</t>
  </si>
  <si>
    <t>Dian</t>
  </si>
  <si>
    <t>Herminus</t>
  </si>
  <si>
    <t>Bisnis</t>
  </si>
  <si>
    <t>Operational</t>
  </si>
  <si>
    <t>IT</t>
  </si>
  <si>
    <t>Premium</t>
  </si>
  <si>
    <t>Solar</t>
  </si>
  <si>
    <t>Divisi</t>
  </si>
  <si>
    <t>Jumlah Liter</t>
  </si>
  <si>
    <t>Pengeluaran</t>
  </si>
  <si>
    <t>Jumlah</t>
  </si>
  <si>
    <t>TOTAL</t>
  </si>
  <si>
    <t>A</t>
  </si>
  <si>
    <t>B</t>
  </si>
  <si>
    <t>C</t>
  </si>
  <si>
    <t>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</si>
  <si>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</si>
  <si>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</si>
  <si>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</si>
  <si>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</si>
  <si>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Nama Depan</t>
  </si>
  <si>
    <t>Nama Belakang</t>
  </si>
  <si>
    <t>Indra</t>
  </si>
  <si>
    <t>Pambudi</t>
  </si>
  <si>
    <t>Rahmanto</t>
  </si>
  <si>
    <t>Muhammad</t>
  </si>
  <si>
    <t>Johan</t>
  </si>
  <si>
    <t>Nirwana</t>
  </si>
  <si>
    <t>Data</t>
  </si>
  <si>
    <t>DJAKARTA</t>
  </si>
  <si>
    <t>DJOHNI</t>
  </si>
  <si>
    <t>DJOHAN</t>
  </si>
  <si>
    <t>DJOGJAKARTA</t>
  </si>
  <si>
    <t>DJAMBI</t>
  </si>
  <si>
    <t>DATA</t>
  </si>
  <si>
    <t>HASIL</t>
  </si>
  <si>
    <t>ABC-091103</t>
  </si>
  <si>
    <t>ABC-091101</t>
  </si>
  <si>
    <t>ABC-091102</t>
  </si>
  <si>
    <t>Menambah</t>
  </si>
  <si>
    <t>mengurangi</t>
  </si>
  <si>
    <t>Jumlah Karakter</t>
  </si>
  <si>
    <t>SAYA SEDANG BELAJAR MICROSOFT EXCEL</t>
  </si>
  <si>
    <t>SIAPA BILANG EXCEL ITU SUSAH?</t>
  </si>
  <si>
    <t>BELAJAR EXCEL ITU TERNYATA MUDAH</t>
  </si>
  <si>
    <t>SUBSTITUTE</t>
  </si>
  <si>
    <t>Laporan PT XYZ</t>
  </si>
  <si>
    <t>Penjualan PT XYZ</t>
  </si>
  <si>
    <t>PT XYZ dan PT ERA</t>
  </si>
  <si>
    <t>Tahun 2008</t>
  </si>
  <si>
    <t xml:space="preserve">      Belajar    Praktis</t>
  </si>
  <si>
    <t>TRIM=menghapus spasi</t>
  </si>
  <si>
    <t xml:space="preserve">     Microsoft Excel</t>
  </si>
  <si>
    <t xml:space="preserve">     Eka Saputri</t>
  </si>
  <si>
    <t xml:space="preserve">    123   232   256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</si>
  <si>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</si>
  <si>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</si>
  <si>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</t>
  </si>
  <si>
    <t>NAMA PESERTA</t>
  </si>
  <si>
    <t>JENIS KAMAR</t>
  </si>
  <si>
    <t>KODE KAMAR</t>
  </si>
  <si>
    <t>LAMA INAP</t>
  </si>
  <si>
    <t>TARIF/MALAM</t>
  </si>
  <si>
    <t>BIAYA INAP</t>
  </si>
  <si>
    <t>DISCOUNT</t>
  </si>
  <si>
    <t>JUMLAH BAYAR</t>
  </si>
  <si>
    <t>Asep Mubarok</t>
  </si>
  <si>
    <t>Budi Santoso</t>
  </si>
  <si>
    <t>Erni</t>
  </si>
  <si>
    <t>Futri</t>
  </si>
  <si>
    <t>Gunawan</t>
  </si>
  <si>
    <t>L</t>
  </si>
  <si>
    <t>V</t>
  </si>
  <si>
    <t>E</t>
  </si>
  <si>
    <t>TOTAL BAYAR</t>
  </si>
  <si>
    <t>RATA-RATA</t>
  </si>
  <si>
    <t>BAYAR TERTINGGI</t>
  </si>
  <si>
    <t>BAYAR TERENDAH</t>
  </si>
  <si>
    <t>Tabel Bantu</t>
  </si>
  <si>
    <t>LUX</t>
  </si>
  <si>
    <t>VIP</t>
  </si>
  <si>
    <t>EKONOMIS</t>
  </si>
  <si>
    <t>Tarif/  Malam</t>
  </si>
  <si>
    <t>BL</t>
  </si>
  <si>
    <t>CV</t>
  </si>
  <si>
    <t>HL</t>
  </si>
  <si>
    <t>RE</t>
  </si>
  <si>
    <t>YV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</si>
  <si>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</si>
  <si>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LB</t>
  </si>
  <si>
    <t>VC</t>
  </si>
  <si>
    <t>LH</t>
  </si>
  <si>
    <t>ER</t>
  </si>
  <si>
    <t>VY</t>
  </si>
  <si>
    <t>1LB</t>
  </si>
  <si>
    <t>1VC</t>
  </si>
  <si>
    <t>3LH</t>
  </si>
  <si>
    <t>2ER</t>
  </si>
  <si>
    <t>1VY</t>
  </si>
  <si>
    <t>NAMA PELANGGAN</t>
  </si>
  <si>
    <t>KODE BARANG</t>
  </si>
  <si>
    <t>JUMLAH BARANG</t>
  </si>
  <si>
    <t>NAMA BARANG</t>
  </si>
  <si>
    <t>HARGA SATUAN</t>
  </si>
  <si>
    <t>TOTAL HARGA</t>
  </si>
  <si>
    <t>Dwi Budiyati</t>
  </si>
  <si>
    <t>Noorochem</t>
  </si>
  <si>
    <t>Hikmatiar</t>
  </si>
  <si>
    <t>M.Yamin</t>
  </si>
  <si>
    <t>Umaedi</t>
  </si>
  <si>
    <t>1B</t>
  </si>
  <si>
    <t>1C</t>
  </si>
  <si>
    <t>3B</t>
  </si>
  <si>
    <t>2A</t>
  </si>
  <si>
    <t>2C</t>
  </si>
  <si>
    <t>B1</t>
  </si>
  <si>
    <t>C1</t>
  </si>
  <si>
    <t>B3</t>
  </si>
  <si>
    <t>A2</t>
  </si>
  <si>
    <t>C2</t>
  </si>
  <si>
    <t>1B1</t>
  </si>
  <si>
    <t>1C1</t>
  </si>
  <si>
    <t>2B3</t>
  </si>
  <si>
    <t>1A2</t>
  </si>
  <si>
    <t>2C2</t>
  </si>
  <si>
    <t>Nama Instruktur</t>
  </si>
  <si>
    <t>Kode Instruktur</t>
  </si>
  <si>
    <t>Status Menikah</t>
  </si>
  <si>
    <t>Gelar</t>
  </si>
  <si>
    <t>Honor</t>
  </si>
  <si>
    <t>Tunjangan</t>
  </si>
  <si>
    <t>Potongan Iuran</t>
  </si>
  <si>
    <t>Honor Bersih</t>
  </si>
  <si>
    <t>Sutik You So'</t>
  </si>
  <si>
    <t>Fauzi Bawu</t>
  </si>
  <si>
    <t>Said Ugly</t>
  </si>
  <si>
    <t>Ramli Abri</t>
  </si>
  <si>
    <t>Tong Sari Wijaya</t>
  </si>
  <si>
    <t>Zainuddin Emjet</t>
  </si>
  <si>
    <t>Wardah Hadzif</t>
  </si>
  <si>
    <t>Promono Aneh</t>
  </si>
  <si>
    <t>Roy BB Nansini</t>
  </si>
  <si>
    <t>Hanzah Hazard</t>
  </si>
  <si>
    <t>Kode</t>
  </si>
  <si>
    <t>Bujang</t>
  </si>
  <si>
    <t>Menikah</t>
  </si>
  <si>
    <t>Komputer</t>
  </si>
  <si>
    <t>Bimbel</t>
  </si>
  <si>
    <t>B.Inggris</t>
  </si>
  <si>
    <t>Kode Gelar</t>
  </si>
  <si>
    <t>Denmas</t>
  </si>
  <si>
    <t>Diploma</t>
  </si>
  <si>
    <t>Sarjana</t>
  </si>
  <si>
    <t>1A1</t>
  </si>
  <si>
    <t>2B0</t>
  </si>
  <si>
    <t>3B0</t>
  </si>
  <si>
    <t>3C1</t>
  </si>
  <si>
    <t>1B0</t>
  </si>
  <si>
    <t>2A1</t>
  </si>
  <si>
    <t>3A1</t>
  </si>
  <si>
    <t>2C0</t>
  </si>
  <si>
    <t xml:space="preserve"> </t>
  </si>
  <si>
    <t>NO TIKET</t>
  </si>
  <si>
    <t>NAMA PENUMPANG</t>
  </si>
  <si>
    <t>MASKAPAI</t>
  </si>
  <si>
    <t>TUJUAN</t>
  </si>
  <si>
    <t>FLIGHT</t>
  </si>
  <si>
    <t>HARGA TIKET</t>
  </si>
  <si>
    <t>DISKON</t>
  </si>
  <si>
    <t>PAJAK 15%</t>
  </si>
  <si>
    <t>HARGA DIBAYAR</t>
  </si>
  <si>
    <t>1A-1</t>
  </si>
  <si>
    <t>3A-3</t>
  </si>
  <si>
    <t>3C-3</t>
  </si>
  <si>
    <t>2D-5</t>
  </si>
  <si>
    <t>4F-3</t>
  </si>
  <si>
    <t>5H-2</t>
  </si>
  <si>
    <t>6G-6</t>
  </si>
  <si>
    <t>5F-5</t>
  </si>
  <si>
    <t>4D-1</t>
  </si>
  <si>
    <t>7A-5</t>
  </si>
  <si>
    <t>Euis</t>
  </si>
  <si>
    <t>Kartika</t>
  </si>
  <si>
    <t>Sutedjo</t>
  </si>
  <si>
    <t>Harjono</t>
  </si>
  <si>
    <t>Meiliana</t>
  </si>
  <si>
    <t>Alfiyah</t>
  </si>
  <si>
    <t>Moch Amin</t>
  </si>
  <si>
    <t>Basuki</t>
  </si>
  <si>
    <t>Sartika</t>
  </si>
  <si>
    <t>Tabel Resume</t>
  </si>
  <si>
    <t>Total Penumpang Maskapai</t>
  </si>
  <si>
    <t>SAA Airlines</t>
  </si>
  <si>
    <t>Link Airlines</t>
  </si>
  <si>
    <t>Awair Airlines</t>
  </si>
  <si>
    <t>Merpati Airlines</t>
  </si>
  <si>
    <t>Japan Airlines</t>
  </si>
  <si>
    <t>Adam Airlines</t>
  </si>
  <si>
    <t>Tabel Pembantu</t>
  </si>
  <si>
    <t>Maskapai</t>
  </si>
  <si>
    <t>D</t>
  </si>
  <si>
    <t>F</t>
  </si>
  <si>
    <t>G</t>
  </si>
  <si>
    <t>H</t>
  </si>
  <si>
    <t>Jambi</t>
  </si>
  <si>
    <t>Semarang</t>
  </si>
  <si>
    <t>Riau</t>
  </si>
  <si>
    <t>Batam</t>
  </si>
  <si>
    <t>Yogya</t>
  </si>
  <si>
    <t>Surabaya</t>
  </si>
  <si>
    <t>Denpasar</t>
  </si>
  <si>
    <t>Biak</t>
  </si>
  <si>
    <t>Diskon</t>
  </si>
  <si>
    <t>Lion Airlines</t>
  </si>
  <si>
    <t>Flight</t>
  </si>
  <si>
    <t>Nama Pegawai</t>
  </si>
  <si>
    <t>Kode Pegawai</t>
  </si>
  <si>
    <t>Tahun Masuk</t>
  </si>
  <si>
    <t>Jabatan</t>
  </si>
  <si>
    <t>Jumlah Anak</t>
  </si>
  <si>
    <t>Gaji Pokok</t>
  </si>
  <si>
    <t>Tunjangan Jabatan</t>
  </si>
  <si>
    <t>Tunjangan Istri</t>
  </si>
  <si>
    <t>Pajak</t>
  </si>
  <si>
    <t>Gaji Bersih</t>
  </si>
  <si>
    <t>Type Rumah</t>
  </si>
  <si>
    <t>Abdullah</t>
  </si>
  <si>
    <t>Syaiful</t>
  </si>
  <si>
    <t>Michael</t>
  </si>
  <si>
    <t>Faisal</t>
  </si>
  <si>
    <t>Robert</t>
  </si>
  <si>
    <t>Toton</t>
  </si>
  <si>
    <t>Didin</t>
  </si>
  <si>
    <t>Bayu</t>
  </si>
  <si>
    <t>Awan</t>
  </si>
  <si>
    <t>Adinda</t>
  </si>
  <si>
    <t>Ananda</t>
  </si>
  <si>
    <t>Rachmat</t>
  </si>
  <si>
    <t>90-A1</t>
  </si>
  <si>
    <t>90-A2</t>
  </si>
  <si>
    <t>91-B1</t>
  </si>
  <si>
    <t>91-B3</t>
  </si>
  <si>
    <t>91-A3</t>
  </si>
  <si>
    <t>92-D3</t>
  </si>
  <si>
    <t>92-D2</t>
  </si>
  <si>
    <t>93-D1</t>
  </si>
  <si>
    <t>90-C2</t>
  </si>
  <si>
    <t>91-C3</t>
  </si>
  <si>
    <t>92-C1</t>
  </si>
  <si>
    <t>Kode Div</t>
  </si>
  <si>
    <t>Engineering 1</t>
  </si>
  <si>
    <t>Engineering 2</t>
  </si>
  <si>
    <t>Produksi</t>
  </si>
  <si>
    <t>Quality Control</t>
  </si>
  <si>
    <t>Kode Jabatan</t>
  </si>
  <si>
    <t>Type 21</t>
  </si>
  <si>
    <t>Type 36</t>
  </si>
  <si>
    <t>Type 45</t>
  </si>
  <si>
    <t>Jumlah Gaji Bersih</t>
  </si>
  <si>
    <t>92-B2</t>
  </si>
  <si>
    <t>Tunjangan Anak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</si>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</sst>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2">
    <xf numFmtId="0" fontId="0" fillId="0" borderId="0" xfId="0"/>
    <xf numFmtId="15" fontId="0" fillId="0" borderId="0" xfId="0" applyNumberFormat="1"/>
    <xf numFmtId="4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2" fontId="0" fillId="2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2" fontId="0" fillId="0" borderId="1" xfId="0" applyNumberFormat="1" applyBorder="1"/>
    <xf numFmtId="42" fontId="0" fillId="0" borderId="4" xfId="0" applyNumberFormat="1" applyBorder="1" applyAlignment="1">
      <alignment horizontal="center"/>
    </xf>
    <xf numFmtId="0" fontId="1" fillId="3" borderId="0" xfId="0" applyFont="1" applyFill="1"/>
    <xf numFmtId="17" fontId="0" fillId="0" borderId="0" xfId="0" applyNumberFormat="1"/>
    <xf numFmtId="15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5" borderId="1" xfId="0" applyFill="1" applyBorder="1"/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0" xfId="0" applyNumberFormat="1"/>
    <xf numFmtId="41" fontId="0" fillId="0" borderId="0" xfId="1" applyFont="1"/>
    <xf numFmtId="41" fontId="0" fillId="5" borderId="1" xfId="1" applyFont="1" applyFill="1" applyBorder="1"/>
    <xf numFmtId="41" fontId="1" fillId="0" borderId="1" xfId="1" applyFont="1" applyBorder="1"/>
    <xf numFmtId="0" fontId="1" fillId="0" borderId="1" xfId="0" applyFont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42" fontId="3" fillId="0" borderId="1" xfId="0" applyNumberFormat="1" applyFont="1" applyBorder="1"/>
    <xf numFmtId="0" fontId="0" fillId="8" borderId="6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1" xfId="0" applyNumberFormat="1" applyBorder="1"/>
    <xf numFmtId="41" fontId="0" fillId="0" borderId="1" xfId="1" applyFont="1" applyBorder="1"/>
    <xf numFmtId="41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/>
    <xf numFmtId="42" fontId="0" fillId="0" borderId="1" xfId="1" applyNumberFormat="1" applyFont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65" fontId="0" fillId="0" borderId="1" xfId="2" applyNumberFormat="1" applyFont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/>
    <xf numFmtId="2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10" fontId="0" fillId="0" borderId="0" xfId="0" applyNumberFormat="1" applyBorder="1"/>
    <xf numFmtId="41" fontId="0" fillId="0" borderId="2" xfId="1" applyFon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0" xfId="0"/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0" sqref="I10"/>
    </sheetView>
  </sheetViews>
  <sheetFormatPr defaultRowHeight="15" x14ac:dyDescent="0.25"/>
  <cols>
    <col min="2" max="2" width="14.140625" customWidth="1"/>
    <col min="3" max="3" width="12" customWidth="1"/>
    <col min="4" max="4" width="12.5703125" customWidth="1"/>
  </cols>
  <sheetData>
    <row r="1" spans="1:10" x14ac:dyDescent="0.25">
      <c r="A1" s="60" t="s">
        <v>0</v>
      </c>
      <c r="B1" s="60"/>
      <c r="C1" s="60"/>
    </row>
    <row r="2" spans="1:10" x14ac:dyDescent="0.25">
      <c r="A2" t="s">
        <v>1</v>
      </c>
      <c r="B2" s="1">
        <v>38150</v>
      </c>
    </row>
    <row r="3" spans="1:10" x14ac:dyDescent="0.25">
      <c r="A3" t="s">
        <v>2</v>
      </c>
      <c r="B3" s="2">
        <v>8500</v>
      </c>
    </row>
    <row r="6" spans="1:10" x14ac:dyDescent="0.25">
      <c r="A6" s="8" t="s">
        <v>3</v>
      </c>
      <c r="B6" s="8" t="s">
        <v>4</v>
      </c>
      <c r="C6" s="8" t="s">
        <v>5</v>
      </c>
      <c r="D6" s="8" t="s">
        <v>6</v>
      </c>
      <c r="F6" s="4">
        <v>1</v>
      </c>
      <c r="G6" s="4">
        <v>2</v>
      </c>
      <c r="H6" s="4">
        <v>3</v>
      </c>
      <c r="I6" s="4">
        <v>4</v>
      </c>
      <c r="J6" s="4">
        <v>5</v>
      </c>
    </row>
    <row r="7" spans="1:10" x14ac:dyDescent="0.25">
      <c r="A7" s="6">
        <v>1</v>
      </c>
      <c r="B7" s="4" t="s">
        <v>7</v>
      </c>
      <c r="C7" s="4">
        <v>56</v>
      </c>
      <c r="D7" s="7">
        <f>C7*$B$3</f>
        <v>476000</v>
      </c>
      <c r="F7" s="4">
        <v>2</v>
      </c>
      <c r="G7" s="9">
        <f>$F7*G$6</f>
        <v>4</v>
      </c>
      <c r="H7" s="9">
        <f>$F7*H$6</f>
        <v>6</v>
      </c>
      <c r="I7" s="9">
        <f>$F7*I$6</f>
        <v>8</v>
      </c>
      <c r="J7" s="9">
        <f>$F7*J$6</f>
        <v>10</v>
      </c>
    </row>
    <row r="8" spans="1:10" x14ac:dyDescent="0.25">
      <c r="A8" s="6">
        <v>2</v>
      </c>
      <c r="B8" s="4" t="s">
        <v>8</v>
      </c>
      <c r="C8" s="4">
        <v>34</v>
      </c>
      <c r="D8" s="7">
        <f>C8*$B$3</f>
        <v>289000</v>
      </c>
      <c r="F8" s="4">
        <v>3</v>
      </c>
      <c r="G8" s="9">
        <f t="shared" ref="G8:J10" si="0">$F8*G$6</f>
        <v>6</v>
      </c>
      <c r="H8" s="9">
        <f t="shared" si="0"/>
        <v>9</v>
      </c>
      <c r="I8" s="9">
        <f t="shared" si="0"/>
        <v>12</v>
      </c>
      <c r="J8" s="9">
        <f t="shared" si="0"/>
        <v>15</v>
      </c>
    </row>
    <row r="9" spans="1:10" x14ac:dyDescent="0.25">
      <c r="A9" s="6">
        <v>3</v>
      </c>
      <c r="B9" s="4" t="s">
        <v>9</v>
      </c>
      <c r="C9" s="4">
        <v>2</v>
      </c>
      <c r="D9" s="7">
        <f>C9*$B$3</f>
        <v>17000</v>
      </c>
      <c r="F9" s="4">
        <v>4</v>
      </c>
      <c r="G9" s="9">
        <f t="shared" si="0"/>
        <v>8</v>
      </c>
      <c r="H9" s="9">
        <f t="shared" si="0"/>
        <v>12</v>
      </c>
      <c r="I9" s="9">
        <f t="shared" si="0"/>
        <v>16</v>
      </c>
      <c r="J9" s="9">
        <f t="shared" si="0"/>
        <v>20</v>
      </c>
    </row>
    <row r="10" spans="1:10" x14ac:dyDescent="0.25">
      <c r="A10" s="6">
        <v>4</v>
      </c>
      <c r="B10" s="4" t="s">
        <v>10</v>
      </c>
      <c r="C10" s="4">
        <v>4</v>
      </c>
      <c r="D10" s="7">
        <f>C10*$B$3</f>
        <v>34000</v>
      </c>
      <c r="F10" s="4">
        <v>5</v>
      </c>
      <c r="G10" s="9">
        <f t="shared" si="0"/>
        <v>10</v>
      </c>
      <c r="H10" s="9">
        <f t="shared" si="0"/>
        <v>15</v>
      </c>
      <c r="I10" s="9">
        <f t="shared" si="0"/>
        <v>20</v>
      </c>
      <c r="J10" s="9">
        <f t="shared" si="0"/>
        <v>25</v>
      </c>
    </row>
    <row r="11" spans="1:10" x14ac:dyDescent="0.25">
      <c r="A11" s="6">
        <v>5</v>
      </c>
      <c r="B11" s="4" t="s">
        <v>11</v>
      </c>
      <c r="C11" s="4">
        <v>5</v>
      </c>
      <c r="D11" s="7">
        <f>C11*$B$3</f>
        <v>42500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zoomScale="140" zoomScaleNormal="140" workbookViewId="0">
      <selection activeCell="F22" sqref="F22"/>
    </sheetView>
  </sheetViews>
  <sheetFormatPr defaultRowHeight="15" x14ac:dyDescent="0.25"/>
  <cols>
    <col min="2" max="2" width="38.42578125" customWidth="1"/>
    <col min="3" max="3" width="19.5703125" customWidth="1"/>
  </cols>
  <sheetData>
    <row r="3" spans="2:3" x14ac:dyDescent="0.25">
      <c r="B3" s="8" t="s">
        <v>140</v>
      </c>
      <c r="C3" s="8" t="s">
        <v>153</v>
      </c>
    </row>
    <row r="4" spans="2:3" x14ac:dyDescent="0.25">
      <c r="B4" s="3" t="s">
        <v>154</v>
      </c>
      <c r="C4" s="5">
        <f>LEN(B4)</f>
        <v>35</v>
      </c>
    </row>
    <row r="5" spans="2:3" x14ac:dyDescent="0.25">
      <c r="B5" s="3" t="s">
        <v>155</v>
      </c>
      <c r="C5" s="5">
        <f>LEN(B5)</f>
        <v>29</v>
      </c>
    </row>
    <row r="6" spans="2:3" x14ac:dyDescent="0.25">
      <c r="B6" s="3" t="s">
        <v>156</v>
      </c>
      <c r="C6" s="5">
        <f>LEN(B6)</f>
        <v>32</v>
      </c>
    </row>
    <row r="8" spans="2:3" x14ac:dyDescent="0.25">
      <c r="B8" s="8" t="s">
        <v>87</v>
      </c>
    </row>
    <row r="9" spans="2:3" x14ac:dyDescent="0.25">
      <c r="B9" s="3">
        <f>LEN("saya belajar microsoft excel")</f>
        <v>28</v>
      </c>
    </row>
    <row r="10" spans="2:3" x14ac:dyDescent="0.25">
      <c r="B10" s="3">
        <f>LEN(3432534)</f>
        <v>7</v>
      </c>
    </row>
    <row r="12" spans="2:3" x14ac:dyDescent="0.25">
      <c r="B12" s="73" t="s">
        <v>157</v>
      </c>
      <c r="C12" s="73"/>
    </row>
    <row r="13" spans="2:3" x14ac:dyDescent="0.25">
      <c r="B13" s="8" t="s">
        <v>140</v>
      </c>
      <c r="C13" s="8" t="s">
        <v>87</v>
      </c>
    </row>
    <row r="14" spans="2:3" x14ac:dyDescent="0.25">
      <c r="B14" s="3" t="s">
        <v>158</v>
      </c>
      <c r="C14" s="3" t="str">
        <f>SUBSTITUTE(B14,"XYZ","ABC")</f>
        <v>Laporan PT ABC</v>
      </c>
    </row>
    <row r="15" spans="2:3" x14ac:dyDescent="0.25">
      <c r="B15" s="3" t="s">
        <v>159</v>
      </c>
      <c r="C15" s="3" t="str">
        <f>SUBSTITUTE(B15,"XYZ","ABC")</f>
        <v>Penjualan PT ABC</v>
      </c>
    </row>
    <row r="16" spans="2:3" x14ac:dyDescent="0.25">
      <c r="B16" s="3" t="s">
        <v>160</v>
      </c>
      <c r="C16" s="3" t="str">
        <f>SUBSTITUTE(B16,"XYZ","ABC")</f>
        <v>PT ABC dan PT ERA</v>
      </c>
    </row>
    <row r="17" spans="2:7" x14ac:dyDescent="0.25">
      <c r="B17" s="3" t="s">
        <v>161</v>
      </c>
      <c r="C17" s="3" t="str">
        <f>SUBSTITUTE(B17,2008,2009)</f>
        <v>Tahun 2009</v>
      </c>
    </row>
    <row r="19" spans="2:7" x14ac:dyDescent="0.25">
      <c r="B19" s="8" t="s">
        <v>87</v>
      </c>
    </row>
    <row r="20" spans="2:7" x14ac:dyDescent="0.25">
      <c r="B20" s="3" t="str">
        <f>SUBSTITUTE("Laporan PT XYZ","XYZ","ABC")</f>
        <v>Laporan PT ABC</v>
      </c>
      <c r="F20" t="s">
        <v>168</v>
      </c>
    </row>
    <row r="22" spans="2:7" x14ac:dyDescent="0.25">
      <c r="F22" t="s">
        <v>169</v>
      </c>
    </row>
    <row r="23" spans="2:7" x14ac:dyDescent="0.25">
      <c r="B23" s="73" t="s">
        <v>163</v>
      </c>
      <c r="C23" s="73"/>
      <c r="E23" t="s">
        <v>167</v>
      </c>
      <c r="G23">
        <v>8</v>
      </c>
    </row>
    <row r="24" spans="2:7" x14ac:dyDescent="0.25">
      <c r="B24" s="8" t="s">
        <v>140</v>
      </c>
      <c r="C24" s="8" t="s">
        <v>87</v>
      </c>
    </row>
    <row r="25" spans="2:7" x14ac:dyDescent="0.25">
      <c r="B25" s="3" t="s">
        <v>162</v>
      </c>
      <c r="C25" s="3" t="str">
        <f>TRIM(B25)</f>
        <v>Belajar Praktis</v>
      </c>
    </row>
    <row r="26" spans="2:7" x14ac:dyDescent="0.25">
      <c r="B26" s="3" t="s">
        <v>164</v>
      </c>
      <c r="C26" s="3" t="str">
        <f>TRIM(B26)</f>
        <v>Microsoft Excel</v>
      </c>
    </row>
    <row r="27" spans="2:7" x14ac:dyDescent="0.25">
      <c r="B27" s="3" t="s">
        <v>165</v>
      </c>
      <c r="C27" s="3" t="str">
        <f>TRIM(B27)</f>
        <v>Eka Saputri</v>
      </c>
    </row>
    <row r="28" spans="2:7" x14ac:dyDescent="0.25">
      <c r="B28" s="3" t="s">
        <v>166</v>
      </c>
      <c r="C28" s="3" t="str">
        <f>TRIM(B28)</f>
        <v>123 232 256</v>
      </c>
    </row>
  </sheetData>
  <mergeCells count="2">
    <mergeCell ref="B12:C12"/>
    <mergeCell ref="B23:C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6"/>
  <sheetViews>
    <sheetView zoomScale="130" zoomScaleNormal="130" workbookViewId="0">
      <selection activeCell="H6" sqref="H6"/>
    </sheetView>
  </sheetViews>
  <sheetFormatPr defaultRowHeight="15" x14ac:dyDescent="0.25"/>
  <cols>
    <col min="1" max="1" width="16.28515625" customWidth="1"/>
    <col min="2" max="2" width="20.140625" customWidth="1"/>
  </cols>
  <sheetData>
    <row r="4" spans="1:2" x14ac:dyDescent="0.25">
      <c r="A4" s="74" t="s">
        <v>152</v>
      </c>
      <c r="B4" s="74"/>
    </row>
    <row r="5" spans="1:2" x14ac:dyDescent="0.25">
      <c r="A5" s="8" t="s">
        <v>140</v>
      </c>
      <c r="B5" s="8" t="s">
        <v>87</v>
      </c>
    </row>
    <row r="6" spans="1:2" x14ac:dyDescent="0.25">
      <c r="A6" s="3" t="s">
        <v>141</v>
      </c>
      <c r="B6" s="3" t="str">
        <f>REPLACE(A6,1,1,"")</f>
        <v>JAKARTA</v>
      </c>
    </row>
    <row r="7" spans="1:2" x14ac:dyDescent="0.25">
      <c r="A7" s="3" t="s">
        <v>142</v>
      </c>
      <c r="B7" s="3" t="str">
        <f>REPLACE(A7,1,1,"")</f>
        <v>JOHNI</v>
      </c>
    </row>
    <row r="8" spans="1:2" x14ac:dyDescent="0.25">
      <c r="A8" s="3" t="s">
        <v>143</v>
      </c>
      <c r="B8" s="3" t="str">
        <f>REPLACE(A8,1,1,"")</f>
        <v>JOHAN</v>
      </c>
    </row>
    <row r="9" spans="1:2" x14ac:dyDescent="0.25">
      <c r="A9" s="3" t="s">
        <v>144</v>
      </c>
      <c r="B9" s="3" t="str">
        <f>REPLACE(A9,1,1,"")</f>
        <v>JOGJAKARTA</v>
      </c>
    </row>
    <row r="10" spans="1:2" x14ac:dyDescent="0.25">
      <c r="A10" s="3" t="s">
        <v>145</v>
      </c>
      <c r="B10" s="3" t="str">
        <f>REPLACE(A10,1,1,"")</f>
        <v>JAMBI</v>
      </c>
    </row>
    <row r="12" spans="1:2" x14ac:dyDescent="0.25">
      <c r="A12" s="74" t="s">
        <v>151</v>
      </c>
      <c r="B12" s="74"/>
    </row>
    <row r="13" spans="1:2" x14ac:dyDescent="0.25">
      <c r="A13" s="8" t="s">
        <v>146</v>
      </c>
      <c r="B13" s="8" t="s">
        <v>147</v>
      </c>
    </row>
    <row r="14" spans="1:2" x14ac:dyDescent="0.25">
      <c r="A14" s="3" t="s">
        <v>149</v>
      </c>
      <c r="B14" s="3" t="str">
        <f>REPLACE(A14,1,4,"ABC-20")</f>
        <v>ABC-20091101</v>
      </c>
    </row>
    <row r="15" spans="1:2" x14ac:dyDescent="0.25">
      <c r="A15" s="3" t="s">
        <v>150</v>
      </c>
      <c r="B15" s="3" t="str">
        <f>REPLACE(A15,1,4,"ABC-20")</f>
        <v>ABC-20091102</v>
      </c>
    </row>
    <row r="16" spans="1:2" x14ac:dyDescent="0.25">
      <c r="A16" s="3" t="s">
        <v>148</v>
      </c>
      <c r="B16" s="3" t="str">
        <f>REPLACE(A16,1,4,"ABC-20")</f>
        <v>ABC-20091103</v>
      </c>
    </row>
  </sheetData>
  <mergeCells count="2">
    <mergeCell ref="A12:B12"/>
    <mergeCell ref="A4:B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22"/>
  <sheetViews>
    <sheetView topLeftCell="A4" zoomScale="130" zoomScaleNormal="130" workbookViewId="0">
      <selection activeCell="E7" sqref="E7"/>
    </sheetView>
  </sheetViews>
  <sheetFormatPr defaultRowHeight="15" x14ac:dyDescent="0.25"/>
  <cols>
    <col min="2" max="2" width="17.140625" customWidth="1"/>
    <col min="3" max="3" width="10.28515625" customWidth="1"/>
    <col min="4" max="4" width="11" customWidth="1"/>
    <col min="5" max="5" width="8.7109375" customWidth="1"/>
    <col min="6" max="6" width="14.85546875" customWidth="1"/>
    <col min="7" max="7" width="14.42578125" customWidth="1"/>
    <col min="8" max="8" width="13.28515625" customWidth="1"/>
    <col min="9" max="9" width="14.5703125" bestFit="1" customWidth="1"/>
  </cols>
  <sheetData>
    <row r="6" spans="1:9" ht="30" x14ac:dyDescent="0.25">
      <c r="A6" s="31" t="s">
        <v>90</v>
      </c>
      <c r="B6" s="31" t="s">
        <v>170</v>
      </c>
      <c r="C6" s="32" t="s">
        <v>172</v>
      </c>
      <c r="D6" s="32" t="s">
        <v>171</v>
      </c>
      <c r="E6" s="32" t="s">
        <v>173</v>
      </c>
      <c r="F6" s="32" t="s">
        <v>174</v>
      </c>
      <c r="G6" s="31" t="s">
        <v>175</v>
      </c>
      <c r="H6" s="31" t="s">
        <v>176</v>
      </c>
      <c r="I6" s="31" t="s">
        <v>177</v>
      </c>
    </row>
    <row r="7" spans="1:9" x14ac:dyDescent="0.25">
      <c r="A7" s="5">
        <v>1</v>
      </c>
      <c r="B7" s="3" t="s">
        <v>178</v>
      </c>
      <c r="C7" s="5" t="s">
        <v>183</v>
      </c>
      <c r="D7" s="5" t="str">
        <f>VLOOKUP(C7,$A$20:$B$22,2,FALSE)</f>
        <v>LUX</v>
      </c>
      <c r="E7" s="5">
        <v>2</v>
      </c>
      <c r="F7" s="10">
        <f>HLOOKUP(C7,$F$19:$H$20,2,0)</f>
        <v>750000</v>
      </c>
      <c r="G7" s="10">
        <f>E7*F7</f>
        <v>1500000</v>
      </c>
      <c r="H7" s="10">
        <f>IF(E7&gt;=5,5%*G7,0)</f>
        <v>0</v>
      </c>
      <c r="I7" s="10">
        <f>G7-H7</f>
        <v>1500000</v>
      </c>
    </row>
    <row r="8" spans="1:9" x14ac:dyDescent="0.25">
      <c r="A8" s="5">
        <v>2</v>
      </c>
      <c r="B8" s="3" t="s">
        <v>179</v>
      </c>
      <c r="C8" s="5" t="s">
        <v>184</v>
      </c>
      <c r="D8" s="5" t="str">
        <f>VLOOKUP(C8,$A$20:$B$22,2,FALSE)</f>
        <v>VIP</v>
      </c>
      <c r="E8" s="5">
        <v>4</v>
      </c>
      <c r="F8" s="10">
        <f>HLOOKUP(C8,$F$19:$H$20,2,0)</f>
        <v>500000</v>
      </c>
      <c r="G8" s="10">
        <f>E8*F8</f>
        <v>2000000</v>
      </c>
      <c r="H8" s="10">
        <f>IF(E8&gt;=5,5%*G8,0)</f>
        <v>0</v>
      </c>
      <c r="I8" s="10">
        <f>G8-H8</f>
        <v>2000000</v>
      </c>
    </row>
    <row r="9" spans="1:9" x14ac:dyDescent="0.25">
      <c r="A9" s="5">
        <v>3</v>
      </c>
      <c r="B9" s="3" t="s">
        <v>180</v>
      </c>
      <c r="C9" s="5" t="s">
        <v>183</v>
      </c>
      <c r="D9" s="5" t="str">
        <f>VLOOKUP(C9,$A$20:$B$22,2,FALSE)</f>
        <v>LUX</v>
      </c>
      <c r="E9" s="5">
        <v>3</v>
      </c>
      <c r="F9" s="10">
        <f>HLOOKUP(C9,$F$19:$H$20,2,0)</f>
        <v>750000</v>
      </c>
      <c r="G9" s="10">
        <f>E9*F9</f>
        <v>2250000</v>
      </c>
      <c r="H9" s="10">
        <f>IF(E9&gt;=5,5%*G9,0)</f>
        <v>0</v>
      </c>
      <c r="I9" s="10">
        <f>G9-H9</f>
        <v>2250000</v>
      </c>
    </row>
    <row r="10" spans="1:9" x14ac:dyDescent="0.25">
      <c r="A10" s="5">
        <v>4</v>
      </c>
      <c r="B10" s="3" t="s">
        <v>181</v>
      </c>
      <c r="C10" s="5" t="s">
        <v>185</v>
      </c>
      <c r="D10" s="5" t="str">
        <f>VLOOKUP(C10,$A$20:$B$22,2,FALSE)</f>
        <v>EKONOMIS</v>
      </c>
      <c r="E10" s="5">
        <v>5</v>
      </c>
      <c r="F10" s="10">
        <f>HLOOKUP(C10,$F$19:$H$20,2,0)</f>
        <v>250000</v>
      </c>
      <c r="G10" s="10">
        <f>E10*F10</f>
        <v>1250000</v>
      </c>
      <c r="H10" s="10">
        <f>IF(E10&gt;=5,5%*G10,0)</f>
        <v>62500</v>
      </c>
      <c r="I10" s="10">
        <f>G10-H10</f>
        <v>1187500</v>
      </c>
    </row>
    <row r="11" spans="1:9" x14ac:dyDescent="0.25">
      <c r="A11" s="5">
        <v>5</v>
      </c>
      <c r="B11" s="3" t="s">
        <v>182</v>
      </c>
      <c r="C11" s="5" t="s">
        <v>184</v>
      </c>
      <c r="D11" s="5" t="str">
        <f>VLOOKUP(C11,$A$20:$B$22,2,FALSE)</f>
        <v>VIP</v>
      </c>
      <c r="E11" s="5">
        <v>3</v>
      </c>
      <c r="F11" s="10">
        <f>HLOOKUP(C11,$F$19:$H$20,2,0)</f>
        <v>500000</v>
      </c>
      <c r="G11" s="10">
        <f>E11*F11</f>
        <v>1500000</v>
      </c>
      <c r="H11" s="10">
        <f>IF(E11&gt;=5,5%*G11,0)</f>
        <v>0</v>
      </c>
      <c r="I11" s="10">
        <f>G11-H11</f>
        <v>1500000</v>
      </c>
    </row>
    <row r="12" spans="1:9" x14ac:dyDescent="0.25">
      <c r="A12" s="64" t="s">
        <v>186</v>
      </c>
      <c r="B12" s="65"/>
      <c r="C12" s="65"/>
      <c r="D12" s="65"/>
      <c r="E12" s="65"/>
      <c r="F12" s="65"/>
      <c r="G12" s="65"/>
      <c r="H12" s="66"/>
      <c r="I12" s="33">
        <f>SUM($I$7:$I$11)</f>
        <v>8437500</v>
      </c>
    </row>
    <row r="13" spans="1:9" x14ac:dyDescent="0.25">
      <c r="A13" s="64" t="s">
        <v>187</v>
      </c>
      <c r="B13" s="65"/>
      <c r="C13" s="65"/>
      <c r="D13" s="65"/>
      <c r="E13" s="65"/>
      <c r="F13" s="65"/>
      <c r="G13" s="65"/>
      <c r="H13" s="66"/>
      <c r="I13" s="33">
        <f>AVERAGE($I$7:$I$11)</f>
        <v>1687500</v>
      </c>
    </row>
    <row r="14" spans="1:9" x14ac:dyDescent="0.25">
      <c r="A14" s="64" t="s">
        <v>188</v>
      </c>
      <c r="B14" s="65"/>
      <c r="C14" s="65"/>
      <c r="D14" s="65"/>
      <c r="E14" s="65"/>
      <c r="F14" s="65"/>
      <c r="G14" s="65"/>
      <c r="H14" s="66"/>
      <c r="I14" s="33">
        <f>MAX($I$7:$I$11)</f>
        <v>2250000</v>
      </c>
    </row>
    <row r="15" spans="1:9" x14ac:dyDescent="0.25">
      <c r="A15" s="64" t="s">
        <v>189</v>
      </c>
      <c r="B15" s="65"/>
      <c r="C15" s="65"/>
      <c r="D15" s="65"/>
      <c r="E15" s="65"/>
      <c r="F15" s="65"/>
      <c r="G15" s="65"/>
      <c r="H15" s="66"/>
      <c r="I15" s="33">
        <f>MIN($I$7:$I$11)</f>
        <v>1187500</v>
      </c>
    </row>
    <row r="17" spans="1:8" x14ac:dyDescent="0.25">
      <c r="A17" s="75" t="s">
        <v>190</v>
      </c>
      <c r="B17" s="76"/>
    </row>
    <row r="18" spans="1:8" x14ac:dyDescent="0.25">
      <c r="A18" s="27"/>
      <c r="B18" s="28"/>
    </row>
    <row r="19" spans="1:8" ht="30" x14ac:dyDescent="0.25">
      <c r="A19" s="29" t="s">
        <v>172</v>
      </c>
      <c r="B19" s="30" t="s">
        <v>171</v>
      </c>
      <c r="E19" s="29" t="s">
        <v>172</v>
      </c>
      <c r="F19" s="30" t="s">
        <v>183</v>
      </c>
      <c r="G19" s="30" t="s">
        <v>184</v>
      </c>
      <c r="H19" s="30" t="s">
        <v>185</v>
      </c>
    </row>
    <row r="20" spans="1:8" ht="24" customHeight="1" x14ac:dyDescent="0.25">
      <c r="A20" s="3" t="s">
        <v>183</v>
      </c>
      <c r="B20" s="3" t="s">
        <v>191</v>
      </c>
      <c r="E20" s="26" t="s">
        <v>194</v>
      </c>
      <c r="F20" s="10">
        <v>750000</v>
      </c>
      <c r="G20" s="10">
        <v>500000</v>
      </c>
      <c r="H20" s="10">
        <v>250000</v>
      </c>
    </row>
    <row r="21" spans="1:8" x14ac:dyDescent="0.25">
      <c r="A21" s="3" t="s">
        <v>184</v>
      </c>
      <c r="B21" s="3" t="s">
        <v>192</v>
      </c>
    </row>
    <row r="22" spans="1:8" x14ac:dyDescent="0.25">
      <c r="A22" s="3" t="s">
        <v>185</v>
      </c>
      <c r="B22" s="3" t="s">
        <v>193</v>
      </c>
    </row>
  </sheetData>
  <mergeCells count="5">
    <mergeCell ref="A12:H12"/>
    <mergeCell ref="A13:H13"/>
    <mergeCell ref="A14:H14"/>
    <mergeCell ref="A15:H15"/>
    <mergeCell ref="A17:B1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2"/>
  <sheetViews>
    <sheetView zoomScale="130" zoomScaleNormal="130" workbookViewId="0">
      <selection activeCell="F7" sqref="F7"/>
    </sheetView>
  </sheetViews>
  <sheetFormatPr defaultRowHeight="15" x14ac:dyDescent="0.25"/>
  <cols>
    <col min="2" max="2" width="17.140625" customWidth="1"/>
    <col min="3" max="3" width="10.28515625" customWidth="1"/>
    <col min="4" max="4" width="11" customWidth="1"/>
    <col min="5" max="5" width="8.7109375" customWidth="1"/>
    <col min="6" max="6" width="14.85546875" customWidth="1"/>
    <col min="7" max="7" width="14.42578125" customWidth="1"/>
    <col min="8" max="8" width="13.28515625" customWidth="1"/>
    <col min="9" max="9" width="14.5703125" bestFit="1" customWidth="1"/>
  </cols>
  <sheetData>
    <row r="5" spans="1:10" x14ac:dyDescent="0.25">
      <c r="J5" t="s">
        <v>200</v>
      </c>
    </row>
    <row r="6" spans="1:10" ht="30" x14ac:dyDescent="0.25">
      <c r="A6" s="31" t="s">
        <v>90</v>
      </c>
      <c r="B6" s="31" t="s">
        <v>170</v>
      </c>
      <c r="C6" s="32" t="s">
        <v>172</v>
      </c>
      <c r="D6" s="32" t="s">
        <v>171</v>
      </c>
      <c r="E6" s="32" t="s">
        <v>173</v>
      </c>
      <c r="F6" s="32" t="s">
        <v>174</v>
      </c>
      <c r="G6" s="31" t="s">
        <v>175</v>
      </c>
      <c r="H6" s="31" t="s">
        <v>176</v>
      </c>
      <c r="I6" s="31" t="s">
        <v>177</v>
      </c>
    </row>
    <row r="7" spans="1:10" x14ac:dyDescent="0.25">
      <c r="A7" s="5">
        <v>1</v>
      </c>
      <c r="B7" s="3" t="s">
        <v>178</v>
      </c>
      <c r="C7" s="5" t="s">
        <v>195</v>
      </c>
      <c r="D7" s="5" t="str">
        <f>VLOOKUP(RIGHT(C7,1),$A$20:$B$22,2,FALSE)</f>
        <v>LUX</v>
      </c>
      <c r="E7" s="5">
        <v>2</v>
      </c>
      <c r="F7" s="10">
        <f>HLOOKUP(RIGHT(C7,1),$F$19:$H$20,2,0)</f>
        <v>750000</v>
      </c>
      <c r="G7" s="10">
        <f>E7*F7</f>
        <v>1500000</v>
      </c>
      <c r="H7" s="10">
        <f>IF(E7&gt;=5,5%*G7,0)</f>
        <v>0</v>
      </c>
      <c r="I7" s="10">
        <f>G7-H7</f>
        <v>1500000</v>
      </c>
    </row>
    <row r="8" spans="1:10" x14ac:dyDescent="0.25">
      <c r="A8" s="5">
        <v>2</v>
      </c>
      <c r="B8" s="3" t="s">
        <v>179</v>
      </c>
      <c r="C8" s="5" t="s">
        <v>196</v>
      </c>
      <c r="D8" s="5" t="str">
        <f>VLOOKUP(RIGHT(C8,1),$A$20:$B$22,2,FALSE)</f>
        <v>VIP</v>
      </c>
      <c r="E8" s="5">
        <v>4</v>
      </c>
      <c r="F8" s="10">
        <f>HLOOKUP(RIGHT(C8,1),$F$19:$H$20,2,0)</f>
        <v>500000</v>
      </c>
      <c r="G8" s="10">
        <f>E8*F8</f>
        <v>2000000</v>
      </c>
      <c r="H8" s="10">
        <f>IF(E8&gt;=5,5%*G8,0)</f>
        <v>0</v>
      </c>
      <c r="I8" s="10">
        <f>G8-H8</f>
        <v>2000000</v>
      </c>
    </row>
    <row r="9" spans="1:10" x14ac:dyDescent="0.25">
      <c r="A9" s="5">
        <v>3</v>
      </c>
      <c r="B9" s="3" t="s">
        <v>180</v>
      </c>
      <c r="C9" s="5" t="s">
        <v>197</v>
      </c>
      <c r="D9" s="5" t="str">
        <f>VLOOKUP(RIGHT(C9,1),$A$20:$B$22,2,FALSE)</f>
        <v>LUX</v>
      </c>
      <c r="E9" s="5">
        <v>3</v>
      </c>
      <c r="F9" s="10">
        <f>HLOOKUP(RIGHT(C9,1),$F$19:$H$20,2,0)</f>
        <v>750000</v>
      </c>
      <c r="G9" s="10">
        <f>E9*F9</f>
        <v>2250000</v>
      </c>
      <c r="H9" s="10">
        <f>IF(E9&gt;=5,5%*G9,0)</f>
        <v>0</v>
      </c>
      <c r="I9" s="10">
        <f>G9-H9</f>
        <v>2250000</v>
      </c>
    </row>
    <row r="10" spans="1:10" x14ac:dyDescent="0.25">
      <c r="A10" s="5">
        <v>4</v>
      </c>
      <c r="B10" s="3" t="s">
        <v>181</v>
      </c>
      <c r="C10" s="5" t="s">
        <v>198</v>
      </c>
      <c r="D10" s="5" t="str">
        <f>VLOOKUP(RIGHT(C10,1),$A$20:$B$22,2,FALSE)</f>
        <v>EKONOMIS</v>
      </c>
      <c r="E10" s="5">
        <v>5</v>
      </c>
      <c r="F10" s="10">
        <f>HLOOKUP(RIGHT(C10,1),$F$19:$H$20,2,0)</f>
        <v>250000</v>
      </c>
      <c r="G10" s="10">
        <f>E10*F10</f>
        <v>1250000</v>
      </c>
      <c r="H10" s="10">
        <f>IF(E10&gt;=5,5%*G10,0)</f>
        <v>62500</v>
      </c>
      <c r="I10" s="10">
        <f>G10-H10</f>
        <v>1187500</v>
      </c>
    </row>
    <row r="11" spans="1:10" x14ac:dyDescent="0.25">
      <c r="A11" s="5">
        <v>5</v>
      </c>
      <c r="B11" s="3" t="s">
        <v>182</v>
      </c>
      <c r="C11" s="5" t="s">
        <v>199</v>
      </c>
      <c r="D11" s="5" t="str">
        <f>VLOOKUP(RIGHT(C11,1),$A$20:$B$22,2,FALSE)</f>
        <v>VIP</v>
      </c>
      <c r="E11" s="5">
        <v>3</v>
      </c>
      <c r="F11" s="10">
        <f>HLOOKUP(RIGHT(C11,1),$F$19:$H$20,2,0)</f>
        <v>500000</v>
      </c>
      <c r="G11" s="10">
        <f>E11*F11</f>
        <v>1500000</v>
      </c>
      <c r="H11" s="10">
        <f>IF(E11&gt;=5,5%*G11,0)</f>
        <v>0</v>
      </c>
      <c r="I11" s="10">
        <f>G11-H11</f>
        <v>1500000</v>
      </c>
    </row>
    <row r="12" spans="1:10" x14ac:dyDescent="0.25">
      <c r="A12" s="64" t="s">
        <v>186</v>
      </c>
      <c r="B12" s="65"/>
      <c r="C12" s="65"/>
      <c r="D12" s="65"/>
      <c r="E12" s="65"/>
      <c r="F12" s="65"/>
      <c r="G12" s="65"/>
      <c r="H12" s="66"/>
      <c r="I12" s="33">
        <f>SUM($I$7:$I$11)</f>
        <v>8437500</v>
      </c>
    </row>
    <row r="13" spans="1:10" x14ac:dyDescent="0.25">
      <c r="A13" s="64" t="s">
        <v>187</v>
      </c>
      <c r="B13" s="65"/>
      <c r="C13" s="65"/>
      <c r="D13" s="65"/>
      <c r="E13" s="65"/>
      <c r="F13" s="65"/>
      <c r="G13" s="65"/>
      <c r="H13" s="66"/>
      <c r="I13" s="33">
        <f>AVERAGE($I$7:$I$11)</f>
        <v>1687500</v>
      </c>
    </row>
    <row r="14" spans="1:10" x14ac:dyDescent="0.25">
      <c r="A14" s="64" t="s">
        <v>188</v>
      </c>
      <c r="B14" s="65"/>
      <c r="C14" s="65"/>
      <c r="D14" s="65"/>
      <c r="E14" s="65"/>
      <c r="F14" s="65"/>
      <c r="G14" s="65"/>
      <c r="H14" s="66"/>
      <c r="I14" s="33">
        <f>MAX($I$7:$I$11)</f>
        <v>2250000</v>
      </c>
    </row>
    <row r="15" spans="1:10" x14ac:dyDescent="0.25">
      <c r="A15" s="64" t="s">
        <v>189</v>
      </c>
      <c r="B15" s="65"/>
      <c r="C15" s="65"/>
      <c r="D15" s="65"/>
      <c r="E15" s="65"/>
      <c r="F15" s="65"/>
      <c r="G15" s="65"/>
      <c r="H15" s="66"/>
      <c r="I15" s="33">
        <f>MIN($I$7:$I$11)</f>
        <v>1187500</v>
      </c>
    </row>
    <row r="17" spans="1:8" x14ac:dyDescent="0.25">
      <c r="A17" s="77" t="s">
        <v>190</v>
      </c>
      <c r="B17" s="77"/>
    </row>
    <row r="18" spans="1:8" x14ac:dyDescent="0.25">
      <c r="A18" s="36"/>
      <c r="B18" s="36"/>
    </row>
    <row r="19" spans="1:8" ht="30" x14ac:dyDescent="0.25">
      <c r="A19" s="34" t="s">
        <v>172</v>
      </c>
      <c r="B19" s="35" t="s">
        <v>171</v>
      </c>
      <c r="E19" s="29" t="s">
        <v>172</v>
      </c>
      <c r="F19" s="30" t="s">
        <v>183</v>
      </c>
      <c r="G19" s="30" t="s">
        <v>184</v>
      </c>
      <c r="H19" s="30" t="s">
        <v>185</v>
      </c>
    </row>
    <row r="20" spans="1:8" ht="27" customHeight="1" x14ac:dyDescent="0.25">
      <c r="A20" s="3" t="s">
        <v>183</v>
      </c>
      <c r="B20" s="3" t="s">
        <v>191</v>
      </c>
      <c r="E20" s="26" t="s">
        <v>194</v>
      </c>
      <c r="F20" s="10">
        <v>750000</v>
      </c>
      <c r="G20" s="10">
        <v>500000</v>
      </c>
      <c r="H20" s="10">
        <v>250000</v>
      </c>
    </row>
    <row r="21" spans="1:8" x14ac:dyDescent="0.25">
      <c r="A21" s="3" t="s">
        <v>184</v>
      </c>
      <c r="B21" s="3" t="s">
        <v>192</v>
      </c>
    </row>
    <row r="22" spans="1:8" x14ac:dyDescent="0.25">
      <c r="A22" s="3" t="s">
        <v>185</v>
      </c>
      <c r="B22" s="3" t="s">
        <v>193</v>
      </c>
    </row>
  </sheetData>
  <mergeCells count="5">
    <mergeCell ref="A12:H12"/>
    <mergeCell ref="A13:H13"/>
    <mergeCell ref="A14:H14"/>
    <mergeCell ref="A15:H15"/>
    <mergeCell ref="A17:B1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2"/>
  <sheetViews>
    <sheetView zoomScale="120" zoomScaleNormal="120" workbookViewId="0">
      <selection activeCell="H10" sqref="H10"/>
    </sheetView>
  </sheetViews>
  <sheetFormatPr defaultRowHeight="15" x14ac:dyDescent="0.25"/>
  <cols>
    <col min="2" max="2" width="17.140625" customWidth="1"/>
    <col min="3" max="3" width="10.28515625" customWidth="1"/>
    <col min="4" max="4" width="11" customWidth="1"/>
    <col min="5" max="5" width="8.7109375" customWidth="1"/>
    <col min="6" max="6" width="14.85546875" customWidth="1"/>
    <col min="7" max="7" width="14.42578125" customWidth="1"/>
    <col min="8" max="8" width="13.28515625" customWidth="1"/>
    <col min="9" max="9" width="14.5703125" bestFit="1" customWidth="1"/>
  </cols>
  <sheetData>
    <row r="5" spans="1:10" x14ac:dyDescent="0.25">
      <c r="J5" t="s">
        <v>200</v>
      </c>
    </row>
    <row r="6" spans="1:10" ht="30" x14ac:dyDescent="0.25">
      <c r="A6" s="31" t="s">
        <v>90</v>
      </c>
      <c r="B6" s="31" t="s">
        <v>170</v>
      </c>
      <c r="C6" s="32" t="s">
        <v>172</v>
      </c>
      <c r="D6" s="32" t="s">
        <v>171</v>
      </c>
      <c r="E6" s="32" t="s">
        <v>173</v>
      </c>
      <c r="F6" s="32" t="s">
        <v>174</v>
      </c>
      <c r="G6" s="31" t="s">
        <v>175</v>
      </c>
      <c r="H6" s="31" t="s">
        <v>176</v>
      </c>
      <c r="I6" s="31" t="s">
        <v>177</v>
      </c>
    </row>
    <row r="7" spans="1:10" x14ac:dyDescent="0.25">
      <c r="A7" s="5">
        <v>1</v>
      </c>
      <c r="B7" s="3" t="s">
        <v>178</v>
      </c>
      <c r="C7" s="5" t="s">
        <v>201</v>
      </c>
      <c r="D7" s="5" t="str">
        <f>VLOOKUP(LEFT(C7,1),$A$20:$B$22,2,FALSE)</f>
        <v>LUX</v>
      </c>
      <c r="E7" s="5">
        <v>2</v>
      </c>
      <c r="F7" s="10">
        <f>HLOOKUP(LEFT(C7,1),$F$19:$H$20,2,0)</f>
        <v>750000</v>
      </c>
      <c r="G7" s="10">
        <f>E7*F7</f>
        <v>1500000</v>
      </c>
      <c r="H7" s="10">
        <f>IF(E7&gt;=5,5%*G7,0)</f>
        <v>0</v>
      </c>
      <c r="I7" s="10">
        <f>G7-H7</f>
        <v>1500000</v>
      </c>
    </row>
    <row r="8" spans="1:10" x14ac:dyDescent="0.25">
      <c r="A8" s="5">
        <v>2</v>
      </c>
      <c r="B8" s="3" t="s">
        <v>179</v>
      </c>
      <c r="C8" s="5" t="s">
        <v>202</v>
      </c>
      <c r="D8" s="5" t="str">
        <f>VLOOKUP(LEFT(C8,1),$A$20:$B$22,2,FALSE)</f>
        <v>VIP</v>
      </c>
      <c r="E8" s="5">
        <v>4</v>
      </c>
      <c r="F8" s="10">
        <f>HLOOKUP(LEFT(C8,1),$F$19:$H$20,2,0)</f>
        <v>500000</v>
      </c>
      <c r="G8" s="10">
        <f>E8*F8</f>
        <v>2000000</v>
      </c>
      <c r="H8" s="10">
        <f>IF(E8&gt;=5,5%*G8,0)</f>
        <v>0</v>
      </c>
      <c r="I8" s="10">
        <f>G8-H8</f>
        <v>2000000</v>
      </c>
    </row>
    <row r="9" spans="1:10" x14ac:dyDescent="0.25">
      <c r="A9" s="5">
        <v>3</v>
      </c>
      <c r="B9" s="3" t="s">
        <v>180</v>
      </c>
      <c r="C9" s="5" t="s">
        <v>203</v>
      </c>
      <c r="D9" s="5" t="str">
        <f>VLOOKUP(LEFT(C9,1),$A$20:$B$22,2,FALSE)</f>
        <v>LUX</v>
      </c>
      <c r="E9" s="5">
        <v>3</v>
      </c>
      <c r="F9" s="10">
        <f>HLOOKUP(LEFT(C9,1),$F$19:$H$20,2,0)</f>
        <v>750000</v>
      </c>
      <c r="G9" s="10">
        <f>E9*F9</f>
        <v>2250000</v>
      </c>
      <c r="H9" s="10">
        <f>IF(E9&gt;=5,5%*G9,0)</f>
        <v>0</v>
      </c>
      <c r="I9" s="10">
        <f>G9-H9</f>
        <v>2250000</v>
      </c>
    </row>
    <row r="10" spans="1:10" x14ac:dyDescent="0.25">
      <c r="A10" s="5">
        <v>4</v>
      </c>
      <c r="B10" s="3" t="s">
        <v>181</v>
      </c>
      <c r="C10" s="5" t="s">
        <v>204</v>
      </c>
      <c r="D10" s="5" t="str">
        <f>VLOOKUP(LEFT(C10,1),$A$20:$B$22,2,FALSE)</f>
        <v>EKONOMIS</v>
      </c>
      <c r="E10" s="5">
        <v>5</v>
      </c>
      <c r="F10" s="10">
        <f>HLOOKUP(LEFT(C10,1),$F$19:$H$20,2,0)</f>
        <v>250000</v>
      </c>
      <c r="G10" s="10">
        <f>E10*F10</f>
        <v>1250000</v>
      </c>
      <c r="H10" s="10">
        <f>IF(E10&gt;=5,5%*G10,0)</f>
        <v>62500</v>
      </c>
      <c r="I10" s="10">
        <f>G10-H10</f>
        <v>1187500</v>
      </c>
    </row>
    <row r="11" spans="1:10" x14ac:dyDescent="0.25">
      <c r="A11" s="5">
        <v>5</v>
      </c>
      <c r="B11" s="3" t="s">
        <v>182</v>
      </c>
      <c r="C11" s="5" t="s">
        <v>205</v>
      </c>
      <c r="D11" s="5" t="str">
        <f>VLOOKUP(LEFT(C11,1),$A$20:$B$22,2,FALSE)</f>
        <v>VIP</v>
      </c>
      <c r="E11" s="5">
        <v>3</v>
      </c>
      <c r="F11" s="10">
        <f>HLOOKUP(LEFT(C11,1),$F$19:$H$20,2,0)</f>
        <v>500000</v>
      </c>
      <c r="G11" s="10">
        <f>E11*F11</f>
        <v>1500000</v>
      </c>
      <c r="H11" s="10">
        <f>IF(E11&gt;=5,5%*G11,0)</f>
        <v>0</v>
      </c>
      <c r="I11" s="10">
        <f>G11-H11</f>
        <v>1500000</v>
      </c>
    </row>
    <row r="12" spans="1:10" x14ac:dyDescent="0.25">
      <c r="A12" s="64" t="s">
        <v>186</v>
      </c>
      <c r="B12" s="65"/>
      <c r="C12" s="65"/>
      <c r="D12" s="65"/>
      <c r="E12" s="65"/>
      <c r="F12" s="65"/>
      <c r="G12" s="65"/>
      <c r="H12" s="66"/>
      <c r="I12" s="33">
        <f>SUM($I$7:$I$11)</f>
        <v>8437500</v>
      </c>
    </row>
    <row r="13" spans="1:10" x14ac:dyDescent="0.25">
      <c r="A13" s="64" t="s">
        <v>187</v>
      </c>
      <c r="B13" s="65"/>
      <c r="C13" s="65"/>
      <c r="D13" s="65"/>
      <c r="E13" s="65"/>
      <c r="F13" s="65"/>
      <c r="G13" s="65"/>
      <c r="H13" s="66"/>
      <c r="I13" s="33">
        <f>AVERAGE($I$7:$I$11)</f>
        <v>1687500</v>
      </c>
    </row>
    <row r="14" spans="1:10" x14ac:dyDescent="0.25">
      <c r="A14" s="64" t="s">
        <v>188</v>
      </c>
      <c r="B14" s="65"/>
      <c r="C14" s="65"/>
      <c r="D14" s="65"/>
      <c r="E14" s="65"/>
      <c r="F14" s="65"/>
      <c r="G14" s="65"/>
      <c r="H14" s="66"/>
      <c r="I14" s="33">
        <f>MAX($I$7:$I$11)</f>
        <v>2250000</v>
      </c>
    </row>
    <row r="15" spans="1:10" x14ac:dyDescent="0.25">
      <c r="A15" s="64" t="s">
        <v>189</v>
      </c>
      <c r="B15" s="65"/>
      <c r="C15" s="65"/>
      <c r="D15" s="65"/>
      <c r="E15" s="65"/>
      <c r="F15" s="65"/>
      <c r="G15" s="65"/>
      <c r="H15" s="66"/>
      <c r="I15" s="33">
        <f>MIN($I$7:$I$11)</f>
        <v>1187500</v>
      </c>
    </row>
    <row r="17" spans="1:8" x14ac:dyDescent="0.25">
      <c r="A17" s="77" t="s">
        <v>190</v>
      </c>
      <c r="B17" s="77"/>
    </row>
    <row r="18" spans="1:8" x14ac:dyDescent="0.25">
      <c r="A18" s="36"/>
      <c r="B18" s="36"/>
    </row>
    <row r="19" spans="1:8" ht="30" x14ac:dyDescent="0.25">
      <c r="A19" s="34" t="s">
        <v>172</v>
      </c>
      <c r="B19" s="35" t="s">
        <v>171</v>
      </c>
      <c r="E19" s="29" t="s">
        <v>172</v>
      </c>
      <c r="F19" s="30" t="s">
        <v>183</v>
      </c>
      <c r="G19" s="30" t="s">
        <v>184</v>
      </c>
      <c r="H19" s="30" t="s">
        <v>185</v>
      </c>
    </row>
    <row r="20" spans="1:8" ht="27" customHeight="1" x14ac:dyDescent="0.25">
      <c r="A20" s="3" t="s">
        <v>183</v>
      </c>
      <c r="B20" s="3" t="s">
        <v>191</v>
      </c>
      <c r="E20" s="26" t="s">
        <v>194</v>
      </c>
      <c r="F20" s="10">
        <v>750000</v>
      </c>
      <c r="G20" s="10">
        <v>500000</v>
      </c>
      <c r="H20" s="10">
        <v>250000</v>
      </c>
    </row>
    <row r="21" spans="1:8" x14ac:dyDescent="0.25">
      <c r="A21" s="3" t="s">
        <v>184</v>
      </c>
      <c r="B21" s="3" t="s">
        <v>192</v>
      </c>
    </row>
    <row r="22" spans="1:8" x14ac:dyDescent="0.25">
      <c r="A22" s="3" t="s">
        <v>185</v>
      </c>
      <c r="B22" s="3" t="s">
        <v>193</v>
      </c>
    </row>
  </sheetData>
  <mergeCells count="5">
    <mergeCell ref="A12:H12"/>
    <mergeCell ref="A13:H13"/>
    <mergeCell ref="A14:H14"/>
    <mergeCell ref="A15:H15"/>
    <mergeCell ref="A17:B1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6"/>
  <sheetViews>
    <sheetView zoomScale="120" zoomScaleNormal="120" workbookViewId="0">
      <selection activeCell="H10" sqref="H10"/>
    </sheetView>
  </sheetViews>
  <sheetFormatPr defaultRowHeight="15" x14ac:dyDescent="0.25"/>
  <cols>
    <col min="2" max="2" width="17.140625" customWidth="1"/>
    <col min="3" max="3" width="10.28515625" customWidth="1"/>
    <col min="4" max="4" width="11" customWidth="1"/>
    <col min="5" max="5" width="8.7109375" customWidth="1"/>
    <col min="6" max="6" width="14.85546875" customWidth="1"/>
    <col min="7" max="7" width="14.42578125" customWidth="1"/>
    <col min="8" max="8" width="13.28515625" customWidth="1"/>
    <col min="9" max="9" width="14.5703125" bestFit="1" customWidth="1"/>
  </cols>
  <sheetData>
    <row r="5" spans="1:10" x14ac:dyDescent="0.25">
      <c r="J5" t="s">
        <v>200</v>
      </c>
    </row>
    <row r="6" spans="1:10" ht="30" x14ac:dyDescent="0.25">
      <c r="A6" s="31" t="s">
        <v>90</v>
      </c>
      <c r="B6" s="31" t="s">
        <v>170</v>
      </c>
      <c r="C6" s="32" t="s">
        <v>172</v>
      </c>
      <c r="D6" s="32" t="s">
        <v>171</v>
      </c>
      <c r="E6" s="32" t="s">
        <v>173</v>
      </c>
      <c r="F6" s="32" t="s">
        <v>174</v>
      </c>
      <c r="G6" s="31" t="s">
        <v>175</v>
      </c>
      <c r="H6" s="31" t="s">
        <v>176</v>
      </c>
      <c r="I6" s="31" t="s">
        <v>177</v>
      </c>
    </row>
    <row r="7" spans="1:10" x14ac:dyDescent="0.25">
      <c r="A7" s="5">
        <v>1</v>
      </c>
      <c r="B7" s="3" t="s">
        <v>178</v>
      </c>
      <c r="C7" s="5" t="s">
        <v>206</v>
      </c>
      <c r="D7" s="5" t="str">
        <f>VLOOKUP(MID(C7,2,1),$A$20:$B$22,2,FALSE)</f>
        <v>LUX</v>
      </c>
      <c r="E7" s="5">
        <v>2</v>
      </c>
      <c r="F7" s="10">
        <f>HLOOKUP(MID(C7,2,1),$F$19:$H$20,2,0)</f>
        <v>750000</v>
      </c>
      <c r="G7" s="10">
        <f>E7*F7</f>
        <v>1500000</v>
      </c>
      <c r="H7" s="10">
        <f>IF(E7&gt;=5,VLOOKUP(VALUE(LEFT(C7,1)),$E$24:$F$25,2,0)*G7,0)</f>
        <v>0</v>
      </c>
      <c r="I7" s="10">
        <f>G7-H7</f>
        <v>1500000</v>
      </c>
    </row>
    <row r="8" spans="1:10" x14ac:dyDescent="0.25">
      <c r="A8" s="5">
        <v>2</v>
      </c>
      <c r="B8" s="3" t="s">
        <v>179</v>
      </c>
      <c r="C8" s="5" t="s">
        <v>207</v>
      </c>
      <c r="D8" s="5" t="str">
        <f>VLOOKUP(MID(C8,2,1),$A$20:$B$22,2,FALSE)</f>
        <v>VIP</v>
      </c>
      <c r="E8" s="5">
        <v>4</v>
      </c>
      <c r="F8" s="10">
        <f>HLOOKUP(MID(C8,2,1),$F$19:$H$20,2,0)</f>
        <v>500000</v>
      </c>
      <c r="G8" s="10">
        <f>E8*F8</f>
        <v>2000000</v>
      </c>
      <c r="H8" s="10">
        <f>IF(E8&gt;=5,VLOOKUP(VALUE(LEFT(C8,1)),$E$24:$F$25,2,0)*G8,0)</f>
        <v>0</v>
      </c>
      <c r="I8" s="10">
        <f>G8-H8</f>
        <v>2000000</v>
      </c>
    </row>
    <row r="9" spans="1:10" x14ac:dyDescent="0.25">
      <c r="A9" s="5">
        <v>3</v>
      </c>
      <c r="B9" s="3" t="s">
        <v>180</v>
      </c>
      <c r="C9" s="5" t="s">
        <v>208</v>
      </c>
      <c r="D9" s="5" t="str">
        <f>VLOOKUP(MID(C9,2,1),$A$20:$B$22,2,FALSE)</f>
        <v>LUX</v>
      </c>
      <c r="E9" s="5">
        <v>3</v>
      </c>
      <c r="F9" s="10">
        <f>HLOOKUP(MID(C9,2,1),$F$19:$H$20,2,0)</f>
        <v>750000</v>
      </c>
      <c r="G9" s="10">
        <f>E9*F9</f>
        <v>2250000</v>
      </c>
      <c r="H9" s="10">
        <f>IF(E9&gt;=5,VLOOKUP(VALUE(LEFT(C9,1)),$E$24:$F$25,2,0)*G9,0)</f>
        <v>0</v>
      </c>
      <c r="I9" s="10">
        <f>G9-H9</f>
        <v>2250000</v>
      </c>
    </row>
    <row r="10" spans="1:10" x14ac:dyDescent="0.25">
      <c r="A10" s="5">
        <v>4</v>
      </c>
      <c r="B10" s="3" t="s">
        <v>181</v>
      </c>
      <c r="C10" s="5" t="s">
        <v>209</v>
      </c>
      <c r="D10" s="5" t="str">
        <f>VLOOKUP(MID(C10,2,1),$A$20:$B$22,2,FALSE)</f>
        <v>EKONOMIS</v>
      </c>
      <c r="E10" s="5">
        <v>5</v>
      </c>
      <c r="F10" s="10">
        <f>HLOOKUP(MID(C10,2,1),$F$19:$H$20,2,0)</f>
        <v>250000</v>
      </c>
      <c r="G10" s="10">
        <f>E10*F10</f>
        <v>1250000</v>
      </c>
      <c r="H10" s="10">
        <f>IF(E10&gt;=5,VLOOKUP(VALUE(LEFT(C10,1)),$E$24:$F$25,2,0)*G10,0)</f>
        <v>62500</v>
      </c>
      <c r="I10" s="10">
        <f>G10-H10</f>
        <v>1187500</v>
      </c>
    </row>
    <row r="11" spans="1:10" x14ac:dyDescent="0.25">
      <c r="A11" s="5">
        <v>5</v>
      </c>
      <c r="B11" s="3" t="s">
        <v>182</v>
      </c>
      <c r="C11" s="5" t="s">
        <v>210</v>
      </c>
      <c r="D11" s="5" t="str">
        <f>VLOOKUP(MID(C11,2,1),$A$20:$B$22,2,FALSE)</f>
        <v>VIP</v>
      </c>
      <c r="E11" s="5">
        <v>3</v>
      </c>
      <c r="F11" s="10">
        <f>HLOOKUP(MID(C11,2,1),$F$19:$H$20,2,0)</f>
        <v>500000</v>
      </c>
      <c r="G11" s="10">
        <f>E11*F11</f>
        <v>1500000</v>
      </c>
      <c r="H11" s="10">
        <f>IF(E11&gt;=5,VLOOKUP(VALUE(LEFT(C11,1)),$E$24:$F$25,2,0)*G11,0)</f>
        <v>0</v>
      </c>
      <c r="I11" s="10">
        <f>G11-H11</f>
        <v>1500000</v>
      </c>
    </row>
    <row r="12" spans="1:10" x14ac:dyDescent="0.25">
      <c r="A12" s="64" t="s">
        <v>186</v>
      </c>
      <c r="B12" s="65"/>
      <c r="C12" s="65"/>
      <c r="D12" s="65"/>
      <c r="E12" s="65"/>
      <c r="F12" s="65"/>
      <c r="G12" s="65"/>
      <c r="H12" s="66"/>
      <c r="I12" s="33">
        <f>SUM($I$7:$I$11)</f>
        <v>8437500</v>
      </c>
    </row>
    <row r="13" spans="1:10" x14ac:dyDescent="0.25">
      <c r="A13" s="64" t="s">
        <v>187</v>
      </c>
      <c r="B13" s="65"/>
      <c r="C13" s="65"/>
      <c r="D13" s="65"/>
      <c r="E13" s="65"/>
      <c r="F13" s="65"/>
      <c r="G13" s="65"/>
      <c r="H13" s="66"/>
      <c r="I13" s="33">
        <f>AVERAGE($I$7:$I$11)</f>
        <v>1687500</v>
      </c>
    </row>
    <row r="14" spans="1:10" x14ac:dyDescent="0.25">
      <c r="A14" s="64" t="s">
        <v>188</v>
      </c>
      <c r="B14" s="65"/>
      <c r="C14" s="65"/>
      <c r="D14" s="65"/>
      <c r="E14" s="65"/>
      <c r="F14" s="65"/>
      <c r="G14" s="65"/>
      <c r="H14" s="66"/>
      <c r="I14" s="33">
        <f>MAX($I$7:$I$11)</f>
        <v>2250000</v>
      </c>
    </row>
    <row r="15" spans="1:10" x14ac:dyDescent="0.25">
      <c r="A15" s="64" t="s">
        <v>189</v>
      </c>
      <c r="B15" s="65"/>
      <c r="C15" s="65"/>
      <c r="D15" s="65"/>
      <c r="E15" s="65"/>
      <c r="F15" s="65"/>
      <c r="G15" s="65"/>
      <c r="H15" s="66"/>
      <c r="I15" s="33">
        <f>MIN($I$7:$I$11)</f>
        <v>1187500</v>
      </c>
    </row>
    <row r="17" spans="1:8" x14ac:dyDescent="0.25">
      <c r="A17" s="77" t="s">
        <v>190</v>
      </c>
      <c r="B17" s="77"/>
    </row>
    <row r="18" spans="1:8" x14ac:dyDescent="0.25">
      <c r="A18" s="36"/>
      <c r="B18" s="36"/>
    </row>
    <row r="19" spans="1:8" ht="30" x14ac:dyDescent="0.25">
      <c r="A19" s="34" t="s">
        <v>172</v>
      </c>
      <c r="B19" s="35" t="s">
        <v>171</v>
      </c>
      <c r="E19" s="29" t="s">
        <v>172</v>
      </c>
      <c r="F19" s="30" t="s">
        <v>183</v>
      </c>
      <c r="G19" s="30" t="s">
        <v>184</v>
      </c>
      <c r="H19" s="30" t="s">
        <v>185</v>
      </c>
    </row>
    <row r="20" spans="1:8" ht="27" customHeight="1" x14ac:dyDescent="0.25">
      <c r="A20" s="3" t="s">
        <v>183</v>
      </c>
      <c r="B20" s="3" t="s">
        <v>191</v>
      </c>
      <c r="E20" s="26" t="s">
        <v>194</v>
      </c>
      <c r="F20" s="10">
        <v>750000</v>
      </c>
      <c r="G20" s="10">
        <v>500000</v>
      </c>
      <c r="H20" s="10">
        <v>250000</v>
      </c>
    </row>
    <row r="21" spans="1:8" x14ac:dyDescent="0.25">
      <c r="A21" s="3" t="s">
        <v>184</v>
      </c>
      <c r="B21" s="3" t="s">
        <v>192</v>
      </c>
    </row>
    <row r="22" spans="1:8" x14ac:dyDescent="0.25">
      <c r="A22" s="3" t="s">
        <v>185</v>
      </c>
      <c r="B22" s="3" t="s">
        <v>193</v>
      </c>
    </row>
    <row r="24" spans="1:8" x14ac:dyDescent="0.25">
      <c r="E24" s="3">
        <v>1</v>
      </c>
      <c r="F24" s="37">
        <v>0.04</v>
      </c>
    </row>
    <row r="25" spans="1:8" x14ac:dyDescent="0.25">
      <c r="E25" s="3">
        <v>2</v>
      </c>
      <c r="F25" s="37">
        <v>0.05</v>
      </c>
    </row>
    <row r="26" spans="1:8" x14ac:dyDescent="0.25">
      <c r="E26" s="3">
        <v>3</v>
      </c>
      <c r="F26" s="37">
        <v>0.06</v>
      </c>
    </row>
  </sheetData>
  <mergeCells count="5">
    <mergeCell ref="A12:H12"/>
    <mergeCell ref="A13:H13"/>
    <mergeCell ref="A14:H14"/>
    <mergeCell ref="A15:H15"/>
    <mergeCell ref="A17:B1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50" zoomScaleNormal="150" workbookViewId="0">
      <selection activeCell="G5" sqref="G5"/>
    </sheetView>
  </sheetViews>
  <sheetFormatPr defaultRowHeight="15" x14ac:dyDescent="0.25"/>
  <cols>
    <col min="2" max="2" width="22" customWidth="1"/>
    <col min="3" max="3" width="11.28515625" customWidth="1"/>
    <col min="4" max="4" width="11.5703125" customWidth="1"/>
    <col min="5" max="5" width="10.7109375" customWidth="1"/>
    <col min="6" max="6" width="12" customWidth="1"/>
    <col min="7" max="7" width="14" customWidth="1"/>
    <col min="8" max="8" width="10.42578125" customWidth="1"/>
    <col min="9" max="9" width="11.5703125" customWidth="1"/>
  </cols>
  <sheetData>
    <row r="2" spans="1:9" ht="30" x14ac:dyDescent="0.25">
      <c r="A2" s="40" t="s">
        <v>90</v>
      </c>
      <c r="B2" s="40" t="s">
        <v>211</v>
      </c>
      <c r="C2" s="41" t="s">
        <v>212</v>
      </c>
      <c r="D2" s="41" t="s">
        <v>213</v>
      </c>
      <c r="E2" s="41" t="s">
        <v>214</v>
      </c>
      <c r="F2" s="41" t="s">
        <v>215</v>
      </c>
      <c r="G2" s="41" t="s">
        <v>216</v>
      </c>
      <c r="H2" s="41" t="s">
        <v>176</v>
      </c>
      <c r="I2" s="41" t="s">
        <v>186</v>
      </c>
    </row>
    <row r="3" spans="1:9" x14ac:dyDescent="0.25">
      <c r="A3" s="3">
        <v>1</v>
      </c>
      <c r="B3" s="3" t="s">
        <v>217</v>
      </c>
      <c r="C3" s="3" t="s">
        <v>125</v>
      </c>
      <c r="D3" s="3">
        <v>5</v>
      </c>
      <c r="E3" s="3" t="str">
        <f>IF(C3="A","mouse",IF(C3="B","keyboard","stabilizer"))</f>
        <v>keyboard</v>
      </c>
      <c r="F3" s="38">
        <f>IF(C3="A",25000,IF(C3="B",20000,15000))</f>
        <v>20000</v>
      </c>
      <c r="G3" s="38">
        <f>F3*D3</f>
        <v>100000</v>
      </c>
      <c r="H3" s="38">
        <f>IF(OR(G3&gt;75000,D3&gt;5),10%*G3,0)</f>
        <v>10000</v>
      </c>
      <c r="I3" s="38">
        <f>G3-H3</f>
        <v>90000</v>
      </c>
    </row>
    <row r="4" spans="1:9" x14ac:dyDescent="0.25">
      <c r="A4" s="3">
        <v>2</v>
      </c>
      <c r="B4" s="3" t="s">
        <v>218</v>
      </c>
      <c r="C4" s="3" t="s">
        <v>126</v>
      </c>
      <c r="D4" s="3">
        <v>4</v>
      </c>
      <c r="E4" s="3" t="str">
        <f>IF(C4="A","mouse",IF(C4="B","keyboard","stabilizer"))</f>
        <v>stabilizer</v>
      </c>
      <c r="F4" s="38">
        <f>IF(C4="A",25000,IF(C4="B",20000,15000))</f>
        <v>15000</v>
      </c>
      <c r="G4" s="38">
        <f>F4*D4</f>
        <v>60000</v>
      </c>
      <c r="H4" s="38">
        <f>IF(OR(G4&gt;75000,D4&gt;5),10%*G4,0)</f>
        <v>0</v>
      </c>
      <c r="I4" s="38">
        <f>G4-H4</f>
        <v>60000</v>
      </c>
    </row>
    <row r="5" spans="1:9" x14ac:dyDescent="0.25">
      <c r="A5" s="3">
        <v>3</v>
      </c>
      <c r="B5" s="3" t="s">
        <v>219</v>
      </c>
      <c r="C5" s="3" t="s">
        <v>125</v>
      </c>
      <c r="D5" s="3">
        <v>15</v>
      </c>
      <c r="E5" s="3" t="str">
        <f>IF(C5="A","mouse",IF(C5="B","keyboard","stabilizer"))</f>
        <v>keyboard</v>
      </c>
      <c r="F5" s="38">
        <f>IF(C5="A",25000,IF(C5="B",20000,15000))</f>
        <v>20000</v>
      </c>
      <c r="G5" s="38">
        <f>F5*D5</f>
        <v>300000</v>
      </c>
      <c r="H5" s="38">
        <f>IF(OR(G5&gt;75000,D5&gt;5),10%*G5,0)</f>
        <v>30000</v>
      </c>
      <c r="I5" s="38">
        <f>G5-H5</f>
        <v>270000</v>
      </c>
    </row>
    <row r="6" spans="1:9" x14ac:dyDescent="0.25">
      <c r="A6" s="3">
        <v>4</v>
      </c>
      <c r="B6" s="3" t="s">
        <v>220</v>
      </c>
      <c r="C6" s="3" t="s">
        <v>124</v>
      </c>
      <c r="D6" s="3">
        <v>5</v>
      </c>
      <c r="E6" s="3" t="str">
        <f>IF(C6="A","mouse",IF(C6="B","keyboard","stabilizer"))</f>
        <v>mouse</v>
      </c>
      <c r="F6" s="38">
        <f>IF(C6="A",25000,IF(C6="B",20000,15000))</f>
        <v>25000</v>
      </c>
      <c r="G6" s="38">
        <f>F6*D6</f>
        <v>125000</v>
      </c>
      <c r="H6" s="38">
        <f>IF(OR(G6&gt;75000,D6&gt;5),10%*G6,0)</f>
        <v>12500</v>
      </c>
      <c r="I6" s="38">
        <f>G6-H6</f>
        <v>112500</v>
      </c>
    </row>
    <row r="7" spans="1:9" x14ac:dyDescent="0.25">
      <c r="A7" s="3">
        <v>5</v>
      </c>
      <c r="B7" s="3" t="s">
        <v>221</v>
      </c>
      <c r="C7" s="3" t="s">
        <v>126</v>
      </c>
      <c r="D7" s="3">
        <v>10</v>
      </c>
      <c r="E7" s="3" t="str">
        <f>IF(C7="A","mouse",IF(C7="B","keyboard","stabilizer"))</f>
        <v>stabilizer</v>
      </c>
      <c r="F7" s="38">
        <f>IF(C7="A",25000,IF(C7="B",20000,15000))</f>
        <v>15000</v>
      </c>
      <c r="G7" s="38">
        <f>F7*D7</f>
        <v>150000</v>
      </c>
      <c r="H7" s="38">
        <f>IF(OR(G7&gt;75000,D7&gt;5),10%*G7,0)</f>
        <v>15000</v>
      </c>
      <c r="I7" s="38">
        <f>G7-H7</f>
        <v>135000</v>
      </c>
    </row>
    <row r="8" spans="1:9" x14ac:dyDescent="0.25">
      <c r="A8" s="64" t="s">
        <v>123</v>
      </c>
      <c r="B8" s="65"/>
      <c r="C8" s="65"/>
      <c r="D8" s="65"/>
      <c r="E8" s="65"/>
      <c r="F8" s="66"/>
      <c r="G8" s="39">
        <f>SUM(G3:G7)</f>
        <v>735000</v>
      </c>
      <c r="H8" s="38">
        <f>SUM(H3:H7)</f>
        <v>67500</v>
      </c>
      <c r="I8" s="39">
        <f>SUM(I3:I7)</f>
        <v>667500</v>
      </c>
    </row>
  </sheetData>
  <mergeCells count="1">
    <mergeCell ref="A8:F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50" zoomScaleNormal="150" workbookViewId="0">
      <selection activeCell="F17" sqref="F17"/>
    </sheetView>
  </sheetViews>
  <sheetFormatPr defaultRowHeight="15" x14ac:dyDescent="0.25"/>
  <cols>
    <col min="2" max="2" width="22" customWidth="1"/>
    <col min="3" max="3" width="11.28515625" customWidth="1"/>
    <col min="4" max="4" width="11.5703125" customWidth="1"/>
    <col min="5" max="5" width="10.7109375" customWidth="1"/>
    <col min="6" max="6" width="12" customWidth="1"/>
    <col min="7" max="7" width="14" customWidth="1"/>
    <col min="8" max="8" width="10.42578125" customWidth="1"/>
    <col min="9" max="9" width="11.5703125" customWidth="1"/>
  </cols>
  <sheetData>
    <row r="2" spans="1:9" ht="30" x14ac:dyDescent="0.25">
      <c r="A2" s="40" t="s">
        <v>90</v>
      </c>
      <c r="B2" s="40" t="s">
        <v>211</v>
      </c>
      <c r="C2" s="41" t="s">
        <v>212</v>
      </c>
      <c r="D2" s="41" t="s">
        <v>213</v>
      </c>
      <c r="E2" s="41" t="s">
        <v>214</v>
      </c>
      <c r="F2" s="41" t="s">
        <v>215</v>
      </c>
      <c r="G2" s="41" t="s">
        <v>216</v>
      </c>
      <c r="H2" s="41" t="s">
        <v>176</v>
      </c>
      <c r="I2" s="41" t="s">
        <v>186</v>
      </c>
    </row>
    <row r="3" spans="1:9" x14ac:dyDescent="0.25">
      <c r="A3" s="3">
        <v>1</v>
      </c>
      <c r="B3" s="3" t="s">
        <v>217</v>
      </c>
      <c r="C3" s="3" t="s">
        <v>222</v>
      </c>
      <c r="D3" s="3">
        <v>5</v>
      </c>
      <c r="E3" s="3" t="str">
        <f>IF(RIGHT(C3,1)="A","mouse",IF(RIGHT(C3,1)="B","keyboard","stabilizer"))</f>
        <v>keyboard</v>
      </c>
      <c r="F3" s="38">
        <f>IF(RIGHT(C3,1)="A",25000,IF(RIGHT(C3,1)="B",20000,15000))</f>
        <v>20000</v>
      </c>
      <c r="G3" s="38">
        <f>F3*D3</f>
        <v>100000</v>
      </c>
      <c r="H3" s="38">
        <f>IF(AND(G3&gt;75000,D3&gt;5),10%*G3,0)</f>
        <v>0</v>
      </c>
      <c r="I3" s="38">
        <f>G3-H3</f>
        <v>100000</v>
      </c>
    </row>
    <row r="4" spans="1:9" x14ac:dyDescent="0.25">
      <c r="A4" s="3">
        <v>2</v>
      </c>
      <c r="B4" s="3" t="s">
        <v>218</v>
      </c>
      <c r="C4" s="3" t="s">
        <v>223</v>
      </c>
      <c r="D4" s="3">
        <v>4</v>
      </c>
      <c r="E4" s="3" t="str">
        <f>IF(RIGHT(C4,1)="A","mouse",IF(RIGHT(C4,1)="B","keyboard","stabilizer"))</f>
        <v>stabilizer</v>
      </c>
      <c r="F4" s="38">
        <f>IF(RIGHT(C4,1)="A",25000,IF(RIGHT(C4,1)="B",20000,15000))</f>
        <v>15000</v>
      </c>
      <c r="G4" s="38">
        <f>F4*D4</f>
        <v>60000</v>
      </c>
      <c r="H4" s="38">
        <f>IF(AND(G4&gt;75000,D4&gt;5),10%*G4,0)</f>
        <v>0</v>
      </c>
      <c r="I4" s="38">
        <f>G4-H4</f>
        <v>60000</v>
      </c>
    </row>
    <row r="5" spans="1:9" x14ac:dyDescent="0.25">
      <c r="A5" s="3">
        <v>3</v>
      </c>
      <c r="B5" s="3" t="s">
        <v>219</v>
      </c>
      <c r="C5" s="3" t="s">
        <v>224</v>
      </c>
      <c r="D5" s="3">
        <v>15</v>
      </c>
      <c r="E5" s="3" t="str">
        <f>IF(RIGHT(C5,1)="A","mouse",IF(RIGHT(C5,1)="B","keyboard","stabilizer"))</f>
        <v>keyboard</v>
      </c>
      <c r="F5" s="38">
        <f>IF(RIGHT(C5,1)="A",25000,IF(RIGHT(C5,1)="B",20000,15000))</f>
        <v>20000</v>
      </c>
      <c r="G5" s="38">
        <f>F5*D5</f>
        <v>300000</v>
      </c>
      <c r="H5" s="38">
        <f>IF(AND(G5&gt;75000,D5&gt;5),10%*G5,0)</f>
        <v>30000</v>
      </c>
      <c r="I5" s="38">
        <f>G5-H5</f>
        <v>270000</v>
      </c>
    </row>
    <row r="6" spans="1:9" x14ac:dyDescent="0.25">
      <c r="A6" s="3">
        <v>4</v>
      </c>
      <c r="B6" s="3" t="s">
        <v>220</v>
      </c>
      <c r="C6" s="3" t="s">
        <v>225</v>
      </c>
      <c r="D6" s="3">
        <v>5</v>
      </c>
      <c r="E6" s="3" t="str">
        <f>IF(RIGHT(C6,1)="A","mouse",IF(RIGHT(C6,1)="B","keyboard","stabilizer"))</f>
        <v>mouse</v>
      </c>
      <c r="F6" s="38">
        <f>IF(RIGHT(C6,1)="A",25000,IF(RIGHT(C6,1)="B",20000,15000))</f>
        <v>25000</v>
      </c>
      <c r="G6" s="38">
        <f>F6*D6</f>
        <v>125000</v>
      </c>
      <c r="H6" s="38">
        <f>IF(AND(G6&gt;75000,D6&gt;5),10%*G6,0)</f>
        <v>0</v>
      </c>
      <c r="I6" s="38">
        <f>G6-H6</f>
        <v>125000</v>
      </c>
    </row>
    <row r="7" spans="1:9" x14ac:dyDescent="0.25">
      <c r="A7" s="3">
        <v>5</v>
      </c>
      <c r="B7" s="3" t="s">
        <v>221</v>
      </c>
      <c r="C7" s="3" t="s">
        <v>226</v>
      </c>
      <c r="D7" s="3">
        <v>10</v>
      </c>
      <c r="E7" s="3" t="str">
        <f>IF(RIGHT(C7,1)="A","mouse",IF(RIGHT(C7,1)="B","keyboard","stabilizer"))</f>
        <v>stabilizer</v>
      </c>
      <c r="F7" s="38">
        <f>IF(RIGHT(C7,1)="A",25000,IF(RIGHT(C7,1)="B",20000,15000))</f>
        <v>15000</v>
      </c>
      <c r="G7" s="38">
        <f>F7*D7</f>
        <v>150000</v>
      </c>
      <c r="H7" s="38">
        <f>IF(AND(G7&gt;75000,D7&gt;5),10%*G7,0)</f>
        <v>15000</v>
      </c>
      <c r="I7" s="38">
        <f>G7-H7</f>
        <v>135000</v>
      </c>
    </row>
    <row r="8" spans="1:9" x14ac:dyDescent="0.25">
      <c r="A8" s="64" t="s">
        <v>123</v>
      </c>
      <c r="B8" s="65"/>
      <c r="C8" s="65"/>
      <c r="D8" s="65"/>
      <c r="E8" s="65"/>
      <c r="F8" s="66"/>
      <c r="G8" s="39">
        <f>SUM(G3:G7)</f>
        <v>735000</v>
      </c>
      <c r="H8" s="38">
        <f>SUM(H3:H7)</f>
        <v>45000</v>
      </c>
      <c r="I8" s="39">
        <f>SUM(I3:I7)</f>
        <v>690000</v>
      </c>
    </row>
  </sheetData>
  <mergeCells count="1">
    <mergeCell ref="A8:F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50" zoomScaleNormal="150" workbookViewId="0">
      <selection activeCell="E18" sqref="E18"/>
    </sheetView>
  </sheetViews>
  <sheetFormatPr defaultRowHeight="15" x14ac:dyDescent="0.25"/>
  <cols>
    <col min="2" max="2" width="22" customWidth="1"/>
    <col min="3" max="3" width="11.28515625" customWidth="1"/>
    <col min="4" max="4" width="11.5703125" customWidth="1"/>
    <col min="5" max="5" width="10.7109375" customWidth="1"/>
    <col min="6" max="6" width="12" customWidth="1"/>
    <col min="7" max="7" width="14" customWidth="1"/>
    <col min="8" max="8" width="10.42578125" customWidth="1"/>
    <col min="9" max="9" width="11.5703125" customWidth="1"/>
  </cols>
  <sheetData>
    <row r="2" spans="1:9" ht="30" x14ac:dyDescent="0.25">
      <c r="A2" s="40" t="s">
        <v>90</v>
      </c>
      <c r="B2" s="40" t="s">
        <v>211</v>
      </c>
      <c r="C2" s="41" t="s">
        <v>212</v>
      </c>
      <c r="D2" s="41" t="s">
        <v>213</v>
      </c>
      <c r="E2" s="41" t="s">
        <v>214</v>
      </c>
      <c r="F2" s="41" t="s">
        <v>215</v>
      </c>
      <c r="G2" s="41" t="s">
        <v>216</v>
      </c>
      <c r="H2" s="41" t="s">
        <v>176</v>
      </c>
      <c r="I2" s="41" t="s">
        <v>186</v>
      </c>
    </row>
    <row r="3" spans="1:9" x14ac:dyDescent="0.25">
      <c r="A3" s="3">
        <v>1</v>
      </c>
      <c r="B3" s="3" t="s">
        <v>217</v>
      </c>
      <c r="C3" s="5" t="s">
        <v>227</v>
      </c>
      <c r="D3" s="5">
        <v>5</v>
      </c>
      <c r="E3" s="3" t="str">
        <f>IF(LEFT(C3,1)="A","mouse",IF(LEFT(C3,1)="B","keyboard","stabilizer"))</f>
        <v>keyboard</v>
      </c>
      <c r="F3" s="38">
        <f>IF(LEFT(C3,1)="A",25000,IF(LEFT(C3,1)="B",20000,15000))</f>
        <v>20000</v>
      </c>
      <c r="G3" s="38">
        <f>F3*D3</f>
        <v>100000</v>
      </c>
      <c r="H3" s="38">
        <f>IF(AND(G3&gt;75000,D3&gt;5),10%*G3,0)</f>
        <v>0</v>
      </c>
      <c r="I3" s="38">
        <f>G3-H3</f>
        <v>100000</v>
      </c>
    </row>
    <row r="4" spans="1:9" x14ac:dyDescent="0.25">
      <c r="A4" s="3">
        <v>2</v>
      </c>
      <c r="B4" s="3" t="s">
        <v>218</v>
      </c>
      <c r="C4" s="5" t="s">
        <v>228</v>
      </c>
      <c r="D4" s="5">
        <v>4</v>
      </c>
      <c r="E4" s="3" t="str">
        <f>IF(LEFT(C4,1)="A","mouse",IF(LEFT(C4,1)="B","keyboard","stabilizer"))</f>
        <v>stabilizer</v>
      </c>
      <c r="F4" s="38">
        <f>IF(LEFT(C4,1)="A",25000,IF(LEFT(C4,1)="B",20000,15000))</f>
        <v>15000</v>
      </c>
      <c r="G4" s="38">
        <f>F4*D4</f>
        <v>60000</v>
      </c>
      <c r="H4" s="38">
        <f>IF(AND(G4&gt;75000,D4&gt;5),10%*G4,0)</f>
        <v>0</v>
      </c>
      <c r="I4" s="38">
        <f>G4-H4</f>
        <v>60000</v>
      </c>
    </row>
    <row r="5" spans="1:9" x14ac:dyDescent="0.25">
      <c r="A5" s="3">
        <v>3</v>
      </c>
      <c r="B5" s="3" t="s">
        <v>219</v>
      </c>
      <c r="C5" s="5" t="s">
        <v>229</v>
      </c>
      <c r="D5" s="5">
        <v>15</v>
      </c>
      <c r="E5" s="3" t="str">
        <f>IF(LEFT(C5,1)="A","mouse",IF(LEFT(C5,1)="B","keyboard","stabilizer"))</f>
        <v>keyboard</v>
      </c>
      <c r="F5" s="38">
        <f>IF(LEFT(C5,1)="A",25000,IF(LEFT(C5,1)="B",20000,15000))</f>
        <v>20000</v>
      </c>
      <c r="G5" s="38">
        <f>F5*D5</f>
        <v>300000</v>
      </c>
      <c r="H5" s="38">
        <f>IF(AND(G5&gt;75000,D5&gt;5),10%*G5,0)</f>
        <v>30000</v>
      </c>
      <c r="I5" s="38">
        <f>G5-H5</f>
        <v>270000</v>
      </c>
    </row>
    <row r="6" spans="1:9" x14ac:dyDescent="0.25">
      <c r="A6" s="3">
        <v>4</v>
      </c>
      <c r="B6" s="3" t="s">
        <v>220</v>
      </c>
      <c r="C6" s="5" t="s">
        <v>230</v>
      </c>
      <c r="D6" s="5">
        <v>5</v>
      </c>
      <c r="E6" s="3" t="str">
        <f>IF(LEFT(C6,1)="A","mouse",IF(LEFT(C6,1)="B","keyboard","stabilizer"))</f>
        <v>mouse</v>
      </c>
      <c r="F6" s="38">
        <f>IF(LEFT(C6,1)="A",25000,IF(LEFT(C6,1)="B",20000,15000))</f>
        <v>25000</v>
      </c>
      <c r="G6" s="38">
        <f>F6*D6</f>
        <v>125000</v>
      </c>
      <c r="H6" s="38">
        <f>IF(AND(G6&gt;75000,D6&gt;5),10%*G6,0)</f>
        <v>0</v>
      </c>
      <c r="I6" s="38">
        <f>G6-H6</f>
        <v>125000</v>
      </c>
    </row>
    <row r="7" spans="1:9" x14ac:dyDescent="0.25">
      <c r="A7" s="3">
        <v>5</v>
      </c>
      <c r="B7" s="3" t="s">
        <v>221</v>
      </c>
      <c r="C7" s="5" t="s">
        <v>231</v>
      </c>
      <c r="D7" s="5">
        <v>10</v>
      </c>
      <c r="E7" s="3" t="str">
        <f>IF(LEFT(C7,1)="A","mouse",IF(LEFT(C7,1)="B","keyboard","stabilizer"))</f>
        <v>stabilizer</v>
      </c>
      <c r="F7" s="38">
        <f>IF(LEFT(C7,1)="A",25000,IF(LEFT(C7,1)="B",20000,15000))</f>
        <v>15000</v>
      </c>
      <c r="G7" s="38">
        <f>F7*D7</f>
        <v>150000</v>
      </c>
      <c r="H7" s="38">
        <f>IF(AND(G7&gt;75000,D7&gt;5),10%*G7,0)</f>
        <v>15000</v>
      </c>
      <c r="I7" s="38">
        <f>G7-H7</f>
        <v>135000</v>
      </c>
    </row>
    <row r="8" spans="1:9" x14ac:dyDescent="0.25">
      <c r="A8" s="64" t="s">
        <v>123</v>
      </c>
      <c r="B8" s="65"/>
      <c r="C8" s="65"/>
      <c r="D8" s="65"/>
      <c r="E8" s="65"/>
      <c r="F8" s="66"/>
      <c r="G8" s="39">
        <f>SUM(G3:G7)</f>
        <v>735000</v>
      </c>
      <c r="H8" s="38">
        <f>SUM(H3:H7)</f>
        <v>45000</v>
      </c>
      <c r="I8" s="39">
        <f>SUM(I3:I7)</f>
        <v>690000</v>
      </c>
    </row>
  </sheetData>
  <mergeCells count="1">
    <mergeCell ref="A8:F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zoomScale="150" zoomScaleNormal="150" workbookViewId="0">
      <selection activeCell="H5" sqref="H5"/>
    </sheetView>
  </sheetViews>
  <sheetFormatPr defaultRowHeight="15" x14ac:dyDescent="0.25"/>
  <cols>
    <col min="2" max="2" width="22" customWidth="1"/>
    <col min="3" max="3" width="11.28515625" customWidth="1"/>
    <col min="4" max="4" width="11.5703125" customWidth="1"/>
    <col min="5" max="5" width="10.7109375" customWidth="1"/>
    <col min="6" max="6" width="12" customWidth="1"/>
    <col min="7" max="7" width="14" customWidth="1"/>
    <col min="8" max="8" width="10.42578125" customWidth="1"/>
    <col min="9" max="9" width="11.5703125" customWidth="1"/>
  </cols>
  <sheetData>
    <row r="2" spans="1:9" ht="30" x14ac:dyDescent="0.25">
      <c r="A2" s="40" t="s">
        <v>90</v>
      </c>
      <c r="B2" s="40" t="s">
        <v>211</v>
      </c>
      <c r="C2" s="41" t="s">
        <v>212</v>
      </c>
      <c r="D2" s="41" t="s">
        <v>213</v>
      </c>
      <c r="E2" s="41" t="s">
        <v>214</v>
      </c>
      <c r="F2" s="41" t="s">
        <v>215</v>
      </c>
      <c r="G2" s="41" t="s">
        <v>216</v>
      </c>
      <c r="H2" s="41" t="s">
        <v>176</v>
      </c>
      <c r="I2" s="41" t="s">
        <v>186</v>
      </c>
    </row>
    <row r="3" spans="1:9" x14ac:dyDescent="0.25">
      <c r="A3" s="3">
        <v>1</v>
      </c>
      <c r="B3" s="3" t="s">
        <v>217</v>
      </c>
      <c r="C3" s="5" t="s">
        <v>232</v>
      </c>
      <c r="D3" s="5">
        <v>5</v>
      </c>
      <c r="E3" s="3" t="str">
        <f>IF(MID(C3,2,1)="A","mouse",IF(MID(C3,2,1)="B","keyboard","stabilizer"))</f>
        <v>keyboard</v>
      </c>
      <c r="F3" s="38">
        <f>IF(MID(C3,2,1)="A",25000,IF(MID(C3,2,1)="B",20000,15000))</f>
        <v>20000</v>
      </c>
      <c r="G3" s="38">
        <f>F3*D3</f>
        <v>100000</v>
      </c>
      <c r="H3" s="38">
        <f>IF(AND(G3&gt;75000,D3&gt;5),(IF(LEFT(C3,1)="1",5%,10%))*G3,0)</f>
        <v>0</v>
      </c>
      <c r="I3" s="38">
        <f>G3-H3</f>
        <v>100000</v>
      </c>
    </row>
    <row r="4" spans="1:9" x14ac:dyDescent="0.25">
      <c r="A4" s="3">
        <v>2</v>
      </c>
      <c r="B4" s="3" t="s">
        <v>218</v>
      </c>
      <c r="C4" s="5" t="s">
        <v>233</v>
      </c>
      <c r="D4" s="5">
        <v>4</v>
      </c>
      <c r="E4" s="3" t="str">
        <f>IF(MID(C4,2,1)="A","mouse",IF(MID(C4,2,1)="B","keyboard","stabilizer"))</f>
        <v>stabilizer</v>
      </c>
      <c r="F4" s="38">
        <f>IF(MID(C4,2,1)="A",25000,IF(MID(C4,2,1)="B",20000,15000))</f>
        <v>15000</v>
      </c>
      <c r="G4" s="38">
        <f>F4*D4</f>
        <v>60000</v>
      </c>
      <c r="H4" s="38">
        <f>IF(AND(G4&gt;75000,D4&gt;5),(IF(LEFT(C4,1)="1",5%,10%))*G4,0)</f>
        <v>0</v>
      </c>
      <c r="I4" s="38">
        <f>G4-H4</f>
        <v>60000</v>
      </c>
    </row>
    <row r="5" spans="1:9" x14ac:dyDescent="0.25">
      <c r="A5" s="3">
        <v>3</v>
      </c>
      <c r="B5" s="3" t="s">
        <v>219</v>
      </c>
      <c r="C5" s="5" t="s">
        <v>234</v>
      </c>
      <c r="D5" s="5">
        <v>15</v>
      </c>
      <c r="E5" s="3" t="str">
        <f>IF(MID(C5,2,1)="A","mouse",IF(MID(C5,2,1)="B","keyboard","stabilizer"))</f>
        <v>keyboard</v>
      </c>
      <c r="F5" s="38">
        <f>IF(MID(C5,2,1)="A",25000,IF(MID(C5,2,1)="B",20000,15000))</f>
        <v>20000</v>
      </c>
      <c r="G5" s="38">
        <f>F5*D5</f>
        <v>300000</v>
      </c>
      <c r="H5" s="38">
        <f>IF(AND(G5&gt;75000,D5&gt;5),(IF(LEFT(C5,1)="1",5%,10%))*G5,0)</f>
        <v>30000</v>
      </c>
      <c r="I5" s="38">
        <f>G5-H5</f>
        <v>270000</v>
      </c>
    </row>
    <row r="6" spans="1:9" x14ac:dyDescent="0.25">
      <c r="A6" s="3">
        <v>4</v>
      </c>
      <c r="B6" s="3" t="s">
        <v>220</v>
      </c>
      <c r="C6" s="5" t="s">
        <v>235</v>
      </c>
      <c r="D6" s="5">
        <v>5</v>
      </c>
      <c r="E6" s="3" t="str">
        <f>IF(MID(C6,2,1)="A","mouse",IF(MID(C6,2,1)="B","keyboard","stabilizer"))</f>
        <v>mouse</v>
      </c>
      <c r="F6" s="38">
        <f>IF(MID(C6,2,1)="A",25000,IF(MID(C6,2,1)="B",20000,15000))</f>
        <v>25000</v>
      </c>
      <c r="G6" s="38">
        <f>F6*D6</f>
        <v>125000</v>
      </c>
      <c r="H6" s="38">
        <f>IF(AND(G6&gt;75000,D6&gt;5),(IF(LEFT(C6,1)="1",5%,10%))*G6,0)</f>
        <v>0</v>
      </c>
      <c r="I6" s="38">
        <f>G6-H6</f>
        <v>125000</v>
      </c>
    </row>
    <row r="7" spans="1:9" x14ac:dyDescent="0.25">
      <c r="A7" s="3">
        <v>5</v>
      </c>
      <c r="B7" s="3" t="s">
        <v>221</v>
      </c>
      <c r="C7" s="5" t="s">
        <v>236</v>
      </c>
      <c r="D7" s="5">
        <v>10</v>
      </c>
      <c r="E7" s="3" t="str">
        <f>IF(MID(C7,2,1)="A","mouse",IF(MID(C7,2,1)="B","keyboard","stabilizer"))</f>
        <v>stabilizer</v>
      </c>
      <c r="F7" s="38">
        <f>IF(MID(C7,2,1)="A",25000,IF(MID(C7,2,1)="B",20000,15000))</f>
        <v>15000</v>
      </c>
      <c r="G7" s="38">
        <f>F7*D7</f>
        <v>150000</v>
      </c>
      <c r="H7" s="38">
        <f>IF(AND(G7&gt;75000,D7&gt;5),(IF(LEFT(C7,1)="1",5%,10%))*G7,0)</f>
        <v>15000</v>
      </c>
      <c r="I7" s="38">
        <f>G7-H7</f>
        <v>135000</v>
      </c>
    </row>
    <row r="8" spans="1:9" x14ac:dyDescent="0.25">
      <c r="A8" s="64" t="s">
        <v>123</v>
      </c>
      <c r="B8" s="65"/>
      <c r="C8" s="65"/>
      <c r="D8" s="65"/>
      <c r="E8" s="65"/>
      <c r="F8" s="66"/>
      <c r="G8" s="39">
        <f>SUM(G3:G7)</f>
        <v>735000</v>
      </c>
      <c r="H8" s="38">
        <f>SUM(H3:H7)</f>
        <v>45000</v>
      </c>
      <c r="I8" s="39">
        <f>SUM(I3:I7)</f>
        <v>690000</v>
      </c>
    </row>
    <row r="10" spans="1:9" x14ac:dyDescent="0.25">
      <c r="D10">
        <f>IF(AND(G3&gt;75000,D3&gt;5),10%*G3,0)</f>
        <v>0</v>
      </c>
    </row>
  </sheetData>
  <mergeCells count="1">
    <mergeCell ref="A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zoomScale="140" zoomScaleNormal="140" workbookViewId="0">
      <selection activeCell="C21" sqref="C20:C21"/>
    </sheetView>
  </sheetViews>
  <sheetFormatPr defaultRowHeight="15" x14ac:dyDescent="0.25"/>
  <cols>
    <col min="1" max="1" width="14.42578125" customWidth="1"/>
    <col min="2" max="2" width="11.5703125" customWidth="1"/>
    <col min="4" max="4" width="11.140625" customWidth="1"/>
  </cols>
  <sheetData>
    <row r="1" spans="1:3" x14ac:dyDescent="0.25">
      <c r="A1" s="60" t="s">
        <v>12</v>
      </c>
      <c r="B1" s="60"/>
    </row>
    <row r="3" spans="1:3" x14ac:dyDescent="0.25">
      <c r="A3" s="5" t="s">
        <v>13</v>
      </c>
      <c r="B3" s="5" t="s">
        <v>14</v>
      </c>
    </row>
    <row r="4" spans="1:3" x14ac:dyDescent="0.25">
      <c r="A4" s="3" t="s">
        <v>15</v>
      </c>
      <c r="B4" s="3">
        <v>55</v>
      </c>
    </row>
    <row r="5" spans="1:3" x14ac:dyDescent="0.25">
      <c r="A5" s="3" t="s">
        <v>16</v>
      </c>
      <c r="B5" s="3">
        <v>80</v>
      </c>
    </row>
    <row r="6" spans="1:3" x14ac:dyDescent="0.25">
      <c r="A6" s="3" t="s">
        <v>17</v>
      </c>
      <c r="B6" s="3">
        <v>84</v>
      </c>
    </row>
    <row r="7" spans="1:3" x14ac:dyDescent="0.25">
      <c r="A7" s="3" t="s">
        <v>18</v>
      </c>
      <c r="B7" s="3">
        <v>70</v>
      </c>
    </row>
    <row r="8" spans="1:3" x14ac:dyDescent="0.25">
      <c r="A8" s="3" t="s">
        <v>19</v>
      </c>
      <c r="B8" s="3">
        <v>43</v>
      </c>
    </row>
    <row r="9" spans="1:3" x14ac:dyDescent="0.25">
      <c r="A9" s="3" t="s">
        <v>20</v>
      </c>
      <c r="B9" s="3">
        <v>75</v>
      </c>
    </row>
    <row r="10" spans="1:3" x14ac:dyDescent="0.25">
      <c r="A10" s="3" t="s">
        <v>21</v>
      </c>
      <c r="B10" s="3">
        <v>80</v>
      </c>
    </row>
    <row r="11" spans="1:3" x14ac:dyDescent="0.25">
      <c r="A11" s="3" t="s">
        <v>22</v>
      </c>
      <c r="B11" s="3">
        <v>50</v>
      </c>
    </row>
    <row r="12" spans="1:3" x14ac:dyDescent="0.25">
      <c r="A12" s="3" t="s">
        <v>23</v>
      </c>
      <c r="B12" s="3">
        <v>90</v>
      </c>
    </row>
    <row r="13" spans="1:3" x14ac:dyDescent="0.25">
      <c r="A13" s="3"/>
      <c r="B13" s="3"/>
      <c r="C13" t="s">
        <v>29</v>
      </c>
    </row>
    <row r="14" spans="1:3" x14ac:dyDescent="0.25">
      <c r="A14" s="3" t="s">
        <v>24</v>
      </c>
      <c r="B14" s="3">
        <f>SUM($B$4:$B$12)</f>
        <v>627</v>
      </c>
      <c r="C14" t="s">
        <v>30</v>
      </c>
    </row>
    <row r="15" spans="1:3" x14ac:dyDescent="0.25">
      <c r="A15" s="3" t="s">
        <v>25</v>
      </c>
      <c r="B15" s="3">
        <f>MIN($B$4:$B$12)</f>
        <v>43</v>
      </c>
      <c r="C15" t="s">
        <v>31</v>
      </c>
    </row>
    <row r="16" spans="1:3" x14ac:dyDescent="0.25">
      <c r="A16" s="3" t="s">
        <v>26</v>
      </c>
      <c r="B16" s="3">
        <f>MAX($B$4:$B$12)</f>
        <v>90</v>
      </c>
      <c r="C16" t="s">
        <v>32</v>
      </c>
    </row>
    <row r="17" spans="1:3" x14ac:dyDescent="0.25">
      <c r="A17" s="3" t="s">
        <v>27</v>
      </c>
      <c r="B17" s="3">
        <f>AVERAGE($B$4:$B$12)</f>
        <v>69.666666666666671</v>
      </c>
      <c r="C17" t="s">
        <v>33</v>
      </c>
    </row>
    <row r="18" spans="1:3" x14ac:dyDescent="0.25">
      <c r="A18" s="3" t="s">
        <v>28</v>
      </c>
      <c r="B18" s="3">
        <f>COUNT($B$4:$B$12)</f>
        <v>9</v>
      </c>
      <c r="C18" t="s">
        <v>34</v>
      </c>
    </row>
    <row r="251" spans="1:1" x14ac:dyDescent="0.25">
      <c r="A251" t="s">
        <v>35</v>
      </c>
    </row>
  </sheetData>
  <mergeCells count="1">
    <mergeCell ref="A1:B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opLeftCell="B1" zoomScale="130" zoomScaleNormal="130" workbookViewId="0">
      <selection activeCell="F6" sqref="F6"/>
    </sheetView>
  </sheetViews>
  <sheetFormatPr defaultRowHeight="15" x14ac:dyDescent="0.25"/>
  <cols>
    <col min="2" max="2" width="21.28515625" customWidth="1"/>
    <col min="3" max="3" width="10.7109375" customWidth="1"/>
    <col min="4" max="4" width="11.140625" customWidth="1"/>
    <col min="5" max="5" width="11.85546875" customWidth="1"/>
    <col min="6" max="6" width="13.5703125" customWidth="1"/>
    <col min="7" max="7" width="15" customWidth="1"/>
    <col min="8" max="8" width="13.85546875" customWidth="1"/>
    <col min="9" max="9" width="13.7109375" customWidth="1"/>
    <col min="10" max="10" width="14.5703125" bestFit="1" customWidth="1"/>
  </cols>
  <sheetData>
    <row r="3" spans="1:10" ht="30" x14ac:dyDescent="0.25">
      <c r="A3" s="31" t="s">
        <v>3</v>
      </c>
      <c r="B3" s="31" t="s">
        <v>237</v>
      </c>
      <c r="C3" s="32" t="s">
        <v>238</v>
      </c>
      <c r="D3" s="32" t="s">
        <v>239</v>
      </c>
      <c r="E3" s="31" t="s">
        <v>119</v>
      </c>
      <c r="F3" s="31" t="s">
        <v>240</v>
      </c>
      <c r="G3" s="31" t="s">
        <v>241</v>
      </c>
      <c r="H3" s="31" t="s">
        <v>242</v>
      </c>
      <c r="I3" s="32" t="s">
        <v>243</v>
      </c>
      <c r="J3" s="32" t="s">
        <v>244</v>
      </c>
    </row>
    <row r="4" spans="1:10" x14ac:dyDescent="0.25">
      <c r="A4" s="3">
        <v>1</v>
      </c>
      <c r="B4" s="3" t="s">
        <v>245</v>
      </c>
      <c r="C4" s="5" t="s">
        <v>265</v>
      </c>
      <c r="D4" s="3" t="str">
        <f>IF(RIGHT(C4,1)="1","Menikah",IF(RIGHT(C4,1)="0","Bujang","FALSE"))</f>
        <v>Menikah</v>
      </c>
      <c r="E4" s="3" t="str">
        <f>IF(MID(C4,2,1)="A","Komputer",IF(MID(C4,2,1)="B","Bimbel","B.Inggris"))</f>
        <v>Komputer</v>
      </c>
      <c r="F4" s="3" t="str">
        <f>IF(LEFT(C4,1)="1","Denmas",IF(LEFT(C4,1)="2","Diploma","Sarjana"))</f>
        <v>Denmas</v>
      </c>
      <c r="G4" s="43">
        <f>IF(F4="Denmas",800000,IF(F4="Diploma",900000,1000000))</f>
        <v>800000</v>
      </c>
      <c r="H4" s="43">
        <f t="shared" ref="H4:H13" si="0">IF(AND(E4="komputer",D4="bujang"),200000,IF(AND(E4="komputer",D4="menikah"),300000,IF(AND(E4="bimbel",D4="bujang"),150000,IF(AND(E4="bimbel",D4="menikah"),175000,IF(AND(E4="B.inggris",D4="bujang"),100000,130000)))))</f>
        <v>300000</v>
      </c>
      <c r="I4" s="10">
        <f>IF(G4&gt;=1000000,10%*G4,5%*G4)</f>
        <v>40000</v>
      </c>
      <c r="J4" s="10">
        <f>G4+H4-I4</f>
        <v>1060000</v>
      </c>
    </row>
    <row r="5" spans="1:10" x14ac:dyDescent="0.25">
      <c r="A5" s="3">
        <v>2</v>
      </c>
      <c r="B5" s="3" t="s">
        <v>246</v>
      </c>
      <c r="C5" s="5" t="s">
        <v>266</v>
      </c>
      <c r="D5" s="3" t="str">
        <f t="shared" ref="D5:D13" si="1">IF(RIGHT(C5,1)="1","Menikah",IF(RIGHT(C5,1)="0","Bujang","FALSE"))</f>
        <v>Bujang</v>
      </c>
      <c r="E5" s="3" t="str">
        <f t="shared" ref="E5:E13" si="2">IF(MID(C5,2,1)="A","Komputer",IF(MID(C5,2,1)="B","Bimbel","B.Inggris"))</f>
        <v>Bimbel</v>
      </c>
      <c r="F5" s="3" t="str">
        <f t="shared" ref="F5:F13" si="3">IF(LEFT(C5,1)="1","Denmas",IF(LEFT(C5,1)="2","Diploma","Sarjana"))</f>
        <v>Diploma</v>
      </c>
      <c r="G5" s="43">
        <f t="shared" ref="G5:G13" si="4">IF(F5="Denmas",800000,IF(F5="Diploma",900000,1000000))</f>
        <v>900000</v>
      </c>
      <c r="H5" s="43">
        <f>IF(AND(E5="komputer",D5="bujang"),200000,IF(AND(E5="komputer",D5="menikah"),300000,IF(AND(E5="bimbel",D5="bujang"),150000,IF(AND(E5="bimbel",D5="menikah"),175000,IF(AND(E5="B.inggris",D5="bujang"),100000,130000)))))</f>
        <v>150000</v>
      </c>
      <c r="I5" s="10">
        <f t="shared" ref="I5:I13" si="5">IF(G5&gt;=1000000,10%*G5,5%*G5)</f>
        <v>45000</v>
      </c>
      <c r="J5" s="10">
        <f t="shared" ref="J5:J13" si="6">G5+H5-I5</f>
        <v>1005000</v>
      </c>
    </row>
    <row r="6" spans="1:10" x14ac:dyDescent="0.25">
      <c r="A6" s="3">
        <v>3</v>
      </c>
      <c r="B6" s="3" t="s">
        <v>247</v>
      </c>
      <c r="C6" s="5" t="s">
        <v>268</v>
      </c>
      <c r="D6" s="3" t="str">
        <f t="shared" si="1"/>
        <v>Menikah</v>
      </c>
      <c r="E6" s="3" t="str">
        <f t="shared" si="2"/>
        <v>B.Inggris</v>
      </c>
      <c r="F6" s="3" t="str">
        <f t="shared" si="3"/>
        <v>Sarjana</v>
      </c>
      <c r="G6" s="43">
        <f t="shared" si="4"/>
        <v>1000000</v>
      </c>
      <c r="H6" s="43">
        <f t="shared" si="0"/>
        <v>130000</v>
      </c>
      <c r="I6" s="10">
        <f t="shared" si="5"/>
        <v>100000</v>
      </c>
      <c r="J6" s="10">
        <f t="shared" si="6"/>
        <v>1030000</v>
      </c>
    </row>
    <row r="7" spans="1:10" x14ac:dyDescent="0.25">
      <c r="A7" s="3">
        <v>4</v>
      </c>
      <c r="B7" s="3" t="s">
        <v>248</v>
      </c>
      <c r="C7" s="5" t="s">
        <v>269</v>
      </c>
      <c r="D7" s="3" t="str">
        <f t="shared" si="1"/>
        <v>Bujang</v>
      </c>
      <c r="E7" s="3" t="str">
        <f t="shared" si="2"/>
        <v>Bimbel</v>
      </c>
      <c r="F7" s="3" t="str">
        <f t="shared" si="3"/>
        <v>Denmas</v>
      </c>
      <c r="G7" s="43">
        <f t="shared" si="4"/>
        <v>800000</v>
      </c>
      <c r="H7" s="43">
        <f t="shared" si="0"/>
        <v>150000</v>
      </c>
      <c r="I7" s="10">
        <f t="shared" si="5"/>
        <v>40000</v>
      </c>
      <c r="J7" s="10">
        <f t="shared" si="6"/>
        <v>910000</v>
      </c>
    </row>
    <row r="8" spans="1:10" x14ac:dyDescent="0.25">
      <c r="A8" s="3">
        <v>5</v>
      </c>
      <c r="B8" s="3" t="s">
        <v>249</v>
      </c>
      <c r="C8" s="5" t="s">
        <v>270</v>
      </c>
      <c r="D8" s="3" t="str">
        <f t="shared" si="1"/>
        <v>Menikah</v>
      </c>
      <c r="E8" s="3" t="str">
        <f t="shared" si="2"/>
        <v>Komputer</v>
      </c>
      <c r="F8" s="3" t="str">
        <f t="shared" si="3"/>
        <v>Diploma</v>
      </c>
      <c r="G8" s="43">
        <f t="shared" si="4"/>
        <v>900000</v>
      </c>
      <c r="H8" s="43">
        <f t="shared" si="0"/>
        <v>300000</v>
      </c>
      <c r="I8" s="10">
        <f t="shared" si="5"/>
        <v>45000</v>
      </c>
      <c r="J8" s="10">
        <f t="shared" si="6"/>
        <v>1155000</v>
      </c>
    </row>
    <row r="9" spans="1:10" x14ac:dyDescent="0.25">
      <c r="A9" s="3">
        <v>6</v>
      </c>
      <c r="B9" s="3" t="s">
        <v>250</v>
      </c>
      <c r="C9" s="5" t="s">
        <v>267</v>
      </c>
      <c r="D9" s="3" t="str">
        <f t="shared" si="1"/>
        <v>Bujang</v>
      </c>
      <c r="E9" s="3" t="str">
        <f t="shared" si="2"/>
        <v>Bimbel</v>
      </c>
      <c r="F9" s="3" t="str">
        <f t="shared" si="3"/>
        <v>Sarjana</v>
      </c>
      <c r="G9" s="43">
        <f t="shared" si="4"/>
        <v>1000000</v>
      </c>
      <c r="H9" s="43">
        <f t="shared" si="0"/>
        <v>150000</v>
      </c>
      <c r="I9" s="10">
        <f t="shared" si="5"/>
        <v>100000</v>
      </c>
      <c r="J9" s="10">
        <f t="shared" si="6"/>
        <v>1050000</v>
      </c>
    </row>
    <row r="10" spans="1:10" x14ac:dyDescent="0.25">
      <c r="A10" s="3">
        <v>7</v>
      </c>
      <c r="B10" s="3" t="s">
        <v>251</v>
      </c>
      <c r="C10" s="5" t="s">
        <v>271</v>
      </c>
      <c r="D10" s="3" t="str">
        <f t="shared" si="1"/>
        <v>Menikah</v>
      </c>
      <c r="E10" s="3" t="str">
        <f t="shared" si="2"/>
        <v>Komputer</v>
      </c>
      <c r="F10" s="3" t="str">
        <f t="shared" si="3"/>
        <v>Sarjana</v>
      </c>
      <c r="G10" s="43">
        <f t="shared" si="4"/>
        <v>1000000</v>
      </c>
      <c r="H10" s="43">
        <f t="shared" si="0"/>
        <v>300000</v>
      </c>
      <c r="I10" s="10">
        <f t="shared" si="5"/>
        <v>100000</v>
      </c>
      <c r="J10" s="10">
        <f t="shared" si="6"/>
        <v>1200000</v>
      </c>
    </row>
    <row r="11" spans="1:10" x14ac:dyDescent="0.25">
      <c r="A11" s="3">
        <v>8</v>
      </c>
      <c r="B11" s="3" t="s">
        <v>252</v>
      </c>
      <c r="C11" s="5" t="s">
        <v>233</v>
      </c>
      <c r="D11" s="3" t="str">
        <f t="shared" si="1"/>
        <v>Menikah</v>
      </c>
      <c r="E11" s="3" t="str">
        <f t="shared" si="2"/>
        <v>B.Inggris</v>
      </c>
      <c r="F11" s="3" t="str">
        <f t="shared" si="3"/>
        <v>Denmas</v>
      </c>
      <c r="G11" s="43">
        <f t="shared" si="4"/>
        <v>800000</v>
      </c>
      <c r="H11" s="43">
        <f t="shared" si="0"/>
        <v>130000</v>
      </c>
      <c r="I11" s="10">
        <f t="shared" si="5"/>
        <v>40000</v>
      </c>
      <c r="J11" s="10">
        <f t="shared" si="6"/>
        <v>890000</v>
      </c>
    </row>
    <row r="12" spans="1:10" x14ac:dyDescent="0.25">
      <c r="A12" s="3">
        <v>9</v>
      </c>
      <c r="B12" s="3" t="s">
        <v>253</v>
      </c>
      <c r="C12" s="5" t="s">
        <v>272</v>
      </c>
      <c r="D12" s="3" t="str">
        <f t="shared" si="1"/>
        <v>Bujang</v>
      </c>
      <c r="E12" s="3" t="str">
        <f t="shared" si="2"/>
        <v>B.Inggris</v>
      </c>
      <c r="F12" s="3" t="str">
        <f t="shared" si="3"/>
        <v>Diploma</v>
      </c>
      <c r="G12" s="43">
        <f t="shared" si="4"/>
        <v>900000</v>
      </c>
      <c r="H12" s="43">
        <f t="shared" si="0"/>
        <v>100000</v>
      </c>
      <c r="I12" s="10">
        <f t="shared" si="5"/>
        <v>45000</v>
      </c>
      <c r="J12" s="10">
        <f t="shared" si="6"/>
        <v>955000</v>
      </c>
    </row>
    <row r="13" spans="1:10" x14ac:dyDescent="0.25">
      <c r="A13" s="3">
        <v>10</v>
      </c>
      <c r="B13" s="3" t="s">
        <v>254</v>
      </c>
      <c r="C13" s="5" t="s">
        <v>266</v>
      </c>
      <c r="D13" s="3" t="str">
        <f t="shared" si="1"/>
        <v>Bujang</v>
      </c>
      <c r="E13" s="3" t="str">
        <f t="shared" si="2"/>
        <v>Bimbel</v>
      </c>
      <c r="F13" s="3" t="str">
        <f t="shared" si="3"/>
        <v>Diploma</v>
      </c>
      <c r="G13" s="43">
        <f t="shared" si="4"/>
        <v>900000</v>
      </c>
      <c r="H13" s="43">
        <f t="shared" si="0"/>
        <v>150000</v>
      </c>
      <c r="I13" s="10">
        <f t="shared" si="5"/>
        <v>45000</v>
      </c>
      <c r="J13" s="10">
        <f t="shared" si="6"/>
        <v>1005000</v>
      </c>
    </row>
    <row r="14" spans="1:10" x14ac:dyDescent="0.25">
      <c r="A14" s="64" t="s">
        <v>24</v>
      </c>
      <c r="B14" s="65"/>
      <c r="C14" s="65"/>
      <c r="D14" s="65"/>
      <c r="E14" s="65"/>
      <c r="F14" s="65"/>
      <c r="G14" s="65"/>
      <c r="H14" s="65"/>
      <c r="I14" s="66"/>
      <c r="J14" s="10">
        <f>SUM(J4:J13)</f>
        <v>10260000</v>
      </c>
    </row>
    <row r="17" spans="1:9" x14ac:dyDescent="0.25">
      <c r="A17" s="80" t="s">
        <v>255</v>
      </c>
      <c r="B17" s="80" t="s">
        <v>119</v>
      </c>
      <c r="C17" s="78" t="s">
        <v>242</v>
      </c>
      <c r="D17" s="79"/>
      <c r="F17" s="42" t="s">
        <v>261</v>
      </c>
      <c r="G17" s="5">
        <v>1</v>
      </c>
      <c r="H17" s="5">
        <v>2</v>
      </c>
      <c r="I17" s="5">
        <v>3</v>
      </c>
    </row>
    <row r="18" spans="1:9" x14ac:dyDescent="0.25">
      <c r="A18" s="81"/>
      <c r="B18" s="81"/>
      <c r="C18" s="42" t="s">
        <v>256</v>
      </c>
      <c r="D18" s="42" t="s">
        <v>257</v>
      </c>
      <c r="F18" s="42" t="s">
        <v>240</v>
      </c>
      <c r="G18" s="3" t="s">
        <v>262</v>
      </c>
      <c r="H18" s="3" t="s">
        <v>263</v>
      </c>
      <c r="I18" s="3" t="s">
        <v>264</v>
      </c>
    </row>
    <row r="19" spans="1:9" x14ac:dyDescent="0.25">
      <c r="A19" s="3" t="s">
        <v>124</v>
      </c>
      <c r="B19" s="3" t="s">
        <v>258</v>
      </c>
      <c r="C19" s="3">
        <v>200000</v>
      </c>
      <c r="D19" s="3">
        <v>300000</v>
      </c>
      <c r="F19" s="42" t="s">
        <v>241</v>
      </c>
      <c r="G19" s="3">
        <v>800000</v>
      </c>
      <c r="H19" s="3">
        <v>900000</v>
      </c>
      <c r="I19" s="3">
        <v>1000000</v>
      </c>
    </row>
    <row r="20" spans="1:9" x14ac:dyDescent="0.25">
      <c r="A20" s="3" t="s">
        <v>125</v>
      </c>
      <c r="B20" s="3" t="s">
        <v>259</v>
      </c>
      <c r="C20" s="3">
        <v>150000</v>
      </c>
      <c r="D20" s="3">
        <v>175000</v>
      </c>
    </row>
    <row r="21" spans="1:9" x14ac:dyDescent="0.25">
      <c r="A21" s="3" t="s">
        <v>126</v>
      </c>
      <c r="B21" s="3" t="s">
        <v>260</v>
      </c>
      <c r="C21" s="3">
        <v>100000</v>
      </c>
      <c r="D21" s="3">
        <v>130000</v>
      </c>
    </row>
  </sheetData>
  <mergeCells count="4">
    <mergeCell ref="A14:I14"/>
    <mergeCell ref="C17:D17"/>
    <mergeCell ref="B17:B18"/>
    <mergeCell ref="A17:A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20" zoomScaleNormal="120" workbookViewId="0">
      <selection activeCell="H4" sqref="H4"/>
    </sheetView>
  </sheetViews>
  <sheetFormatPr defaultRowHeight="15" x14ac:dyDescent="0.25"/>
  <cols>
    <col min="2" max="2" width="21.28515625" customWidth="1"/>
    <col min="3" max="3" width="10.7109375" customWidth="1"/>
    <col min="4" max="4" width="11.140625" customWidth="1"/>
    <col min="5" max="5" width="11.85546875" customWidth="1"/>
    <col min="6" max="6" width="13.5703125" customWidth="1"/>
    <col min="7" max="7" width="15" customWidth="1"/>
    <col min="8" max="8" width="13.85546875" customWidth="1"/>
    <col min="9" max="9" width="13.7109375" customWidth="1"/>
    <col min="10" max="10" width="15" customWidth="1"/>
  </cols>
  <sheetData>
    <row r="1" spans="1:10" x14ac:dyDescent="0.25">
      <c r="A1" t="s">
        <v>273</v>
      </c>
    </row>
    <row r="3" spans="1:10" ht="30" x14ac:dyDescent="0.25">
      <c r="A3" s="31" t="s">
        <v>3</v>
      </c>
      <c r="B3" s="31" t="s">
        <v>237</v>
      </c>
      <c r="C3" s="32" t="s">
        <v>238</v>
      </c>
      <c r="D3" s="32" t="s">
        <v>239</v>
      </c>
      <c r="E3" s="31" t="s">
        <v>119</v>
      </c>
      <c r="F3" s="31" t="s">
        <v>240</v>
      </c>
      <c r="G3" s="31" t="s">
        <v>241</v>
      </c>
      <c r="H3" s="31" t="s">
        <v>242</v>
      </c>
      <c r="I3" s="32" t="s">
        <v>243</v>
      </c>
      <c r="J3" s="32" t="s">
        <v>244</v>
      </c>
    </row>
    <row r="4" spans="1:10" x14ac:dyDescent="0.25">
      <c r="A4" s="3">
        <v>1</v>
      </c>
      <c r="B4" s="3" t="s">
        <v>245</v>
      </c>
      <c r="C4" s="5" t="s">
        <v>265</v>
      </c>
      <c r="D4" s="3" t="str">
        <f>IF(RIGHT(C4,1)="1","Menikah",IF(RIGHT(C4,1)="0","Bujang","FALSE"))</f>
        <v>Menikah</v>
      </c>
      <c r="E4" s="3" t="str">
        <f>VLOOKUP(MID(C4,2,1),$A$19:$B$21,2,FALSE)</f>
        <v>Komputer</v>
      </c>
      <c r="F4" s="3" t="str">
        <f t="shared" ref="F4:F13" si="0">HLOOKUP(VALUE(LEFT(C4,1)),$G$17:$I$18,2,0)</f>
        <v>Denmas</v>
      </c>
      <c r="G4" s="43">
        <f>HLOOKUP(F4,$G$18:$I$19,2,FALSE)</f>
        <v>800000</v>
      </c>
      <c r="H4" s="43">
        <f>VLOOKUP(MID(C4,2,1),$A$19:$D$21,(IF(D4="menikah",4,3)),0)</f>
        <v>300000</v>
      </c>
      <c r="I4" s="10">
        <f>IF(G4&gt;=1000000,10%*G4,5%*G4)</f>
        <v>40000</v>
      </c>
      <c r="J4" s="10">
        <f>G4+H4-I4</f>
        <v>1060000</v>
      </c>
    </row>
    <row r="5" spans="1:10" x14ac:dyDescent="0.25">
      <c r="A5" s="3">
        <v>2</v>
      </c>
      <c r="B5" s="3" t="s">
        <v>246</v>
      </c>
      <c r="C5" s="5" t="s">
        <v>266</v>
      </c>
      <c r="D5" s="3" t="str">
        <f t="shared" ref="D5:D13" si="1">IF(RIGHT(C5,1)="1","Menikah",IF(RIGHT(C5,1)="0","Bujang","FALSE"))</f>
        <v>Bujang</v>
      </c>
      <c r="E5" s="3" t="str">
        <f t="shared" ref="E5:E13" si="2">VLOOKUP(MID(C5,2,1),$A$19:$B$21,2,FALSE)</f>
        <v>Bimbel</v>
      </c>
      <c r="F5" s="3" t="str">
        <f t="shared" si="0"/>
        <v>Diploma</v>
      </c>
      <c r="G5" s="43">
        <f t="shared" ref="G5:G13" si="3">HLOOKUP(F5,$G$18:$I$19,2,FALSE)</f>
        <v>900000</v>
      </c>
      <c r="H5" s="43">
        <f t="shared" ref="H5:H13" si="4">VLOOKUP(MID(C5,2,1),$A$19:$D$21,(IF(D5="menikah",4,3)),0)</f>
        <v>150000</v>
      </c>
      <c r="I5" s="10">
        <f t="shared" ref="I5:I13" si="5">IF(G5&gt;=1000000,10%*G5,5%*G5)</f>
        <v>45000</v>
      </c>
      <c r="J5" s="10">
        <f t="shared" ref="J5:J13" si="6">G5+H5-I5</f>
        <v>1005000</v>
      </c>
    </row>
    <row r="6" spans="1:10" x14ac:dyDescent="0.25">
      <c r="A6" s="3">
        <v>3</v>
      </c>
      <c r="B6" s="3" t="s">
        <v>247</v>
      </c>
      <c r="C6" s="5" t="s">
        <v>268</v>
      </c>
      <c r="D6" s="3" t="str">
        <f t="shared" si="1"/>
        <v>Menikah</v>
      </c>
      <c r="E6" s="3" t="str">
        <f t="shared" si="2"/>
        <v>B.Inggris</v>
      </c>
      <c r="F6" s="3" t="str">
        <f t="shared" si="0"/>
        <v>Sarjana</v>
      </c>
      <c r="G6" s="43">
        <f t="shared" si="3"/>
        <v>1000000</v>
      </c>
      <c r="H6" s="43">
        <f t="shared" si="4"/>
        <v>130000</v>
      </c>
      <c r="I6" s="10">
        <f t="shared" si="5"/>
        <v>100000</v>
      </c>
      <c r="J6" s="10">
        <f t="shared" si="6"/>
        <v>1030000</v>
      </c>
    </row>
    <row r="7" spans="1:10" x14ac:dyDescent="0.25">
      <c r="A7" s="3">
        <v>4</v>
      </c>
      <c r="B7" s="3" t="s">
        <v>248</v>
      </c>
      <c r="C7" s="5" t="s">
        <v>269</v>
      </c>
      <c r="D7" s="3" t="str">
        <f t="shared" si="1"/>
        <v>Bujang</v>
      </c>
      <c r="E7" s="3" t="str">
        <f t="shared" si="2"/>
        <v>Bimbel</v>
      </c>
      <c r="F7" s="3" t="str">
        <f t="shared" si="0"/>
        <v>Denmas</v>
      </c>
      <c r="G7" s="43">
        <f t="shared" si="3"/>
        <v>800000</v>
      </c>
      <c r="H7" s="43">
        <f t="shared" si="4"/>
        <v>150000</v>
      </c>
      <c r="I7" s="10">
        <f t="shared" si="5"/>
        <v>40000</v>
      </c>
      <c r="J7" s="10">
        <f t="shared" si="6"/>
        <v>910000</v>
      </c>
    </row>
    <row r="8" spans="1:10" x14ac:dyDescent="0.25">
      <c r="A8" s="3">
        <v>5</v>
      </c>
      <c r="B8" s="3" t="s">
        <v>249</v>
      </c>
      <c r="C8" s="5" t="s">
        <v>270</v>
      </c>
      <c r="D8" s="3" t="str">
        <f t="shared" si="1"/>
        <v>Menikah</v>
      </c>
      <c r="E8" s="3" t="str">
        <f t="shared" si="2"/>
        <v>Komputer</v>
      </c>
      <c r="F8" s="3" t="str">
        <f t="shared" si="0"/>
        <v>Diploma</v>
      </c>
      <c r="G8" s="43">
        <f t="shared" si="3"/>
        <v>900000</v>
      </c>
      <c r="H8" s="43">
        <f t="shared" si="4"/>
        <v>300000</v>
      </c>
      <c r="I8" s="10">
        <f t="shared" si="5"/>
        <v>45000</v>
      </c>
      <c r="J8" s="10">
        <f t="shared" si="6"/>
        <v>1155000</v>
      </c>
    </row>
    <row r="9" spans="1:10" x14ac:dyDescent="0.25">
      <c r="A9" s="3">
        <v>6</v>
      </c>
      <c r="B9" s="3" t="s">
        <v>250</v>
      </c>
      <c r="C9" s="5" t="s">
        <v>267</v>
      </c>
      <c r="D9" s="3" t="str">
        <f t="shared" si="1"/>
        <v>Bujang</v>
      </c>
      <c r="E9" s="3" t="str">
        <f t="shared" si="2"/>
        <v>Bimbel</v>
      </c>
      <c r="F9" s="3" t="str">
        <f t="shared" si="0"/>
        <v>Sarjana</v>
      </c>
      <c r="G9" s="43">
        <f t="shared" si="3"/>
        <v>1000000</v>
      </c>
      <c r="H9" s="43">
        <f t="shared" si="4"/>
        <v>150000</v>
      </c>
      <c r="I9" s="10">
        <f t="shared" si="5"/>
        <v>100000</v>
      </c>
      <c r="J9" s="10">
        <f t="shared" si="6"/>
        <v>1050000</v>
      </c>
    </row>
    <row r="10" spans="1:10" x14ac:dyDescent="0.25">
      <c r="A10" s="3">
        <v>7</v>
      </c>
      <c r="B10" s="3" t="s">
        <v>251</v>
      </c>
      <c r="C10" s="5" t="s">
        <v>271</v>
      </c>
      <c r="D10" s="3" t="str">
        <f t="shared" si="1"/>
        <v>Menikah</v>
      </c>
      <c r="E10" s="3" t="str">
        <f t="shared" si="2"/>
        <v>Komputer</v>
      </c>
      <c r="F10" s="3" t="str">
        <f t="shared" si="0"/>
        <v>Sarjana</v>
      </c>
      <c r="G10" s="43">
        <f t="shared" si="3"/>
        <v>1000000</v>
      </c>
      <c r="H10" s="43">
        <f t="shared" si="4"/>
        <v>300000</v>
      </c>
      <c r="I10" s="10">
        <f t="shared" si="5"/>
        <v>100000</v>
      </c>
      <c r="J10" s="10">
        <f t="shared" si="6"/>
        <v>1200000</v>
      </c>
    </row>
    <row r="11" spans="1:10" x14ac:dyDescent="0.25">
      <c r="A11" s="3">
        <v>8</v>
      </c>
      <c r="B11" s="3" t="s">
        <v>252</v>
      </c>
      <c r="C11" s="5" t="s">
        <v>233</v>
      </c>
      <c r="D11" s="3" t="str">
        <f t="shared" si="1"/>
        <v>Menikah</v>
      </c>
      <c r="E11" s="3" t="str">
        <f t="shared" si="2"/>
        <v>B.Inggris</v>
      </c>
      <c r="F11" s="3" t="str">
        <f t="shared" si="0"/>
        <v>Denmas</v>
      </c>
      <c r="G11" s="43">
        <f t="shared" si="3"/>
        <v>800000</v>
      </c>
      <c r="H11" s="43">
        <f t="shared" si="4"/>
        <v>130000</v>
      </c>
      <c r="I11" s="10">
        <f t="shared" si="5"/>
        <v>40000</v>
      </c>
      <c r="J11" s="10">
        <f t="shared" si="6"/>
        <v>890000</v>
      </c>
    </row>
    <row r="12" spans="1:10" x14ac:dyDescent="0.25">
      <c r="A12" s="3">
        <v>9</v>
      </c>
      <c r="B12" s="3" t="s">
        <v>253</v>
      </c>
      <c r="C12" s="5" t="s">
        <v>272</v>
      </c>
      <c r="D12" s="3" t="str">
        <f t="shared" si="1"/>
        <v>Bujang</v>
      </c>
      <c r="E12" s="3" t="str">
        <f t="shared" si="2"/>
        <v>B.Inggris</v>
      </c>
      <c r="F12" s="3" t="str">
        <f t="shared" si="0"/>
        <v>Diploma</v>
      </c>
      <c r="G12" s="43">
        <f t="shared" si="3"/>
        <v>900000</v>
      </c>
      <c r="H12" s="43">
        <f t="shared" si="4"/>
        <v>100000</v>
      </c>
      <c r="I12" s="10">
        <f t="shared" si="5"/>
        <v>45000</v>
      </c>
      <c r="J12" s="10">
        <f t="shared" si="6"/>
        <v>955000</v>
      </c>
    </row>
    <row r="13" spans="1:10" x14ac:dyDescent="0.25">
      <c r="A13" s="3">
        <v>10</v>
      </c>
      <c r="B13" s="3" t="s">
        <v>254</v>
      </c>
      <c r="C13" s="5" t="s">
        <v>266</v>
      </c>
      <c r="D13" s="3" t="str">
        <f t="shared" si="1"/>
        <v>Bujang</v>
      </c>
      <c r="E13" s="3" t="str">
        <f t="shared" si="2"/>
        <v>Bimbel</v>
      </c>
      <c r="F13" s="3" t="str">
        <f t="shared" si="0"/>
        <v>Diploma</v>
      </c>
      <c r="G13" s="43">
        <f t="shared" si="3"/>
        <v>900000</v>
      </c>
      <c r="H13" s="43">
        <f t="shared" si="4"/>
        <v>150000</v>
      </c>
      <c r="I13" s="10">
        <f t="shared" si="5"/>
        <v>45000</v>
      </c>
      <c r="J13" s="10">
        <f t="shared" si="6"/>
        <v>1005000</v>
      </c>
    </row>
    <row r="14" spans="1:10" x14ac:dyDescent="0.25">
      <c r="A14" s="64" t="s">
        <v>24</v>
      </c>
      <c r="B14" s="65"/>
      <c r="C14" s="65"/>
      <c r="D14" s="65"/>
      <c r="E14" s="65"/>
      <c r="F14" s="65"/>
      <c r="G14" s="65"/>
      <c r="H14" s="65"/>
      <c r="I14" s="66"/>
      <c r="J14" s="10">
        <f>SUM(J4:J13)</f>
        <v>10260000</v>
      </c>
    </row>
    <row r="17" spans="1:9" x14ac:dyDescent="0.25">
      <c r="A17" s="80" t="s">
        <v>255</v>
      </c>
      <c r="B17" s="80" t="s">
        <v>119</v>
      </c>
      <c r="C17" s="78" t="s">
        <v>242</v>
      </c>
      <c r="D17" s="79"/>
      <c r="F17" s="42" t="s">
        <v>261</v>
      </c>
      <c r="G17" s="5">
        <v>1</v>
      </c>
      <c r="H17" s="5">
        <v>2</v>
      </c>
      <c r="I17" s="5">
        <v>3</v>
      </c>
    </row>
    <row r="18" spans="1:9" x14ac:dyDescent="0.25">
      <c r="A18" s="81"/>
      <c r="B18" s="81"/>
      <c r="C18" s="42" t="s">
        <v>256</v>
      </c>
      <c r="D18" s="42" t="s">
        <v>257</v>
      </c>
      <c r="F18" s="42" t="s">
        <v>240</v>
      </c>
      <c r="G18" s="3" t="s">
        <v>262</v>
      </c>
      <c r="H18" s="3" t="s">
        <v>263</v>
      </c>
      <c r="I18" s="3" t="s">
        <v>264</v>
      </c>
    </row>
    <row r="19" spans="1:9" x14ac:dyDescent="0.25">
      <c r="A19" s="3" t="s">
        <v>124</v>
      </c>
      <c r="B19" s="3" t="s">
        <v>258</v>
      </c>
      <c r="C19" s="3">
        <v>200000</v>
      </c>
      <c r="D19" s="3">
        <v>300000</v>
      </c>
      <c r="F19" s="42" t="s">
        <v>241</v>
      </c>
      <c r="G19" s="3">
        <v>800000</v>
      </c>
      <c r="H19" s="3">
        <v>900000</v>
      </c>
      <c r="I19" s="3">
        <v>1000000</v>
      </c>
    </row>
    <row r="20" spans="1:9" x14ac:dyDescent="0.25">
      <c r="A20" s="3" t="s">
        <v>125</v>
      </c>
      <c r="B20" s="3" t="s">
        <v>259</v>
      </c>
      <c r="C20" s="3">
        <v>150000</v>
      </c>
      <c r="D20" s="3">
        <v>175000</v>
      </c>
    </row>
    <row r="21" spans="1:9" x14ac:dyDescent="0.25">
      <c r="A21" s="3" t="s">
        <v>126</v>
      </c>
      <c r="B21" s="3" t="s">
        <v>260</v>
      </c>
      <c r="C21" s="3">
        <v>100000</v>
      </c>
      <c r="D21" s="3">
        <v>130000</v>
      </c>
    </row>
  </sheetData>
  <mergeCells count="4">
    <mergeCell ref="A14:I14"/>
    <mergeCell ref="A17:A18"/>
    <mergeCell ref="B17:B18"/>
    <mergeCell ref="C17:D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topLeftCell="C1" zoomScale="130" zoomScaleNormal="130" workbookViewId="0">
      <selection activeCell="D36" sqref="D36"/>
    </sheetView>
  </sheetViews>
  <sheetFormatPr defaultRowHeight="15" x14ac:dyDescent="0.25"/>
  <cols>
    <col min="2" max="2" width="8.5703125" customWidth="1"/>
    <col min="3" max="3" width="20.28515625" customWidth="1"/>
    <col min="4" max="4" width="17.42578125" customWidth="1"/>
    <col min="5" max="5" width="10.5703125" customWidth="1"/>
    <col min="6" max="6" width="12.5703125" bestFit="1" customWidth="1"/>
    <col min="7" max="7" width="14.28515625" customWidth="1"/>
    <col min="8" max="8" width="10.7109375" customWidth="1"/>
    <col min="9" max="9" width="11.5703125" customWidth="1"/>
    <col min="10" max="10" width="13.140625" customWidth="1"/>
    <col min="11" max="11" width="12.7109375" customWidth="1"/>
  </cols>
  <sheetData>
    <row r="2" spans="1:10" ht="30" x14ac:dyDescent="0.25">
      <c r="A2" s="40" t="s">
        <v>90</v>
      </c>
      <c r="B2" s="41" t="s">
        <v>274</v>
      </c>
      <c r="C2" s="40" t="s">
        <v>275</v>
      </c>
      <c r="D2" s="40" t="s">
        <v>276</v>
      </c>
      <c r="E2" s="40" t="s">
        <v>277</v>
      </c>
      <c r="F2" s="40" t="s">
        <v>278</v>
      </c>
      <c r="G2" s="41" t="s">
        <v>279</v>
      </c>
      <c r="H2" s="40" t="s">
        <v>280</v>
      </c>
      <c r="I2" s="41" t="s">
        <v>281</v>
      </c>
      <c r="J2" s="41" t="s">
        <v>282</v>
      </c>
    </row>
    <row r="3" spans="1:10" x14ac:dyDescent="0.25">
      <c r="A3" s="5">
        <v>1</v>
      </c>
      <c r="B3" s="5" t="s">
        <v>283</v>
      </c>
      <c r="C3" s="3" t="s">
        <v>18</v>
      </c>
      <c r="D3" s="3" t="str">
        <f>VLOOKUP(VALUE(LEFT(B3,1)),$B$31:$C$37,2,0)</f>
        <v>SAA Airlines</v>
      </c>
      <c r="E3" s="3" t="str">
        <f>HLOOKUP(MID(B3,2,1),$D$29:$K$30,2,0)</f>
        <v>Jambi</v>
      </c>
      <c r="F3" s="51">
        <f>VLOOKUP(VALUE(LEFT(B3,1)),$D$41:$J$47,(IF(RIGHT(B3,1)="1",2,IF(RIGHT(B3,1)="2",3,IF(RIGHT(B3,1)="3",4,IF(RIGHT(B3,1)="4",5,IF(RIGHT(B3,1)="5",6,IF(RIGHT(B3,1)="6",7,0))))))))</f>
        <v>0.25</v>
      </c>
      <c r="G3" s="38">
        <f>VLOOKUP(VALUE(LEFT(B3,1)),$B$31:$L$37,(IF(MID(B3,2,1)="A",3,IF(MID(B3,2,1)="B",4,IF(MID(B3,2,1)="C",5,IF(MID(B3,2,1)="D",5,IF(MID(B3,2,1)="E",7,IF(MID(B3,2,1)="F",8,IF(MID(B3,2,1)="G",9,IF(MID(B3,2,1)="H",10,0))))))))))</f>
        <v>423107</v>
      </c>
      <c r="H3" s="39">
        <f>VLOOKUP(VALUE(LEFT(B3,1)),$B$31:$L$37,11,0)*G3</f>
        <v>21155.350000000002</v>
      </c>
      <c r="I3" s="39">
        <f>15%*G3</f>
        <v>63466.049999999996</v>
      </c>
      <c r="J3" s="39">
        <f>G3-H3+I3</f>
        <v>465417.7</v>
      </c>
    </row>
    <row r="4" spans="1:10" x14ac:dyDescent="0.25">
      <c r="A4" s="5">
        <v>2</v>
      </c>
      <c r="B4" s="5" t="s">
        <v>285</v>
      </c>
      <c r="C4" s="3" t="s">
        <v>293</v>
      </c>
      <c r="D4" s="3" t="str">
        <f t="shared" ref="D4:D12" si="0">VLOOKUP(VALUE(LEFT(B4,1)),$B$31:$C$37,2,0)</f>
        <v>Awair Airlines</v>
      </c>
      <c r="E4" s="3" t="str">
        <f t="shared" ref="E4:E12" si="1">HLOOKUP(MID(B4,2,1),$D$29:$K$30,2,0)</f>
        <v>Riau</v>
      </c>
      <c r="F4" s="51">
        <f t="shared" ref="F4:F12" si="2">VLOOKUP(VALUE(LEFT(B4,1)),$D$41:$J$47,(IF(RIGHT(B4,1)="1",2,IF(RIGHT(B4,1)="2",3,IF(RIGHT(B4,1)="3",4,IF(RIGHT(B4,1)="4",5,IF(RIGHT(B4,1)="5",6,IF(RIGHT(B4,1)="6",7,0))))))))</f>
        <v>0.35416666666666669</v>
      </c>
      <c r="G4" s="38">
        <f t="shared" ref="G4" si="3">VLOOKUP(VALUE(LEFT(B4,1)),$B$31:$L$37,(IF(MID(B4,2,1)="A",3,IF(MID(B4,2,1)="B",4,IF(MID(B4,2,1)="C",5,IF(MID(B4,2,1)="D",5,IF(MID(B4,2,1)="E",7,IF(MID(B4,2,1)="F",8,IF(MID(B4,2,1)="G",9,IF(MID(B4,2,1)="H",10,0))))))))))</f>
        <v>607913</v>
      </c>
      <c r="H4" s="39">
        <f t="shared" ref="H4:H12" si="4">VLOOKUP(VALUE(LEFT(B4,1)),$B$31:$L$37,11,0)*G4</f>
        <v>91186.95</v>
      </c>
      <c r="I4" s="39">
        <f t="shared" ref="I4:I12" si="5">15%*G4</f>
        <v>91186.95</v>
      </c>
      <c r="J4" s="39">
        <f t="shared" ref="J4:J12" si="6">G4-H4+I4</f>
        <v>607913</v>
      </c>
    </row>
    <row r="5" spans="1:10" x14ac:dyDescent="0.25">
      <c r="A5" s="5">
        <v>3</v>
      </c>
      <c r="B5" s="5" t="s">
        <v>286</v>
      </c>
      <c r="C5" s="3" t="s">
        <v>294</v>
      </c>
      <c r="D5" s="3" t="str">
        <f t="shared" si="0"/>
        <v>Link Airlines</v>
      </c>
      <c r="E5" s="3" t="str">
        <f t="shared" si="1"/>
        <v>Batam</v>
      </c>
      <c r="F5" s="51">
        <f t="shared" si="2"/>
        <v>0.59375</v>
      </c>
      <c r="G5" s="38">
        <f>VLOOKUP(VALUE(LEFT(B5,1)),$B$31:$L$37,(IF(MID(B5,2,1)="A",3,IF(MID(B5,2,1)="B",4,IF(MID(B5,2,1)="C",5,IF(MID(B5,2,1)="D",6,IF(MID(B5,2,1)="E",7,IF(MID(B5,2,1)="F",8,IF(MID(B5,2,1)="G",9,IF(MID(B5,2,1)="H",10,0))))))))))</f>
        <v>526494</v>
      </c>
      <c r="H5" s="39">
        <f t="shared" si="4"/>
        <v>52649.4</v>
      </c>
      <c r="I5" s="39">
        <f t="shared" si="5"/>
        <v>78974.099999999991</v>
      </c>
      <c r="J5" s="39">
        <f t="shared" si="6"/>
        <v>552818.69999999995</v>
      </c>
    </row>
    <row r="6" spans="1:10" x14ac:dyDescent="0.25">
      <c r="A6" s="5">
        <v>4</v>
      </c>
      <c r="B6" s="5" t="s">
        <v>287</v>
      </c>
      <c r="C6" s="3" t="s">
        <v>295</v>
      </c>
      <c r="D6" s="3" t="str">
        <f t="shared" si="0"/>
        <v>Merpati Airlines</v>
      </c>
      <c r="E6" s="3" t="str">
        <f t="shared" si="1"/>
        <v>Surabaya</v>
      </c>
      <c r="F6" s="51">
        <f t="shared" si="2"/>
        <v>0.36458333333333331</v>
      </c>
      <c r="G6" s="38">
        <f t="shared" ref="G6:G12" si="7">VLOOKUP(VALUE(LEFT(B6,1)),$B$31:$L$37,(IF(MID(B6,2,1)="A",3,IF(MID(B6,2,1)="B",4,IF(MID(B6,2,1)="C",5,IF(MID(B6,2,1)="D",6,IF(MID(B6,2,1)="E",7,IF(MID(B6,2,1)="F",8,IF(MID(B6,2,1)="G",9,IF(MID(B6,2,1)="H",10,0))))))))))</f>
        <v>375648</v>
      </c>
      <c r="H6" s="39">
        <f>VLOOKUP(VALUE(LEFT(B6,1)),$B$31:$L$37,11,0)*G6</f>
        <v>56347.199999999997</v>
      </c>
      <c r="I6" s="39">
        <f t="shared" si="5"/>
        <v>56347.199999999997</v>
      </c>
      <c r="J6" s="39">
        <f t="shared" si="6"/>
        <v>375648</v>
      </c>
    </row>
    <row r="7" spans="1:10" x14ac:dyDescent="0.25">
      <c r="A7" s="5">
        <v>5</v>
      </c>
      <c r="B7" s="5" t="s">
        <v>288</v>
      </c>
      <c r="C7" s="3" t="s">
        <v>296</v>
      </c>
      <c r="D7" s="3" t="str">
        <f t="shared" si="0"/>
        <v>Japan Airlines</v>
      </c>
      <c r="E7" s="3" t="str">
        <f t="shared" si="1"/>
        <v>Biak</v>
      </c>
      <c r="F7" s="51">
        <f t="shared" si="2"/>
        <v>0.33333333333333331</v>
      </c>
      <c r="G7" s="38">
        <f t="shared" si="7"/>
        <v>1882449</v>
      </c>
      <c r="H7" s="39">
        <f t="shared" si="4"/>
        <v>94122.450000000012</v>
      </c>
      <c r="I7" s="39">
        <f t="shared" si="5"/>
        <v>282367.34999999998</v>
      </c>
      <c r="J7" s="39">
        <f t="shared" si="6"/>
        <v>2070693.9</v>
      </c>
    </row>
    <row r="8" spans="1:10" x14ac:dyDescent="0.25">
      <c r="A8" s="5">
        <v>6</v>
      </c>
      <c r="B8" s="5" t="s">
        <v>289</v>
      </c>
      <c r="C8" s="3" t="s">
        <v>297</v>
      </c>
      <c r="D8" s="3" t="str">
        <f t="shared" si="0"/>
        <v>Lion Airlines</v>
      </c>
      <c r="E8" s="3" t="str">
        <f t="shared" si="1"/>
        <v>Denpasar</v>
      </c>
      <c r="F8" s="51">
        <f t="shared" si="2"/>
        <v>0.71875</v>
      </c>
      <c r="G8" s="38">
        <f t="shared" si="7"/>
        <v>493541</v>
      </c>
      <c r="H8" s="39">
        <f t="shared" si="4"/>
        <v>74031.149999999994</v>
      </c>
      <c r="I8" s="39">
        <f t="shared" si="5"/>
        <v>74031.149999999994</v>
      </c>
      <c r="J8" s="39">
        <f t="shared" si="6"/>
        <v>493541</v>
      </c>
    </row>
    <row r="9" spans="1:10" x14ac:dyDescent="0.25">
      <c r="A9" s="5">
        <v>7</v>
      </c>
      <c r="B9" s="5" t="s">
        <v>290</v>
      </c>
      <c r="C9" s="3" t="s">
        <v>298</v>
      </c>
      <c r="D9" s="3" t="str">
        <f t="shared" si="0"/>
        <v>Japan Airlines</v>
      </c>
      <c r="E9" s="3" t="str">
        <f t="shared" si="1"/>
        <v>Surabaya</v>
      </c>
      <c r="F9" s="51">
        <f t="shared" si="2"/>
        <v>0.625</v>
      </c>
      <c r="G9" s="38">
        <f t="shared" si="7"/>
        <v>349353</v>
      </c>
      <c r="H9" s="39">
        <f t="shared" si="4"/>
        <v>17467.650000000001</v>
      </c>
      <c r="I9" s="39">
        <f t="shared" si="5"/>
        <v>52402.95</v>
      </c>
      <c r="J9" s="39">
        <f t="shared" si="6"/>
        <v>384288.3</v>
      </c>
    </row>
    <row r="10" spans="1:10" x14ac:dyDescent="0.25">
      <c r="A10" s="5">
        <v>8</v>
      </c>
      <c r="B10" s="5" t="s">
        <v>291</v>
      </c>
      <c r="C10" s="3" t="s">
        <v>299</v>
      </c>
      <c r="D10" s="3" t="str">
        <f t="shared" si="0"/>
        <v>Merpati Airlines</v>
      </c>
      <c r="E10" s="3" t="str">
        <f t="shared" si="1"/>
        <v>Batam</v>
      </c>
      <c r="F10" s="51">
        <f t="shared" si="2"/>
        <v>0.28125</v>
      </c>
      <c r="G10" s="38">
        <f t="shared" si="7"/>
        <v>501423</v>
      </c>
      <c r="H10" s="39">
        <f t="shared" si="4"/>
        <v>75213.45</v>
      </c>
      <c r="I10" s="39">
        <f t="shared" si="5"/>
        <v>75213.45</v>
      </c>
      <c r="J10" s="39">
        <f t="shared" si="6"/>
        <v>501423</v>
      </c>
    </row>
    <row r="11" spans="1:10" x14ac:dyDescent="0.25">
      <c r="A11" s="5">
        <v>9</v>
      </c>
      <c r="B11" s="5" t="s">
        <v>284</v>
      </c>
      <c r="C11" s="3" t="s">
        <v>300</v>
      </c>
      <c r="D11" s="3" t="str">
        <f t="shared" si="0"/>
        <v>Awair Airlines</v>
      </c>
      <c r="E11" s="3" t="str">
        <f t="shared" si="1"/>
        <v>Jambi</v>
      </c>
      <c r="F11" s="51">
        <f t="shared" si="2"/>
        <v>0.35416666666666669</v>
      </c>
      <c r="G11" s="38">
        <f t="shared" si="7"/>
        <v>607913</v>
      </c>
      <c r="H11" s="39">
        <f t="shared" si="4"/>
        <v>91186.95</v>
      </c>
      <c r="I11" s="39">
        <f t="shared" si="5"/>
        <v>91186.95</v>
      </c>
      <c r="J11" s="39">
        <f t="shared" si="6"/>
        <v>607913</v>
      </c>
    </row>
    <row r="12" spans="1:10" x14ac:dyDescent="0.25">
      <c r="A12" s="5">
        <v>10</v>
      </c>
      <c r="B12" s="5" t="s">
        <v>292</v>
      </c>
      <c r="C12" s="3" t="s">
        <v>301</v>
      </c>
      <c r="D12" s="3" t="str">
        <f t="shared" si="0"/>
        <v>Adam Airlines</v>
      </c>
      <c r="E12" s="3" t="str">
        <f t="shared" si="1"/>
        <v>Jambi</v>
      </c>
      <c r="F12" s="51">
        <f t="shared" si="2"/>
        <v>0.64583333333333337</v>
      </c>
      <c r="G12" s="38">
        <f t="shared" si="7"/>
        <v>462014</v>
      </c>
      <c r="H12" s="39">
        <f t="shared" si="4"/>
        <v>161704.9</v>
      </c>
      <c r="I12" s="39">
        <f t="shared" si="5"/>
        <v>69302.099999999991</v>
      </c>
      <c r="J12" s="39">
        <f t="shared" si="6"/>
        <v>369611.19999999995</v>
      </c>
    </row>
    <row r="13" spans="1:10" x14ac:dyDescent="0.25">
      <c r="A13" s="64" t="s">
        <v>123</v>
      </c>
      <c r="B13" s="65"/>
      <c r="C13" s="65"/>
      <c r="D13" s="65"/>
      <c r="E13" s="65"/>
      <c r="F13" s="66"/>
      <c r="G13" s="39">
        <f>SUM(G3:G12)</f>
        <v>6229855</v>
      </c>
      <c r="H13" s="39">
        <f>SUM(H3:H12)</f>
        <v>735065.45000000007</v>
      </c>
      <c r="I13" s="39">
        <f>SUM(I3:I12)</f>
        <v>934478.24999999977</v>
      </c>
      <c r="J13" s="39">
        <f>SUM(J3:J12)</f>
        <v>6429267.7999999998</v>
      </c>
    </row>
    <row r="17" spans="2:12" x14ac:dyDescent="0.25">
      <c r="C17" t="s">
        <v>302</v>
      </c>
    </row>
    <row r="18" spans="2:12" ht="30" x14ac:dyDescent="0.25">
      <c r="C18" s="52" t="s">
        <v>303</v>
      </c>
      <c r="D18" s="8" t="s">
        <v>122</v>
      </c>
    </row>
    <row r="19" spans="2:12" x14ac:dyDescent="0.25">
      <c r="C19" s="3" t="s">
        <v>304</v>
      </c>
      <c r="D19" s="3">
        <f>COUNTIF(D$3:D$12,"SAA Airlines")</f>
        <v>1</v>
      </c>
    </row>
    <row r="20" spans="2:12" x14ac:dyDescent="0.25">
      <c r="C20" s="3" t="s">
        <v>305</v>
      </c>
      <c r="D20" s="3">
        <f>COUNTIF(D$3:D$12,"Link Airlines")</f>
        <v>1</v>
      </c>
    </row>
    <row r="21" spans="2:12" x14ac:dyDescent="0.25">
      <c r="C21" s="3" t="s">
        <v>306</v>
      </c>
      <c r="D21" s="3">
        <f>COUNTIF(D$3:D$12,"Awair Airlines")</f>
        <v>2</v>
      </c>
    </row>
    <row r="22" spans="2:12" x14ac:dyDescent="0.25">
      <c r="C22" s="3" t="s">
        <v>307</v>
      </c>
      <c r="D22" s="3">
        <f>COUNTIF(D$3:D$12,"Merpati Airlines")</f>
        <v>2</v>
      </c>
    </row>
    <row r="23" spans="2:12" x14ac:dyDescent="0.25">
      <c r="C23" s="3" t="s">
        <v>308</v>
      </c>
      <c r="D23" s="3">
        <f>COUNTIF(D$3:D$12,"Japan Airlines")</f>
        <v>2</v>
      </c>
    </row>
    <row r="24" spans="2:12" x14ac:dyDescent="0.25">
      <c r="C24" s="3" t="s">
        <v>325</v>
      </c>
      <c r="D24" s="3">
        <f>COUNTIF(D$3:D$12,"Lion Airlines")</f>
        <v>1</v>
      </c>
    </row>
    <row r="25" spans="2:12" x14ac:dyDescent="0.25">
      <c r="C25" s="3" t="s">
        <v>309</v>
      </c>
      <c r="D25" s="3">
        <f>COUNTIF(D$3:D$12,"Adam Airlines")</f>
        <v>1</v>
      </c>
    </row>
    <row r="26" spans="2:12" x14ac:dyDescent="0.25">
      <c r="C26" s="8" t="s">
        <v>122</v>
      </c>
      <c r="D26" s="3">
        <f>SUM(D19:D25)</f>
        <v>10</v>
      </c>
    </row>
    <row r="28" spans="2:12" x14ac:dyDescent="0.25">
      <c r="C28" t="s">
        <v>310</v>
      </c>
    </row>
    <row r="29" spans="2:12" x14ac:dyDescent="0.25">
      <c r="B29" s="82" t="s">
        <v>255</v>
      </c>
      <c r="C29" s="82" t="s">
        <v>311</v>
      </c>
      <c r="D29" s="3" t="s">
        <v>124</v>
      </c>
      <c r="E29" s="3" t="s">
        <v>125</v>
      </c>
      <c r="F29" s="3" t="s">
        <v>126</v>
      </c>
      <c r="G29" s="3" t="s">
        <v>312</v>
      </c>
      <c r="H29" s="3" t="s">
        <v>185</v>
      </c>
      <c r="I29" s="3" t="s">
        <v>313</v>
      </c>
      <c r="J29" s="3" t="s">
        <v>314</v>
      </c>
      <c r="K29" s="3" t="s">
        <v>315</v>
      </c>
    </row>
    <row r="30" spans="2:12" x14ac:dyDescent="0.25">
      <c r="B30" s="83"/>
      <c r="C30" s="83"/>
      <c r="D30" s="45" t="s">
        <v>316</v>
      </c>
      <c r="E30" s="45" t="s">
        <v>317</v>
      </c>
      <c r="F30" s="45" t="s">
        <v>318</v>
      </c>
      <c r="G30" s="45" t="s">
        <v>319</v>
      </c>
      <c r="H30" s="45" t="s">
        <v>320</v>
      </c>
      <c r="I30" s="45" t="s">
        <v>321</v>
      </c>
      <c r="J30" s="45" t="s">
        <v>322</v>
      </c>
      <c r="K30" s="45" t="s">
        <v>323</v>
      </c>
      <c r="L30" s="44" t="s">
        <v>324</v>
      </c>
    </row>
    <row r="31" spans="2:12" x14ac:dyDescent="0.25">
      <c r="B31" s="5">
        <v>1</v>
      </c>
      <c r="C31" s="3" t="s">
        <v>304</v>
      </c>
      <c r="D31" s="46">
        <v>423107</v>
      </c>
      <c r="E31" s="46">
        <v>558793</v>
      </c>
      <c r="F31" s="46">
        <v>423107</v>
      </c>
      <c r="G31" s="46">
        <v>436238</v>
      </c>
      <c r="H31" s="46">
        <v>367665</v>
      </c>
      <c r="I31" s="46">
        <v>326814</v>
      </c>
      <c r="J31" s="46">
        <v>477090</v>
      </c>
      <c r="K31" s="46">
        <v>1767001</v>
      </c>
      <c r="L31" s="37">
        <v>0.05</v>
      </c>
    </row>
    <row r="32" spans="2:12" x14ac:dyDescent="0.25">
      <c r="B32" s="5">
        <v>2</v>
      </c>
      <c r="C32" s="3" t="s">
        <v>305</v>
      </c>
      <c r="D32" s="46">
        <v>510647</v>
      </c>
      <c r="E32" s="46">
        <v>674406</v>
      </c>
      <c r="F32" s="46">
        <v>510647</v>
      </c>
      <c r="G32" s="46">
        <v>526494</v>
      </c>
      <c r="H32" s="46">
        <v>443734</v>
      </c>
      <c r="I32" s="46">
        <v>394430</v>
      </c>
      <c r="J32" s="46">
        <v>375798</v>
      </c>
      <c r="K32" s="46">
        <v>2125346</v>
      </c>
      <c r="L32" s="37">
        <v>0.1</v>
      </c>
    </row>
    <row r="33" spans="2:12" x14ac:dyDescent="0.25">
      <c r="B33" s="5">
        <v>3</v>
      </c>
      <c r="C33" s="3" t="s">
        <v>306</v>
      </c>
      <c r="D33" s="46">
        <v>607913</v>
      </c>
      <c r="E33" s="46">
        <v>802864</v>
      </c>
      <c r="F33" s="46">
        <v>607913</v>
      </c>
      <c r="G33" s="46">
        <v>626779</v>
      </c>
      <c r="H33" s="46">
        <v>528255</v>
      </c>
      <c r="I33" s="46">
        <v>469560</v>
      </c>
      <c r="J33" s="46">
        <v>685474</v>
      </c>
      <c r="K33" s="46">
        <v>2530174</v>
      </c>
      <c r="L33" s="37">
        <v>0.15</v>
      </c>
    </row>
    <row r="34" spans="2:12" x14ac:dyDescent="0.25">
      <c r="B34" s="5">
        <v>4</v>
      </c>
      <c r="C34" s="3" t="s">
        <v>307</v>
      </c>
      <c r="D34" s="46">
        <v>486330</v>
      </c>
      <c r="E34" s="46">
        <v>642291</v>
      </c>
      <c r="F34" s="46">
        <v>486330</v>
      </c>
      <c r="G34" s="46">
        <v>501423</v>
      </c>
      <c r="H34" s="46">
        <v>422604</v>
      </c>
      <c r="I34" s="46">
        <v>375648</v>
      </c>
      <c r="J34" s="46">
        <v>548379</v>
      </c>
      <c r="K34" s="46">
        <v>2024139</v>
      </c>
      <c r="L34" s="37">
        <v>0.15</v>
      </c>
    </row>
    <row r="35" spans="2:12" x14ac:dyDescent="0.25">
      <c r="B35" s="5">
        <v>5</v>
      </c>
      <c r="C35" s="3" t="s">
        <v>308</v>
      </c>
      <c r="D35" s="46">
        <v>452287</v>
      </c>
      <c r="E35" s="46">
        <v>597331</v>
      </c>
      <c r="F35" s="46">
        <v>452287</v>
      </c>
      <c r="G35" s="46">
        <v>466323</v>
      </c>
      <c r="H35" s="46">
        <v>383022</v>
      </c>
      <c r="I35" s="46">
        <v>349353</v>
      </c>
      <c r="J35" s="46">
        <v>509992</v>
      </c>
      <c r="K35" s="46">
        <v>1882449</v>
      </c>
      <c r="L35" s="37">
        <v>0.05</v>
      </c>
    </row>
    <row r="36" spans="2:12" x14ac:dyDescent="0.25">
      <c r="B36" s="5">
        <v>6</v>
      </c>
      <c r="C36" s="3" t="s">
        <v>325</v>
      </c>
      <c r="D36" s="46">
        <v>437697</v>
      </c>
      <c r="E36" s="46">
        <v>578062</v>
      </c>
      <c r="F36" s="46">
        <v>437697</v>
      </c>
      <c r="G36" s="46">
        <v>451281</v>
      </c>
      <c r="H36" s="46">
        <v>380344</v>
      </c>
      <c r="I36" s="46">
        <v>338083</v>
      </c>
      <c r="J36" s="46">
        <v>493541</v>
      </c>
      <c r="K36" s="46">
        <v>1821725</v>
      </c>
      <c r="L36" s="37">
        <v>0.15</v>
      </c>
    </row>
    <row r="37" spans="2:12" x14ac:dyDescent="0.25">
      <c r="B37" s="5">
        <v>7</v>
      </c>
      <c r="C37" s="3" t="s">
        <v>309</v>
      </c>
      <c r="D37" s="46">
        <v>462014</v>
      </c>
      <c r="E37" s="46">
        <v>610176</v>
      </c>
      <c r="F37" s="46">
        <v>462014</v>
      </c>
      <c r="G37" s="46">
        <v>476352</v>
      </c>
      <c r="H37" s="46">
        <v>401474</v>
      </c>
      <c r="I37" s="46">
        <v>356866</v>
      </c>
      <c r="J37" s="46">
        <v>520960</v>
      </c>
      <c r="K37" s="46">
        <v>1922932</v>
      </c>
      <c r="L37" s="37">
        <v>0.35</v>
      </c>
    </row>
    <row r="39" spans="2:12" x14ac:dyDescent="0.25">
      <c r="D39" s="82" t="s">
        <v>255</v>
      </c>
      <c r="E39" s="84" t="s">
        <v>326</v>
      </c>
      <c r="F39" s="85"/>
      <c r="G39" s="85"/>
      <c r="H39" s="85"/>
      <c r="I39" s="85"/>
      <c r="J39" s="86"/>
    </row>
    <row r="40" spans="2:12" x14ac:dyDescent="0.25">
      <c r="D40" s="83"/>
      <c r="E40" s="45">
        <v>1</v>
      </c>
      <c r="F40" s="45">
        <v>2</v>
      </c>
      <c r="G40" s="45">
        <v>3</v>
      </c>
      <c r="H40" s="45">
        <v>4</v>
      </c>
      <c r="I40" s="45">
        <v>5</v>
      </c>
      <c r="J40" s="45">
        <v>6</v>
      </c>
    </row>
    <row r="41" spans="2:12" x14ac:dyDescent="0.25">
      <c r="D41" s="5">
        <v>1</v>
      </c>
      <c r="E41" s="47">
        <v>0.25</v>
      </c>
      <c r="F41" s="47">
        <v>0.29166666666666669</v>
      </c>
      <c r="G41" s="47">
        <v>0.33333333333333331</v>
      </c>
      <c r="H41" s="47">
        <v>0.45833333333333331</v>
      </c>
      <c r="I41" s="47">
        <v>0.58333333333333337</v>
      </c>
      <c r="J41" s="47">
        <v>0.66666666666666663</v>
      </c>
    </row>
    <row r="42" spans="2:12" x14ac:dyDescent="0.25">
      <c r="D42" s="5">
        <v>2</v>
      </c>
      <c r="E42" s="47">
        <v>0.26041666666666669</v>
      </c>
      <c r="F42" s="47">
        <v>0.30208333333333331</v>
      </c>
      <c r="G42" s="47">
        <v>0.34375</v>
      </c>
      <c r="H42" s="47">
        <v>0.46875</v>
      </c>
      <c r="I42" s="47">
        <v>0.59375</v>
      </c>
      <c r="J42" s="47">
        <v>0.67708333333333337</v>
      </c>
    </row>
    <row r="43" spans="2:12" x14ac:dyDescent="0.25">
      <c r="D43" s="5">
        <v>3</v>
      </c>
      <c r="E43" s="47">
        <v>0.27083333333333331</v>
      </c>
      <c r="F43" s="47">
        <v>0.3125</v>
      </c>
      <c r="G43" s="47">
        <v>0.35416666666666669</v>
      </c>
      <c r="H43" s="47">
        <v>0.47916666666666669</v>
      </c>
      <c r="I43" s="47">
        <v>0.60416666666666663</v>
      </c>
      <c r="J43" s="47">
        <v>0.6875</v>
      </c>
    </row>
    <row r="44" spans="2:12" x14ac:dyDescent="0.25">
      <c r="D44" s="5">
        <v>4</v>
      </c>
      <c r="E44" s="47">
        <v>0.28125</v>
      </c>
      <c r="F44" s="47">
        <v>0.32291666666666669</v>
      </c>
      <c r="G44" s="47">
        <v>0.36458333333333331</v>
      </c>
      <c r="H44" s="47">
        <v>0.48958333333333331</v>
      </c>
      <c r="I44" s="47">
        <v>0.61458333333333337</v>
      </c>
      <c r="J44" s="47">
        <v>0.69791666666666663</v>
      </c>
    </row>
    <row r="45" spans="2:12" x14ac:dyDescent="0.25">
      <c r="D45" s="5">
        <v>5</v>
      </c>
      <c r="E45" s="47">
        <v>0.29166666666666669</v>
      </c>
      <c r="F45" s="47">
        <v>0.33333333333333331</v>
      </c>
      <c r="G45" s="47">
        <v>0.375</v>
      </c>
      <c r="H45" s="47">
        <v>0.5</v>
      </c>
      <c r="I45" s="47">
        <v>0.625</v>
      </c>
      <c r="J45" s="47">
        <v>0.70833333333333337</v>
      </c>
    </row>
    <row r="46" spans="2:12" x14ac:dyDescent="0.25">
      <c r="D46" s="5">
        <v>6</v>
      </c>
      <c r="E46" s="47">
        <v>0.30208333333333331</v>
      </c>
      <c r="F46" s="47">
        <v>0.34375</v>
      </c>
      <c r="G46" s="47">
        <v>0.38541666666666669</v>
      </c>
      <c r="H46" s="47">
        <v>0.51041666666666663</v>
      </c>
      <c r="I46" s="47">
        <v>0.63541666666666663</v>
      </c>
      <c r="J46" s="47">
        <v>0.71875</v>
      </c>
    </row>
    <row r="47" spans="2:12" x14ac:dyDescent="0.25">
      <c r="D47" s="5">
        <v>7</v>
      </c>
      <c r="E47" s="47">
        <v>0.3125</v>
      </c>
      <c r="F47" s="47">
        <v>0.35416666666666669</v>
      </c>
      <c r="G47" s="47">
        <v>0.39583333333333331</v>
      </c>
      <c r="H47" s="47">
        <v>0.52083333333333337</v>
      </c>
      <c r="I47" s="47">
        <v>0.64583333333333337</v>
      </c>
      <c r="J47" s="47">
        <v>0.72916666666666663</v>
      </c>
    </row>
  </sheetData>
  <mergeCells count="5">
    <mergeCell ref="A13:F13"/>
    <mergeCell ref="B29:B30"/>
    <mergeCell ref="C29:C30"/>
    <mergeCell ref="D39:D40"/>
    <mergeCell ref="E39:J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3"/>
  <sheetViews>
    <sheetView tabSelected="1" topLeftCell="C1" zoomScale="110" zoomScaleNormal="110" workbookViewId="0">
      <selection activeCell="H30" sqref="H30"/>
    </sheetView>
  </sheetViews>
  <sheetFormatPr defaultRowHeight="15" x14ac:dyDescent="0.25"/>
  <cols>
    <col min="1" max="1" width="13.140625" customWidth="1"/>
    <col min="2" max="2" width="11.140625" customWidth="1"/>
    <col min="3" max="3" width="18.85546875" customWidth="1"/>
    <col min="4" max="4" width="11.42578125" customWidth="1"/>
    <col min="5" max="5" width="14.42578125" customWidth="1"/>
    <col min="6" max="6" width="12.28515625" customWidth="1"/>
    <col min="7" max="7" width="12.7109375" customWidth="1"/>
    <col min="8" max="8" width="19.140625" customWidth="1"/>
    <col min="9" max="9" width="10.5703125" customWidth="1"/>
    <col min="10" max="10" width="10.5703125" style="50" customWidth="1"/>
    <col min="11" max="11" width="10.5703125" customWidth="1"/>
    <col min="12" max="12" width="10.85546875" customWidth="1"/>
    <col min="13" max="13" width="12.7109375" customWidth="1"/>
    <col min="14" max="14" width="11.7109375" customWidth="1"/>
  </cols>
  <sheetData>
    <row r="4" spans="1:14" ht="30.75" customHeight="1" x14ac:dyDescent="0.25">
      <c r="A4" s="26" t="s">
        <v>327</v>
      </c>
      <c r="B4" s="26" t="s">
        <v>328</v>
      </c>
      <c r="C4" s="48" t="s">
        <v>329</v>
      </c>
      <c r="D4" s="48" t="s">
        <v>330</v>
      </c>
      <c r="E4" s="48" t="s">
        <v>119</v>
      </c>
      <c r="F4" s="26" t="s">
        <v>239</v>
      </c>
      <c r="G4" s="26" t="s">
        <v>331</v>
      </c>
      <c r="H4" s="48" t="s">
        <v>332</v>
      </c>
      <c r="I4" s="26" t="s">
        <v>333</v>
      </c>
      <c r="J4" s="26" t="s">
        <v>334</v>
      </c>
      <c r="K4" s="26" t="s">
        <v>372</v>
      </c>
      <c r="L4" s="26" t="s">
        <v>335</v>
      </c>
      <c r="M4" s="26" t="s">
        <v>336</v>
      </c>
      <c r="N4" s="26" t="s">
        <v>337</v>
      </c>
    </row>
    <row r="5" spans="1:14" x14ac:dyDescent="0.25">
      <c r="A5" s="49" t="s">
        <v>338</v>
      </c>
      <c r="B5" s="5" t="s">
        <v>350</v>
      </c>
      <c r="C5" s="5" t="str">
        <f>CONCATENATE(19,(LEFT(B5,2)))</f>
        <v>1990</v>
      </c>
      <c r="D5" s="49" t="str">
        <f>IF(RIGHT(B5,1)="1","Kepala",IF((RIGHT(B5,1))="2","staff","Operator"))</f>
        <v>Kepala</v>
      </c>
      <c r="E5" s="49" t="str">
        <f>VLOOKUP(MID(B5,4,1),$B$23:$C$26,2,FALSE)</f>
        <v>Engineering 1</v>
      </c>
      <c r="F5" s="49" t="s">
        <v>257</v>
      </c>
      <c r="G5" s="5">
        <v>2</v>
      </c>
      <c r="H5" s="38">
        <f>VLOOKUP(MID(B5,4,1),$B$23:$F$26,(IF(D5="Kepala",3,IF(D5="staff",4,5))),0)</f>
        <v>2500000</v>
      </c>
      <c r="I5" s="39">
        <f>HLOOKUP(VALUE(RIGHT(B5,1)),$I$21:$L$23,2,0)*H5</f>
        <v>375000</v>
      </c>
      <c r="J5" s="39">
        <f>IF(F5="menikah",5%*H5,0)</f>
        <v>125000</v>
      </c>
      <c r="K5" s="38">
        <f>IF(G5&gt;3,3*(2%*H5),IF(G5&lt;=3,G5*(2%*H5),0))</f>
        <v>100000</v>
      </c>
      <c r="L5" s="39">
        <f>HLOOKUP(VALUE(RIGHT(B5,1)),$I$21:$L$23,3,0)*H5</f>
        <v>250000</v>
      </c>
      <c r="M5" s="39">
        <f>(H5+I5+J5+K5)-L5</f>
        <v>2850000</v>
      </c>
      <c r="N5" s="49" t="str">
        <f>IF(M5&gt;2500000,"Type 45",IF(M5&gt;1500000,"Type 36","Type 21"))</f>
        <v>Type 45</v>
      </c>
    </row>
    <row r="6" spans="1:14" x14ac:dyDescent="0.25">
      <c r="A6" s="49" t="s">
        <v>339</v>
      </c>
      <c r="B6" s="5" t="s">
        <v>351</v>
      </c>
      <c r="C6" s="5" t="str">
        <f t="shared" ref="C6:C16" si="0">CONCATENATE(19,(LEFT(B6,2)))</f>
        <v>1990</v>
      </c>
      <c r="D6" s="49" t="str">
        <f t="shared" ref="D6:D16" si="1">IF(RIGHT(B6,1)="1","Kepala",IF((RIGHT(B6,1))="2","staff","Operator"))</f>
        <v>staff</v>
      </c>
      <c r="E6" s="49" t="str">
        <f t="shared" ref="E6:E16" si="2">VLOOKUP(MID(B6,4,1),$B$23:$C$26,2,FALSE)</f>
        <v>Engineering 1</v>
      </c>
      <c r="F6" s="49" t="s">
        <v>257</v>
      </c>
      <c r="G6" s="5">
        <v>3</v>
      </c>
      <c r="H6" s="38">
        <f t="shared" ref="H6:H16" si="3">VLOOKUP(MID(B6,4,1),$B$23:$F$26,(IF(D6="Kepala",3,IF(D6="staff",4,5))),0)</f>
        <v>1850000</v>
      </c>
      <c r="I6" s="39">
        <f t="shared" ref="I6:I16" si="4">HLOOKUP(VALUE(RIGHT(B6,1)),$I$21:$L$23,2,0)*H6</f>
        <v>92500</v>
      </c>
      <c r="J6" s="39">
        <f t="shared" ref="J6:J16" si="5">IF(F6="menikah",5%*H6,0)</f>
        <v>92500</v>
      </c>
      <c r="K6" s="38">
        <f t="shared" ref="K6:K16" si="6">IF(G6&gt;3,3*(2%*H6),IF(G6&lt;=3,G6*(2%*H6),0))</f>
        <v>111000</v>
      </c>
      <c r="L6" s="39">
        <f t="shared" ref="L6:L16" si="7">HLOOKUP(VALUE(RIGHT(B6,1)),$I$21:$L$23,3,0)*H6</f>
        <v>92500</v>
      </c>
      <c r="M6" s="39">
        <f t="shared" ref="M6:M16" si="8">(H6+I6+J6+K6)-L6</f>
        <v>2053500</v>
      </c>
      <c r="N6" s="49" t="str">
        <f t="shared" ref="N6:N16" si="9">IF(M6&gt;2500000,"Type 45",IF(M6&gt;1500000,"Type 36","Type 21"))</f>
        <v>Type 36</v>
      </c>
    </row>
    <row r="7" spans="1:14" x14ac:dyDescent="0.25">
      <c r="A7" s="49" t="s">
        <v>340</v>
      </c>
      <c r="B7" s="5" t="s">
        <v>352</v>
      </c>
      <c r="C7" s="5" t="str">
        <f t="shared" si="0"/>
        <v>1991</v>
      </c>
      <c r="D7" s="49" t="str">
        <f t="shared" si="1"/>
        <v>Kepala</v>
      </c>
      <c r="E7" s="49" t="str">
        <f t="shared" si="2"/>
        <v>Engineering 2</v>
      </c>
      <c r="F7" s="49"/>
      <c r="G7" s="5">
        <v>0</v>
      </c>
      <c r="H7" s="38">
        <f>VLOOKUP(MID(B7,4,1),$B$23:$F$26,(IF(D7="Kepala",3,IF(D7="staff",4,5))),0)</f>
        <v>2350000</v>
      </c>
      <c r="I7" s="39">
        <f t="shared" si="4"/>
        <v>352500</v>
      </c>
      <c r="J7" s="39">
        <f t="shared" si="5"/>
        <v>0</v>
      </c>
      <c r="K7" s="38">
        <f t="shared" si="6"/>
        <v>0</v>
      </c>
      <c r="L7" s="39">
        <f t="shared" si="7"/>
        <v>235000</v>
      </c>
      <c r="M7" s="39">
        <f t="shared" si="8"/>
        <v>2467500</v>
      </c>
      <c r="N7" s="49" t="str">
        <f t="shared" si="9"/>
        <v>Type 36</v>
      </c>
    </row>
    <row r="8" spans="1:14" x14ac:dyDescent="0.25">
      <c r="A8" s="49" t="s">
        <v>341</v>
      </c>
      <c r="B8" s="5" t="s">
        <v>353</v>
      </c>
      <c r="C8" s="5" t="str">
        <f t="shared" si="0"/>
        <v>1991</v>
      </c>
      <c r="D8" s="49" t="str">
        <f t="shared" si="1"/>
        <v>Operator</v>
      </c>
      <c r="E8" s="49" t="str">
        <f t="shared" si="2"/>
        <v>Engineering 2</v>
      </c>
      <c r="F8" s="49" t="s">
        <v>257</v>
      </c>
      <c r="G8" s="5">
        <v>1</v>
      </c>
      <c r="H8" s="38">
        <f t="shared" si="3"/>
        <v>950000</v>
      </c>
      <c r="I8" s="39">
        <f t="shared" si="4"/>
        <v>0</v>
      </c>
      <c r="J8" s="39">
        <f t="shared" si="5"/>
        <v>47500</v>
      </c>
      <c r="K8" s="38">
        <f t="shared" si="6"/>
        <v>19000</v>
      </c>
      <c r="L8" s="39">
        <f t="shared" si="7"/>
        <v>23750</v>
      </c>
      <c r="M8" s="39">
        <f t="shared" si="8"/>
        <v>992750</v>
      </c>
      <c r="N8" s="49" t="str">
        <f t="shared" si="9"/>
        <v>Type 21</v>
      </c>
    </row>
    <row r="9" spans="1:14" x14ac:dyDescent="0.25">
      <c r="A9" s="49" t="s">
        <v>342</v>
      </c>
      <c r="B9" s="5" t="s">
        <v>354</v>
      </c>
      <c r="C9" s="5" t="str">
        <f t="shared" si="0"/>
        <v>1991</v>
      </c>
      <c r="D9" s="49" t="str">
        <f t="shared" si="1"/>
        <v>Operator</v>
      </c>
      <c r="E9" s="49" t="str">
        <f t="shared" si="2"/>
        <v>Engineering 1</v>
      </c>
      <c r="F9" s="49"/>
      <c r="G9" s="5">
        <v>0</v>
      </c>
      <c r="H9" s="38">
        <f t="shared" si="3"/>
        <v>1000000</v>
      </c>
      <c r="I9" s="39">
        <f t="shared" si="4"/>
        <v>0</v>
      </c>
      <c r="J9" s="39">
        <f t="shared" si="5"/>
        <v>0</v>
      </c>
      <c r="K9" s="38">
        <f t="shared" si="6"/>
        <v>0</v>
      </c>
      <c r="L9" s="39">
        <f t="shared" si="7"/>
        <v>25000</v>
      </c>
      <c r="M9" s="39">
        <f t="shared" si="8"/>
        <v>975000</v>
      </c>
      <c r="N9" s="49" t="str">
        <f t="shared" si="9"/>
        <v>Type 21</v>
      </c>
    </row>
    <row r="10" spans="1:14" x14ac:dyDescent="0.25">
      <c r="A10" s="49" t="s">
        <v>343</v>
      </c>
      <c r="B10" s="5" t="s">
        <v>355</v>
      </c>
      <c r="C10" s="5" t="str">
        <f t="shared" si="0"/>
        <v>1992</v>
      </c>
      <c r="D10" s="49" t="str">
        <f t="shared" si="1"/>
        <v>Operator</v>
      </c>
      <c r="E10" s="49" t="str">
        <f t="shared" si="2"/>
        <v>Quality Control</v>
      </c>
      <c r="F10" s="49" t="s">
        <v>257</v>
      </c>
      <c r="G10" s="5">
        <v>4</v>
      </c>
      <c r="H10" s="38">
        <f t="shared" si="3"/>
        <v>800000</v>
      </c>
      <c r="I10" s="39">
        <f t="shared" si="4"/>
        <v>0</v>
      </c>
      <c r="J10" s="39">
        <f t="shared" si="5"/>
        <v>40000</v>
      </c>
      <c r="K10" s="38">
        <f t="shared" si="6"/>
        <v>48000</v>
      </c>
      <c r="L10" s="39">
        <f t="shared" si="7"/>
        <v>20000</v>
      </c>
      <c r="M10" s="39">
        <f t="shared" si="8"/>
        <v>868000</v>
      </c>
      <c r="N10" s="49" t="str">
        <f t="shared" si="9"/>
        <v>Type 21</v>
      </c>
    </row>
    <row r="11" spans="1:14" x14ac:dyDescent="0.25">
      <c r="A11" s="49" t="s">
        <v>344</v>
      </c>
      <c r="B11" s="5" t="s">
        <v>356</v>
      </c>
      <c r="C11" s="5" t="str">
        <f t="shared" si="0"/>
        <v>1992</v>
      </c>
      <c r="D11" s="49" t="str">
        <f t="shared" si="1"/>
        <v>staff</v>
      </c>
      <c r="E11" s="49" t="str">
        <f t="shared" si="2"/>
        <v>Quality Control</v>
      </c>
      <c r="F11" s="49"/>
      <c r="G11" s="5">
        <v>0</v>
      </c>
      <c r="H11" s="38">
        <f t="shared" si="3"/>
        <v>1600000</v>
      </c>
      <c r="I11" s="39">
        <f t="shared" si="4"/>
        <v>80000</v>
      </c>
      <c r="J11" s="39">
        <f t="shared" si="5"/>
        <v>0</v>
      </c>
      <c r="K11" s="38">
        <f t="shared" si="6"/>
        <v>0</v>
      </c>
      <c r="L11" s="39">
        <f t="shared" si="7"/>
        <v>80000</v>
      </c>
      <c r="M11" s="39">
        <f t="shared" si="8"/>
        <v>1600000</v>
      </c>
      <c r="N11" s="49" t="str">
        <f t="shared" si="9"/>
        <v>Type 36</v>
      </c>
    </row>
    <row r="12" spans="1:14" x14ac:dyDescent="0.25">
      <c r="A12" s="49" t="s">
        <v>345</v>
      </c>
      <c r="B12" s="5" t="s">
        <v>371</v>
      </c>
      <c r="C12" s="5" t="str">
        <f t="shared" si="0"/>
        <v>1992</v>
      </c>
      <c r="D12" s="49" t="str">
        <f t="shared" si="1"/>
        <v>staff</v>
      </c>
      <c r="E12" s="49" t="str">
        <f t="shared" si="2"/>
        <v>Engineering 2</v>
      </c>
      <c r="F12" s="49"/>
      <c r="G12" s="5">
        <v>0</v>
      </c>
      <c r="H12" s="38">
        <f t="shared" si="3"/>
        <v>1750000</v>
      </c>
      <c r="I12" s="39">
        <f t="shared" si="4"/>
        <v>87500</v>
      </c>
      <c r="J12" s="39">
        <f t="shared" si="5"/>
        <v>0</v>
      </c>
      <c r="K12" s="38">
        <f t="shared" si="6"/>
        <v>0</v>
      </c>
      <c r="L12" s="39">
        <f t="shared" si="7"/>
        <v>87500</v>
      </c>
      <c r="M12" s="39">
        <f t="shared" si="8"/>
        <v>1750000</v>
      </c>
      <c r="N12" s="49" t="str">
        <f t="shared" si="9"/>
        <v>Type 36</v>
      </c>
    </row>
    <row r="13" spans="1:14" x14ac:dyDescent="0.25">
      <c r="A13" s="49" t="s">
        <v>346</v>
      </c>
      <c r="B13" s="5" t="s">
        <v>357</v>
      </c>
      <c r="C13" s="5" t="str">
        <f t="shared" si="0"/>
        <v>1993</v>
      </c>
      <c r="D13" s="49" t="str">
        <f t="shared" si="1"/>
        <v>Kepala</v>
      </c>
      <c r="E13" s="49" t="str">
        <f t="shared" si="2"/>
        <v>Quality Control</v>
      </c>
      <c r="F13" s="49" t="s">
        <v>257</v>
      </c>
      <c r="G13" s="5">
        <v>3</v>
      </c>
      <c r="H13" s="38">
        <f t="shared" si="3"/>
        <v>2250000</v>
      </c>
      <c r="I13" s="39">
        <f t="shared" si="4"/>
        <v>337500</v>
      </c>
      <c r="J13" s="39">
        <f t="shared" si="5"/>
        <v>112500</v>
      </c>
      <c r="K13" s="38">
        <f t="shared" si="6"/>
        <v>135000</v>
      </c>
      <c r="L13" s="39">
        <f t="shared" si="7"/>
        <v>225000</v>
      </c>
      <c r="M13" s="39">
        <f t="shared" si="8"/>
        <v>2610000</v>
      </c>
      <c r="N13" s="49" t="str">
        <f t="shared" si="9"/>
        <v>Type 45</v>
      </c>
    </row>
    <row r="14" spans="1:14" x14ac:dyDescent="0.25">
      <c r="A14" s="49" t="s">
        <v>347</v>
      </c>
      <c r="B14" s="5" t="s">
        <v>358</v>
      </c>
      <c r="C14" s="5" t="str">
        <f t="shared" si="0"/>
        <v>1990</v>
      </c>
      <c r="D14" s="49" t="str">
        <f t="shared" si="1"/>
        <v>staff</v>
      </c>
      <c r="E14" s="49" t="str">
        <f t="shared" si="2"/>
        <v>Produksi</v>
      </c>
      <c r="F14" s="49" t="s">
        <v>257</v>
      </c>
      <c r="G14" s="5">
        <v>4</v>
      </c>
      <c r="H14" s="38">
        <f t="shared" si="3"/>
        <v>1500000</v>
      </c>
      <c r="I14" s="39">
        <f t="shared" si="4"/>
        <v>75000</v>
      </c>
      <c r="J14" s="39">
        <f t="shared" si="5"/>
        <v>75000</v>
      </c>
      <c r="K14" s="38">
        <f t="shared" si="6"/>
        <v>90000</v>
      </c>
      <c r="L14" s="39">
        <f t="shared" si="7"/>
        <v>75000</v>
      </c>
      <c r="M14" s="39">
        <f t="shared" si="8"/>
        <v>1665000</v>
      </c>
      <c r="N14" s="49" t="str">
        <f t="shared" si="9"/>
        <v>Type 36</v>
      </c>
    </row>
    <row r="15" spans="1:14" x14ac:dyDescent="0.25">
      <c r="A15" s="49" t="s">
        <v>348</v>
      </c>
      <c r="B15" s="5" t="s">
        <v>359</v>
      </c>
      <c r="C15" s="5" t="str">
        <f t="shared" si="0"/>
        <v>1991</v>
      </c>
      <c r="D15" s="49" t="str">
        <f t="shared" si="1"/>
        <v>Operator</v>
      </c>
      <c r="E15" s="49" t="str">
        <f t="shared" si="2"/>
        <v>Produksi</v>
      </c>
      <c r="F15" s="49"/>
      <c r="G15" s="5">
        <v>0</v>
      </c>
      <c r="H15" s="38">
        <f t="shared" si="3"/>
        <v>850000</v>
      </c>
      <c r="I15" s="39">
        <f t="shared" si="4"/>
        <v>0</v>
      </c>
      <c r="J15" s="39">
        <f t="shared" si="5"/>
        <v>0</v>
      </c>
      <c r="K15" s="38">
        <f t="shared" si="6"/>
        <v>0</v>
      </c>
      <c r="L15" s="39">
        <f t="shared" si="7"/>
        <v>21250</v>
      </c>
      <c r="M15" s="39">
        <f t="shared" si="8"/>
        <v>828750</v>
      </c>
      <c r="N15" s="49" t="str">
        <f t="shared" si="9"/>
        <v>Type 21</v>
      </c>
    </row>
    <row r="16" spans="1:14" x14ac:dyDescent="0.25">
      <c r="A16" s="49" t="s">
        <v>349</v>
      </c>
      <c r="B16" s="5" t="s">
        <v>360</v>
      </c>
      <c r="C16" s="5" t="str">
        <f t="shared" si="0"/>
        <v>1992</v>
      </c>
      <c r="D16" s="49" t="str">
        <f t="shared" si="1"/>
        <v>Kepala</v>
      </c>
      <c r="E16" s="49" t="str">
        <f t="shared" si="2"/>
        <v>Produksi</v>
      </c>
      <c r="F16" s="49" t="s">
        <v>257</v>
      </c>
      <c r="G16" s="5">
        <v>2</v>
      </c>
      <c r="H16" s="38">
        <f t="shared" si="3"/>
        <v>2000000</v>
      </c>
      <c r="I16" s="39">
        <f t="shared" si="4"/>
        <v>300000</v>
      </c>
      <c r="J16" s="39">
        <f t="shared" si="5"/>
        <v>100000</v>
      </c>
      <c r="K16" s="38">
        <f t="shared" si="6"/>
        <v>80000</v>
      </c>
      <c r="L16" s="39">
        <f t="shared" si="7"/>
        <v>200000</v>
      </c>
      <c r="M16" s="39">
        <f t="shared" si="8"/>
        <v>2280000</v>
      </c>
      <c r="N16" s="49" t="str">
        <f t="shared" si="9"/>
        <v>Type 36</v>
      </c>
    </row>
    <row r="21" spans="2:12" x14ac:dyDescent="0.25">
      <c r="B21" s="90" t="s">
        <v>361</v>
      </c>
      <c r="C21" s="90" t="s">
        <v>119</v>
      </c>
      <c r="D21" s="87" t="s">
        <v>332</v>
      </c>
      <c r="E21" s="88"/>
      <c r="F21" s="89"/>
      <c r="H21" s="9" t="s">
        <v>366</v>
      </c>
      <c r="I21" s="49">
        <v>1</v>
      </c>
      <c r="J21" s="49">
        <v>2</v>
      </c>
      <c r="K21" s="49">
        <v>3</v>
      </c>
      <c r="L21" s="53"/>
    </row>
    <row r="22" spans="2:12" s="50" customFormat="1" x14ac:dyDescent="0.25">
      <c r="B22" s="91"/>
      <c r="C22" s="91"/>
      <c r="D22" s="9">
        <v>1</v>
      </c>
      <c r="E22" s="9">
        <v>2</v>
      </c>
      <c r="F22" s="9">
        <v>3</v>
      </c>
      <c r="H22" s="9" t="s">
        <v>333</v>
      </c>
      <c r="I22" s="37">
        <v>0.15</v>
      </c>
      <c r="J22" s="37">
        <v>0.05</v>
      </c>
      <c r="K22" s="37">
        <v>0</v>
      </c>
      <c r="L22" s="54"/>
    </row>
    <row r="23" spans="2:12" x14ac:dyDescent="0.25">
      <c r="B23" s="49" t="s">
        <v>124</v>
      </c>
      <c r="C23" s="49" t="s">
        <v>362</v>
      </c>
      <c r="D23" s="38">
        <v>2500000</v>
      </c>
      <c r="E23" s="38">
        <v>1850000</v>
      </c>
      <c r="F23" s="38">
        <v>1000000</v>
      </c>
      <c r="H23" s="9" t="s">
        <v>335</v>
      </c>
      <c r="I23" s="37">
        <v>0.1</v>
      </c>
      <c r="J23" s="37">
        <v>0.05</v>
      </c>
      <c r="K23" s="37">
        <v>2.5000000000000001E-2</v>
      </c>
      <c r="L23" s="55"/>
    </row>
    <row r="24" spans="2:12" x14ac:dyDescent="0.25">
      <c r="B24" s="49" t="s">
        <v>125</v>
      </c>
      <c r="C24" s="49" t="s">
        <v>363</v>
      </c>
      <c r="D24" s="38">
        <v>2350000</v>
      </c>
      <c r="E24" s="38">
        <v>1750000</v>
      </c>
      <c r="F24" s="38">
        <v>950000</v>
      </c>
    </row>
    <row r="25" spans="2:12" x14ac:dyDescent="0.25">
      <c r="B25" s="49" t="s">
        <v>126</v>
      </c>
      <c r="C25" s="49" t="s">
        <v>364</v>
      </c>
      <c r="D25" s="38">
        <v>2000000</v>
      </c>
      <c r="E25" s="38">
        <v>1500000</v>
      </c>
      <c r="F25" s="56">
        <v>850000</v>
      </c>
      <c r="G25" s="53"/>
      <c r="H25" s="58"/>
    </row>
    <row r="26" spans="2:12" x14ac:dyDescent="0.25">
      <c r="B26" s="49" t="s">
        <v>312</v>
      </c>
      <c r="C26" s="49" t="s">
        <v>365</v>
      </c>
      <c r="D26" s="38">
        <v>2250000</v>
      </c>
      <c r="E26" s="38">
        <v>1600000</v>
      </c>
      <c r="F26" s="56">
        <v>800000</v>
      </c>
      <c r="G26" s="53"/>
      <c r="H26" s="53"/>
    </row>
    <row r="27" spans="2:12" x14ac:dyDescent="0.25">
      <c r="G27" s="53"/>
      <c r="H27" s="53"/>
    </row>
    <row r="28" spans="2:12" x14ac:dyDescent="0.25">
      <c r="G28" s="53"/>
      <c r="H28" s="53"/>
    </row>
    <row r="29" spans="2:12" x14ac:dyDescent="0.25">
      <c r="B29" s="9" t="s">
        <v>337</v>
      </c>
      <c r="C29" s="9" t="s">
        <v>370</v>
      </c>
      <c r="D29" s="57"/>
      <c r="E29" s="59"/>
    </row>
    <row r="30" spans="2:12" x14ac:dyDescent="0.25">
      <c r="B30" s="49" t="s">
        <v>367</v>
      </c>
      <c r="C30" s="38">
        <f>SUMIF($N$5:$N$16,"Type 21",$M$5:$M$16)</f>
        <v>3664500</v>
      </c>
      <c r="D30" s="53"/>
      <c r="E30" s="53"/>
    </row>
    <row r="31" spans="2:12" x14ac:dyDescent="0.25">
      <c r="B31" s="49" t="s">
        <v>368</v>
      </c>
      <c r="C31" s="38">
        <f>SUMIF($N$5:$N$16,"Type 36",$M$5:$M$16)</f>
        <v>11816000</v>
      </c>
      <c r="D31" s="53"/>
      <c r="E31" s="53"/>
    </row>
    <row r="32" spans="2:12" x14ac:dyDescent="0.25">
      <c r="B32" s="49" t="s">
        <v>369</v>
      </c>
      <c r="C32" s="38">
        <f>SUMIF($N$5:$N$16,"Type 45",$M$5:$M$16)</f>
        <v>5460000</v>
      </c>
      <c r="D32" s="53"/>
      <c r="E32" s="53"/>
    </row>
    <row r="33" spans="3:3" x14ac:dyDescent="0.25">
      <c r="C33" t="s">
        <v>373</v>
      </c>
    </row>
  </sheetData>
  <mergeCells count="3">
    <mergeCell ref="D21:F21"/>
    <mergeCell ref="B21:B22"/>
    <mergeCell ref="C21:C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3" zoomScale="150" zoomScaleNormal="150" workbookViewId="0">
      <selection activeCell="I8" sqref="I8"/>
    </sheetView>
  </sheetViews>
  <sheetFormatPr defaultRowHeight="15" x14ac:dyDescent="0.25"/>
  <cols>
    <col min="2" max="2" width="12.85546875" customWidth="1"/>
    <col min="4" max="4" width="11.85546875" customWidth="1"/>
    <col min="10" max="10" width="11.7109375" customWidth="1"/>
    <col min="11" max="11" width="12.7109375" customWidth="1"/>
  </cols>
  <sheetData>
    <row r="1" spans="1:11" x14ac:dyDescent="0.25">
      <c r="A1" s="60" t="s">
        <v>36</v>
      </c>
      <c r="B1" s="60"/>
      <c r="C1" s="60"/>
      <c r="D1" s="60"/>
    </row>
    <row r="2" spans="1:11" x14ac:dyDescent="0.25">
      <c r="A2" t="s">
        <v>37</v>
      </c>
    </row>
    <row r="3" spans="1:11" x14ac:dyDescent="0.25">
      <c r="A3" t="s">
        <v>38</v>
      </c>
    </row>
    <row r="5" spans="1:11" ht="18" customHeight="1" x14ac:dyDescent="0.25">
      <c r="A5" t="s">
        <v>39</v>
      </c>
      <c r="D5" s="2">
        <v>17500</v>
      </c>
    </row>
    <row r="6" spans="1:11" ht="20.25" customHeight="1" x14ac:dyDescent="0.25">
      <c r="A6" s="62" t="s">
        <v>3</v>
      </c>
      <c r="B6" s="62" t="s">
        <v>59</v>
      </c>
      <c r="C6" s="64" t="s">
        <v>52</v>
      </c>
      <c r="D6" s="65"/>
      <c r="E6" s="65"/>
      <c r="F6" s="65"/>
      <c r="G6" s="65"/>
      <c r="H6" s="66"/>
      <c r="I6" s="62" t="s">
        <v>53</v>
      </c>
      <c r="J6" s="61" t="s">
        <v>54</v>
      </c>
      <c r="K6" s="61" t="s">
        <v>55</v>
      </c>
    </row>
    <row r="7" spans="1:11" x14ac:dyDescent="0.25">
      <c r="A7" s="63"/>
      <c r="B7" s="63"/>
      <c r="C7" s="3" t="s">
        <v>46</v>
      </c>
      <c r="D7" s="10" t="s">
        <v>47</v>
      </c>
      <c r="E7" s="3" t="s">
        <v>48</v>
      </c>
      <c r="F7" s="3" t="s">
        <v>49</v>
      </c>
      <c r="G7" s="3" t="s">
        <v>50</v>
      </c>
      <c r="H7" s="3" t="s">
        <v>51</v>
      </c>
      <c r="I7" s="63"/>
      <c r="J7" s="61"/>
      <c r="K7" s="61"/>
    </row>
    <row r="8" spans="1:11" x14ac:dyDescent="0.25">
      <c r="A8" s="5">
        <v>1</v>
      </c>
      <c r="B8" s="3" t="s">
        <v>40</v>
      </c>
      <c r="C8" s="5" t="s">
        <v>56</v>
      </c>
      <c r="D8" s="5" t="s">
        <v>56</v>
      </c>
      <c r="E8" s="5" t="s">
        <v>57</v>
      </c>
      <c r="F8" s="5" t="s">
        <v>56</v>
      </c>
      <c r="G8" s="5" t="s">
        <v>56</v>
      </c>
      <c r="H8" s="5" t="s">
        <v>56</v>
      </c>
      <c r="I8" s="5">
        <f t="shared" ref="I8:I13" si="0">COUNTIF(C8:H8,"x")</f>
        <v>5</v>
      </c>
      <c r="J8" s="10">
        <f t="shared" ref="J8:J13" si="1">$D$5</f>
        <v>17500</v>
      </c>
      <c r="K8" s="10">
        <f t="shared" ref="K8:K13" si="2">I8*J8</f>
        <v>87500</v>
      </c>
    </row>
    <row r="9" spans="1:11" x14ac:dyDescent="0.25">
      <c r="A9" s="5">
        <v>2</v>
      </c>
      <c r="B9" s="3" t="s">
        <v>41</v>
      </c>
      <c r="C9" s="5" t="s">
        <v>57</v>
      </c>
      <c r="D9" s="5" t="s">
        <v>56</v>
      </c>
      <c r="E9" s="5" t="s">
        <v>56</v>
      </c>
      <c r="F9" s="5" t="s">
        <v>56</v>
      </c>
      <c r="G9" s="5" t="s">
        <v>56</v>
      </c>
      <c r="H9" s="5" t="s">
        <v>57</v>
      </c>
      <c r="I9" s="5">
        <f t="shared" si="0"/>
        <v>4</v>
      </c>
      <c r="J9" s="10">
        <f t="shared" si="1"/>
        <v>17500</v>
      </c>
      <c r="K9" s="10">
        <f t="shared" si="2"/>
        <v>70000</v>
      </c>
    </row>
    <row r="10" spans="1:11" x14ac:dyDescent="0.25">
      <c r="A10" s="5">
        <v>3</v>
      </c>
      <c r="B10" s="3" t="s">
        <v>42</v>
      </c>
      <c r="C10" s="5" t="s">
        <v>56</v>
      </c>
      <c r="D10" s="5" t="s">
        <v>56</v>
      </c>
      <c r="E10" s="5" t="s">
        <v>57</v>
      </c>
      <c r="F10" s="5" t="s">
        <v>56</v>
      </c>
      <c r="G10" s="5" t="s">
        <v>56</v>
      </c>
      <c r="H10" s="5" t="s">
        <v>57</v>
      </c>
      <c r="I10" s="5">
        <f t="shared" si="0"/>
        <v>4</v>
      </c>
      <c r="J10" s="10">
        <f t="shared" si="1"/>
        <v>17500</v>
      </c>
      <c r="K10" s="10">
        <f t="shared" si="2"/>
        <v>70000</v>
      </c>
    </row>
    <row r="11" spans="1:11" x14ac:dyDescent="0.25">
      <c r="A11" s="5">
        <v>4</v>
      </c>
      <c r="B11" s="3" t="s">
        <v>43</v>
      </c>
      <c r="C11" s="5" t="s">
        <v>56</v>
      </c>
      <c r="D11" s="5" t="s">
        <v>56</v>
      </c>
      <c r="E11" s="5" t="s">
        <v>56</v>
      </c>
      <c r="F11" s="5" t="s">
        <v>56</v>
      </c>
      <c r="G11" s="5" t="s">
        <v>56</v>
      </c>
      <c r="H11" s="5" t="s">
        <v>56</v>
      </c>
      <c r="I11" s="5">
        <f t="shared" si="0"/>
        <v>6</v>
      </c>
      <c r="J11" s="10">
        <f t="shared" si="1"/>
        <v>17500</v>
      </c>
      <c r="K11" s="10">
        <f t="shared" si="2"/>
        <v>105000</v>
      </c>
    </row>
    <row r="12" spans="1:11" x14ac:dyDescent="0.25">
      <c r="A12" s="5">
        <v>5</v>
      </c>
      <c r="B12" s="3" t="s">
        <v>44</v>
      </c>
      <c r="C12" s="5" t="s">
        <v>56</v>
      </c>
      <c r="D12" s="5" t="s">
        <v>56</v>
      </c>
      <c r="E12" s="5" t="s">
        <v>56</v>
      </c>
      <c r="F12" s="5" t="s">
        <v>56</v>
      </c>
      <c r="G12" s="5" t="s">
        <v>56</v>
      </c>
      <c r="H12" s="5" t="s">
        <v>56</v>
      </c>
      <c r="I12" s="5">
        <f t="shared" si="0"/>
        <v>6</v>
      </c>
      <c r="J12" s="10">
        <f t="shared" si="1"/>
        <v>17500</v>
      </c>
      <c r="K12" s="10">
        <f t="shared" si="2"/>
        <v>105000</v>
      </c>
    </row>
    <row r="13" spans="1:11" x14ac:dyDescent="0.25">
      <c r="A13" s="5">
        <v>6</v>
      </c>
      <c r="B13" s="3" t="s">
        <v>45</v>
      </c>
      <c r="C13" s="5" t="s">
        <v>56</v>
      </c>
      <c r="D13" s="5" t="s">
        <v>56</v>
      </c>
      <c r="E13" s="5" t="s">
        <v>56</v>
      </c>
      <c r="F13" s="5" t="s">
        <v>57</v>
      </c>
      <c r="G13" s="5" t="s">
        <v>57</v>
      </c>
      <c r="H13" s="5" t="s">
        <v>56</v>
      </c>
      <c r="I13" s="5">
        <f t="shared" si="0"/>
        <v>4</v>
      </c>
      <c r="J13" s="10">
        <f t="shared" si="1"/>
        <v>17500</v>
      </c>
      <c r="K13" s="10">
        <f t="shared" si="2"/>
        <v>70000</v>
      </c>
    </row>
    <row r="14" spans="1:11" x14ac:dyDescent="0.25">
      <c r="A14" s="64" t="s">
        <v>58</v>
      </c>
      <c r="B14" s="65"/>
      <c r="C14" s="65"/>
      <c r="D14" s="65"/>
      <c r="E14" s="65"/>
      <c r="F14" s="65"/>
      <c r="G14" s="65"/>
      <c r="H14" s="65"/>
      <c r="I14" s="65"/>
      <c r="J14" s="65"/>
      <c r="K14" s="11">
        <f>SUM(K8:K13)</f>
        <v>507500</v>
      </c>
    </row>
  </sheetData>
  <mergeCells count="8">
    <mergeCell ref="K6:K7"/>
    <mergeCell ref="A1:D1"/>
    <mergeCell ref="A6:A7"/>
    <mergeCell ref="A14:J14"/>
    <mergeCell ref="B6:B7"/>
    <mergeCell ref="C6:H6"/>
    <mergeCell ref="I6:I7"/>
    <mergeCell ref="J6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4" sqref="C14"/>
    </sheetView>
  </sheetViews>
  <sheetFormatPr defaultRowHeight="15" x14ac:dyDescent="0.25"/>
  <cols>
    <col min="1" max="1" width="14.85546875" customWidth="1"/>
    <col min="2" max="2" width="19.5703125" customWidth="1"/>
    <col min="3" max="3" width="14.140625" customWidth="1"/>
  </cols>
  <sheetData>
    <row r="1" spans="1:3" x14ac:dyDescent="0.25">
      <c r="A1" t="s">
        <v>60</v>
      </c>
    </row>
    <row r="2" spans="1:3" x14ac:dyDescent="0.25">
      <c r="A2" t="s">
        <v>61</v>
      </c>
    </row>
    <row r="4" spans="1:3" x14ac:dyDescent="0.25">
      <c r="A4" s="3" t="s">
        <v>62</v>
      </c>
      <c r="B4" s="3" t="s">
        <v>4</v>
      </c>
      <c r="C4" s="3" t="s">
        <v>63</v>
      </c>
    </row>
    <row r="5" spans="1:3" x14ac:dyDescent="0.25">
      <c r="A5" s="3" t="s">
        <v>64</v>
      </c>
      <c r="B5" s="3" t="s">
        <v>11</v>
      </c>
      <c r="C5" s="5">
        <v>22</v>
      </c>
    </row>
    <row r="6" spans="1:3" x14ac:dyDescent="0.25">
      <c r="A6" s="3" t="s">
        <v>66</v>
      </c>
      <c r="B6" s="3" t="s">
        <v>9</v>
      </c>
      <c r="C6" s="5">
        <v>15</v>
      </c>
    </row>
    <row r="7" spans="1:3" x14ac:dyDescent="0.25">
      <c r="A7" s="3" t="s">
        <v>67</v>
      </c>
      <c r="B7" s="3" t="s">
        <v>65</v>
      </c>
      <c r="C7" s="5">
        <v>9</v>
      </c>
    </row>
    <row r="8" spans="1:3" x14ac:dyDescent="0.25">
      <c r="A8" s="3" t="s">
        <v>68</v>
      </c>
      <c r="B8" s="3" t="s">
        <v>9</v>
      </c>
      <c r="C8" s="5">
        <v>29</v>
      </c>
    </row>
    <row r="9" spans="1:3" x14ac:dyDescent="0.25">
      <c r="A9" s="3" t="s">
        <v>69</v>
      </c>
      <c r="B9" s="3" t="s">
        <v>10</v>
      </c>
      <c r="C9" s="5">
        <v>12</v>
      </c>
    </row>
    <row r="10" spans="1:3" x14ac:dyDescent="0.25">
      <c r="A10" s="3" t="s">
        <v>70</v>
      </c>
      <c r="B10" s="3" t="s">
        <v>65</v>
      </c>
      <c r="C10" s="5">
        <v>22</v>
      </c>
    </row>
    <row r="11" spans="1:3" x14ac:dyDescent="0.25">
      <c r="A11" s="3" t="s">
        <v>71</v>
      </c>
      <c r="B11" s="3" t="s">
        <v>10</v>
      </c>
      <c r="C11" s="5">
        <v>27</v>
      </c>
    </row>
    <row r="12" spans="1:3" x14ac:dyDescent="0.25">
      <c r="A12" s="3" t="s">
        <v>72</v>
      </c>
      <c r="B12" s="3" t="s">
        <v>11</v>
      </c>
      <c r="C12" s="5">
        <v>9</v>
      </c>
    </row>
    <row r="13" spans="1:3" x14ac:dyDescent="0.25">
      <c r="A13" s="67" t="s">
        <v>73</v>
      </c>
      <c r="B13" s="67"/>
      <c r="C13" s="3">
        <f ca="1">SUMIF($B$5:$C$12,"Speaker",$C$5:$C$12)</f>
        <v>31</v>
      </c>
    </row>
    <row r="14" spans="1:3" x14ac:dyDescent="0.25">
      <c r="A14" s="67" t="s">
        <v>74</v>
      </c>
      <c r="B14" s="67"/>
      <c r="C14" s="3">
        <f ca="1">SUMIF($B$5:$C$12,"Mouse",$C$5:$C$12)</f>
        <v>44</v>
      </c>
    </row>
    <row r="15" spans="1:3" x14ac:dyDescent="0.25">
      <c r="A15" s="67" t="s">
        <v>75</v>
      </c>
      <c r="B15" s="67"/>
      <c r="C15" s="3">
        <f ca="1">SUMIF($B$5:$C$12,"Headset",$C$5:$C$12)</f>
        <v>31</v>
      </c>
    </row>
    <row r="16" spans="1:3" x14ac:dyDescent="0.25">
      <c r="A16" s="67" t="s">
        <v>76</v>
      </c>
      <c r="B16" s="67"/>
      <c r="C16" s="3">
        <f ca="1">SUMIF($B$5:$C$12,"Keyboard",$C$5:$C$12)</f>
        <v>39</v>
      </c>
    </row>
  </sheetData>
  <mergeCells count="4">
    <mergeCell ref="A13:B13"/>
    <mergeCell ref="A14:B14"/>
    <mergeCell ref="A15:B15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4" sqref="D14"/>
    </sheetView>
  </sheetViews>
  <sheetFormatPr defaultRowHeight="15" x14ac:dyDescent="0.25"/>
  <cols>
    <col min="1" max="2" width="18.28515625" customWidth="1"/>
    <col min="3" max="3" width="24.28515625" customWidth="1"/>
    <col min="4" max="4" width="17.42578125" customWidth="1"/>
  </cols>
  <sheetData>
    <row r="1" spans="1:4" x14ac:dyDescent="0.25">
      <c r="A1" t="s">
        <v>60</v>
      </c>
    </row>
    <row r="2" spans="1:4" x14ac:dyDescent="0.25">
      <c r="A2" t="s">
        <v>61</v>
      </c>
    </row>
    <row r="4" spans="1:4" x14ac:dyDescent="0.25">
      <c r="A4" s="3" t="s">
        <v>62</v>
      </c>
      <c r="B4" s="3" t="s">
        <v>77</v>
      </c>
      <c r="C4" s="3" t="s">
        <v>4</v>
      </c>
      <c r="D4" s="3" t="s">
        <v>63</v>
      </c>
    </row>
    <row r="5" spans="1:4" x14ac:dyDescent="0.25">
      <c r="A5" s="3" t="s">
        <v>64</v>
      </c>
      <c r="B5" s="3" t="s">
        <v>78</v>
      </c>
      <c r="C5" s="3" t="s">
        <v>11</v>
      </c>
      <c r="D5" s="5">
        <v>22</v>
      </c>
    </row>
    <row r="6" spans="1:4" x14ac:dyDescent="0.25">
      <c r="A6" s="3" t="s">
        <v>66</v>
      </c>
      <c r="B6" s="3" t="s">
        <v>79</v>
      </c>
      <c r="C6" s="3" t="s">
        <v>9</v>
      </c>
      <c r="D6" s="5">
        <v>15</v>
      </c>
    </row>
    <row r="7" spans="1:4" x14ac:dyDescent="0.25">
      <c r="A7" s="3" t="s">
        <v>67</v>
      </c>
      <c r="B7" s="3" t="s">
        <v>80</v>
      </c>
      <c r="C7" s="3" t="s">
        <v>65</v>
      </c>
      <c r="D7" s="5">
        <v>9</v>
      </c>
    </row>
    <row r="8" spans="1:4" x14ac:dyDescent="0.25">
      <c r="A8" s="3" t="s">
        <v>68</v>
      </c>
      <c r="B8" s="3" t="s">
        <v>80</v>
      </c>
      <c r="C8" s="3" t="s">
        <v>9</v>
      </c>
      <c r="D8" s="5">
        <v>29</v>
      </c>
    </row>
    <row r="9" spans="1:4" x14ac:dyDescent="0.25">
      <c r="A9" s="3" t="s">
        <v>69</v>
      </c>
      <c r="B9" s="3" t="s">
        <v>78</v>
      </c>
      <c r="C9" s="3" t="s">
        <v>10</v>
      </c>
      <c r="D9" s="5">
        <v>12</v>
      </c>
    </row>
    <row r="10" spans="1:4" x14ac:dyDescent="0.25">
      <c r="A10" s="3" t="s">
        <v>70</v>
      </c>
      <c r="B10" s="3" t="s">
        <v>79</v>
      </c>
      <c r="C10" s="3" t="s">
        <v>65</v>
      </c>
      <c r="D10" s="5">
        <v>22</v>
      </c>
    </row>
    <row r="11" spans="1:4" x14ac:dyDescent="0.25">
      <c r="A11" s="3" t="s">
        <v>71</v>
      </c>
      <c r="B11" s="3" t="s">
        <v>78</v>
      </c>
      <c r="C11" s="3" t="s">
        <v>10</v>
      </c>
      <c r="D11" s="5">
        <v>27</v>
      </c>
    </row>
    <row r="12" spans="1:4" x14ac:dyDescent="0.25">
      <c r="A12" s="3" t="s">
        <v>72</v>
      </c>
      <c r="B12" s="3" t="s">
        <v>79</v>
      </c>
      <c r="C12" s="3" t="s">
        <v>11</v>
      </c>
      <c r="D12" s="5">
        <v>9</v>
      </c>
    </row>
    <row r="13" spans="1:4" x14ac:dyDescent="0.25">
      <c r="A13" s="67" t="s">
        <v>81</v>
      </c>
      <c r="B13" s="67"/>
      <c r="C13" s="67"/>
      <c r="D13" s="3">
        <f>SUMIFS($D$5:$D$12,$B$5:$B$12,"Andre",$C$5:$C$12,"Speaker")</f>
        <v>22</v>
      </c>
    </row>
    <row r="14" spans="1:4" x14ac:dyDescent="0.25">
      <c r="A14" s="67" t="s">
        <v>82</v>
      </c>
      <c r="B14" s="67"/>
      <c r="C14" s="67"/>
      <c r="D14" s="3">
        <f>SUMIFS($D$5:$D$12,$B$5:$B$12,"Bima",$C$5:$C$12,"Mouse")</f>
        <v>29</v>
      </c>
    </row>
    <row r="15" spans="1:4" x14ac:dyDescent="0.25">
      <c r="A15" s="67" t="s">
        <v>83</v>
      </c>
      <c r="B15" s="67"/>
      <c r="C15" s="67"/>
      <c r="D15" s="3">
        <f>SUMIFS($D$5:$D$12,$B$5:$B$12,"Fino",$C$5:$C$12,"Headset")</f>
        <v>22</v>
      </c>
    </row>
    <row r="16" spans="1:4" x14ac:dyDescent="0.25">
      <c r="A16" s="67" t="s">
        <v>84</v>
      </c>
      <c r="B16" s="67"/>
      <c r="C16" s="67"/>
      <c r="D16" s="3">
        <f>SUMIFS($D$5:$D$12,$B$5:$B$12,"Andre",$C$5:$C$12,"Keyboard")</f>
        <v>39</v>
      </c>
    </row>
  </sheetData>
  <mergeCells count="4">
    <mergeCell ref="A13:C13"/>
    <mergeCell ref="A14:C14"/>
    <mergeCell ref="A15:C15"/>
    <mergeCell ref="A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40" zoomScaleNormal="140" workbookViewId="0">
      <selection activeCell="C16" sqref="C16"/>
    </sheetView>
  </sheetViews>
  <sheetFormatPr defaultRowHeight="15" x14ac:dyDescent="0.25"/>
  <cols>
    <col min="1" max="2" width="18.28515625" customWidth="1"/>
    <col min="3" max="3" width="24.28515625" customWidth="1"/>
    <col min="4" max="4" width="17.42578125" customWidth="1"/>
  </cols>
  <sheetData>
    <row r="1" spans="1:4" x14ac:dyDescent="0.25">
      <c r="A1" t="s">
        <v>60</v>
      </c>
    </row>
    <row r="2" spans="1:4" x14ac:dyDescent="0.25">
      <c r="A2" t="s">
        <v>61</v>
      </c>
    </row>
    <row r="4" spans="1:4" x14ac:dyDescent="0.25">
      <c r="A4" s="3" t="s">
        <v>62</v>
      </c>
      <c r="B4" s="3" t="s">
        <v>77</v>
      </c>
      <c r="C4" s="3" t="s">
        <v>4</v>
      </c>
      <c r="D4" s="3" t="s">
        <v>63</v>
      </c>
    </row>
    <row r="5" spans="1:4" x14ac:dyDescent="0.25">
      <c r="A5" s="3" t="s">
        <v>64</v>
      </c>
      <c r="B5" s="3" t="s">
        <v>78</v>
      </c>
      <c r="C5" s="3" t="s">
        <v>11</v>
      </c>
      <c r="D5" s="5">
        <v>22</v>
      </c>
    </row>
    <row r="6" spans="1:4" x14ac:dyDescent="0.25">
      <c r="A6" s="3" t="s">
        <v>66</v>
      </c>
      <c r="B6" s="3" t="s">
        <v>79</v>
      </c>
      <c r="C6" s="3" t="s">
        <v>9</v>
      </c>
      <c r="D6" s="5">
        <v>15</v>
      </c>
    </row>
    <row r="7" spans="1:4" x14ac:dyDescent="0.25">
      <c r="A7" s="3" t="s">
        <v>67</v>
      </c>
      <c r="B7" s="3" t="s">
        <v>80</v>
      </c>
      <c r="C7" s="3" t="s">
        <v>65</v>
      </c>
      <c r="D7" s="5">
        <v>9</v>
      </c>
    </row>
    <row r="8" spans="1:4" x14ac:dyDescent="0.25">
      <c r="A8" s="3" t="s">
        <v>68</v>
      </c>
      <c r="B8" s="3" t="s">
        <v>80</v>
      </c>
      <c r="C8" s="3" t="s">
        <v>9</v>
      </c>
      <c r="D8" s="5">
        <v>29</v>
      </c>
    </row>
    <row r="9" spans="1:4" x14ac:dyDescent="0.25">
      <c r="A9" s="3" t="s">
        <v>69</v>
      </c>
      <c r="B9" s="3" t="s">
        <v>78</v>
      </c>
      <c r="C9" s="3" t="s">
        <v>10</v>
      </c>
      <c r="D9" s="5">
        <v>12</v>
      </c>
    </row>
    <row r="10" spans="1:4" x14ac:dyDescent="0.25">
      <c r="A10" s="3" t="s">
        <v>70</v>
      </c>
      <c r="B10" s="3" t="s">
        <v>79</v>
      </c>
      <c r="C10" s="3" t="s">
        <v>65</v>
      </c>
      <c r="D10" s="5">
        <v>22</v>
      </c>
    </row>
    <row r="11" spans="1:4" x14ac:dyDescent="0.25">
      <c r="A11" s="3" t="s">
        <v>71</v>
      </c>
      <c r="B11" s="3" t="s">
        <v>78</v>
      </c>
      <c r="C11" s="3" t="s">
        <v>10</v>
      </c>
      <c r="D11" s="5">
        <v>27</v>
      </c>
    </row>
    <row r="12" spans="1:4" x14ac:dyDescent="0.25">
      <c r="A12" s="3" t="s">
        <v>72</v>
      </c>
      <c r="B12" s="3" t="s">
        <v>79</v>
      </c>
      <c r="C12" s="3" t="s">
        <v>11</v>
      </c>
      <c r="D12" s="5">
        <v>9</v>
      </c>
    </row>
    <row r="13" spans="1:4" x14ac:dyDescent="0.25">
      <c r="A13" s="68"/>
      <c r="B13" s="68"/>
      <c r="C13" s="68"/>
    </row>
    <row r="14" spans="1:4" x14ac:dyDescent="0.25">
      <c r="A14" t="s">
        <v>77</v>
      </c>
      <c r="B14" t="s">
        <v>79</v>
      </c>
    </row>
    <row r="15" spans="1:4" x14ac:dyDescent="0.25">
      <c r="A15" t="s">
        <v>4</v>
      </c>
      <c r="B15" t="s">
        <v>65</v>
      </c>
    </row>
    <row r="16" spans="1:4" x14ac:dyDescent="0.25">
      <c r="A16" t="s">
        <v>63</v>
      </c>
      <c r="C16" s="12">
        <f>SUMIFS($D$5:$D$12,$B$5:$B$12,$B$14,$C$5:$C$12,$B$15)</f>
        <v>22</v>
      </c>
    </row>
  </sheetData>
  <mergeCells count="1">
    <mergeCell ref="A13:C13"/>
  </mergeCells>
  <dataValidations count="2">
    <dataValidation type="list" allowBlank="1" showInputMessage="1" showErrorMessage="1" sqref="B14">
      <formula1>"Andre,Fino,Bima"</formula1>
    </dataValidation>
    <dataValidation type="list" allowBlank="1" showInputMessage="1" showErrorMessage="1" sqref="B15">
      <formula1>"Speaker,Mouse,Headset,Keyboard"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3"/>
  <sheetViews>
    <sheetView workbookViewId="0">
      <selection activeCell="C13" sqref="C13"/>
    </sheetView>
  </sheetViews>
  <sheetFormatPr defaultRowHeight="15" x14ac:dyDescent="0.25"/>
  <cols>
    <col min="1" max="1" width="12.5703125" customWidth="1"/>
    <col min="2" max="2" width="11.85546875" customWidth="1"/>
    <col min="3" max="3" width="10.85546875" customWidth="1"/>
  </cols>
  <sheetData>
    <row r="5" spans="2:5" x14ac:dyDescent="0.25">
      <c r="B5" s="8" t="s">
        <v>85</v>
      </c>
      <c r="C5" s="8" t="s">
        <v>86</v>
      </c>
    </row>
    <row r="6" spans="2:5" x14ac:dyDescent="0.25">
      <c r="B6" s="5">
        <v>5</v>
      </c>
      <c r="C6" s="5">
        <v>1</v>
      </c>
      <c r="E6">
        <f t="shared" ref="E6:E11" si="0">B6*C6</f>
        <v>5</v>
      </c>
    </row>
    <row r="7" spans="2:5" x14ac:dyDescent="0.25">
      <c r="B7" s="5">
        <v>10</v>
      </c>
      <c r="C7" s="5">
        <v>3</v>
      </c>
      <c r="E7">
        <f t="shared" si="0"/>
        <v>30</v>
      </c>
    </row>
    <row r="8" spans="2:5" x14ac:dyDescent="0.25">
      <c r="B8" s="5">
        <v>15</v>
      </c>
      <c r="C8" s="5">
        <v>5</v>
      </c>
      <c r="E8">
        <f t="shared" si="0"/>
        <v>75</v>
      </c>
    </row>
    <row r="9" spans="2:5" x14ac:dyDescent="0.25">
      <c r="B9" s="5">
        <v>20</v>
      </c>
      <c r="C9" s="5">
        <v>7</v>
      </c>
      <c r="E9">
        <f t="shared" si="0"/>
        <v>140</v>
      </c>
    </row>
    <row r="10" spans="2:5" x14ac:dyDescent="0.25">
      <c r="B10" s="5">
        <v>25</v>
      </c>
      <c r="C10" s="5">
        <v>9</v>
      </c>
      <c r="E10">
        <f t="shared" si="0"/>
        <v>225</v>
      </c>
    </row>
    <row r="11" spans="2:5" x14ac:dyDescent="0.25">
      <c r="B11" s="5">
        <v>30</v>
      </c>
      <c r="C11" s="5">
        <v>11</v>
      </c>
      <c r="E11">
        <f t="shared" si="0"/>
        <v>330</v>
      </c>
    </row>
    <row r="13" spans="2:5" x14ac:dyDescent="0.25">
      <c r="B13" s="9" t="s">
        <v>87</v>
      </c>
      <c r="C13" s="3">
        <f>SUMPRODUCT(B6:B11,C6:C11)</f>
        <v>805</v>
      </c>
      <c r="E13">
        <f>SUM(E6:E11)</f>
        <v>805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zoomScale="120" zoomScaleNormal="120" workbookViewId="0">
      <selection activeCell="H26" sqref="H26"/>
    </sheetView>
  </sheetViews>
  <sheetFormatPr defaultRowHeight="15" x14ac:dyDescent="0.25"/>
  <cols>
    <col min="2" max="2" width="11.42578125" customWidth="1"/>
    <col min="3" max="3" width="11.28515625" customWidth="1"/>
    <col min="4" max="4" width="12.140625" customWidth="1"/>
    <col min="5" max="5" width="11.85546875" customWidth="1"/>
    <col min="6" max="6" width="14.5703125" customWidth="1"/>
    <col min="7" max="7" width="14.85546875" customWidth="1"/>
    <col min="8" max="8" width="14.5703125" customWidth="1"/>
    <col min="9" max="9" width="13.7109375" customWidth="1"/>
    <col min="10" max="10" width="11.5703125" customWidth="1"/>
  </cols>
  <sheetData>
    <row r="1" spans="2:10" x14ac:dyDescent="0.25">
      <c r="B1" s="17" t="s">
        <v>88</v>
      </c>
      <c r="C1" s="17"/>
    </row>
    <row r="2" spans="2:10" x14ac:dyDescent="0.25">
      <c r="B2" t="s">
        <v>89</v>
      </c>
      <c r="I2" t="s">
        <v>128</v>
      </c>
    </row>
    <row r="3" spans="2:10" x14ac:dyDescent="0.25">
      <c r="B3" s="13">
        <v>39661</v>
      </c>
    </row>
    <row r="4" spans="2:10" x14ac:dyDescent="0.25">
      <c r="B4" s="18" t="s">
        <v>90</v>
      </c>
      <c r="C4" s="18" t="s">
        <v>91</v>
      </c>
      <c r="D4" s="18" t="s">
        <v>92</v>
      </c>
      <c r="E4" s="18" t="s">
        <v>93</v>
      </c>
      <c r="F4" s="18" t="s">
        <v>94</v>
      </c>
      <c r="G4" s="18" t="s">
        <v>95</v>
      </c>
      <c r="H4" s="18" t="s">
        <v>96</v>
      </c>
      <c r="I4" s="18" t="s">
        <v>97</v>
      </c>
      <c r="J4" s="18" t="s">
        <v>98</v>
      </c>
    </row>
    <row r="5" spans="2:10" x14ac:dyDescent="0.25">
      <c r="B5" s="5">
        <v>1</v>
      </c>
      <c r="C5" s="14">
        <v>39600</v>
      </c>
      <c r="D5" s="3">
        <v>2001</v>
      </c>
      <c r="E5" s="5">
        <v>39</v>
      </c>
      <c r="F5" s="3" t="s">
        <v>99</v>
      </c>
      <c r="G5" s="3" t="s">
        <v>114</v>
      </c>
      <c r="H5" s="3" t="s">
        <v>117</v>
      </c>
      <c r="I5" s="23">
        <f>IF(H5="Premium",4500,5500)*E5</f>
        <v>175500</v>
      </c>
      <c r="J5" s="24" t="str">
        <f>IF(G5="Bisnis","L-4678-LF",IF(G5="IT","W-319-NS","L-731-BC"))</f>
        <v>L-4678-LF</v>
      </c>
    </row>
    <row r="6" spans="2:10" x14ac:dyDescent="0.25">
      <c r="B6" s="5">
        <v>2</v>
      </c>
      <c r="C6" s="14">
        <v>39601</v>
      </c>
      <c r="D6" s="3">
        <v>2002</v>
      </c>
      <c r="E6" s="5">
        <v>39</v>
      </c>
      <c r="F6" s="3" t="s">
        <v>100</v>
      </c>
      <c r="G6" s="3" t="s">
        <v>115</v>
      </c>
      <c r="H6" s="3" t="s">
        <v>117</v>
      </c>
      <c r="I6" s="23">
        <f t="shared" ref="I6:I19" si="0">IF(H6="Premium",4500,5500)*E6</f>
        <v>175500</v>
      </c>
      <c r="J6" s="24" t="str">
        <f t="shared" ref="J6:J19" si="1">IF(G6="Bisnis","L-4678-LF",IF(G6="IT","W-319-NS","L-731-BC"))</f>
        <v>L-731-BC</v>
      </c>
    </row>
    <row r="7" spans="2:10" x14ac:dyDescent="0.25">
      <c r="B7" s="5">
        <v>3</v>
      </c>
      <c r="C7" s="14">
        <v>39601</v>
      </c>
      <c r="D7" s="3">
        <v>2003</v>
      </c>
      <c r="E7" s="5">
        <v>49</v>
      </c>
      <c r="F7" s="3" t="s">
        <v>101</v>
      </c>
      <c r="G7" s="3" t="s">
        <v>116</v>
      </c>
      <c r="H7" s="3" t="s">
        <v>118</v>
      </c>
      <c r="I7" s="23">
        <f t="shared" si="0"/>
        <v>269500</v>
      </c>
      <c r="J7" s="24" t="str">
        <f t="shared" si="1"/>
        <v>W-319-NS</v>
      </c>
    </row>
    <row r="8" spans="2:10" x14ac:dyDescent="0.25">
      <c r="B8" s="5">
        <v>4</v>
      </c>
      <c r="C8" s="14">
        <v>39601</v>
      </c>
      <c r="D8" s="3">
        <v>2004</v>
      </c>
      <c r="E8" s="5">
        <v>24</v>
      </c>
      <c r="F8" s="3" t="s">
        <v>102</v>
      </c>
      <c r="G8" s="3" t="s">
        <v>116</v>
      </c>
      <c r="H8" s="3" t="s">
        <v>117</v>
      </c>
      <c r="I8" s="23">
        <f t="shared" si="0"/>
        <v>108000</v>
      </c>
      <c r="J8" s="24" t="str">
        <f t="shared" si="1"/>
        <v>W-319-NS</v>
      </c>
    </row>
    <row r="9" spans="2:10" x14ac:dyDescent="0.25">
      <c r="B9" s="5">
        <v>5</v>
      </c>
      <c r="C9" s="14">
        <v>39603</v>
      </c>
      <c r="D9" s="3">
        <v>2005</v>
      </c>
      <c r="E9" s="5">
        <v>44</v>
      </c>
      <c r="F9" s="3" t="s">
        <v>103</v>
      </c>
      <c r="G9" s="3" t="s">
        <v>115</v>
      </c>
      <c r="H9" s="3" t="s">
        <v>118</v>
      </c>
      <c r="I9" s="23">
        <f t="shared" si="0"/>
        <v>242000</v>
      </c>
      <c r="J9" s="24" t="str">
        <f t="shared" si="1"/>
        <v>L-731-BC</v>
      </c>
    </row>
    <row r="10" spans="2:10" x14ac:dyDescent="0.25">
      <c r="B10" s="5">
        <v>6</v>
      </c>
      <c r="C10" s="14">
        <v>39605</v>
      </c>
      <c r="D10" s="3">
        <v>2006</v>
      </c>
      <c r="E10" s="5">
        <v>44</v>
      </c>
      <c r="F10" s="3" t="s">
        <v>104</v>
      </c>
      <c r="G10" s="3" t="s">
        <v>114</v>
      </c>
      <c r="H10" s="3" t="s">
        <v>118</v>
      </c>
      <c r="I10" s="23">
        <f t="shared" si="0"/>
        <v>242000</v>
      </c>
      <c r="J10" s="24" t="str">
        <f t="shared" si="1"/>
        <v>L-4678-LF</v>
      </c>
    </row>
    <row r="11" spans="2:10" x14ac:dyDescent="0.25">
      <c r="B11" s="5">
        <v>7</v>
      </c>
      <c r="C11" s="14">
        <v>39607</v>
      </c>
      <c r="D11" s="3">
        <v>2007</v>
      </c>
      <c r="E11" s="5">
        <v>34</v>
      </c>
      <c r="F11" s="3" t="s">
        <v>105</v>
      </c>
      <c r="G11" s="3" t="s">
        <v>115</v>
      </c>
      <c r="H11" s="3" t="s">
        <v>117</v>
      </c>
      <c r="I11" s="23">
        <f t="shared" si="0"/>
        <v>153000</v>
      </c>
      <c r="J11" s="24" t="str">
        <f t="shared" si="1"/>
        <v>L-731-BC</v>
      </c>
    </row>
    <row r="12" spans="2:10" x14ac:dyDescent="0.25">
      <c r="B12" s="5">
        <v>8</v>
      </c>
      <c r="C12" s="14">
        <v>39609</v>
      </c>
      <c r="D12" s="3">
        <v>2008</v>
      </c>
      <c r="E12" s="5">
        <v>34</v>
      </c>
      <c r="F12" s="3" t="s">
        <v>106</v>
      </c>
      <c r="G12" s="3" t="s">
        <v>116</v>
      </c>
      <c r="H12" s="3" t="s">
        <v>117</v>
      </c>
      <c r="I12" s="23">
        <f t="shared" si="0"/>
        <v>153000</v>
      </c>
      <c r="J12" s="24" t="str">
        <f t="shared" si="1"/>
        <v>W-319-NS</v>
      </c>
    </row>
    <row r="13" spans="2:10" x14ac:dyDescent="0.25">
      <c r="B13" s="5">
        <v>9</v>
      </c>
      <c r="C13" s="14">
        <v>39611</v>
      </c>
      <c r="D13" s="3">
        <v>2009</v>
      </c>
      <c r="E13" s="5">
        <v>39</v>
      </c>
      <c r="F13" s="3" t="s">
        <v>107</v>
      </c>
      <c r="G13" s="3" t="s">
        <v>114</v>
      </c>
      <c r="H13" s="3" t="s">
        <v>117</v>
      </c>
      <c r="I13" s="23">
        <f t="shared" si="0"/>
        <v>175500</v>
      </c>
      <c r="J13" s="24" t="str">
        <f t="shared" si="1"/>
        <v>L-4678-LF</v>
      </c>
    </row>
    <row r="14" spans="2:10" x14ac:dyDescent="0.25">
      <c r="B14" s="5">
        <v>10</v>
      </c>
      <c r="C14" s="14">
        <v>39613</v>
      </c>
      <c r="D14" s="3">
        <v>2010</v>
      </c>
      <c r="E14" s="5">
        <v>39</v>
      </c>
      <c r="F14" s="3" t="s">
        <v>108</v>
      </c>
      <c r="G14" s="3" t="s">
        <v>114</v>
      </c>
      <c r="H14" s="3" t="s">
        <v>118</v>
      </c>
      <c r="I14" s="23">
        <f t="shared" si="0"/>
        <v>214500</v>
      </c>
      <c r="J14" s="24" t="str">
        <f t="shared" si="1"/>
        <v>L-4678-LF</v>
      </c>
    </row>
    <row r="15" spans="2:10" x14ac:dyDescent="0.25">
      <c r="B15" s="5">
        <v>11</v>
      </c>
      <c r="C15" s="14">
        <v>39615</v>
      </c>
      <c r="D15" s="3">
        <v>2011</v>
      </c>
      <c r="E15" s="5">
        <v>39</v>
      </c>
      <c r="F15" s="3" t="s">
        <v>109</v>
      </c>
      <c r="G15" s="3" t="s">
        <v>115</v>
      </c>
      <c r="H15" s="3" t="s">
        <v>117</v>
      </c>
      <c r="I15" s="23">
        <f t="shared" si="0"/>
        <v>175500</v>
      </c>
      <c r="J15" s="24" t="str">
        <f t="shared" si="1"/>
        <v>L-731-BC</v>
      </c>
    </row>
    <row r="16" spans="2:10" x14ac:dyDescent="0.25">
      <c r="B16" s="5">
        <v>12</v>
      </c>
      <c r="C16" s="14">
        <v>39617</v>
      </c>
      <c r="D16" s="3">
        <v>2012</v>
      </c>
      <c r="E16" s="5">
        <v>29</v>
      </c>
      <c r="F16" s="3" t="s">
        <v>110</v>
      </c>
      <c r="G16" s="3" t="s">
        <v>116</v>
      </c>
      <c r="H16" s="3" t="s">
        <v>118</v>
      </c>
      <c r="I16" s="23">
        <f t="shared" si="0"/>
        <v>159500</v>
      </c>
      <c r="J16" s="24" t="str">
        <f t="shared" si="1"/>
        <v>W-319-NS</v>
      </c>
    </row>
    <row r="17" spans="2:12" x14ac:dyDescent="0.25">
      <c r="B17" s="5">
        <v>13</v>
      </c>
      <c r="C17" s="14">
        <v>39619</v>
      </c>
      <c r="D17" s="3">
        <v>2013</v>
      </c>
      <c r="E17" s="5">
        <v>34</v>
      </c>
      <c r="F17" s="3" t="s">
        <v>111</v>
      </c>
      <c r="G17" s="3" t="s">
        <v>116</v>
      </c>
      <c r="H17" s="3" t="s">
        <v>117</v>
      </c>
      <c r="I17" s="23">
        <f t="shared" si="0"/>
        <v>153000</v>
      </c>
      <c r="J17" s="24" t="str">
        <f t="shared" si="1"/>
        <v>W-319-NS</v>
      </c>
    </row>
    <row r="18" spans="2:12" x14ac:dyDescent="0.25">
      <c r="B18" s="5">
        <v>14</v>
      </c>
      <c r="C18" s="14">
        <v>39621</v>
      </c>
      <c r="D18" s="3">
        <v>2014</v>
      </c>
      <c r="E18" s="5">
        <v>24</v>
      </c>
      <c r="F18" s="3" t="s">
        <v>112</v>
      </c>
      <c r="G18" s="3" t="s">
        <v>116</v>
      </c>
      <c r="H18" s="3" t="s">
        <v>118</v>
      </c>
      <c r="I18" s="23">
        <f t="shared" si="0"/>
        <v>132000</v>
      </c>
      <c r="J18" s="24" t="str">
        <f t="shared" si="1"/>
        <v>W-319-NS</v>
      </c>
    </row>
    <row r="19" spans="2:12" x14ac:dyDescent="0.25">
      <c r="B19" s="5">
        <v>15</v>
      </c>
      <c r="C19" s="14">
        <v>39623</v>
      </c>
      <c r="D19" s="3">
        <v>2015</v>
      </c>
      <c r="E19" s="5">
        <v>44</v>
      </c>
      <c r="F19" s="3" t="s">
        <v>113</v>
      </c>
      <c r="G19" s="3" t="s">
        <v>116</v>
      </c>
      <c r="H19" s="3" t="s">
        <v>117</v>
      </c>
      <c r="I19" s="23">
        <f t="shared" si="0"/>
        <v>198000</v>
      </c>
      <c r="J19" s="24" t="str">
        <f t="shared" si="1"/>
        <v>W-319-NS</v>
      </c>
    </row>
    <row r="20" spans="2:12" x14ac:dyDescent="0.25">
      <c r="B20" s="64" t="s">
        <v>123</v>
      </c>
      <c r="C20" s="65"/>
      <c r="D20" s="66"/>
      <c r="E20" s="16">
        <f>SUM(E5:E19)</f>
        <v>555</v>
      </c>
      <c r="F20" s="3"/>
      <c r="G20" s="3"/>
      <c r="H20" s="3"/>
      <c r="I20" s="22">
        <f>SUM(I5:I19)</f>
        <v>2726500</v>
      </c>
      <c r="J20" s="3"/>
    </row>
    <row r="22" spans="2:12" x14ac:dyDescent="0.25">
      <c r="G22" s="69" t="s">
        <v>121</v>
      </c>
      <c r="H22" s="70"/>
      <c r="I22" s="71" t="s">
        <v>122</v>
      </c>
    </row>
    <row r="23" spans="2:12" x14ac:dyDescent="0.25">
      <c r="B23" s="18" t="s">
        <v>119</v>
      </c>
      <c r="C23" s="19" t="s">
        <v>117</v>
      </c>
      <c r="D23" s="19" t="s">
        <v>118</v>
      </c>
      <c r="E23" s="18" t="s">
        <v>120</v>
      </c>
      <c r="G23" s="19" t="s">
        <v>117</v>
      </c>
      <c r="H23" s="19" t="s">
        <v>118</v>
      </c>
      <c r="I23" s="72"/>
    </row>
    <row r="24" spans="2:12" x14ac:dyDescent="0.25">
      <c r="B24" s="3" t="s">
        <v>114</v>
      </c>
      <c r="C24" s="24">
        <f t="shared" ref="C24:D26" si="2">SUMPRODUCT(($G$5:$G$19=$B24)*($H$5:$H$19=C$23)*($E$5:$E$19))</f>
        <v>78</v>
      </c>
      <c r="D24" s="24">
        <f t="shared" si="2"/>
        <v>83</v>
      </c>
      <c r="E24" s="24">
        <f>SUM(C24:D24)</f>
        <v>161</v>
      </c>
      <c r="G24" s="23">
        <f t="shared" ref="G24:H26" si="3">SUMPRODUCT(($G$5:$G$19=$B24)*($H$5:$H$19=G$23)*($I$5:$I$19))</f>
        <v>351000</v>
      </c>
      <c r="H24" s="23">
        <f t="shared" si="3"/>
        <v>456500</v>
      </c>
      <c r="I24" s="23">
        <f>SUM(G24:H24)</f>
        <v>807500</v>
      </c>
    </row>
    <row r="25" spans="2:12" x14ac:dyDescent="0.25">
      <c r="B25" s="3" t="s">
        <v>116</v>
      </c>
      <c r="C25" s="24">
        <f t="shared" si="2"/>
        <v>136</v>
      </c>
      <c r="D25" s="24">
        <f t="shared" si="2"/>
        <v>102</v>
      </c>
      <c r="E25" s="24">
        <f>SUM(C25:D25)</f>
        <v>238</v>
      </c>
      <c r="G25" s="23">
        <f t="shared" si="3"/>
        <v>612000</v>
      </c>
      <c r="H25" s="23">
        <f t="shared" si="3"/>
        <v>561000</v>
      </c>
      <c r="I25" s="23">
        <f>SUM(G25:H25)</f>
        <v>1173000</v>
      </c>
    </row>
    <row r="26" spans="2:12" x14ac:dyDescent="0.25">
      <c r="B26" s="3" t="s">
        <v>115</v>
      </c>
      <c r="C26" s="24">
        <f t="shared" si="2"/>
        <v>112</v>
      </c>
      <c r="D26" s="24">
        <f t="shared" si="2"/>
        <v>44</v>
      </c>
      <c r="E26" s="24">
        <f>SUM(C26:D26)</f>
        <v>156</v>
      </c>
      <c r="G26" s="23">
        <f t="shared" si="3"/>
        <v>504000</v>
      </c>
      <c r="H26" s="23">
        <f t="shared" si="3"/>
        <v>242000</v>
      </c>
      <c r="I26" s="23">
        <f>SUM(G26:H26)</f>
        <v>746000</v>
      </c>
    </row>
    <row r="27" spans="2:12" x14ac:dyDescent="0.25">
      <c r="B27" s="15" t="s">
        <v>24</v>
      </c>
      <c r="C27" s="16">
        <f>SUM(C24:C26)</f>
        <v>326</v>
      </c>
      <c r="D27" s="16">
        <f>SUM(D24:D26)</f>
        <v>229</v>
      </c>
      <c r="E27" s="16">
        <f>SUM(E24:E26)</f>
        <v>555</v>
      </c>
      <c r="G27" s="22">
        <f>SUM(G24:G26)</f>
        <v>1467000</v>
      </c>
      <c r="H27" s="22">
        <f>SUM(H24:H26)</f>
        <v>1259500</v>
      </c>
      <c r="I27" s="22">
        <f>SUM(I24:I26)</f>
        <v>2726500</v>
      </c>
      <c r="L27" t="s">
        <v>129</v>
      </c>
    </row>
    <row r="28" spans="2:12" x14ac:dyDescent="0.25">
      <c r="I28" t="s">
        <v>130</v>
      </c>
    </row>
    <row r="31" spans="2:12" x14ac:dyDescent="0.25">
      <c r="L31" t="s">
        <v>131</v>
      </c>
    </row>
    <row r="32" spans="2:12" x14ac:dyDescent="0.25">
      <c r="B32" t="s">
        <v>124</v>
      </c>
      <c r="C32" t="str">
        <f>IF(B32="A","HITAM",IF(B32="B","PUTIH",IF(B32="C","PINK","")))</f>
        <v>HITAM</v>
      </c>
      <c r="D32" s="21">
        <f>IF(B32="A",10000,IF(B32="B",15000,IF(B32="C",20000,0)))</f>
        <v>10000</v>
      </c>
    </row>
    <row r="33" spans="2:4" x14ac:dyDescent="0.25">
      <c r="B33" t="s">
        <v>125</v>
      </c>
      <c r="C33" t="str">
        <f>IF(B33="A","HITAM",IF(B33="B","PUTIH",IF(B33="C","PINK","")))</f>
        <v>PUTIH</v>
      </c>
      <c r="D33" s="21">
        <f>IF(B33="A",10000,IF(B33="B",15000,IF(B33="C",20000,0)))</f>
        <v>15000</v>
      </c>
    </row>
    <row r="34" spans="2:4" x14ac:dyDescent="0.25">
      <c r="B34" t="s">
        <v>126</v>
      </c>
      <c r="C34" t="str">
        <f>IF(B34="A","HITAM",IF(B34="B","PUTIH",IF(B34="C","PINK","")))</f>
        <v>PINK</v>
      </c>
      <c r="D34" s="21">
        <f>IF(B34="A",10000,IF(B34="B",15000,IF(B34="C",20000,0)))</f>
        <v>20000</v>
      </c>
    </row>
    <row r="35" spans="2:4" x14ac:dyDescent="0.25">
      <c r="B35" t="s">
        <v>127</v>
      </c>
      <c r="D35" s="20">
        <f>IF(B35="A",10000,IF(B35="B",15000,IF(B35="C",20000,0)))</f>
        <v>0</v>
      </c>
    </row>
  </sheetData>
  <mergeCells count="3">
    <mergeCell ref="G22:H22"/>
    <mergeCell ref="I22:I23"/>
    <mergeCell ref="B20:D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zoomScale="130" zoomScaleNormal="130" workbookViewId="0">
      <selection activeCell="D4" sqref="D4"/>
    </sheetView>
  </sheetViews>
  <sheetFormatPr defaultRowHeight="15" x14ac:dyDescent="0.25"/>
  <cols>
    <col min="2" max="2" width="13.7109375" customWidth="1"/>
    <col min="3" max="3" width="16" customWidth="1"/>
    <col min="4" max="4" width="16.28515625" customWidth="1"/>
    <col min="5" max="5" width="14.85546875" customWidth="1"/>
  </cols>
  <sheetData>
    <row r="3" spans="2:4" x14ac:dyDescent="0.25">
      <c r="B3" s="25" t="s">
        <v>132</v>
      </c>
      <c r="C3" s="25" t="s">
        <v>133</v>
      </c>
      <c r="D3" s="25" t="s">
        <v>87</v>
      </c>
    </row>
    <row r="4" spans="2:4" x14ac:dyDescent="0.25">
      <c r="B4" s="3" t="s">
        <v>134</v>
      </c>
      <c r="C4" s="3" t="s">
        <v>135</v>
      </c>
      <c r="D4" s="3" t="str">
        <f>CONCATENATE(B4," ",C4)</f>
        <v>Indra Pambudi</v>
      </c>
    </row>
    <row r="5" spans="2:4" x14ac:dyDescent="0.25">
      <c r="B5" s="3" t="s">
        <v>22</v>
      </c>
      <c r="C5" s="3" t="s">
        <v>136</v>
      </c>
      <c r="D5" s="3" t="str">
        <f>CONCATENATE(B5," ",C5)</f>
        <v>Agus Rahmanto</v>
      </c>
    </row>
    <row r="6" spans="2:4" x14ac:dyDescent="0.25">
      <c r="B6" s="3" t="s">
        <v>137</v>
      </c>
      <c r="C6" s="3" t="s">
        <v>138</v>
      </c>
      <c r="D6" s="3" t="str">
        <f>CONCATENATE(B6," ",C6)</f>
        <v>Muhammad Johan</v>
      </c>
    </row>
    <row r="7" spans="2:4" x14ac:dyDescent="0.25">
      <c r="B7" s="3" t="s">
        <v>138</v>
      </c>
      <c r="C7" s="3" t="s">
        <v>139</v>
      </c>
      <c r="D7" s="3" t="str">
        <f>CONCATENATE(B7," ",C7)</f>
        <v>Johan Nirwana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Sheet1</vt:lpstr>
      <vt:lpstr>F.logika</vt:lpstr>
      <vt:lpstr>F.countIF</vt:lpstr>
      <vt:lpstr>F.sumif</vt:lpstr>
      <vt:lpstr>F.sumifs</vt:lpstr>
      <vt:lpstr>F.sumifs (2)</vt:lpstr>
      <vt:lpstr>sumproduct</vt:lpstr>
      <vt:lpstr>logicalIF</vt:lpstr>
      <vt:lpstr>concatenate</vt:lpstr>
      <vt:lpstr>Len</vt:lpstr>
      <vt:lpstr>Replace</vt:lpstr>
      <vt:lpstr>V.Hlookup</vt:lpstr>
      <vt:lpstr>V.Hlookup (2)</vt:lpstr>
      <vt:lpstr>V.Hlookup (3)</vt:lpstr>
      <vt:lpstr>V.Hlookup (4)</vt:lpstr>
      <vt:lpstr>if</vt:lpstr>
      <vt:lpstr>if&amp;right</vt:lpstr>
      <vt:lpstr>if&amp;left (2)</vt:lpstr>
      <vt:lpstr>if&amp;mid (3)</vt:lpstr>
      <vt:lpstr>soalIF</vt:lpstr>
      <vt:lpstr>soal Vhlookup</vt:lpstr>
      <vt:lpstr>tugas</vt:lpstr>
      <vt:lpstr>tugas 2</vt:lpstr>
      <vt:lpstr>maskapai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A-18</dc:creator>
  <cp:lastModifiedBy>A-18</cp:lastModifiedBy>
  <dcterms:created xsi:type="dcterms:W3CDTF">2023-07-14T06:26:37Z</dcterms:created>
  <dcterms:modified xsi:type="dcterms:W3CDTF">2023-07-28T08:15:14Z</dcterms:modified>
</cp:coreProperties>
</file>