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showInkAnnotation="0"/>
  <mc:AlternateContent xmlns:mc="http://schemas.openxmlformats.org/markup-compatibility/2006">
    <mc:Choice Requires="x15">
      <x15ac:absPath xmlns:x15ac="http://schemas.microsoft.com/office/spreadsheetml/2010/11/ac" url="C:\Users\VLondhe\Documents\Smart Medic  Project\SGTC Blank format\"/>
    </mc:Choice>
  </mc:AlternateContent>
  <xr:revisionPtr revIDLastSave="0" documentId="13_ncr:1_{E5E7A63F-DD04-4860-B278-C4A31E74EE8A}" xr6:coauthVersionLast="44" xr6:coauthVersionMax="44" xr10:uidLastSave="{00000000-0000-0000-0000-000000000000}"/>
  <bookViews>
    <workbookView xWindow="-108" yWindow="-108" windowWidth="23256" windowHeight="12576" tabRatio="891" activeTab="3" xr2:uid="{00000000-000D-0000-FFFF-FFFF00000000}"/>
  </bookViews>
  <sheets>
    <sheet name="System &amp; Asset Identification" sheetId="10" r:id="rId1"/>
    <sheet name="Vulnerability Identification" sheetId="11" r:id="rId2"/>
    <sheet name="Threat Assessment" sheetId="16" r:id="rId3"/>
    <sheet name="Security Risk Assess" sheetId="12" r:id="rId4"/>
    <sheet name="Summary" sheetId="21" r:id="rId5"/>
    <sheet name="Reference - CVSSv3.0" sheetId="19" r:id="rId6"/>
    <sheet name="Reference - Threat Source" sheetId="15" r:id="rId7"/>
    <sheet name="OLD - Threat Assessment" sheetId="14" state="hidden" r:id="rId8"/>
    <sheet name="OLD - Risk Controls" sheetId="13" state="hidden" r:id="rId9"/>
  </sheets>
  <definedNames>
    <definedName name="Attack" localSheetId="5">'Reference - CVSSv3.0'!$B$6:$B$9</definedName>
    <definedName name="CIA" localSheetId="5">'Reference - CVSSv3.0'!$B$15:$B$17</definedName>
    <definedName name="Comp" localSheetId="5">'Reference - CVSSv3.0'!$E$6:$E$7</definedName>
    <definedName name="Priv" localSheetId="5">'Reference - CVSSv3.0'!$H$6:$H$8</definedName>
    <definedName name="Scope" localSheetId="5">'Reference - CVSSv3.0'!$B$21:$B$22</definedName>
    <definedName name="Ux" localSheetId="5">'Reference - CVSSv3.0'!$L$6:$L$7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9" i="21" l="1"/>
  <c r="K9" i="21"/>
  <c r="I9" i="21"/>
  <c r="H9" i="21"/>
  <c r="F9" i="21"/>
  <c r="D9" i="21"/>
  <c r="B9" i="21"/>
  <c r="A9" i="21"/>
  <c r="M8" i="21"/>
  <c r="K8" i="21"/>
  <c r="I8" i="21"/>
  <c r="H8" i="21"/>
  <c r="F8" i="21"/>
  <c r="D8" i="21"/>
  <c r="B8" i="21"/>
  <c r="A8" i="21"/>
  <c r="M7" i="21"/>
  <c r="K7" i="21"/>
  <c r="I7" i="21"/>
  <c r="H7" i="21"/>
  <c r="F7" i="21"/>
  <c r="D7" i="21"/>
  <c r="B7" i="21"/>
  <c r="A7" i="21"/>
  <c r="M6" i="21"/>
  <c r="K6" i="21"/>
  <c r="I6" i="21"/>
  <c r="H6" i="21"/>
  <c r="F6" i="21"/>
  <c r="D6" i="21"/>
  <c r="B6" i="21"/>
  <c r="A6" i="21"/>
  <c r="M5" i="21"/>
  <c r="K5" i="21"/>
  <c r="I5" i="21"/>
  <c r="H5" i="21"/>
  <c r="F5" i="21"/>
  <c r="D5" i="21"/>
  <c r="B5" i="21"/>
  <c r="A5" i="21"/>
  <c r="E5" i="12" l="1"/>
  <c r="E5" i="21" s="1"/>
  <c r="E6" i="12"/>
  <c r="E6" i="21" s="1"/>
  <c r="E7" i="12"/>
  <c r="E7" i="21" s="1"/>
  <c r="E8" i="12"/>
  <c r="E8" i="21" s="1"/>
  <c r="E9" i="12"/>
  <c r="E9" i="21" s="1"/>
  <c r="C5" i="12"/>
  <c r="C5" i="21" s="1"/>
  <c r="C6" i="12"/>
  <c r="C6" i="21" s="1"/>
  <c r="C7" i="12"/>
  <c r="C7" i="21" s="1"/>
  <c r="C8" i="12"/>
  <c r="C8" i="21" s="1"/>
  <c r="C9" i="12"/>
  <c r="C9" i="21" s="1"/>
  <c r="W9" i="12" l="1"/>
  <c r="W8" i="12"/>
  <c r="W7" i="12"/>
  <c r="W6" i="12"/>
  <c r="G9" i="12" l="1"/>
  <c r="G9" i="21" s="1"/>
  <c r="R8" i="12"/>
  <c r="R5" i="12" l="1"/>
  <c r="R6" i="12"/>
  <c r="R7" i="12"/>
  <c r="R9" i="12"/>
  <c r="AL9" i="12"/>
  <c r="AL8" i="12"/>
  <c r="AL7" i="12"/>
  <c r="AL6" i="12"/>
  <c r="AK9" i="12"/>
  <c r="AK8" i="12"/>
  <c r="AK7" i="12"/>
  <c r="AK6" i="12"/>
  <c r="AK5" i="12" l="1"/>
  <c r="AM8" i="12" l="1"/>
  <c r="AM9" i="12"/>
  <c r="AO9" i="12" s="1"/>
  <c r="AP9" i="12" s="1"/>
  <c r="L9" i="21" s="1"/>
  <c r="AM7" i="12"/>
  <c r="AM6" i="12"/>
  <c r="AL5" i="12"/>
  <c r="AM5" i="12" s="1"/>
  <c r="AN5" i="12" s="1"/>
  <c r="AN6" i="12" l="1"/>
  <c r="AN8" i="12"/>
  <c r="AN7" i="12"/>
  <c r="AN9" i="12"/>
  <c r="G8" i="12"/>
  <c r="G8" i="21" s="1"/>
  <c r="G7" i="12"/>
  <c r="G7" i="21" s="1"/>
  <c r="G6" i="12"/>
  <c r="G6" i="21" s="1"/>
  <c r="AO8" i="12" l="1"/>
  <c r="AP8" i="12" s="1"/>
  <c r="L8" i="21" s="1"/>
  <c r="AO7" i="12"/>
  <c r="AP7" i="12" s="1"/>
  <c r="L7" i="21" s="1"/>
  <c r="AO6" i="12"/>
  <c r="AP6" i="12" s="1"/>
  <c r="L6" i="21" s="1"/>
  <c r="T9" i="12" l="1"/>
  <c r="S9" i="12"/>
  <c r="S8" i="12"/>
  <c r="T8" i="12" s="1"/>
  <c r="U8" i="12" s="1"/>
  <c r="S7" i="12"/>
  <c r="T7" i="12" s="1"/>
  <c r="S6" i="12"/>
  <c r="T6" i="12" s="1"/>
  <c r="X7" i="12" l="1"/>
  <c r="U9" i="12"/>
  <c r="X9" i="12"/>
  <c r="Y9" i="12" s="1"/>
  <c r="J9" i="21" s="1"/>
  <c r="X6" i="12"/>
  <c r="X8" i="12"/>
  <c r="U6" i="12"/>
  <c r="U7" i="12"/>
  <c r="S5" i="12"/>
  <c r="T5" i="12" s="1"/>
  <c r="U5" i="12" l="1"/>
  <c r="W5" i="12" l="1"/>
  <c r="G5" i="12"/>
  <c r="G5" i="21" s="1"/>
  <c r="X5" i="12" l="1"/>
  <c r="AO5" i="12"/>
  <c r="AP5" i="12" s="1"/>
  <c r="L5" i="21" s="1"/>
  <c r="Y6" i="12" l="1"/>
  <c r="J6" i="21" s="1"/>
  <c r="Y7" i="12"/>
  <c r="J7" i="21" s="1"/>
  <c r="Y8" i="12"/>
  <c r="J8" i="21" s="1"/>
  <c r="Y5" i="12"/>
  <c r="J5" i="21" s="1"/>
</calcChain>
</file>

<file path=xl/sharedStrings.xml><?xml version="1.0" encoding="utf-8"?>
<sst xmlns="http://schemas.openxmlformats.org/spreadsheetml/2006/main" count="447" uniqueCount="245">
  <si>
    <t>Asset</t>
  </si>
  <si>
    <t xml:space="preserve">
ID #</t>
  </si>
  <si>
    <t>Threat Event(s)</t>
  </si>
  <si>
    <t>Adverse Impact</t>
  </si>
  <si>
    <t>Residual Security Risk Acceptability Justification</t>
  </si>
  <si>
    <t>Security Controls/Mitigations</t>
  </si>
  <si>
    <t>Impact Description</t>
  </si>
  <si>
    <t>Vuln. ID</t>
  </si>
  <si>
    <t>ID #</t>
  </si>
  <si>
    <t>Physical Asset</t>
  </si>
  <si>
    <t>Information asset</t>
  </si>
  <si>
    <t>Asset Description</t>
  </si>
  <si>
    <t>Contains robotic module software which controls the overall functionality of robotic arm and communicates with the software application on the guidance module</t>
  </si>
  <si>
    <t>SBOM</t>
  </si>
  <si>
    <t>Access points</t>
  </si>
  <si>
    <t>Vulnerability Description</t>
  </si>
  <si>
    <t>Vulnerabilities</t>
  </si>
  <si>
    <t>Threat Source</t>
  </si>
  <si>
    <t>Verification of Risk Control Measures (Effectiveness)</t>
  </si>
  <si>
    <t>Feature/Function</t>
  </si>
  <si>
    <t>Risk Controls</t>
  </si>
  <si>
    <t>Adversarial Threat Events</t>
  </si>
  <si>
    <t>#</t>
  </si>
  <si>
    <t xml:space="preserve">Description </t>
  </si>
  <si>
    <t>Overall Likelihood of Threat Event</t>
  </si>
  <si>
    <t xml:space="preserve">Threat Event </t>
  </si>
  <si>
    <t>Adversarial Threat</t>
  </si>
  <si>
    <t>In Scope (Y/N)</t>
  </si>
  <si>
    <t>Non-Adverserial Threat</t>
  </si>
  <si>
    <t>Source</t>
  </si>
  <si>
    <t>Individual (Disgruntled/Ex-Employees, Outsider, Insider, Trusted Insider, Priveleged Insider)</t>
  </si>
  <si>
    <t>Organization (Competitor, Supplier, Partner, Customer, Researcher)</t>
  </si>
  <si>
    <t>Script Kiddies</t>
  </si>
  <si>
    <t>Political Activists (Hactivists, Anonymous, Wikileaks)</t>
  </si>
  <si>
    <t>Organized Crime (Cyber Terrorists)</t>
  </si>
  <si>
    <t>Nation States</t>
  </si>
  <si>
    <t>Accidental (Priveleged User/Administrator, inexperienced user, inexperienced installer, inexperienced maintainer, unintentional misuse)</t>
  </si>
  <si>
    <t>Researchers (Professional Security, Academic)</t>
  </si>
  <si>
    <t>Vulnerable systems/devices connected to device (e.g., via RS-232, USB, or other connections)</t>
  </si>
  <si>
    <t>Incompatible Software (OS, Networking, Applications)</t>
  </si>
  <si>
    <t>Environmental Impact (IT equipment, Temperature/Humidity Controls, RF Interference)</t>
  </si>
  <si>
    <t>Natural/Man-Made Disaster (Fire, Flood/Tsunami, Windstorm/Tornado, Earthquake, Bombing, Telecommunications/Power Failure)</t>
  </si>
  <si>
    <t>ID#</t>
  </si>
  <si>
    <t>Relevance of Threat Event (L/M/H)</t>
  </si>
  <si>
    <t>Liklihood of Threat Event Initiation
(L/M/H)</t>
  </si>
  <si>
    <t>Liklihood of Threat Event Resulting in Adverse Impacts
(L/M/H)</t>
  </si>
  <si>
    <t>TEA-1</t>
  </si>
  <si>
    <t xml:space="preserve">Perform perimeter network reconnaissance/scanning. </t>
  </si>
  <si>
    <t xml:space="preserve">Adversary uses commercial or free software to scan organizational perimeters to obtain a better understanding of the information technology infrastructure and improve the ability to launch successful attacks. </t>
  </si>
  <si>
    <t>TSA-1</t>
  </si>
  <si>
    <t>Possible</t>
  </si>
  <si>
    <t>Very Low</t>
  </si>
  <si>
    <t>TSA-2</t>
  </si>
  <si>
    <t>TSA-3</t>
  </si>
  <si>
    <t>TSA-4</t>
  </si>
  <si>
    <t>TSA-5</t>
  </si>
  <si>
    <t>TSA-6</t>
  </si>
  <si>
    <t>Moderate</t>
  </si>
  <si>
    <t>Low</t>
  </si>
  <si>
    <t>Y</t>
  </si>
  <si>
    <t>N</t>
  </si>
  <si>
    <t>TSN-1</t>
  </si>
  <si>
    <t>TSN-2</t>
  </si>
  <si>
    <t>TSN-3</t>
  </si>
  <si>
    <t>TSN-4</t>
  </si>
  <si>
    <t>TSN-5</t>
  </si>
  <si>
    <t>TSN-6</t>
  </si>
  <si>
    <t>High</t>
  </si>
  <si>
    <t>Likelihood of Attack Initiation</t>
  </si>
  <si>
    <t>Applicable (Yes/No)</t>
  </si>
  <si>
    <t>Rationale (if Vulnerability not applicable)</t>
  </si>
  <si>
    <t>Scope</t>
  </si>
  <si>
    <t>Confidentiality</t>
  </si>
  <si>
    <t>Integrity</t>
  </si>
  <si>
    <t>Availability</t>
  </si>
  <si>
    <t>Score</t>
  </si>
  <si>
    <t>Unchanged</t>
  </si>
  <si>
    <t>Physical</t>
  </si>
  <si>
    <t>Required</t>
  </si>
  <si>
    <t>None</t>
  </si>
  <si>
    <t>Network</t>
  </si>
  <si>
    <t>Local</t>
  </si>
  <si>
    <t>Adjacent Network</t>
  </si>
  <si>
    <t>Exploitability Metrics</t>
  </si>
  <si>
    <t>Attack Vector</t>
  </si>
  <si>
    <t>Attack Complexity</t>
  </si>
  <si>
    <t>Privelege Required</t>
  </si>
  <si>
    <t>User Interaction</t>
  </si>
  <si>
    <t>Metric</t>
  </si>
  <si>
    <t>Value</t>
  </si>
  <si>
    <t>Code</t>
  </si>
  <si>
    <t xml:space="preserve">Metric </t>
  </si>
  <si>
    <t>L</t>
  </si>
  <si>
    <t>A</t>
  </si>
  <si>
    <t>H</t>
  </si>
  <si>
    <t>R</t>
  </si>
  <si>
    <t>P</t>
  </si>
  <si>
    <t>Technical Impact Metrics</t>
  </si>
  <si>
    <t>Confidentiality, Integrity, Availability Impact</t>
  </si>
  <si>
    <t>An exploited vulnerability can only affect resources managed by the same authority. In this case the vulnerable component and the impacted component are the same.</t>
  </si>
  <si>
    <t>U</t>
  </si>
  <si>
    <t>Changed</t>
  </si>
  <si>
    <t>An exploited vulnerability can affect resources beyond the authorization privileges intended by the vulnerable component.
In this case the vulnerable component and the impacted component are different.</t>
  </si>
  <si>
    <t>C</t>
  </si>
  <si>
    <t>ASSUMPTIONS:</t>
  </si>
  <si>
    <t>Base metrics</t>
  </si>
  <si>
    <t xml:space="preserve">For the purposes of the medical device only Base metrics are considered. The Base metric group represents the intrinsic characteristics of a vulnerability that are constant over time and across user environments. It is composed of two sets of metrics: the Exploitability metrics and the Impact metrics.
The Exploitability metrics reflect the ease and technical means by which the vulnerability can be exploited. That is, they represent characteristics of the thing that is vulnerable, which we refer to formally as the vulnerable component. On the other hand, the Impact metrics reflect the direct consequence of a successful exploit, and represent the consequence to the thing that suffers the impact, which we refer to formally as the impacted component.
The document only considers the mandatory base metric since the device is typically utilized in tightly controlled user environments such as hospitals and this is already a consideration of this assessment document. The changing charecteristics of vulnerabilities will be assessed seperately through the software development lifecycle </t>
  </si>
  <si>
    <t>Very High</t>
  </si>
  <si>
    <t>A10</t>
  </si>
  <si>
    <t>A11</t>
  </si>
  <si>
    <t>A12</t>
  </si>
  <si>
    <t>A13</t>
  </si>
  <si>
    <t>A14</t>
  </si>
  <si>
    <t>A15</t>
  </si>
  <si>
    <t>A16</t>
  </si>
  <si>
    <t>A01</t>
  </si>
  <si>
    <t>A02</t>
  </si>
  <si>
    <t>A03</t>
  </si>
  <si>
    <t>A04</t>
  </si>
  <si>
    <t>A05</t>
  </si>
  <si>
    <t>A06</t>
  </si>
  <si>
    <t>A07</t>
  </si>
  <si>
    <t>A08</t>
  </si>
  <si>
    <t>A09</t>
  </si>
  <si>
    <t>V01</t>
  </si>
  <si>
    <t>V02</t>
  </si>
  <si>
    <t>V ID</t>
  </si>
  <si>
    <t>T ID</t>
  </si>
  <si>
    <t>A ID</t>
  </si>
  <si>
    <t>T01</t>
  </si>
  <si>
    <t>T02</t>
  </si>
  <si>
    <t>T03</t>
  </si>
  <si>
    <t>T04</t>
  </si>
  <si>
    <t>T05</t>
  </si>
  <si>
    <t>Unprotected network port</t>
  </si>
  <si>
    <t>Yes</t>
  </si>
  <si>
    <t>n/a</t>
  </si>
  <si>
    <t>Rating</t>
  </si>
  <si>
    <t>Pre-Implementation of Security Controls</t>
  </si>
  <si>
    <t>Post-Implementation of Security Controls</t>
  </si>
  <si>
    <t>Threat Event Initiation</t>
  </si>
  <si>
    <t>Threat Event Initiation
Score</t>
  </si>
  <si>
    <t>Security 
Risk 
Level</t>
  </si>
  <si>
    <t xml:space="preserve"> </t>
  </si>
  <si>
    <t>Patient health information in flight</t>
  </si>
  <si>
    <t>Patient health information at rest</t>
  </si>
  <si>
    <t>DICOM Data transmit between Nav System and PACS Server. Contains patient identity, DOB, Age/Gender, image data</t>
  </si>
  <si>
    <t>DICOM datastored on hard disk after import. Contains patient identity, DOB, Age/Gender, image data</t>
  </si>
  <si>
    <t>Computer Resources</t>
  </si>
  <si>
    <t xml:space="preserve">Utilizing computer resources and computing power by adversary, allows various general purpose attacks, such as  incl. denial of service attacks (Ransomware deployment, Bitcoin Mining, abuse of peripheral devices such as WebCam, Microphones, etc., ). </t>
  </si>
  <si>
    <t>Information Asset</t>
  </si>
  <si>
    <t>Admninistrator Password / Credentials</t>
  </si>
  <si>
    <t>User Password / Credentials</t>
  </si>
  <si>
    <t xml:space="preserve">User Passwords/Credentials provide access to ePHI, Software Binaries, read access to config files. </t>
  </si>
  <si>
    <t xml:space="preserve">Admin Passwords/Credentials allow modifying config files, accessing ePHI, software binaries, computer configuration files, log files, and computer resources.  </t>
  </si>
  <si>
    <t>Thread source delivers malware by providing removable media prepared with malware. 
Removable media is e.g. left on a parking lot and picked up by hospital staff. USB stick finds its way to the Navigation System.
Malware eploits known a known vulnerability and e.g. gains admin priviledges. Undirected attack on computer systems.</t>
  </si>
  <si>
    <t>Thread source delivers malware on a removable media which was designed to exploit a known vulnerability of the Navigation System. Directed attack on the Navigation System using knowledge about the Navigation System.</t>
  </si>
  <si>
    <t>Deliver undirected malware</t>
  </si>
  <si>
    <t>Deliver directed malware</t>
  </si>
  <si>
    <t>Intercept network communication</t>
  </si>
  <si>
    <t xml:space="preserve">Adversary uses commercial or free software to manipulate network communication (man-in-the middle attack) </t>
  </si>
  <si>
    <t xml:space="preserve">Conduct scavenging of ePHI at rest </t>
  </si>
  <si>
    <t>Adversary gains unauthorized access to the system and steals ePHI information</t>
  </si>
  <si>
    <t>Unpatched COTS operating system</t>
  </si>
  <si>
    <t>Unencrypted ePHI at rest</t>
  </si>
  <si>
    <t>Unprotected external USB Port</t>
  </si>
  <si>
    <t>Unprotected external CD/DVD Drive</t>
  </si>
  <si>
    <t>V11</t>
  </si>
  <si>
    <t>V21</t>
  </si>
  <si>
    <t>V22</t>
  </si>
  <si>
    <t>V23</t>
  </si>
  <si>
    <t>Data</t>
  </si>
  <si>
    <t>Ineffective management of user credentials</t>
  </si>
  <si>
    <t>Ineffective management of admin credentials</t>
  </si>
  <si>
    <t>Software on Nav System</t>
  </si>
  <si>
    <t>RARC.RI123</t>
  </si>
  <si>
    <t>Information about internals of the system (Device identification, software versions, supported protocols, etc.)</t>
  </si>
  <si>
    <t>Computer/OS network identification</t>
  </si>
  <si>
    <t xml:space="preserve">Malicious utilization of  computer resources and computing power, incl. denial of service attacks, ransomware deployment, Bitcoin mining, etc., ). </t>
  </si>
  <si>
    <t>Obtain knowledge about system internals in an attempt to find attack vectors and possibilities for exploitation of publicly known Vulnerabilities</t>
  </si>
  <si>
    <t>V31</t>
  </si>
  <si>
    <t>V32</t>
  </si>
  <si>
    <t>Unencrypted ePHI in flight</t>
  </si>
  <si>
    <t>ePHI manipulated while transmitted to device</t>
  </si>
  <si>
    <t>Application Whitelisting
Firewall
Virus Scan
User authentication</t>
  </si>
  <si>
    <t>Host Hardening</t>
  </si>
  <si>
    <t>Encrpyted ePHI in flight</t>
  </si>
  <si>
    <t xml:space="preserve">SRS.SR04
</t>
  </si>
  <si>
    <t xml:space="preserve">SRS.SR05
</t>
  </si>
  <si>
    <t>SRS.SR01
SRS.SR02
SRS.SR03
SRS.SR07</t>
  </si>
  <si>
    <t>System &amp; Asset Identification</t>
  </si>
  <si>
    <t xml:space="preserve">Medical Device / System: </t>
  </si>
  <si>
    <t>Date:</t>
  </si>
  <si>
    <t xml:space="preserve">Conducted by: </t>
  </si>
  <si>
    <t>&lt;yyyyy-mm-dd&gt;</t>
  </si>
  <si>
    <t>&lt;Author Name / Function / Organization&gt;
&lt;Author Name / Function / Organization&gt;</t>
  </si>
  <si>
    <t>Scope:</t>
  </si>
  <si>
    <t>TSA-2 Organization</t>
  </si>
  <si>
    <t>Vulnerability Identification</t>
  </si>
  <si>
    <t>Threat Assessment</t>
  </si>
  <si>
    <t>TSA-3 - Skript Kiddies</t>
  </si>
  <si>
    <t>Security Risk Assessment</t>
  </si>
  <si>
    <t>Common Vulnerability Scoring System (CVSS v3.0)</t>
  </si>
  <si>
    <t>Threat Sources</t>
  </si>
  <si>
    <t>Safety Impact 
(Risk ID# or N/A)</t>
  </si>
  <si>
    <t>TestReport #123</t>
  </si>
  <si>
    <t>TestReport #456</t>
  </si>
  <si>
    <t>TestReport #789</t>
  </si>
  <si>
    <t>Asset Type
(Information/Physical)</t>
  </si>
  <si>
    <t>D05788-1, Ver 1</t>
  </si>
  <si>
    <t>Printed copies for reference only</t>
  </si>
  <si>
    <t>Stryker Confidential - This document contains information that is confidential and proprietary. Neither this document nor the information herein may be reproduced, used, or disclosed to or for the benefit of any third party without the prior written consent of Stryker.</t>
  </si>
  <si>
    <r>
      <t>ISC</t>
    </r>
    <r>
      <rPr>
        <vertAlign val="subscript"/>
        <sz val="11"/>
        <color rgb="FF111111"/>
        <rFont val="Cambria"/>
        <family val="1"/>
      </rPr>
      <t>Base</t>
    </r>
    <r>
      <rPr>
        <sz val="11"/>
        <color rgb="FF111111"/>
        <rFont val="Cambria"/>
        <family val="1"/>
      </rPr>
      <t> = 1 - [(1−Impact</t>
    </r>
    <r>
      <rPr>
        <vertAlign val="subscript"/>
        <sz val="11"/>
        <color rgb="FF111111"/>
        <rFont val="Cambria"/>
        <family val="1"/>
      </rPr>
      <t>Conf</t>
    </r>
    <r>
      <rPr>
        <sz val="11"/>
        <color rgb="FF111111"/>
        <rFont val="Cambria"/>
        <family val="1"/>
      </rPr>
      <t>) × (1−Impact</t>
    </r>
    <r>
      <rPr>
        <vertAlign val="subscript"/>
        <sz val="11"/>
        <color rgb="FF111111"/>
        <rFont val="Cambria"/>
        <family val="1"/>
      </rPr>
      <t>Integ</t>
    </r>
    <r>
      <rPr>
        <sz val="11"/>
        <color rgb="FF111111"/>
        <rFont val="Cambria"/>
        <family val="1"/>
      </rPr>
      <t>) × (1−Impact</t>
    </r>
    <r>
      <rPr>
        <vertAlign val="subscript"/>
        <sz val="11"/>
        <color rgb="FF111111"/>
        <rFont val="Cambria"/>
        <family val="1"/>
      </rPr>
      <t>Avail</t>
    </r>
    <r>
      <rPr>
        <sz val="11"/>
        <color rgb="FF111111"/>
        <rFont val="Cambria"/>
        <family val="1"/>
      </rPr>
      <t>)]</t>
    </r>
  </si>
  <si>
    <t>Exploitability Sub Score</t>
  </si>
  <si>
    <t>ISC Base</t>
  </si>
  <si>
    <t>Impact Sub Score</t>
  </si>
  <si>
    <t>In Scope</t>
  </si>
  <si>
    <t>New entry</t>
  </si>
  <si>
    <t>No</t>
  </si>
  <si>
    <t>In Scope (Yes/No)</t>
  </si>
  <si>
    <t>Rationale 
(if out of scope)</t>
  </si>
  <si>
    <t>Overall Risk Score</t>
  </si>
  <si>
    <r>
      <t>Confidentiality</t>
    </r>
    <r>
      <rPr>
        <b/>
        <sz val="12"/>
        <color theme="9" tint="0.39997558519241921"/>
        <rFont val="Cambria"/>
        <family val="1"/>
      </rPr>
      <t>P</t>
    </r>
  </si>
  <si>
    <r>
      <t>Integrity</t>
    </r>
    <r>
      <rPr>
        <b/>
        <sz val="12"/>
        <color theme="9" tint="0.39997558519241921"/>
        <rFont val="Cambria"/>
        <family val="1"/>
      </rPr>
      <t>P</t>
    </r>
  </si>
  <si>
    <r>
      <t>Availability</t>
    </r>
    <r>
      <rPr>
        <b/>
        <sz val="12"/>
        <color theme="9" tint="0.39997558519241921"/>
        <rFont val="Cambria"/>
        <family val="1"/>
      </rPr>
      <t>P</t>
    </r>
  </si>
  <si>
    <r>
      <t>Attack Vector</t>
    </r>
    <r>
      <rPr>
        <b/>
        <sz val="11"/>
        <color theme="9" tint="0.39997558519241921"/>
        <rFont val="Cambria"/>
        <family val="1"/>
      </rPr>
      <t>P</t>
    </r>
  </si>
  <si>
    <r>
      <t>Attack Complexity</t>
    </r>
    <r>
      <rPr>
        <b/>
        <sz val="11"/>
        <color theme="9" tint="0.39997558519241921"/>
        <rFont val="Cambria"/>
        <family val="1"/>
      </rPr>
      <t>P</t>
    </r>
  </si>
  <si>
    <r>
      <t>User Interaction</t>
    </r>
    <r>
      <rPr>
        <b/>
        <sz val="11"/>
        <color theme="9" tint="0.39997558519241921"/>
        <rFont val="Cambria"/>
        <family val="1"/>
      </rPr>
      <t>P</t>
    </r>
  </si>
  <si>
    <r>
      <t>Scope</t>
    </r>
    <r>
      <rPr>
        <b/>
        <sz val="11"/>
        <color theme="9" tint="0.39997558519241921"/>
        <rFont val="Cambria"/>
        <family val="1"/>
      </rPr>
      <t>P</t>
    </r>
  </si>
  <si>
    <r>
      <t>Exploitability Sub Score</t>
    </r>
    <r>
      <rPr>
        <b/>
        <sz val="11"/>
        <color theme="9" tint="0.39997558519241921"/>
        <rFont val="Cambria"/>
        <family val="1"/>
      </rPr>
      <t>P</t>
    </r>
  </si>
  <si>
    <r>
      <t>ISC Base</t>
    </r>
    <r>
      <rPr>
        <b/>
        <sz val="11"/>
        <color theme="9" tint="0.39997558519241921"/>
        <rFont val="Cambria"/>
        <family val="1"/>
      </rPr>
      <t>P</t>
    </r>
  </si>
  <si>
    <r>
      <t>Impact Sub Score</t>
    </r>
    <r>
      <rPr>
        <b/>
        <sz val="11"/>
        <color theme="9" tint="0.39997558519241921"/>
        <rFont val="Cambria"/>
        <family val="1"/>
      </rPr>
      <t>P</t>
    </r>
  </si>
  <si>
    <r>
      <t>Overall Risk Score</t>
    </r>
    <r>
      <rPr>
        <b/>
        <sz val="11"/>
        <color theme="9" tint="0.39997558519241921"/>
        <rFont val="Cambria"/>
        <family val="1"/>
      </rPr>
      <t>P</t>
    </r>
  </si>
  <si>
    <r>
      <t>Security Risk Level</t>
    </r>
    <r>
      <rPr>
        <b/>
        <sz val="11"/>
        <color theme="9" tint="0.39997558519241921"/>
        <rFont val="Cambria"/>
        <family val="1"/>
      </rPr>
      <t>P</t>
    </r>
  </si>
  <si>
    <t>Pre-Controls 
Risk Level</t>
  </si>
  <si>
    <t>Post-Controls Risk Level</t>
  </si>
  <si>
    <t>Security Risk Control Measures</t>
  </si>
  <si>
    <t>Assets</t>
  </si>
  <si>
    <t>Security Risk Assessment Summary</t>
  </si>
  <si>
    <t>CVSS v3.0 Base Score</t>
  </si>
  <si>
    <r>
      <t>CVSS v3.0 Base Score</t>
    </r>
    <r>
      <rPr>
        <b/>
        <sz val="11"/>
        <color theme="9" tint="0.39997558519241921"/>
        <rFont val="Cambria"/>
        <family val="1"/>
      </rPr>
      <t>P</t>
    </r>
  </si>
  <si>
    <t>Privileges Required</t>
  </si>
  <si>
    <r>
      <t>Privileges Required</t>
    </r>
    <r>
      <rPr>
        <b/>
        <sz val="11"/>
        <color theme="9" tint="0.39997558519241921"/>
        <rFont val="Cambria"/>
        <family val="1"/>
      </rPr>
      <t>P</t>
    </r>
  </si>
  <si>
    <t xml:space="preserve">Implementation of Risk Control Measures </t>
  </si>
  <si>
    <t>Justification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</si>
</sst>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7"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i/>
      <sz val="11"/>
      <color theme="1"/>
      <name val="Calibri"/>
      <family val="2"/>
      <scheme val="minor"/>
    </font>
    <font>
      <sz val="11"/>
      <name val="Calibri"/>
      <family val="2"/>
      <scheme val="minor"/>
    </font>
    <font>
      <b/>
      <sz val="14"/>
      <color theme="1"/>
      <name val="Calibri"/>
      <family val="2"/>
      <scheme val="minor"/>
    </font>
    <font>
      <b/>
      <sz val="14"/>
      <name val="Calibri"/>
      <family val="2"/>
      <scheme val="minor"/>
    </font>
    <font>
      <b/>
      <sz val="11"/>
      <color rgb="FF000000"/>
      <name val="Calibri"/>
      <family val="2"/>
      <scheme val="minor"/>
    </font>
    <font>
      <b/>
      <sz val="10"/>
      <color rgb="FF000000"/>
      <name val="Calibri"/>
      <family val="2"/>
      <scheme val="minor"/>
    </font>
    <font>
      <i/>
      <sz val="9"/>
      <color theme="1"/>
      <name val="Calibri"/>
      <family val="2"/>
      <scheme val="minor"/>
    </font>
    <font>
      <i/>
      <sz val="9"/>
      <color rgb="FF000000"/>
      <name val="Calibri"/>
      <family val="2"/>
      <scheme val="minor"/>
    </font>
    <font>
      <i/>
      <sz val="9"/>
      <name val="Calibri"/>
      <family val="2"/>
      <scheme val="minor"/>
    </font>
    <font>
      <b/>
      <i/>
      <sz val="11"/>
      <color theme="1"/>
      <name val="Calibri"/>
      <family val="2"/>
      <scheme val="minor"/>
    </font>
    <font>
      <sz val="11"/>
      <color indexed="8"/>
      <name val="Calibri"/>
      <family val="2"/>
      <charset val="1"/>
    </font>
    <font>
      <sz val="11"/>
      <color theme="1"/>
      <name val="Cambria"/>
      <family val="1"/>
    </font>
    <font>
      <sz val="12"/>
      <color theme="1"/>
      <name val="Cambria"/>
      <family val="1"/>
    </font>
    <font>
      <sz val="8"/>
      <color theme="1"/>
      <name val="Cambria"/>
      <family val="1"/>
    </font>
    <font>
      <b/>
      <sz val="11"/>
      <color theme="1"/>
      <name val="Cambria"/>
      <family val="1"/>
    </font>
    <font>
      <b/>
      <sz val="11"/>
      <name val="Cambria"/>
      <family val="1"/>
    </font>
    <font>
      <i/>
      <sz val="11"/>
      <color theme="1"/>
      <name val="Cambria"/>
      <family val="1"/>
    </font>
    <font>
      <sz val="11"/>
      <color rgb="FF000000"/>
      <name val="Cambria"/>
      <family val="1"/>
    </font>
    <font>
      <sz val="11"/>
      <color indexed="8"/>
      <name val="Cambria"/>
      <family val="1"/>
    </font>
    <font>
      <sz val="11"/>
      <name val="Cambria"/>
      <family val="1"/>
    </font>
    <font>
      <sz val="11"/>
      <color rgb="FF0000FF"/>
      <name val="Cambria"/>
      <family val="1"/>
    </font>
    <font>
      <b/>
      <sz val="11"/>
      <color theme="4" tint="0.39997558519241921"/>
      <name val="Cambria"/>
      <family val="1"/>
    </font>
    <font>
      <b/>
      <sz val="12"/>
      <name val="Cambria"/>
      <family val="1"/>
    </font>
    <font>
      <b/>
      <sz val="14"/>
      <color theme="1"/>
      <name val="Cambria"/>
      <family val="1"/>
    </font>
    <font>
      <b/>
      <sz val="12"/>
      <color theme="1"/>
      <name val="Cambria"/>
      <family val="1"/>
    </font>
    <font>
      <sz val="11"/>
      <color theme="0"/>
      <name val="Cambria"/>
      <family val="1"/>
    </font>
    <font>
      <sz val="11"/>
      <color rgb="FF111111"/>
      <name val="Cambria"/>
      <family val="1"/>
    </font>
    <font>
      <vertAlign val="subscript"/>
      <sz val="11"/>
      <color rgb="FF111111"/>
      <name val="Cambria"/>
      <family val="1"/>
    </font>
    <font>
      <sz val="10"/>
      <color rgb="FF000000"/>
      <name val="Cambria"/>
      <family val="1"/>
    </font>
    <font>
      <sz val="8"/>
      <color rgb="FF000000"/>
      <name val="Cambria"/>
      <family val="1"/>
    </font>
    <font>
      <b/>
      <sz val="11"/>
      <color theme="9" tint="0.39997558519241921"/>
      <name val="Cambria"/>
      <family val="1"/>
    </font>
    <font>
      <b/>
      <sz val="12"/>
      <color theme="9" tint="0.39997558519241921"/>
      <name val="Cambria"/>
      <family val="1"/>
    </font>
    <font>
      <sz val="11"/>
      <color theme="4" tint="0.39997558519241921"/>
      <name val="Cambria"/>
      <family val="1"/>
    </font>
  </fonts>
  <fills count="22">
    <fill>
      <patternFill patternType="none"/>
    </fill>
    <fill>
      <patternFill patternType="gray125"/>
    </fill>
    <fill>
      <patternFill patternType="solid">
        <fgColor theme="7" tint="0.39997558519241921"/>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0000"/>
        <bgColor indexed="64"/>
      </patternFill>
    </fill>
    <fill>
      <patternFill patternType="solid">
        <fgColor rgb="FFCCFFFF"/>
        <bgColor indexed="64"/>
      </patternFill>
    </fill>
    <fill>
      <patternFill patternType="solid">
        <fgColor theme="0" tint="-0.14999847407452621"/>
        <bgColor indexed="64"/>
      </patternFill>
    </fill>
    <fill>
      <patternFill patternType="solid">
        <fgColor rgb="FF92D050"/>
        <bgColor indexed="64"/>
      </patternFill>
    </fill>
    <fill>
      <patternFill patternType="solid">
        <fgColor rgb="FFC00000"/>
        <bgColor indexed="64"/>
      </patternFill>
    </fill>
    <fill>
      <patternFill patternType="solid">
        <fgColor theme="0" tint="-4.9989318521683403E-2"/>
        <bgColor indexed="64"/>
      </patternFill>
    </fill>
    <fill>
      <patternFill patternType="solid">
        <fgColor theme="0"/>
        <bgColor indexed="64"/>
      </patternFill>
    </fill>
    <fill>
      <patternFill patternType="solid">
        <fgColor theme="3" tint="0.79998168889431442"/>
        <bgColor indexed="64"/>
      </patternFill>
    </fill>
    <fill>
      <patternFill patternType="solid">
        <fgColor theme="4" tint="0.59999389629810485"/>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auto="1"/>
      </right>
      <top style="medium">
        <color indexed="64"/>
      </top>
      <bottom/>
      <diagonal/>
    </border>
    <border>
      <left style="thin">
        <color indexed="64"/>
      </left>
      <right style="medium">
        <color indexed="64"/>
      </right>
      <top style="medium">
        <color indexed="64"/>
      </top>
      <bottom/>
      <diagonal/>
    </border>
    <border>
      <left/>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style="thin">
        <color indexed="64"/>
      </left>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medium">
        <color indexed="64"/>
      </left>
      <right style="thin">
        <color auto="1"/>
      </right>
      <top/>
      <bottom style="medium">
        <color indexed="64"/>
      </bottom>
      <diagonal/>
    </border>
    <border>
      <left style="medium">
        <color indexed="64"/>
      </left>
      <right style="thin">
        <color indexed="64"/>
      </right>
      <top/>
      <bottom/>
      <diagonal/>
    </border>
    <border>
      <left/>
      <right/>
      <top style="medium">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diagonal/>
    </border>
  </borders>
  <cellStyleXfs count="3">
    <xf numFmtId="0" fontId="0" fillId="0" borderId="0"/>
    <xf numFmtId="0" fontId="1" fillId="0" borderId="0"/>
    <xf numFmtId="0" fontId="14" fillId="0" borderId="0"/>
  </cellStyleXfs>
  <cellXfs count="233">
    <xf numFmtId="0" fontId="0" fillId="0" borderId="0" xfId="0"/>
    <xf numFmtId="0" fontId="0" fillId="0" borderId="1" xfId="0" applyBorder="1"/>
    <xf numFmtId="0" fontId="0" fillId="0" borderId="0" xfId="0" applyFont="1"/>
    <xf numFmtId="0" fontId="6" fillId="0" borderId="0" xfId="0" applyFont="1" applyAlignment="1">
      <alignment horizontal="center" vertical="center" wrapText="1"/>
    </xf>
    <xf numFmtId="0" fontId="0" fillId="0" borderId="0" xfId="0" applyAlignment="1">
      <alignment horizontal="left" vertical="center" wrapText="1"/>
    </xf>
    <xf numFmtId="0" fontId="7" fillId="7" borderId="9"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0" fillId="0" borderId="12" xfId="0" applyBorder="1" applyAlignment="1">
      <alignment horizontal="left" vertical="center" wrapText="1"/>
    </xf>
    <xf numFmtId="0" fontId="0" fillId="0" borderId="14" xfId="0" applyBorder="1" applyAlignment="1">
      <alignment horizontal="left" vertical="center" wrapText="1"/>
    </xf>
    <xf numFmtId="0" fontId="0" fillId="0" borderId="16" xfId="0" applyBorder="1" applyAlignment="1">
      <alignment horizontal="left" vertical="center" wrapText="1"/>
    </xf>
    <xf numFmtId="0" fontId="8" fillId="6"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10" fillId="0" borderId="7" xfId="0" applyFont="1" applyBorder="1" applyAlignment="1">
      <alignment horizontal="center" vertical="center" wrapText="1"/>
    </xf>
    <xf numFmtId="0" fontId="11" fillId="0" borderId="1" xfId="0" applyFont="1" applyBorder="1" applyAlignment="1">
      <alignment vertical="center" wrapText="1"/>
    </xf>
    <xf numFmtId="0" fontId="11"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xf numFmtId="0" fontId="13" fillId="0" borderId="1"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12" fillId="0" borderId="4" xfId="0" applyFont="1" applyBorder="1" applyAlignment="1">
      <alignment horizontal="center" vertical="center" wrapText="1"/>
    </xf>
    <xf numFmtId="0" fontId="0" fillId="0" borderId="4" xfId="0" applyBorder="1"/>
    <xf numFmtId="0" fontId="0" fillId="0" borderId="0" xfId="0" applyAlignment="1">
      <alignment vertical="top"/>
    </xf>
    <xf numFmtId="0" fontId="0" fillId="0" borderId="0" xfId="0" applyAlignment="1">
      <alignment horizontal="center" vertical="top"/>
    </xf>
    <xf numFmtId="0" fontId="0" fillId="0" borderId="0" xfId="0" applyFont="1" applyAlignment="1">
      <alignment vertical="top"/>
    </xf>
    <xf numFmtId="0" fontId="0" fillId="0" borderId="0" xfId="0" applyFont="1" applyAlignment="1">
      <alignment horizontal="center" vertical="top"/>
    </xf>
    <xf numFmtId="0" fontId="3" fillId="0" borderId="0" xfId="0" applyFont="1" applyAlignment="1">
      <alignment vertical="top" wrapText="1"/>
    </xf>
    <xf numFmtId="0" fontId="17" fillId="0" borderId="0" xfId="0" applyFont="1"/>
    <xf numFmtId="0" fontId="17" fillId="0" borderId="0" xfId="0" applyFont="1" applyAlignment="1">
      <alignment wrapText="1"/>
    </xf>
    <xf numFmtId="0" fontId="18" fillId="0" borderId="0" xfId="0" applyFont="1" applyAlignment="1">
      <alignment vertical="top"/>
    </xf>
    <xf numFmtId="0" fontId="15" fillId="0" borderId="0" xfId="0" applyFont="1" applyAlignment="1">
      <alignment vertical="top" wrapText="1"/>
    </xf>
    <xf numFmtId="0" fontId="18" fillId="20" borderId="2" xfId="0" applyFont="1" applyFill="1" applyBorder="1" applyAlignment="1">
      <alignment vertical="top"/>
    </xf>
    <xf numFmtId="0" fontId="18" fillId="20" borderId="4" xfId="0" applyFont="1" applyFill="1" applyBorder="1" applyAlignment="1">
      <alignment vertical="top" wrapText="1"/>
    </xf>
    <xf numFmtId="0" fontId="18" fillId="20" borderId="35" xfId="0" applyFont="1" applyFill="1" applyBorder="1" applyAlignment="1">
      <alignment vertical="top"/>
    </xf>
    <xf numFmtId="0" fontId="18" fillId="20" borderId="34" xfId="0" applyFont="1" applyFill="1" applyBorder="1" applyAlignment="1">
      <alignment vertical="top" wrapText="1"/>
    </xf>
    <xf numFmtId="0" fontId="19" fillId="5" borderId="1" xfId="0" applyFont="1" applyFill="1" applyBorder="1" applyAlignment="1">
      <alignment horizontal="left" vertical="top"/>
    </xf>
    <xf numFmtId="0" fontId="15" fillId="20" borderId="4" xfId="0" applyFont="1" applyFill="1" applyBorder="1" applyAlignment="1">
      <alignment vertical="top" wrapText="1"/>
    </xf>
    <xf numFmtId="0" fontId="19" fillId="5" borderId="34" xfId="0" applyFont="1" applyFill="1" applyBorder="1" applyAlignment="1">
      <alignment horizontal="center" vertical="top" wrapText="1"/>
    </xf>
    <xf numFmtId="0" fontId="19" fillId="5" borderId="6" xfId="0" applyFont="1" applyFill="1" applyBorder="1" applyAlignment="1">
      <alignment horizontal="center" vertical="top" wrapText="1"/>
    </xf>
    <xf numFmtId="0" fontId="19" fillId="5" borderId="35" xfId="0" applyFont="1" applyFill="1" applyBorder="1" applyAlignment="1">
      <alignment horizontal="center" vertical="top" wrapText="1"/>
    </xf>
    <xf numFmtId="0" fontId="15" fillId="0" borderId="4" xfId="0" applyFont="1" applyBorder="1" applyAlignment="1">
      <alignment horizontal="center" vertical="top" wrapText="1"/>
    </xf>
    <xf numFmtId="0" fontId="20" fillId="0" borderId="1" xfId="0" applyFont="1" applyBorder="1" applyAlignment="1">
      <alignment horizontal="center" vertical="top" wrapText="1"/>
    </xf>
    <xf numFmtId="0" fontId="20" fillId="0" borderId="1" xfId="0" applyFont="1" applyBorder="1" applyAlignment="1">
      <alignment horizontal="left" vertical="top" wrapText="1"/>
    </xf>
    <xf numFmtId="0" fontId="20" fillId="0" borderId="2" xfId="0" applyFont="1" applyBorder="1" applyAlignment="1">
      <alignment horizontal="left" vertical="top" wrapText="1"/>
    </xf>
    <xf numFmtId="0" fontId="20" fillId="0" borderId="1" xfId="0" applyFont="1" applyBorder="1" applyAlignment="1">
      <alignment vertical="top" wrapText="1"/>
    </xf>
    <xf numFmtId="0" fontId="15" fillId="0" borderId="2" xfId="0" applyFont="1" applyBorder="1" applyAlignment="1">
      <alignment vertical="top" wrapText="1"/>
    </xf>
    <xf numFmtId="0" fontId="15" fillId="0" borderId="1" xfId="0" applyFont="1" applyBorder="1" applyAlignment="1">
      <alignment horizontal="center" vertical="top" wrapText="1"/>
    </xf>
    <xf numFmtId="0" fontId="15" fillId="0" borderId="1" xfId="0" applyFont="1" applyBorder="1" applyAlignment="1">
      <alignment vertical="top" wrapText="1"/>
    </xf>
    <xf numFmtId="0" fontId="15" fillId="0" borderId="5" xfId="0" applyFont="1" applyBorder="1" applyAlignment="1">
      <alignment horizontal="center" vertical="top" wrapText="1"/>
    </xf>
    <xf numFmtId="0" fontId="15" fillId="0" borderId="5" xfId="0" applyFont="1" applyBorder="1" applyAlignment="1">
      <alignment vertical="top" wrapText="1"/>
    </xf>
    <xf numFmtId="0" fontId="15" fillId="0" borderId="36" xfId="0" applyFont="1" applyBorder="1" applyAlignment="1">
      <alignment vertical="top" wrapText="1"/>
    </xf>
    <xf numFmtId="0" fontId="15" fillId="0" borderId="0" xfId="0" applyFont="1" applyAlignment="1">
      <alignment vertical="top"/>
    </xf>
    <xf numFmtId="0" fontId="19" fillId="6" borderId="34" xfId="0" applyFont="1" applyFill="1" applyBorder="1" applyAlignment="1">
      <alignment vertical="top"/>
    </xf>
    <xf numFmtId="0" fontId="19" fillId="6" borderId="6" xfId="0" applyFont="1" applyFill="1" applyBorder="1" applyAlignment="1">
      <alignment horizontal="center" vertical="top"/>
    </xf>
    <xf numFmtId="0" fontId="15" fillId="0" borderId="34" xfId="0" applyFont="1" applyBorder="1" applyAlignment="1">
      <alignment vertical="top"/>
    </xf>
    <xf numFmtId="0" fontId="15" fillId="0" borderId="6" xfId="0" applyFont="1" applyBorder="1" applyAlignment="1">
      <alignment vertical="top"/>
    </xf>
    <xf numFmtId="0" fontId="15" fillId="0" borderId="4" xfId="0" applyFont="1" applyBorder="1" applyAlignment="1">
      <alignment vertical="top"/>
    </xf>
    <xf numFmtId="0" fontId="15" fillId="0" borderId="1" xfId="0" applyFont="1" applyBorder="1" applyAlignment="1">
      <alignment vertical="top"/>
    </xf>
    <xf numFmtId="0" fontId="15" fillId="3" borderId="3" xfId="0" applyFont="1" applyFill="1" applyBorder="1" applyAlignment="1">
      <alignment horizontal="left" vertical="top"/>
    </xf>
    <xf numFmtId="0" fontId="15" fillId="0" borderId="4" xfId="0" applyFont="1" applyBorder="1" applyAlignment="1">
      <alignment vertical="top" wrapText="1"/>
    </xf>
    <xf numFmtId="0" fontId="15" fillId="0" borderId="39" xfId="0" applyFont="1" applyBorder="1" applyAlignment="1">
      <alignment vertical="top"/>
    </xf>
    <xf numFmtId="0" fontId="15" fillId="0" borderId="5" xfId="0" applyFont="1" applyBorder="1" applyAlignment="1">
      <alignment vertical="top"/>
    </xf>
    <xf numFmtId="0" fontId="15" fillId="0" borderId="0" xfId="0" applyFont="1" applyAlignment="1">
      <alignment horizontal="center" vertical="top"/>
    </xf>
    <xf numFmtId="0" fontId="19" fillId="6" borderId="6" xfId="0" applyFont="1" applyFill="1" applyBorder="1" applyAlignment="1">
      <alignment horizontal="center" vertical="top" wrapText="1"/>
    </xf>
    <xf numFmtId="0" fontId="19" fillId="6" borderId="35" xfId="0" applyFont="1" applyFill="1" applyBorder="1" applyAlignment="1">
      <alignment horizontal="center" vertical="top" wrapText="1"/>
    </xf>
    <xf numFmtId="0" fontId="15" fillId="0" borderId="7" xfId="0" applyFont="1" applyBorder="1" applyAlignment="1">
      <alignment horizontal="center" vertical="top" wrapText="1"/>
    </xf>
    <xf numFmtId="0" fontId="21" fillId="0" borderId="1" xfId="0" applyFont="1" applyBorder="1" applyAlignment="1">
      <alignment vertical="top" wrapText="1"/>
    </xf>
    <xf numFmtId="0" fontId="22" fillId="0" borderId="40" xfId="2" applyFont="1" applyBorder="1" applyAlignment="1">
      <alignment vertical="top" wrapText="1"/>
    </xf>
    <xf numFmtId="0" fontId="21" fillId="0" borderId="1" xfId="0" applyFont="1" applyBorder="1" applyAlignment="1">
      <alignment horizontal="center" vertical="top" wrapText="1"/>
    </xf>
    <xf numFmtId="0" fontId="15" fillId="0" borderId="1" xfId="0" applyFont="1" applyBorder="1" applyAlignment="1">
      <alignment horizontal="center" vertical="top"/>
    </xf>
    <xf numFmtId="0" fontId="15" fillId="0" borderId="6" xfId="0" applyFont="1" applyBorder="1" applyAlignment="1">
      <alignment horizontal="center" vertical="top"/>
    </xf>
    <xf numFmtId="0" fontId="15" fillId="0" borderId="2" xfId="0" applyFont="1" applyBorder="1" applyAlignment="1">
      <alignment vertical="top"/>
    </xf>
    <xf numFmtId="0" fontId="20" fillId="0" borderId="0" xfId="0" applyFont="1" applyAlignment="1">
      <alignment vertical="top"/>
    </xf>
    <xf numFmtId="0" fontId="15" fillId="19" borderId="7" xfId="0" applyFont="1" applyFill="1" applyBorder="1" applyAlignment="1">
      <alignment horizontal="center" vertical="top" wrapText="1"/>
    </xf>
    <xf numFmtId="0" fontId="21" fillId="19" borderId="1" xfId="0" applyFont="1" applyFill="1" applyBorder="1" applyAlignment="1">
      <alignment vertical="top" wrapText="1"/>
    </xf>
    <xf numFmtId="0" fontId="15" fillId="0" borderId="0" xfId="0" applyFont="1"/>
    <xf numFmtId="0" fontId="18" fillId="4" borderId="5" xfId="0" applyFont="1" applyFill="1" applyBorder="1" applyAlignment="1">
      <alignment vertical="center" wrapText="1"/>
    </xf>
    <xf numFmtId="0" fontId="18" fillId="4" borderId="37" xfId="0" applyFont="1" applyFill="1" applyBorder="1" applyAlignment="1">
      <alignment vertical="center" wrapText="1"/>
    </xf>
    <xf numFmtId="0" fontId="18" fillId="4" borderId="36" xfId="0" applyFont="1" applyFill="1" applyBorder="1" applyAlignment="1">
      <alignment vertical="center" wrapText="1"/>
    </xf>
    <xf numFmtId="0" fontId="18" fillId="4" borderId="39" xfId="0" applyFont="1" applyFill="1" applyBorder="1" applyAlignment="1">
      <alignment vertical="center" wrapText="1"/>
    </xf>
    <xf numFmtId="0" fontId="15" fillId="0" borderId="0" xfId="0" applyFont="1" applyAlignment="1">
      <alignment wrapText="1"/>
    </xf>
    <xf numFmtId="0" fontId="19" fillId="4" borderId="6" xfId="0" applyFont="1" applyFill="1" applyBorder="1" applyAlignment="1">
      <alignment vertical="center" wrapText="1"/>
    </xf>
    <xf numFmtId="0" fontId="25" fillId="4" borderId="41" xfId="0" applyFont="1" applyFill="1" applyBorder="1" applyAlignment="1">
      <alignment vertical="center" wrapText="1"/>
    </xf>
    <xf numFmtId="0" fontId="19" fillId="4" borderId="41" xfId="0" applyFont="1" applyFill="1" applyBorder="1" applyAlignment="1">
      <alignment horizontal="center" vertical="center" wrapText="1"/>
    </xf>
    <xf numFmtId="0" fontId="25" fillId="4" borderId="35" xfId="0" applyFont="1" applyFill="1" applyBorder="1" applyAlignment="1">
      <alignment vertical="center" wrapText="1"/>
    </xf>
    <xf numFmtId="0" fontId="19" fillId="4" borderId="34" xfId="0" applyFont="1" applyFill="1" applyBorder="1" applyAlignment="1">
      <alignment horizontal="center" vertical="center" wrapText="1"/>
    </xf>
    <xf numFmtId="0" fontId="25" fillId="4" borderId="37" xfId="0" applyFont="1" applyFill="1" applyBorder="1" applyAlignment="1">
      <alignment vertical="center" wrapText="1"/>
    </xf>
    <xf numFmtId="0" fontId="19" fillId="4" borderId="39" xfId="0" applyFont="1" applyFill="1" applyBorder="1" applyAlignment="1">
      <alignment horizontal="center" vertical="center" wrapText="1"/>
    </xf>
    <xf numFmtId="0" fontId="19" fillId="4" borderId="8" xfId="0" applyFont="1" applyFill="1" applyBorder="1" applyAlignment="1">
      <alignment horizontal="center" vertical="center" wrapText="1"/>
    </xf>
    <xf numFmtId="0" fontId="15" fillId="15" borderId="6" xfId="0" applyFont="1" applyFill="1" applyBorder="1" applyAlignment="1">
      <alignment vertical="top" wrapText="1"/>
    </xf>
    <xf numFmtId="0" fontId="15" fillId="15" borderId="1" xfId="0" applyFont="1" applyFill="1" applyBorder="1" applyAlignment="1">
      <alignment vertical="top" wrapText="1"/>
    </xf>
    <xf numFmtId="0" fontId="15" fillId="0" borderId="1" xfId="0" applyFont="1" applyBorder="1" applyAlignment="1">
      <alignment horizontal="center" vertical="center" wrapText="1"/>
    </xf>
    <xf numFmtId="0" fontId="23" fillId="0" borderId="1" xfId="0" applyFont="1" applyBorder="1" applyAlignment="1">
      <alignment vertical="top" wrapText="1"/>
    </xf>
    <xf numFmtId="0" fontId="15" fillId="18" borderId="1" xfId="0" applyFont="1" applyFill="1" applyBorder="1" applyAlignment="1">
      <alignment vertical="top"/>
    </xf>
    <xf numFmtId="0" fontId="23" fillId="0" borderId="1" xfId="0" applyFont="1" applyBorder="1" applyAlignment="1">
      <alignment vertical="top"/>
    </xf>
    <xf numFmtId="0" fontId="18" fillId="0" borderId="0" xfId="0" applyFont="1" applyAlignment="1">
      <alignment vertical="center"/>
    </xf>
    <xf numFmtId="0" fontId="28" fillId="11" borderId="11" xfId="0" applyFont="1" applyFill="1" applyBorder="1" applyAlignment="1">
      <alignment horizontal="center" vertical="center"/>
    </xf>
    <xf numFmtId="0" fontId="23" fillId="15" borderId="0" xfId="0" applyFont="1" applyFill="1" applyBorder="1" applyAlignment="1">
      <alignment horizontal="center" vertical="center"/>
    </xf>
    <xf numFmtId="2" fontId="23" fillId="0" borderId="0" xfId="0" applyNumberFormat="1" applyFont="1" applyBorder="1" applyAlignment="1">
      <alignment horizontal="center" vertical="center"/>
    </xf>
    <xf numFmtId="0" fontId="18" fillId="14" borderId="10" xfId="0" applyFont="1" applyFill="1" applyBorder="1" applyAlignment="1">
      <alignment horizontal="center" vertical="center"/>
    </xf>
    <xf numFmtId="0" fontId="28" fillId="11" borderId="13" xfId="0" applyFont="1" applyFill="1" applyBorder="1" applyAlignment="1">
      <alignment horizontal="center" vertical="center"/>
    </xf>
    <xf numFmtId="0" fontId="15" fillId="15" borderId="33" xfId="0" applyFont="1" applyFill="1" applyBorder="1" applyAlignment="1">
      <alignment horizontal="center" vertical="center"/>
    </xf>
    <xf numFmtId="2" fontId="15" fillId="0" borderId="33" xfId="0" applyNumberFormat="1" applyFont="1" applyBorder="1" applyAlignment="1">
      <alignment horizontal="center" vertical="center"/>
    </xf>
    <xf numFmtId="0" fontId="15" fillId="0" borderId="26" xfId="0" applyFont="1" applyBorder="1"/>
    <xf numFmtId="0" fontId="15" fillId="0" borderId="20" xfId="0" applyFont="1" applyBorder="1"/>
    <xf numFmtId="0" fontId="15" fillId="0" borderId="0" xfId="0" applyFont="1" applyAlignment="1">
      <alignment horizontal="center" vertical="center"/>
    </xf>
    <xf numFmtId="0" fontId="15" fillId="0" borderId="0" xfId="0" applyFont="1" applyFill="1" applyBorder="1" applyAlignment="1">
      <alignment horizontal="center" vertical="center"/>
    </xf>
    <xf numFmtId="0" fontId="15" fillId="0" borderId="27" xfId="0" applyFont="1" applyBorder="1"/>
    <xf numFmtId="0" fontId="15" fillId="0" borderId="14" xfId="0" applyFont="1" applyBorder="1"/>
    <xf numFmtId="0" fontId="15" fillId="0" borderId="21" xfId="0" applyFont="1" applyBorder="1"/>
    <xf numFmtId="0" fontId="15" fillId="0" borderId="14" xfId="0" applyFont="1" applyBorder="1" applyAlignment="1">
      <alignment horizontal="center" vertical="center"/>
    </xf>
    <xf numFmtId="0" fontId="15" fillId="16" borderId="0" xfId="0" applyFont="1" applyFill="1" applyBorder="1" applyAlignment="1">
      <alignment horizontal="center" vertical="center"/>
    </xf>
    <xf numFmtId="2" fontId="15" fillId="0" borderId="0" xfId="0" applyNumberFormat="1" applyFont="1" applyBorder="1" applyAlignment="1">
      <alignment horizontal="center" vertical="center"/>
    </xf>
    <xf numFmtId="0" fontId="15" fillId="0" borderId="8" xfId="0" applyFont="1" applyBorder="1"/>
    <xf numFmtId="0" fontId="15" fillId="0" borderId="28" xfId="0" applyFont="1" applyBorder="1"/>
    <xf numFmtId="0" fontId="15" fillId="0" borderId="29" xfId="0" applyFont="1" applyBorder="1"/>
    <xf numFmtId="0" fontId="15" fillId="10" borderId="0" xfId="0" applyFont="1" applyFill="1" applyBorder="1" applyAlignment="1">
      <alignment horizontal="center" vertical="center"/>
    </xf>
    <xf numFmtId="0" fontId="15" fillId="13" borderId="0" xfId="0" applyFont="1" applyFill="1" applyBorder="1" applyAlignment="1">
      <alignment horizontal="center" vertical="center"/>
    </xf>
    <xf numFmtId="0" fontId="15" fillId="0" borderId="25" xfId="0" applyFont="1" applyBorder="1"/>
    <xf numFmtId="0" fontId="15" fillId="0" borderId="30" xfId="0" applyFont="1" applyBorder="1"/>
    <xf numFmtId="0" fontId="15" fillId="0" borderId="16" xfId="0" applyFont="1" applyBorder="1" applyAlignment="1">
      <alignment horizontal="center" vertical="center"/>
    </xf>
    <xf numFmtId="0" fontId="15" fillId="0" borderId="31" xfId="0" applyFont="1" applyBorder="1"/>
    <xf numFmtId="0" fontId="15" fillId="0" borderId="22" xfId="0" applyFont="1" applyBorder="1"/>
    <xf numFmtId="0" fontId="15" fillId="0" borderId="42" xfId="0" applyFont="1" applyBorder="1" applyAlignment="1">
      <alignment horizontal="center" vertical="center"/>
    </xf>
    <xf numFmtId="0" fontId="15" fillId="0" borderId="43" xfId="0" applyFont="1" applyBorder="1"/>
    <xf numFmtId="0" fontId="15" fillId="0" borderId="16" xfId="0" applyFont="1" applyBorder="1"/>
    <xf numFmtId="0" fontId="28" fillId="11" borderId="15" xfId="0" applyFont="1" applyFill="1" applyBorder="1" applyAlignment="1">
      <alignment horizontal="center" vertical="center"/>
    </xf>
    <xf numFmtId="0" fontId="29" fillId="17" borderId="0" xfId="0" applyFont="1" applyFill="1" applyBorder="1" applyAlignment="1">
      <alignment horizontal="center" vertical="center"/>
    </xf>
    <xf numFmtId="0" fontId="15" fillId="0" borderId="33" xfId="0" applyFont="1" applyBorder="1"/>
    <xf numFmtId="0" fontId="15" fillId="0" borderId="12" xfId="0" applyFont="1" applyBorder="1"/>
    <xf numFmtId="0" fontId="15" fillId="0" borderId="19" xfId="0" applyFont="1" applyBorder="1"/>
    <xf numFmtId="0" fontId="15" fillId="0" borderId="20" xfId="0" applyFont="1" applyBorder="1" applyAlignment="1">
      <alignment horizontal="center" vertical="center"/>
    </xf>
    <xf numFmtId="0" fontId="30" fillId="0" borderId="0" xfId="0" applyFont="1" applyBorder="1"/>
    <xf numFmtId="0" fontId="15" fillId="0" borderId="0" xfId="0" applyFont="1" applyBorder="1"/>
    <xf numFmtId="0" fontId="15" fillId="0" borderId="32" xfId="0" applyFont="1" applyBorder="1"/>
    <xf numFmtId="0" fontId="15" fillId="0" borderId="8" xfId="0" applyFont="1" applyBorder="1" applyAlignment="1">
      <alignment horizontal="center" vertical="center"/>
    </xf>
    <xf numFmtId="0" fontId="15" fillId="0" borderId="30" xfId="0" applyFont="1" applyBorder="1" applyAlignment="1">
      <alignment horizontal="center" vertical="center"/>
    </xf>
    <xf numFmtId="0" fontId="16" fillId="0" borderId="10" xfId="0" applyFont="1" applyBorder="1" applyAlignment="1">
      <alignment horizontal="center" vertical="center"/>
    </xf>
    <xf numFmtId="0" fontId="15" fillId="0" borderId="10" xfId="0" applyFont="1" applyBorder="1" applyAlignment="1">
      <alignment horizontal="center" vertical="center"/>
    </xf>
    <xf numFmtId="0" fontId="16" fillId="0" borderId="9" xfId="0" applyFont="1" applyBorder="1" applyAlignment="1">
      <alignment horizontal="center" vertical="center"/>
    </xf>
    <xf numFmtId="0" fontId="33" fillId="0" borderId="15" xfId="0" applyFont="1" applyBorder="1" applyAlignment="1">
      <alignment horizontal="center" vertical="center"/>
    </xf>
    <xf numFmtId="0" fontId="33" fillId="0" borderId="0" xfId="0" applyFont="1" applyAlignment="1"/>
    <xf numFmtId="0" fontId="19" fillId="6" borderId="34" xfId="0" applyFont="1" applyFill="1" applyBorder="1" applyAlignment="1">
      <alignment horizontal="center" vertical="top" wrapText="1"/>
    </xf>
    <xf numFmtId="0" fontId="19" fillId="6" borderId="8" xfId="0" applyFont="1" applyFill="1" applyBorder="1" applyAlignment="1">
      <alignment horizontal="center" vertical="top" wrapText="1"/>
    </xf>
    <xf numFmtId="0" fontId="19" fillId="6" borderId="28" xfId="0" applyFont="1" applyFill="1" applyBorder="1" applyAlignment="1">
      <alignment horizontal="center" vertical="top" wrapText="1"/>
    </xf>
    <xf numFmtId="0" fontId="19" fillId="9" borderId="34" xfId="0" applyFont="1" applyFill="1" applyBorder="1" applyAlignment="1">
      <alignment horizontal="center" vertical="top" wrapText="1"/>
    </xf>
    <xf numFmtId="0" fontId="19" fillId="9" borderId="8" xfId="0" applyFont="1" applyFill="1" applyBorder="1" applyAlignment="1">
      <alignment horizontal="center" vertical="top" wrapText="1"/>
    </xf>
    <xf numFmtId="0" fontId="19" fillId="9" borderId="35" xfId="0" applyFont="1" applyFill="1" applyBorder="1" applyAlignment="1">
      <alignment horizontal="center" vertical="top" wrapText="1"/>
    </xf>
    <xf numFmtId="0" fontId="15" fillId="0" borderId="34" xfId="0" applyFont="1" applyBorder="1" applyAlignment="1">
      <alignment horizontal="center" vertical="top" wrapText="1"/>
    </xf>
    <xf numFmtId="0" fontId="15" fillId="0" borderId="1" xfId="0" applyFont="1" applyBorder="1" applyAlignment="1">
      <alignment horizontal="left" vertical="top" wrapText="1"/>
    </xf>
    <xf numFmtId="0" fontId="15" fillId="0" borderId="2" xfId="0" applyFont="1" applyBorder="1" applyAlignment="1">
      <alignment horizontal="center" vertical="top"/>
    </xf>
    <xf numFmtId="0" fontId="23" fillId="0" borderId="1" xfId="0" applyFont="1" applyBorder="1" applyAlignment="1">
      <alignment horizontal="left" vertical="top" wrapText="1"/>
    </xf>
    <xf numFmtId="0" fontId="15" fillId="0" borderId="35" xfId="0" applyFont="1" applyBorder="1" applyAlignment="1">
      <alignment horizontal="center" vertical="top" wrapText="1"/>
    </xf>
    <xf numFmtId="0" fontId="15" fillId="0" borderId="2" xfId="0" applyFont="1" applyBorder="1" applyAlignment="1">
      <alignment horizontal="center" vertical="top" wrapText="1"/>
    </xf>
    <xf numFmtId="0" fontId="15" fillId="0" borderId="4" xfId="0" applyFont="1" applyFill="1" applyBorder="1" applyAlignment="1">
      <alignment horizontal="center" vertical="top" wrapText="1"/>
    </xf>
    <xf numFmtId="0" fontId="15" fillId="0" borderId="1" xfId="0" applyFont="1" applyFill="1" applyBorder="1" applyAlignment="1">
      <alignment horizontal="left" vertical="top" wrapText="1"/>
    </xf>
    <xf numFmtId="0" fontId="15" fillId="0" borderId="39" xfId="0" applyFont="1" applyFill="1" applyBorder="1" applyAlignment="1">
      <alignment horizontal="center" vertical="top" wrapText="1"/>
    </xf>
    <xf numFmtId="0" fontId="15" fillId="0" borderId="5" xfId="0" applyFont="1" applyFill="1" applyBorder="1" applyAlignment="1">
      <alignment horizontal="left" vertical="top" wrapText="1"/>
    </xf>
    <xf numFmtId="0" fontId="15" fillId="0" borderId="36" xfId="0" applyFont="1" applyBorder="1" applyAlignment="1">
      <alignment horizontal="center" vertical="top"/>
    </xf>
    <xf numFmtId="0" fontId="15" fillId="0" borderId="39" xfId="0" applyFont="1" applyBorder="1" applyAlignment="1">
      <alignment horizontal="center" vertical="top" wrapText="1"/>
    </xf>
    <xf numFmtId="0" fontId="23" fillId="0" borderId="5" xfId="0" applyFont="1" applyBorder="1" applyAlignment="1">
      <alignment horizontal="left" vertical="top" wrapText="1"/>
    </xf>
    <xf numFmtId="0" fontId="15" fillId="0" borderId="36" xfId="0" applyFont="1" applyBorder="1" applyAlignment="1">
      <alignment horizontal="center" vertical="top" wrapText="1"/>
    </xf>
    <xf numFmtId="0" fontId="15" fillId="19" borderId="1" xfId="0" applyFont="1" applyFill="1" applyBorder="1" applyAlignment="1">
      <alignment horizontal="center" vertical="center" wrapText="1"/>
    </xf>
    <xf numFmtId="0" fontId="19" fillId="8" borderId="5" xfId="0" applyFont="1" applyFill="1" applyBorder="1" applyAlignment="1">
      <alignment horizontal="center" vertical="center" wrapText="1"/>
    </xf>
    <xf numFmtId="0" fontId="19" fillId="2" borderId="38" xfId="0" applyFont="1" applyFill="1" applyBorder="1" applyAlignment="1">
      <alignment horizontal="center" vertical="center" wrapText="1"/>
    </xf>
    <xf numFmtId="0" fontId="27" fillId="21" borderId="44" xfId="0" applyFont="1" applyFill="1" applyBorder="1"/>
    <xf numFmtId="164" fontId="24" fillId="15" borderId="1" xfId="0" applyNumberFormat="1" applyFont="1" applyFill="1" applyBorder="1" applyAlignment="1">
      <alignment horizontal="center" vertical="center" wrapText="1"/>
    </xf>
    <xf numFmtId="0" fontId="15" fillId="15" borderId="1" xfId="0" applyFont="1" applyFill="1" applyBorder="1" applyAlignment="1">
      <alignment horizontal="center" vertical="center" wrapText="1"/>
    </xf>
    <xf numFmtId="0" fontId="26" fillId="2" borderId="38" xfId="0" applyFont="1" applyFill="1" applyBorder="1" applyAlignment="1">
      <alignment horizontal="center" vertical="center" textRotation="90" wrapText="1"/>
    </xf>
    <xf numFmtId="0" fontId="19" fillId="2" borderId="35"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26" fillId="12" borderId="39" xfId="0" applyFont="1" applyFill="1" applyBorder="1" applyAlignment="1">
      <alignment horizontal="center" vertical="center" textRotation="90" wrapText="1"/>
    </xf>
    <xf numFmtId="0" fontId="19" fillId="12" borderId="1" xfId="0" applyFont="1" applyFill="1" applyBorder="1" applyAlignment="1">
      <alignment horizontal="center" vertical="center" wrapText="1"/>
    </xf>
    <xf numFmtId="0" fontId="23" fillId="4" borderId="6" xfId="0" applyFont="1" applyFill="1" applyBorder="1" applyAlignment="1">
      <alignment vertical="center" wrapText="1"/>
    </xf>
    <xf numFmtId="0" fontId="36" fillId="4" borderId="41" xfId="0" applyFont="1" applyFill="1" applyBorder="1" applyAlignment="1">
      <alignment vertical="center" wrapText="1"/>
    </xf>
    <xf numFmtId="0" fontId="23" fillId="4" borderId="41" xfId="0" applyFont="1" applyFill="1" applyBorder="1" applyAlignment="1">
      <alignment horizontal="center" vertical="center" wrapText="1"/>
    </xf>
    <xf numFmtId="0" fontId="36" fillId="4" borderId="35" xfId="0" applyFont="1" applyFill="1" applyBorder="1" applyAlignment="1">
      <alignment vertical="center" wrapText="1"/>
    </xf>
    <xf numFmtId="0" fontId="23" fillId="4" borderId="34" xfId="0" applyFont="1" applyFill="1" applyBorder="1" applyAlignment="1">
      <alignment horizontal="center" vertical="center" wrapText="1"/>
    </xf>
    <xf numFmtId="0" fontId="36" fillId="4" borderId="37" xfId="0" applyFont="1" applyFill="1" applyBorder="1" applyAlignment="1">
      <alignment vertical="center" wrapText="1"/>
    </xf>
    <xf numFmtId="0" fontId="23" fillId="4" borderId="39" xfId="0" applyFont="1" applyFill="1" applyBorder="1" applyAlignment="1">
      <alignment horizontal="center" vertical="center" wrapText="1"/>
    </xf>
    <xf numFmtId="0" fontId="23" fillId="4" borderId="8" xfId="0" applyFont="1" applyFill="1" applyBorder="1" applyAlignment="1">
      <alignment horizontal="center" vertical="center" wrapText="1"/>
    </xf>
    <xf numFmtId="0" fontId="23" fillId="2" borderId="8" xfId="0" applyFont="1" applyFill="1" applyBorder="1" applyAlignment="1">
      <alignment horizontal="center" vertical="center" wrapText="1"/>
    </xf>
    <xf numFmtId="0" fontId="23" fillId="8" borderId="5" xfId="0" applyFont="1" applyFill="1" applyBorder="1" applyAlignment="1">
      <alignment horizontal="center" vertical="center" wrapText="1"/>
    </xf>
    <xf numFmtId="0" fontId="23" fillId="12" borderId="1" xfId="0" applyFont="1" applyFill="1" applyBorder="1" applyAlignment="1">
      <alignment horizontal="center" vertical="center" wrapText="1"/>
    </xf>
    <xf numFmtId="0" fontId="23" fillId="12" borderId="36" xfId="0" applyFont="1" applyFill="1" applyBorder="1" applyAlignment="1">
      <alignment horizontal="center" vertical="center" wrapText="1"/>
    </xf>
    <xf numFmtId="0" fontId="19" fillId="12" borderId="36" xfId="0" applyFont="1" applyFill="1" applyBorder="1" applyAlignment="1">
      <alignment horizontal="center" vertical="center" wrapText="1"/>
    </xf>
    <xf numFmtId="0" fontId="15" fillId="0" borderId="6" xfId="0" applyFont="1" applyBorder="1" applyAlignment="1">
      <alignment horizontal="center" vertical="center"/>
    </xf>
    <xf numFmtId="2" fontId="24" fillId="15" borderId="1" xfId="0" applyNumberFormat="1" applyFont="1" applyFill="1" applyBorder="1" applyAlignment="1">
      <alignment horizontal="center" vertical="center" wrapText="1"/>
    </xf>
    <xf numFmtId="0" fontId="15" fillId="0" borderId="29" xfId="0" applyFont="1" applyBorder="1" applyAlignment="1">
      <alignment horizontal="center" vertical="center"/>
    </xf>
    <xf numFmtId="0" fontId="17" fillId="0" borderId="0" xfId="0" applyFont="1" applyAlignment="1">
      <alignment wrapText="1"/>
    </xf>
    <xf numFmtId="0" fontId="15" fillId="0" borderId="1" xfId="0" applyFont="1" applyBorder="1" applyAlignment="1">
      <alignment horizontal="left" vertical="top" wrapText="1"/>
    </xf>
    <xf numFmtId="0" fontId="17" fillId="0" borderId="0" xfId="0" applyFont="1" applyAlignment="1">
      <alignment wrapText="1"/>
    </xf>
    <xf numFmtId="0" fontId="19" fillId="12" borderId="2" xfId="0" applyFont="1" applyFill="1" applyBorder="1" applyAlignment="1">
      <alignment horizontal="center" vertical="center" wrapText="1"/>
    </xf>
    <xf numFmtId="0" fontId="0" fillId="12" borderId="3" xfId="0" applyFill="1" applyBorder="1" applyAlignment="1">
      <alignment vertical="center" wrapText="1"/>
    </xf>
    <xf numFmtId="0" fontId="0" fillId="12" borderId="4" xfId="0" applyFill="1" applyBorder="1" applyAlignment="1">
      <alignment vertical="center" wrapText="1"/>
    </xf>
    <xf numFmtId="0" fontId="18" fillId="8" borderId="2" xfId="0" applyFont="1" applyFill="1" applyBorder="1" applyAlignment="1">
      <alignment horizontal="center" vertical="center" wrapText="1"/>
    </xf>
    <xf numFmtId="0" fontId="18" fillId="8" borderId="3" xfId="0" applyFont="1" applyFill="1" applyBorder="1" applyAlignment="1">
      <alignment horizontal="center" vertical="center" wrapText="1"/>
    </xf>
    <xf numFmtId="0" fontId="18" fillId="8" borderId="4" xfId="0" applyFont="1" applyFill="1" applyBorder="1" applyAlignment="1">
      <alignment horizontal="center" vertical="center" wrapText="1"/>
    </xf>
    <xf numFmtId="0" fontId="18" fillId="4" borderId="3"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27" fillId="5" borderId="9" xfId="0" applyFont="1" applyFill="1" applyBorder="1" applyAlignment="1">
      <alignment horizontal="center"/>
    </xf>
    <xf numFmtId="0" fontId="27" fillId="5" borderId="24" xfId="0" applyFont="1" applyFill="1" applyBorder="1" applyAlignment="1">
      <alignment horizontal="center"/>
    </xf>
    <xf numFmtId="0" fontId="27" fillId="5" borderId="23" xfId="0" applyFont="1" applyFill="1" applyBorder="1" applyAlignment="1">
      <alignment horizontal="center"/>
    </xf>
    <xf numFmtId="0" fontId="28" fillId="11" borderId="9" xfId="0" applyFont="1" applyFill="1" applyBorder="1" applyAlignment="1">
      <alignment horizontal="left" vertical="center"/>
    </xf>
    <xf numFmtId="0" fontId="28" fillId="11" borderId="24" xfId="0" applyFont="1" applyFill="1" applyBorder="1" applyAlignment="1">
      <alignment horizontal="left" vertical="center"/>
    </xf>
    <xf numFmtId="0" fontId="28" fillId="11" borderId="33" xfId="0" applyFont="1" applyFill="1" applyBorder="1" applyAlignment="1">
      <alignment horizontal="left" vertical="center"/>
    </xf>
    <xf numFmtId="0" fontId="28" fillId="11" borderId="23" xfId="0" applyFont="1" applyFill="1" applyBorder="1" applyAlignment="1">
      <alignment horizontal="left" vertical="center"/>
    </xf>
    <xf numFmtId="0" fontId="28" fillId="11" borderId="25" xfId="0" applyFont="1" applyFill="1" applyBorder="1" applyAlignment="1">
      <alignment horizontal="center" vertical="center"/>
    </xf>
    <xf numFmtId="0" fontId="28" fillId="11" borderId="22" xfId="0" applyFont="1" applyFill="1" applyBorder="1" applyAlignment="1">
      <alignment horizontal="center" vertical="center"/>
    </xf>
    <xf numFmtId="0" fontId="28" fillId="11" borderId="16" xfId="0" applyFont="1" applyFill="1" applyBorder="1" applyAlignment="1">
      <alignment horizontal="center" vertical="center"/>
    </xf>
    <xf numFmtId="0" fontId="28" fillId="11" borderId="9" xfId="0" applyFont="1" applyFill="1" applyBorder="1" applyAlignment="1">
      <alignment horizontal="center" vertical="center"/>
    </xf>
    <xf numFmtId="0" fontId="28" fillId="11" borderId="24" xfId="0" applyFont="1" applyFill="1" applyBorder="1" applyAlignment="1">
      <alignment horizontal="center" vertical="center"/>
    </xf>
    <xf numFmtId="0" fontId="28" fillId="11" borderId="23" xfId="0" applyFont="1" applyFill="1" applyBorder="1" applyAlignment="1">
      <alignment horizontal="center" vertical="center"/>
    </xf>
    <xf numFmtId="0" fontId="15" fillId="0" borderId="0" xfId="0" applyFont="1" applyAlignment="1">
      <alignment horizontal="left" vertical="top" wrapText="1"/>
    </xf>
    <xf numFmtId="0" fontId="18" fillId="14" borderId="9" xfId="0" applyFont="1" applyFill="1" applyBorder="1" applyAlignment="1">
      <alignment horizontal="center" vertical="center"/>
    </xf>
    <xf numFmtId="0" fontId="18" fillId="14" borderId="23" xfId="0" applyFont="1" applyFill="1" applyBorder="1" applyAlignment="1">
      <alignment horizontal="center" vertical="center"/>
    </xf>
    <xf numFmtId="0" fontId="32" fillId="0" borderId="24" xfId="0" applyFont="1" applyBorder="1" applyAlignment="1">
      <alignment horizontal="left" vertical="center" wrapText="1"/>
    </xf>
    <xf numFmtId="0" fontId="32" fillId="0" borderId="24" xfId="0" applyFont="1" applyBorder="1" applyAlignment="1">
      <alignment horizontal="left" vertical="center"/>
    </xf>
    <xf numFmtId="0" fontId="32" fillId="0" borderId="23" xfId="0" applyFont="1" applyBorder="1" applyAlignment="1">
      <alignment horizontal="left" vertical="center"/>
    </xf>
    <xf numFmtId="0" fontId="32" fillId="0" borderId="9" xfId="0" applyFont="1" applyBorder="1" applyAlignment="1">
      <alignment horizontal="left" vertical="center" wrapText="1"/>
    </xf>
    <xf numFmtId="0" fontId="18" fillId="8" borderId="17" xfId="0" applyFont="1" applyFill="1" applyBorder="1" applyAlignment="1">
      <alignment horizontal="center" vertical="top" wrapText="1"/>
    </xf>
    <xf numFmtId="0" fontId="18" fillId="8" borderId="18" xfId="0" applyFont="1" applyFill="1" applyBorder="1" applyAlignment="1">
      <alignment horizontal="center" vertical="top" wrapText="1"/>
    </xf>
    <xf numFmtId="0" fontId="18" fillId="2" borderId="19" xfId="0" applyFont="1" applyFill="1" applyBorder="1" applyAlignment="1">
      <alignment horizontal="center" vertical="top" wrapText="1"/>
    </xf>
    <xf numFmtId="0" fontId="18" fillId="2" borderId="20" xfId="0" applyFont="1" applyFill="1" applyBorder="1" applyAlignment="1">
      <alignment horizontal="center" vertical="top" wrapText="1"/>
    </xf>
    <xf numFmtId="0" fontId="2" fillId="8" borderId="1" xfId="0" applyFont="1" applyFill="1" applyBorder="1" applyAlignment="1">
      <alignment horizontal="center" vertical="center" wrapText="1"/>
    </xf>
    <xf numFmtId="0" fontId="6" fillId="0" borderId="11"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5" xfId="0" applyFont="1" applyBorder="1" applyAlignment="1">
      <alignment horizontal="center" vertical="center" wrapText="1"/>
    </xf>
  </cellXfs>
  <cellStyles count="3">
    <cellStyle name="Excel Built-in Normal" xfId="2" xr:uid="{00000000-0005-0000-0000-000000000000}"/>
    <cellStyle name="Normal" xfId="0" builtinId="0"/>
    <cellStyle name="Normal 2" xfId="1" xr:uid="{00000000-0005-0000-0000-000001000000}"/>
  </cellStyles>
  <dxfs count="187">
    <dxf>
      <font>
        <b val="0"/>
        <i val="0"/>
        <strike val="0"/>
        <condense val="0"/>
        <extend val="0"/>
        <outline val="0"/>
        <shadow val="0"/>
        <u val="none"/>
        <vertAlign val="baseline"/>
        <sz val="11"/>
        <color theme="1"/>
        <name val="Cambria"/>
        <scheme val="none"/>
      </font>
      <alignment horizontal="center"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mbria"/>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right style="thin">
          <color indexed="64"/>
        </right>
        <top style="medium">
          <color indexed="64"/>
        </top>
        <bottom style="medium">
          <color indexed="64"/>
        </bottom>
      </border>
    </dxf>
    <dxf>
      <font>
        <strike val="0"/>
        <outline val="0"/>
        <shadow val="0"/>
        <u val="none"/>
        <vertAlign val="baseline"/>
        <sz val="11"/>
        <name val="Cambria"/>
        <scheme val="none"/>
      </font>
    </dxf>
    <dxf>
      <font>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none">
          <fgColor indexed="64"/>
          <bgColor indexed="65"/>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right style="thin">
          <color indexed="64"/>
        </right>
        <top style="medium">
          <color indexed="64"/>
        </top>
        <bottom style="medium">
          <color indexed="64"/>
        </bottom>
      </border>
    </dxf>
    <dxf>
      <font>
        <strike val="0"/>
        <outline val="0"/>
        <shadow val="0"/>
        <u val="none"/>
        <vertAlign val="baseline"/>
        <sz val="11"/>
        <name val="Cambria"/>
        <scheme val="none"/>
      </font>
    </dxf>
    <dxf>
      <font>
        <strike val="0"/>
        <outline val="0"/>
        <shadow val="0"/>
        <u val="none"/>
        <vertAlign val="baseline"/>
        <sz val="11"/>
        <color auto="1"/>
        <name val="Cambria"/>
        <scheme val="none"/>
      </font>
    </dxf>
    <dxf>
      <font>
        <strike val="0"/>
        <outline val="0"/>
        <shadow val="0"/>
        <u val="none"/>
        <name val="Cambria"/>
        <scheme val="none"/>
      </font>
      <numFmt numFmtId="2" formatCode="0.00"/>
      <alignment horizontal="center" vertical="center" textRotation="0" wrapText="0" indent="0" justifyLastLine="0" shrinkToFit="0" readingOrder="0"/>
    </dxf>
    <dxf>
      <font>
        <strike val="0"/>
        <outline val="0"/>
        <shadow val="0"/>
        <u val="none"/>
        <name val="Cambria"/>
        <scheme val="none"/>
      </font>
    </dxf>
    <dxf>
      <border outline="0">
        <right style="medium">
          <color indexed="64"/>
        </right>
        <top style="medium">
          <color indexed="64"/>
        </top>
        <bottom style="medium">
          <color indexed="64"/>
        </bottom>
      </border>
    </dxf>
    <dxf>
      <font>
        <strike val="0"/>
        <outline val="0"/>
        <shadow val="0"/>
        <u val="none"/>
        <name val="Cambria"/>
        <scheme val="none"/>
      </font>
    </dxf>
    <dxf>
      <font>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4.9989318521683403E-2"/>
        </patternFill>
      </fil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theme="1"/>
        <name val="Cambria"/>
        <scheme val="none"/>
      </font>
      <alignment vertical="top" textRotation="0" indent="0" justifyLastLine="0" shrinkToFit="0" readingOrder="0"/>
    </dxf>
    <dxf>
      <font>
        <b val="0"/>
        <strike val="0"/>
        <outline val="0"/>
        <shadow val="0"/>
        <u val="none"/>
        <vertAlign val="baseline"/>
        <sz val="11"/>
        <color auto="1"/>
        <name val="Cambria"/>
        <scheme val="none"/>
      </font>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rgb="FF0000FF"/>
        <name val="Cambria"/>
        <scheme val="none"/>
      </font>
      <numFmt numFmtId="164" formatCode="0.0"/>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fill>
        <patternFill patternType="solid">
          <fgColor indexed="64"/>
          <bgColor theme="0" tint="-4.9989318521683403E-2"/>
        </patternFill>
      </fill>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theme="1"/>
        <name val="Cambria"/>
        <scheme val="none"/>
      </font>
      <alignment vertical="top" textRotation="0" indent="0" justifyLastLine="0" shrinkToFit="0" readingOrder="0"/>
    </dxf>
    <dxf>
      <font>
        <strike val="0"/>
        <outline val="0"/>
        <shadow val="0"/>
        <u val="none"/>
        <vertAlign val="baseline"/>
        <sz val="11"/>
        <color auto="1"/>
        <name val="Cambria"/>
        <scheme val="none"/>
      </font>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dxf>
    <dxf>
      <border outline="0">
        <bottom style="thin">
          <color indexed="64"/>
        </bottom>
      </border>
    </dxf>
    <dxf>
      <font>
        <b/>
        <i val="0"/>
        <strike val="0"/>
        <condense val="0"/>
        <extend val="0"/>
        <outline val="0"/>
        <shadow val="0"/>
        <u val="none"/>
        <vertAlign val="baseline"/>
        <sz val="11"/>
        <color auto="1"/>
        <name val="Cambria"/>
        <scheme val="none"/>
      </font>
      <fill>
        <patternFill patternType="solid">
          <fgColor indexed="64"/>
          <bgColor theme="5" tint="0.59999389629810485"/>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dxf>
    <dxf>
      <border outline="0">
        <bottom style="thin">
          <color indexed="64"/>
        </bottom>
      </border>
    </dxf>
    <dxf>
      <font>
        <b/>
        <i val="0"/>
        <strike val="0"/>
        <condense val="0"/>
        <extend val="0"/>
        <outline val="0"/>
        <shadow val="0"/>
        <u val="none"/>
        <vertAlign val="baseline"/>
        <sz val="11"/>
        <color auto="1"/>
        <name val="Cambria"/>
        <scheme val="none"/>
      </font>
      <fill>
        <patternFill patternType="solid">
          <fgColor indexed="64"/>
          <bgColor theme="5" tint="0.59999389629810485"/>
        </patternFill>
      </fill>
      <alignment horizontal="center" vertical="top"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8" tint="0.79998168889431442"/>
        </patternFill>
      </fill>
      <alignment horizontal="center"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Assets" displayName="Assets" ref="A9:D25" totalsRowShown="0" headerRowDxfId="186" dataDxfId="184" headerRowBorderDxfId="185" tableBorderDxfId="183" totalsRowBorderDxfId="182">
  <autoFilter ref="A9:D25" xr:uid="{00000000-0009-0000-0100-000003000000}"/>
  <tableColumns count="4">
    <tableColumn id="1" xr3:uid="{00000000-0010-0000-0000-000001000000}" name="ID #" dataDxfId="181"/>
    <tableColumn id="2" xr3:uid="{00000000-0010-0000-0000-000002000000}" name="Asset Type_x000a_(Information/Physical)" dataDxfId="180"/>
    <tableColumn id="3" xr3:uid="{00000000-0010-0000-0000-000003000000}" name="Asset" dataDxfId="179"/>
    <tableColumn id="4" xr3:uid="{00000000-0010-0000-0000-000004000000}" name="Asset Description" dataDxfId="178"/>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ulnerabilities" displayName="Vulnerabilities" ref="A4:D31" totalsRowShown="0" headerRowDxfId="177" dataDxfId="175" headerRowBorderDxfId="176" tableBorderDxfId="174" totalsRowBorderDxfId="173">
  <autoFilter ref="A4:D31" xr:uid="{00000000-0009-0000-0100-000002000000}"/>
  <tableColumns count="4">
    <tableColumn id="1" xr3:uid="{00000000-0010-0000-0100-000001000000}" name="Vuln. ID" dataDxfId="172"/>
    <tableColumn id="4" xr3:uid="{00000000-0010-0000-0100-000004000000}" name="Vulnerability Description" dataDxfId="171"/>
    <tableColumn id="5" xr3:uid="{00000000-0010-0000-0100-000005000000}" name="Applicable (Yes/No)" dataDxfId="170"/>
    <tableColumn id="6" xr3:uid="{00000000-0010-0000-0100-000006000000}" name="Rationale (if Vulnerability not applicable)" dataDxfId="169"/>
  </tableColumns>
  <tableStyleInfo name="TableStyleLight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3:F9" totalsRowShown="0" headerRowDxfId="168" dataDxfId="166" headerRowBorderDxfId="167" tableBorderDxfId="165" totalsRowBorderDxfId="164">
  <autoFilter ref="A3:F9" xr:uid="{00000000-0009-0000-0100-000005000000}"/>
  <tableColumns count="6">
    <tableColumn id="1" xr3:uid="{00000000-0010-0000-0200-000001000000}" name="#" dataDxfId="163"/>
    <tableColumn id="2" xr3:uid="{00000000-0010-0000-0200-000002000000}" name="Threat Event " dataDxfId="162"/>
    <tableColumn id="3" xr3:uid="{00000000-0010-0000-0200-000003000000}" name="Description " dataDxfId="161"/>
    <tableColumn id="4" xr3:uid="{00000000-0010-0000-0200-000004000000}" name="Threat Source" dataDxfId="160"/>
    <tableColumn id="5" xr3:uid="{00000000-0010-0000-0200-000005000000}" name="In Scope (Yes/No)" dataDxfId="159"/>
    <tableColumn id="13" xr3:uid="{00000000-0010-0000-0200-00000D000000}" name="Rationale _x000a_(if out of scope)" dataDxfId="158"/>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4:AQ9" totalsRowShown="0" headerRowDxfId="147" dataDxfId="146" tableBorderDxfId="145">
  <autoFilter ref="A4:AQ9" xr:uid="{00000000-0009-0000-0100-000004000000}"/>
  <tableColumns count="43">
    <tableColumn id="1" xr3:uid="{00000000-0010-0000-0300-000001000000}" name="_x000a_ID #" dataDxfId="144" totalsRowDxfId="143"/>
    <tableColumn id="23" xr3:uid="{00000000-0010-0000-0300-000017000000}" name="T ID" dataDxfId="142" totalsRowDxfId="141"/>
    <tableColumn id="2" xr3:uid="{00000000-0010-0000-0300-000002000000}" name="Threat Event(s)" dataDxfId="140" totalsRowDxfId="139">
      <calculatedColumnFormula>IF(VLOOKUP(Table4[[#This Row],[T ID]],Table5[#All],5,FALSE)="No","Not in scope",VLOOKUP(Table4[[#This Row],[T ID]],Table5[#All],2,FALSE))</calculatedColumnFormula>
    </tableColumn>
    <tableColumn id="22" xr3:uid="{00000000-0010-0000-0300-000016000000}" name="V ID" dataDxfId="138" totalsRowDxfId="137"/>
    <tableColumn id="3" xr3:uid="{00000000-0010-0000-0300-000003000000}" name="Vulnerabilities" dataDxfId="136" totalsRowDxfId="135">
      <calculatedColumnFormula>IF(VLOOKUP(Table4[[#This Row],[V ID]],Vulnerabilities[#All],3,FALSE)="No","Not in scope",VLOOKUP(Table4[[#This Row],[V ID]],Vulnerabilities[#All],2,FALSE))</calculatedColumnFormula>
    </tableColumn>
    <tableColumn id="24" xr3:uid="{00000000-0010-0000-0300-000018000000}" name="A ID" dataDxfId="134" totalsRowDxfId="133"/>
    <tableColumn id="4" xr3:uid="{00000000-0010-0000-0300-000004000000}" name="Asset" dataDxfId="132" totalsRowDxfId="131">
      <calculatedColumnFormula>VLOOKUP(Table4[[#This Row],[A ID]],Assets[#All],3,FALSE)</calculatedColumnFormula>
    </tableColumn>
    <tableColumn id="5" xr3:uid="{00000000-0010-0000-0300-000005000000}" name="Impact Description" dataDxfId="130" totalsRowDxfId="129"/>
    <tableColumn id="7" xr3:uid="{00000000-0010-0000-0300-000007000000}" name="Safety Impact _x000a_(Risk ID# or N/A)" dataDxfId="128" totalsRowDxfId="127"/>
    <tableColumn id="26" xr3:uid="{00000000-0010-0000-0300-00001A000000}" name="Confidentiality" dataDxfId="126" totalsRowDxfId="125"/>
    <tableColumn id="25" xr3:uid="{00000000-0010-0000-0300-000019000000}" name="Integrity" dataDxfId="124" totalsRowDxfId="123"/>
    <tableColumn id="21" xr3:uid="{00000000-0010-0000-0300-000015000000}" name="Availability" dataDxfId="122" totalsRowDxfId="121"/>
    <tableColumn id="44" xr3:uid="{00000000-0010-0000-0300-00002C000000}" name="Attack Vector" dataDxfId="120" totalsRowDxfId="119"/>
    <tableColumn id="45" xr3:uid="{00000000-0010-0000-0300-00002D000000}" name="Attack Complexity" dataDxfId="118" totalsRowDxfId="117"/>
    <tableColumn id="46" xr3:uid="{00000000-0010-0000-0300-00002E000000}" name="Privileges Required" dataDxfId="116" totalsRowDxfId="115"/>
    <tableColumn id="47" xr3:uid="{00000000-0010-0000-0300-00002F000000}" name="User Interaction" dataDxfId="114" totalsRowDxfId="113"/>
    <tableColumn id="43" xr3:uid="{00000000-0010-0000-0300-00002B000000}" name="Scope" dataDxfId="112" totalsRowDxfId="111"/>
    <tableColumn id="48" xr3:uid="{00000000-0010-0000-0300-000030000000}" name="Exploitability Sub Score" dataDxfId="110" totalsRowDxfId="109">
      <calculatedColumnFormula>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calculatedColumnFormula>
    </tableColumn>
    <tableColumn id="17" xr3:uid="{00000000-0010-0000-0300-000011000000}" name="ISC Base" dataDxfId="108" totalsRowDxfId="107">
      <calculatedColumnFormula>(1 - ((1 - VLOOKUP(Table4[[#This Row],[Confidentiality]],'Reference - CVSSv3.0'!$B$15:$C$17,2,FALSE)) * (1 - VLOOKUP(Table4[[#This Row],[Integrity]],'Reference - CVSSv3.0'!$B$15:$C$17,2,FALSE)) *  (1 - VLOOKUP(Table4[[#This Row],[Availability]],'Reference - CVSSv3.0'!$B$15:$C$17,2,FALSE))))</calculatedColumnFormula>
    </tableColumn>
    <tableColumn id="32" xr3:uid="{00000000-0010-0000-0300-000020000000}" name="Impact Sub Score" dataDxfId="106" totalsRowDxfId="105">
      <calculatedColumnFormula>IF(Table4[[#This Row],[Scope]]="Unchanged",6.42*Table4[[#This Row],[ISC Base]],IF(Table4[[#This Row],[Scope]]="Changed",7.52*(Table4[[#This Row],[ISC Base]] - 0.029) - 3.25 * POWER(Table4[[#This Row],[ISC Base]] - 0.02,15),NA()))</calculatedColumnFormula>
    </tableColumn>
    <tableColumn id="34" xr3:uid="{00000000-0010-0000-0300-000022000000}" name="CVSS v3.0 Base Score" dataDxfId="104" totalsRowDxfId="103">
      <calculatedColumnFormula>IF(Table4[[#This Row],[Impact Sub Score]]&lt;=0,0,IF(Table4[[#This Row],[Scope]]="Unchanged",ROUNDUP(MIN((Table4[[#This Row],[Impact Sub Score]]+Table4[[#This Row],[Exploitability Sub Score]]),10),1),IF(Table4[[#This Row],[Scope]]="Changed",ROUNDUP(MIN((1.08*(Table4[[#This Row],[Impact Sub Score]]+Table4[[#This Row],[Exploitability Sub Score]])),10),1),NA())))</calculatedColumnFormula>
    </tableColumn>
    <tableColumn id="9" xr3:uid="{00000000-0010-0000-0300-000009000000}" name="Threat Event Initiation" dataDxfId="102"/>
    <tableColumn id="33" xr3:uid="{00000000-0010-0000-0300-000021000000}" name="Threat Event Initiation_x000a_Score" dataDxfId="101" totalsRowDxfId="100">
      <calculatedColumnFormula>VLOOKUP(Table4[[#This Row],[Threat Event Initiation]],NIST_Scale_LOAI[],2,FALSE)</calculatedColumnFormula>
    </tableColumn>
    <tableColumn id="10" xr3:uid="{00000000-0010-0000-0300-00000A000000}" name="Overall Risk Score" dataDxfId="99" totalsRowDxfId="98">
      <calculatedColumnFormula>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calculatedColumnFormula>
    </tableColumn>
    <tableColumn id="11" xr3:uid="{00000000-0010-0000-0300-00000B000000}" name="Security _x000a_Risk _x000a_Level" dataDxfId="97" totalsRowDxfId="96">
      <calculatedColumnFormula>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calculatedColumnFormula>
    </tableColumn>
    <tableColumn id="12" xr3:uid="{00000000-0010-0000-0300-00000C000000}" name="Security Risk Control Measures" dataDxfId="95" totalsRowDxfId="94"/>
    <tableColumn id="14" xr3:uid="{00000000-0010-0000-0300-00000E000000}" name="Implementation of Risk Control Measures " dataDxfId="93" totalsRowDxfId="92"/>
    <tableColumn id="15" xr3:uid="{00000000-0010-0000-0300-00000F000000}" name="Verification of Risk Control Measures (Effectiveness)" dataDxfId="91" totalsRowDxfId="90"/>
    <tableColumn id="13" xr3:uid="{00000000-0010-0000-0300-00000D000000}" name="ConfidentialityP" dataDxfId="89" totalsRowDxfId="88"/>
    <tableColumn id="27" xr3:uid="{00000000-0010-0000-0300-00001B000000}" name="IntegrityP" dataDxfId="87" totalsRowDxfId="86"/>
    <tableColumn id="28" xr3:uid="{00000000-0010-0000-0300-00001C000000}" name="AvailabilityP" dataDxfId="85" totalsRowDxfId="84"/>
    <tableColumn id="8" xr3:uid="{00000000-0010-0000-0300-000008000000}" name="Attack VectorP" dataDxfId="83" totalsRowDxfId="82"/>
    <tableColumn id="29" xr3:uid="{00000000-0010-0000-0300-00001D000000}" name="Attack ComplexityP" dataDxfId="81" totalsRowDxfId="80"/>
    <tableColumn id="30" xr3:uid="{00000000-0010-0000-0300-00001E000000}" name="Privileges RequiredP" dataDxfId="79" totalsRowDxfId="78"/>
    <tableColumn id="31" xr3:uid="{00000000-0010-0000-0300-00001F000000}" name="User InteractionP" dataDxfId="77"/>
    <tableColumn id="36" xr3:uid="{00000000-0010-0000-0300-000024000000}" name="ScopeP" dataDxfId="76" totalsRowDxfId="75"/>
    <tableColumn id="35" xr3:uid="{00000000-0010-0000-0300-000023000000}" name="Exploitability Sub ScoreP" dataDxfId="74" totalsRowDxfId="73">
      <calculatedColumnFormula>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calculatedColumnFormula>
    </tableColumn>
    <tableColumn id="40" xr3:uid="{00000000-0010-0000-0300-000028000000}" name="ISC BaseP" dataDxfId="72" totalsRowDxfId="71">
      <calculatedColumnFormula>(1 - ((1 - VLOOKUP(Table4[[#This Row],[ConfidentialityP]],'Reference - CVSSv3.0'!$B$15:$C$17,2,FALSE)) * (1 - VLOOKUP(Table4[[#This Row],[IntegrityP]],'Reference - CVSSv3.0'!$B$15:$C$17,2,FALSE)) *  (1 - VLOOKUP(Table4[[#This Row],[AvailabilityP]],'Reference - CVSSv3.0'!$B$15:$C$17,2,FALSE))))</calculatedColumnFormula>
    </tableColumn>
    <tableColumn id="41" xr3:uid="{00000000-0010-0000-0300-000029000000}" name="Impact Sub ScoreP" dataDxfId="70" totalsRowDxfId="69">
      <calculatedColumnFormula>IF(Table4[[#This Row],[ScopeP]]="Unchanged",6.42*Table4[[#This Row],[ISC BaseP]],IF(Table4[[#This Row],[ScopeP]]="Changed",7.52*(Table4[[#This Row],[ISC BaseP]] - 0.029) - 3.25 * POWER(Table4[[#This Row],[ISC BaseP]] - 0.02,15),NA()))</calculatedColumnFormula>
    </tableColumn>
    <tableColumn id="42" xr3:uid="{00000000-0010-0000-0300-00002A000000}" name="CVSS v3.0 Base ScoreP" dataDxfId="68" totalsRowDxfId="67">
      <calculatedColumnFormula>IF(Table4[[#This Row],[Impact Sub ScoreP]]&lt;=0,0,IF(Table4[[#This Row],[ScopeP]]="Unchanged",ROUNDUP(MIN((Table4[[#This Row],[Impact Sub ScoreP]]+Table4[[#This Row],[Exploitability Sub ScoreP]]),10),1),IF(Table4[[#This Row],[ScopeP]]="Changed",ROUNDUP(MIN((1.08*(Table4[[#This Row],[Impact Sub ScoreP]]+Table4[[#This Row],[Exploitability Sub ScoreP]])),10),1),NA())))</calculatedColumnFormula>
    </tableColumn>
    <tableColumn id="49" xr3:uid="{00000000-0010-0000-0300-000031000000}" name="Overall Risk ScoreP" dataDxfId="66" totalsRowDxfId="65">
      <calculatedColumnFormula>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calculatedColumnFormula>
    </tableColumn>
    <tableColumn id="50" xr3:uid="{00000000-0010-0000-0300-000032000000}" name="Security Risk LevelP" dataDxfId="64" totalsRowDxfId="63">
      <calculatedColumnFormula>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calculatedColumnFormula>
    </tableColumn>
    <tableColumn id="20" xr3:uid="{00000000-0010-0000-0300-000014000000}" name="Residual Security Risk Acceptability Justification" dataDxfId="62" totalsRowDxfId="61"/>
  </tableColumns>
  <tableStyleInfo name="TableStyleLight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4000000}" name="Table41415" displayName="Table41415" ref="A4:M9" totalsRowShown="0" headerRowDxfId="45" dataDxfId="44" tableBorderDxfId="43">
  <autoFilter ref="A4:M9" xr:uid="{00000000-0009-0000-0100-00000E000000}"/>
  <tableColumns count="13">
    <tableColumn id="1" xr3:uid="{00000000-0010-0000-0400-000001000000}" name="_x000a_ID #" dataDxfId="42" totalsRowDxfId="41">
      <calculatedColumnFormula>Table4[[#This Row],[
ID '#]]</calculatedColumnFormula>
    </tableColumn>
    <tableColumn id="23" xr3:uid="{00000000-0010-0000-0400-000017000000}" name="T ID" dataDxfId="40" totalsRowDxfId="39">
      <calculatedColumnFormula>IF(Table4[[#This Row],[A ID]]&gt;0,Table4[[#This Row],[T ID]],"")</calculatedColumnFormula>
    </tableColumn>
    <tableColumn id="2" xr3:uid="{00000000-0010-0000-0400-000002000000}" name="Threat Event(s)" dataDxfId="38" totalsRowDxfId="37">
      <calculatedColumnFormula>Table4[[#This Row],[Threat Event(s)]]</calculatedColumnFormula>
    </tableColumn>
    <tableColumn id="22" xr3:uid="{00000000-0010-0000-0400-000016000000}" name="V ID" dataDxfId="36" totalsRowDxfId="35">
      <calculatedColumnFormula>IF(Table4[[#This Row],[V ID]]&gt;0,Table4[[#This Row],[V ID]],"")</calculatedColumnFormula>
    </tableColumn>
    <tableColumn id="3" xr3:uid="{00000000-0010-0000-0400-000003000000}" name="Vulnerabilities" dataDxfId="34" totalsRowDxfId="33">
      <calculatedColumnFormula>Table4[[#This Row],[Vulnerabilities]]</calculatedColumnFormula>
    </tableColumn>
    <tableColumn id="24" xr3:uid="{00000000-0010-0000-0400-000018000000}" name="A ID" dataDxfId="32" totalsRowDxfId="31">
      <calculatedColumnFormula>IF(Table4[[#This Row],[A ID]]&gt;0,Table4[[#This Row],[A ID]],"")</calculatedColumnFormula>
    </tableColumn>
    <tableColumn id="4" xr3:uid="{00000000-0010-0000-0400-000004000000}" name="Assets" dataDxfId="30" totalsRowDxfId="29">
      <calculatedColumnFormula>Table4[[#This Row],[Asset]]</calculatedColumnFormula>
    </tableColumn>
    <tableColumn id="5" xr3:uid="{00000000-0010-0000-0400-000005000000}" name="Impact Description" dataDxfId="28" totalsRowDxfId="27">
      <calculatedColumnFormula>IF(Table4[[#This Row],[Impact Description]]&gt;0,Table4[[#This Row],[Impact Description]],"")</calculatedColumnFormula>
    </tableColumn>
    <tableColumn id="7" xr3:uid="{00000000-0010-0000-0400-000007000000}" name="Safety Impact _x000a_(Risk ID# or N/A)" dataDxfId="26" totalsRowDxfId="25">
      <calculatedColumnFormula>IF(Table4[[#This Row],[Safety Impact 
(Risk ID'# or N/A)]]&gt;0,Table4[[#This Row],[Safety Impact 
(Risk ID'# or N/A)]],"")</calculatedColumnFormula>
    </tableColumn>
    <tableColumn id="11" xr3:uid="{00000000-0010-0000-0400-00000B000000}" name="Pre-Controls _x000a_Risk Level" dataDxfId="24" totalsRowDxfId="23">
      <calculatedColumnFormula>Table4[[#This Row],[Security 
Risk 
Level]]</calculatedColumnFormula>
    </tableColumn>
    <tableColumn id="12" xr3:uid="{00000000-0010-0000-0400-00000C000000}" name="Security Risk Control Measures" dataDxfId="22" totalsRowDxfId="21">
      <calculatedColumnFormula>IF(Table4[[#This Row],[Security Risk Control Measures]]&gt;0,Table4[[#This Row],[Security Risk Control Measures]],"")</calculatedColumnFormula>
    </tableColumn>
    <tableColumn id="50" xr3:uid="{00000000-0010-0000-0400-000032000000}" name="Post-Controls Risk Level" dataDxfId="20" totalsRowDxfId="19">
      <calculatedColumnFormula>Table4[[#This Row],[Security Risk LevelP]]</calculatedColumnFormula>
    </tableColumn>
    <tableColumn id="20" xr3:uid="{00000000-0010-0000-0400-000014000000}" name="Residual Security Risk Acceptability Justification" dataDxfId="18" totalsRowDxfId="17">
      <calculatedColumnFormula>IF(Table4[[#This Row],[Residual Security Risk Acceptability Justification]]&gt;0,Table4[[#This Row],[Residual Security Risk Acceptability Justification]],"")</calculatedColumnFormula>
    </tableColumn>
  </tableColumns>
  <tableStyleInfo name="TableStyleLight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NIST_Scale_LOAI" displayName="NIST_Scale_LOAI" ref="Q4:R10" totalsRowShown="0" headerRowDxfId="16" dataDxfId="15" tableBorderDxfId="14">
  <autoFilter ref="Q4:R10" xr:uid="{00000000-0009-0000-0100-000006000000}"/>
  <tableColumns count="2">
    <tableColumn id="1" xr3:uid="{00000000-0010-0000-0500-000001000000}" name="Rating" dataDxfId="13"/>
    <tableColumn id="2" xr3:uid="{00000000-0010-0000-0500-000002000000}" name="Score" dataDxfId="12"/>
  </tableColumns>
  <tableStyleInfo name="TableStyleLight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7" displayName="Table7" ref="A4:C10" totalsRowShown="0" headerRowDxfId="11" dataDxfId="10" tableBorderDxfId="9">
  <autoFilter ref="A4:C10" xr:uid="{00000000-0009-0000-0100-000007000000}"/>
  <tableColumns count="3">
    <tableColumn id="1" xr3:uid="{00000000-0010-0000-0600-000001000000}" name="ID#" dataDxfId="8"/>
    <tableColumn id="2" xr3:uid="{00000000-0010-0000-0600-000002000000}" name="Threat Source" dataDxfId="7"/>
    <tableColumn id="3" xr3:uid="{00000000-0010-0000-0600-000003000000}" name="In Scope (Y/N)" dataDxfId="6"/>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8" displayName="Table8" ref="E4:G10" totalsRowShown="0" headerRowDxfId="5" dataDxfId="4" tableBorderDxfId="3">
  <autoFilter ref="E4:G10" xr:uid="{00000000-0009-0000-0100-000008000000}"/>
  <tableColumns count="3">
    <tableColumn id="1" xr3:uid="{00000000-0010-0000-0700-000001000000}" name="ID#" dataDxfId="2"/>
    <tableColumn id="2" xr3:uid="{00000000-0010-0000-0700-000002000000}" name="Source" dataDxfId="1"/>
    <tableColumn id="3" xr3:uid="{00000000-0010-0000-0700-000003000000}" name="In Scope (Y/N)" dataDxfId="0"/>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7.vml"/><Relationship Id="rId1" Type="http://schemas.openxmlformats.org/officeDocument/2006/relationships/printerSettings" Target="../printerSettings/printerSettings7.bin"/><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42"/>
  <sheetViews>
    <sheetView zoomScaleNormal="100" workbookViewId="0">
      <selection activeCell="B12" sqref="B12"/>
    </sheetView>
  </sheetViews>
  <sheetFormatPr defaultColWidth="9.109375" defaultRowHeight="13.8" x14ac:dyDescent="0.3"/>
  <cols>
    <col min="1" max="1" width="7.88671875" style="28" customWidth="1"/>
    <col min="2" max="2" width="30.6640625" style="28" customWidth="1"/>
    <col min="3" max="3" width="40.88671875" style="28" customWidth="1"/>
    <col min="4" max="4" width="51.33203125" style="28" customWidth="1"/>
    <col min="5" max="5" width="16.109375" style="28" customWidth="1"/>
    <col min="6" max="6" width="14.33203125" style="28" customWidth="1"/>
    <col min="7" max="16384" width="9.109375" style="28"/>
  </cols>
  <sheetData>
    <row r="1" spans="1:4" s="32" customFormat="1" x14ac:dyDescent="0.3">
      <c r="A1" s="31" t="s">
        <v>190</v>
      </c>
    </row>
    <row r="2" spans="1:4" s="32" customFormat="1" x14ac:dyDescent="0.3"/>
    <row r="3" spans="1:4" s="32" customFormat="1" x14ac:dyDescent="0.3">
      <c r="A3" s="33" t="s">
        <v>191</v>
      </c>
      <c r="B3" s="34"/>
      <c r="C3" s="193"/>
      <c r="D3" s="193"/>
    </row>
    <row r="4" spans="1:4" s="32" customFormat="1" x14ac:dyDescent="0.3">
      <c r="A4" s="35" t="s">
        <v>196</v>
      </c>
      <c r="B4" s="36"/>
      <c r="C4" s="193"/>
      <c r="D4" s="193"/>
    </row>
    <row r="5" spans="1:4" s="32" customFormat="1" x14ac:dyDescent="0.3">
      <c r="A5" s="35" t="s">
        <v>192</v>
      </c>
      <c r="B5" s="36"/>
      <c r="C5" s="193" t="s">
        <v>194</v>
      </c>
      <c r="D5" s="193"/>
    </row>
    <row r="6" spans="1:4" s="32" customFormat="1" ht="30" customHeight="1" x14ac:dyDescent="0.3">
      <c r="A6" s="37" t="s">
        <v>193</v>
      </c>
      <c r="B6" s="38"/>
      <c r="C6" s="193" t="s">
        <v>195</v>
      </c>
      <c r="D6" s="193"/>
    </row>
    <row r="7" spans="1:4" s="32" customFormat="1" x14ac:dyDescent="0.3"/>
    <row r="8" spans="1:4" s="32" customFormat="1" x14ac:dyDescent="0.3"/>
    <row r="9" spans="1:4" s="32" customFormat="1" ht="27.6" x14ac:dyDescent="0.3">
      <c r="A9" s="39" t="s">
        <v>8</v>
      </c>
      <c r="B9" s="40" t="s">
        <v>208</v>
      </c>
      <c r="C9" s="40" t="s">
        <v>0</v>
      </c>
      <c r="D9" s="41" t="s">
        <v>11</v>
      </c>
    </row>
    <row r="10" spans="1:4" s="32" customFormat="1" ht="41.4" x14ac:dyDescent="0.3">
      <c r="A10" s="42" t="s">
        <v>115</v>
      </c>
      <c r="B10" s="43" t="s">
        <v>9</v>
      </c>
      <c r="C10" s="44" t="s">
        <v>174</v>
      </c>
      <c r="D10" s="45" t="s">
        <v>12</v>
      </c>
    </row>
    <row r="11" spans="1:4" s="32" customFormat="1" ht="41.4" x14ac:dyDescent="0.3">
      <c r="A11" s="42" t="s">
        <v>116</v>
      </c>
      <c r="B11" s="43" t="s">
        <v>150</v>
      </c>
      <c r="C11" s="44" t="s">
        <v>151</v>
      </c>
      <c r="D11" s="45" t="s">
        <v>154</v>
      </c>
    </row>
    <row r="12" spans="1:4" s="32" customFormat="1" ht="27.6" x14ac:dyDescent="0.3">
      <c r="A12" s="42" t="s">
        <v>117</v>
      </c>
      <c r="B12" s="43" t="s">
        <v>150</v>
      </c>
      <c r="C12" s="44" t="s">
        <v>152</v>
      </c>
      <c r="D12" s="45" t="s">
        <v>153</v>
      </c>
    </row>
    <row r="13" spans="1:4" s="32" customFormat="1" ht="41.4" x14ac:dyDescent="0.3">
      <c r="A13" s="42" t="s">
        <v>118</v>
      </c>
      <c r="B13" s="43" t="s">
        <v>10</v>
      </c>
      <c r="C13" s="44" t="s">
        <v>144</v>
      </c>
      <c r="D13" s="45" t="s">
        <v>146</v>
      </c>
    </row>
    <row r="14" spans="1:4" s="32" customFormat="1" ht="27.6" x14ac:dyDescent="0.3">
      <c r="A14" s="42" t="s">
        <v>119</v>
      </c>
      <c r="B14" s="43" t="s">
        <v>10</v>
      </c>
      <c r="C14" s="44" t="s">
        <v>145</v>
      </c>
      <c r="D14" s="45" t="s">
        <v>147</v>
      </c>
    </row>
    <row r="15" spans="1:4" s="32" customFormat="1" ht="69" x14ac:dyDescent="0.3">
      <c r="A15" s="42" t="s">
        <v>120</v>
      </c>
      <c r="B15" s="43" t="s">
        <v>9</v>
      </c>
      <c r="C15" s="46" t="s">
        <v>148</v>
      </c>
      <c r="D15" s="45" t="s">
        <v>149</v>
      </c>
    </row>
    <row r="16" spans="1:4" s="32" customFormat="1" ht="41.4" x14ac:dyDescent="0.3">
      <c r="A16" s="42" t="s">
        <v>121</v>
      </c>
      <c r="B16" s="43" t="s">
        <v>10</v>
      </c>
      <c r="C16" s="44" t="s">
        <v>177</v>
      </c>
      <c r="D16" s="47" t="s">
        <v>176</v>
      </c>
    </row>
    <row r="17" spans="1:4" s="32" customFormat="1" x14ac:dyDescent="0.3">
      <c r="A17" s="42" t="s">
        <v>122</v>
      </c>
      <c r="B17" s="48"/>
      <c r="C17" s="49"/>
      <c r="D17" s="47"/>
    </row>
    <row r="18" spans="1:4" s="32" customFormat="1" x14ac:dyDescent="0.3">
      <c r="A18" s="42" t="s">
        <v>123</v>
      </c>
      <c r="B18" s="48"/>
      <c r="C18" s="49"/>
      <c r="D18" s="47"/>
    </row>
    <row r="19" spans="1:4" s="32" customFormat="1" x14ac:dyDescent="0.3">
      <c r="A19" s="42" t="s">
        <v>108</v>
      </c>
      <c r="B19" s="48"/>
      <c r="C19" s="49"/>
      <c r="D19" s="47"/>
    </row>
    <row r="20" spans="1:4" s="32" customFormat="1" x14ac:dyDescent="0.3">
      <c r="A20" s="42" t="s">
        <v>109</v>
      </c>
      <c r="B20" s="48"/>
      <c r="C20" s="49"/>
      <c r="D20" s="47"/>
    </row>
    <row r="21" spans="1:4" s="32" customFormat="1" x14ac:dyDescent="0.3">
      <c r="A21" s="42" t="s">
        <v>110</v>
      </c>
      <c r="B21" s="48"/>
      <c r="C21" s="49"/>
      <c r="D21" s="47"/>
    </row>
    <row r="22" spans="1:4" s="32" customFormat="1" x14ac:dyDescent="0.3">
      <c r="A22" s="42" t="s">
        <v>111</v>
      </c>
      <c r="B22" s="48"/>
      <c r="C22" s="49"/>
      <c r="D22" s="47"/>
    </row>
    <row r="23" spans="1:4" s="32" customFormat="1" x14ac:dyDescent="0.3">
      <c r="A23" s="42" t="s">
        <v>112</v>
      </c>
      <c r="B23" s="48"/>
      <c r="C23" s="49"/>
      <c r="D23" s="47"/>
    </row>
    <row r="24" spans="1:4" s="32" customFormat="1" x14ac:dyDescent="0.3">
      <c r="A24" s="42" t="s">
        <v>113</v>
      </c>
      <c r="B24" s="48"/>
      <c r="C24" s="49"/>
      <c r="D24" s="47"/>
    </row>
    <row r="25" spans="1:4" s="32" customFormat="1" x14ac:dyDescent="0.3">
      <c r="A25" s="42" t="s">
        <v>114</v>
      </c>
      <c r="B25" s="50"/>
      <c r="C25" s="51"/>
      <c r="D25" s="52"/>
    </row>
    <row r="39" spans="1:8" x14ac:dyDescent="0.2">
      <c r="A39" s="29" t="s">
        <v>210</v>
      </c>
    </row>
    <row r="40" spans="1:8" ht="34.5" customHeight="1" x14ac:dyDescent="0.2">
      <c r="B40" s="194" t="s">
        <v>211</v>
      </c>
      <c r="C40" s="194"/>
      <c r="D40" s="30"/>
      <c r="E40" s="30"/>
      <c r="F40" s="30"/>
      <c r="G40" s="30"/>
      <c r="H40" s="30"/>
    </row>
    <row r="42" spans="1:8" x14ac:dyDescent="0.3">
      <c r="B42" s="32" t="s">
        <v>209</v>
      </c>
    </row>
  </sheetData>
  <mergeCells count="5">
    <mergeCell ref="C3:D3"/>
    <mergeCell ref="C4:D4"/>
    <mergeCell ref="C5:D5"/>
    <mergeCell ref="C6:D6"/>
    <mergeCell ref="B40:C40"/>
  </mergeCells>
  <pageMargins left="0.70866141732283472" right="0.70866141732283472" top="1.5748031496062993" bottom="0.74803149606299213" header="0.31496062992125984" footer="0.31496062992125984"/>
  <pageSetup scale="93" fitToHeight="0" orientation="landscape"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38"/>
  <sheetViews>
    <sheetView zoomScaleNormal="100" workbookViewId="0">
      <selection activeCell="B36" sqref="B36"/>
    </sheetView>
  </sheetViews>
  <sheetFormatPr defaultColWidth="9.109375" defaultRowHeight="14.4" x14ac:dyDescent="0.3"/>
  <cols>
    <col min="1" max="1" width="31.6640625" style="26" customWidth="1"/>
    <col min="2" max="2" width="58.5546875" style="26" customWidth="1"/>
    <col min="3" max="3" width="20.6640625" style="26" customWidth="1"/>
    <col min="4" max="4" width="42.6640625" style="26" customWidth="1"/>
    <col min="5" max="16384" width="9.109375" style="26"/>
  </cols>
  <sheetData>
    <row r="1" spans="1:4" s="53" customFormat="1" ht="15" customHeight="1" x14ac:dyDescent="0.3">
      <c r="A1" s="31" t="s">
        <v>198</v>
      </c>
    </row>
    <row r="2" spans="1:4" s="53" customFormat="1" ht="15" customHeight="1" x14ac:dyDescent="0.3">
      <c r="A2" s="31"/>
    </row>
    <row r="3" spans="1:4" s="53" customFormat="1" ht="13.8" hidden="1" x14ac:dyDescent="0.3"/>
    <row r="4" spans="1:4" s="53" customFormat="1" ht="13.8" x14ac:dyDescent="0.3">
      <c r="A4" s="54" t="s">
        <v>7</v>
      </c>
      <c r="B4" s="55" t="s">
        <v>15</v>
      </c>
      <c r="C4" s="55" t="s">
        <v>69</v>
      </c>
      <c r="D4" s="55" t="s">
        <v>70</v>
      </c>
    </row>
    <row r="5" spans="1:4" s="53" customFormat="1" ht="13.8" x14ac:dyDescent="0.3">
      <c r="A5" s="56" t="s">
        <v>124</v>
      </c>
      <c r="B5" s="57" t="s">
        <v>172</v>
      </c>
      <c r="C5" s="49" t="s">
        <v>135</v>
      </c>
      <c r="D5" s="49" t="s">
        <v>136</v>
      </c>
    </row>
    <row r="6" spans="1:4" s="53" customFormat="1" ht="13.8" x14ac:dyDescent="0.3">
      <c r="A6" s="58" t="s">
        <v>125</v>
      </c>
      <c r="B6" s="57" t="s">
        <v>173</v>
      </c>
      <c r="C6" s="49" t="s">
        <v>135</v>
      </c>
      <c r="D6" s="49" t="s">
        <v>136</v>
      </c>
    </row>
    <row r="7" spans="1:4" s="53" customFormat="1" ht="13.8" x14ac:dyDescent="0.3">
      <c r="A7" s="58"/>
      <c r="B7" s="59"/>
      <c r="C7" s="49"/>
      <c r="D7" s="59"/>
    </row>
    <row r="8" spans="1:4" s="53" customFormat="1" ht="13.8" x14ac:dyDescent="0.3">
      <c r="A8" s="58"/>
      <c r="B8" s="59"/>
      <c r="C8" s="49"/>
      <c r="D8" s="59"/>
    </row>
    <row r="9" spans="1:4" s="53" customFormat="1" ht="13.8" x14ac:dyDescent="0.3">
      <c r="A9" s="60" t="s">
        <v>13</v>
      </c>
      <c r="B9" s="60"/>
      <c r="C9" s="60"/>
      <c r="D9" s="60"/>
    </row>
    <row r="10" spans="1:4" s="53" customFormat="1" ht="13.8" x14ac:dyDescent="0.3">
      <c r="A10" s="61" t="s">
        <v>167</v>
      </c>
      <c r="B10" s="61" t="s">
        <v>163</v>
      </c>
      <c r="C10" s="49" t="s">
        <v>135</v>
      </c>
      <c r="D10" s="49" t="s">
        <v>136</v>
      </c>
    </row>
    <row r="11" spans="1:4" s="53" customFormat="1" ht="13.8" x14ac:dyDescent="0.3">
      <c r="A11" s="58"/>
      <c r="B11" s="59"/>
      <c r="C11" s="49"/>
      <c r="D11" s="59"/>
    </row>
    <row r="12" spans="1:4" s="53" customFormat="1" ht="13.8" x14ac:dyDescent="0.3">
      <c r="A12" s="58"/>
      <c r="B12" s="59"/>
      <c r="C12" s="49"/>
      <c r="D12" s="59"/>
    </row>
    <row r="13" spans="1:4" s="53" customFormat="1" ht="13.8" x14ac:dyDescent="0.3">
      <c r="A13" s="58"/>
      <c r="B13" s="59"/>
      <c r="C13" s="49"/>
      <c r="D13" s="59"/>
    </row>
    <row r="14" spans="1:4" s="53" customFormat="1" ht="13.8" x14ac:dyDescent="0.3">
      <c r="A14" s="58"/>
      <c r="B14" s="59"/>
      <c r="C14" s="49"/>
      <c r="D14" s="59"/>
    </row>
    <row r="15" spans="1:4" s="53" customFormat="1" ht="13.8" x14ac:dyDescent="0.3">
      <c r="A15" s="60" t="s">
        <v>14</v>
      </c>
      <c r="B15" s="60"/>
      <c r="C15" s="60"/>
      <c r="D15" s="60"/>
    </row>
    <row r="16" spans="1:4" s="53" customFormat="1" ht="13.8" x14ac:dyDescent="0.3">
      <c r="A16" s="58" t="s">
        <v>168</v>
      </c>
      <c r="B16" s="59" t="s">
        <v>134</v>
      </c>
      <c r="C16" s="49" t="s">
        <v>135</v>
      </c>
      <c r="D16" s="49" t="s">
        <v>136</v>
      </c>
    </row>
    <row r="17" spans="1:4" s="53" customFormat="1" ht="13.8" x14ac:dyDescent="0.3">
      <c r="A17" s="61" t="s">
        <v>169</v>
      </c>
      <c r="B17" s="59" t="s">
        <v>165</v>
      </c>
      <c r="C17" s="49" t="s">
        <v>135</v>
      </c>
      <c r="D17" s="49" t="s">
        <v>136</v>
      </c>
    </row>
    <row r="18" spans="1:4" s="53" customFormat="1" ht="13.8" x14ac:dyDescent="0.3">
      <c r="A18" s="58" t="s">
        <v>170</v>
      </c>
      <c r="B18" s="59" t="s">
        <v>166</v>
      </c>
      <c r="C18" s="49" t="s">
        <v>135</v>
      </c>
      <c r="D18" s="49" t="s">
        <v>136</v>
      </c>
    </row>
    <row r="19" spans="1:4" s="53" customFormat="1" ht="13.8" x14ac:dyDescent="0.3">
      <c r="A19" s="58"/>
      <c r="B19" s="59"/>
      <c r="C19" s="49"/>
      <c r="D19" s="59"/>
    </row>
    <row r="20" spans="1:4" s="53" customFormat="1" ht="13.8" x14ac:dyDescent="0.3">
      <c r="A20" s="58"/>
      <c r="B20" s="59"/>
      <c r="C20" s="49"/>
      <c r="D20" s="59"/>
    </row>
    <row r="21" spans="1:4" s="53" customFormat="1" ht="13.8" x14ac:dyDescent="0.3">
      <c r="A21" s="58"/>
      <c r="B21" s="59"/>
      <c r="C21" s="49"/>
      <c r="D21" s="59"/>
    </row>
    <row r="22" spans="1:4" s="53" customFormat="1" ht="13.8" x14ac:dyDescent="0.3">
      <c r="A22" s="58"/>
      <c r="B22" s="59"/>
      <c r="C22" s="49"/>
      <c r="D22" s="59"/>
    </row>
    <row r="23" spans="1:4" s="53" customFormat="1" ht="13.8" x14ac:dyDescent="0.3">
      <c r="A23" s="60" t="s">
        <v>171</v>
      </c>
      <c r="B23" s="60"/>
      <c r="C23" s="60"/>
      <c r="D23" s="60"/>
    </row>
    <row r="24" spans="1:4" s="53" customFormat="1" ht="13.8" x14ac:dyDescent="0.3">
      <c r="A24" s="58" t="s">
        <v>180</v>
      </c>
      <c r="B24" s="59" t="s">
        <v>164</v>
      </c>
      <c r="C24" s="49" t="s">
        <v>135</v>
      </c>
      <c r="D24" s="59" t="s">
        <v>136</v>
      </c>
    </row>
    <row r="25" spans="1:4" s="53" customFormat="1" ht="13.8" x14ac:dyDescent="0.3">
      <c r="A25" s="58" t="s">
        <v>181</v>
      </c>
      <c r="B25" s="59" t="s">
        <v>182</v>
      </c>
      <c r="C25" s="49" t="s">
        <v>135</v>
      </c>
      <c r="D25" s="59" t="s">
        <v>136</v>
      </c>
    </row>
    <row r="26" spans="1:4" s="53" customFormat="1" ht="13.8" x14ac:dyDescent="0.3">
      <c r="A26" s="58"/>
      <c r="B26" s="59"/>
      <c r="C26" s="49"/>
      <c r="D26" s="59"/>
    </row>
    <row r="27" spans="1:4" s="53" customFormat="1" ht="13.8" x14ac:dyDescent="0.3">
      <c r="A27" s="58"/>
      <c r="B27" s="59"/>
      <c r="C27" s="49"/>
      <c r="D27" s="59"/>
    </row>
    <row r="28" spans="1:4" s="53" customFormat="1" ht="13.8" x14ac:dyDescent="0.3">
      <c r="A28" s="58"/>
      <c r="B28" s="59"/>
      <c r="C28" s="49"/>
      <c r="D28" s="59"/>
    </row>
    <row r="29" spans="1:4" s="53" customFormat="1" ht="13.8" x14ac:dyDescent="0.3">
      <c r="A29" s="58"/>
      <c r="B29" s="59"/>
      <c r="C29" s="49"/>
      <c r="D29" s="59"/>
    </row>
    <row r="30" spans="1:4" s="53" customFormat="1" ht="13.8" x14ac:dyDescent="0.3">
      <c r="A30" s="58"/>
      <c r="B30" s="59"/>
      <c r="C30" s="49"/>
      <c r="D30" s="59"/>
    </row>
    <row r="31" spans="1:4" s="53" customFormat="1" ht="13.8" x14ac:dyDescent="0.3">
      <c r="A31" s="62"/>
      <c r="B31" s="63"/>
      <c r="C31" s="49"/>
      <c r="D31" s="63"/>
    </row>
    <row r="32" spans="1:4" s="53" customFormat="1" ht="13.8" x14ac:dyDescent="0.3"/>
    <row r="33" spans="1:8" s="53" customFormat="1" ht="13.8" x14ac:dyDescent="0.3"/>
    <row r="34" spans="1:8" s="53" customFormat="1" ht="13.8" x14ac:dyDescent="0.3"/>
    <row r="35" spans="1:8" s="53" customFormat="1" ht="13.8" x14ac:dyDescent="0.3"/>
    <row r="36" spans="1:8" s="53" customFormat="1" ht="13.8" x14ac:dyDescent="0.2">
      <c r="A36" s="29" t="s">
        <v>210</v>
      </c>
    </row>
    <row r="37" spans="1:8" s="53" customFormat="1" ht="47.25" customHeight="1" x14ac:dyDescent="0.2">
      <c r="B37" s="30" t="s">
        <v>211</v>
      </c>
      <c r="C37" s="30"/>
      <c r="D37" s="30"/>
      <c r="E37" s="30"/>
      <c r="F37" s="30"/>
      <c r="G37" s="30"/>
      <c r="H37" s="30"/>
    </row>
    <row r="38" spans="1:8" s="53" customFormat="1" ht="13.8" x14ac:dyDescent="0.3"/>
  </sheetData>
  <pageMargins left="0.7" right="0.7" top="1.3495833333333334" bottom="0.75" header="0.3" footer="0.3"/>
  <pageSetup scale="80" fitToHeight="0" orientation="landscape"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'Reference - CVSSv3.0'!$Q$12:$Q$14</xm:f>
          </x14:formula1>
          <xm:sqref>C5:C8 C10:C14 C16:C22 C24:C31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60"/>
  <sheetViews>
    <sheetView zoomScaleNormal="100" workbookViewId="0">
      <selection activeCell="E4" sqref="E4"/>
    </sheetView>
  </sheetViews>
  <sheetFormatPr defaultColWidth="9.109375" defaultRowHeight="14.4" x14ac:dyDescent="0.3"/>
  <cols>
    <col min="1" max="1" width="6.109375" style="26" customWidth="1"/>
    <col min="2" max="2" width="38.109375" style="26" customWidth="1"/>
    <col min="3" max="3" width="49.44140625" style="26" customWidth="1"/>
    <col min="4" max="4" width="27.88671875" style="26" customWidth="1"/>
    <col min="5" max="5" width="15.109375" style="27" customWidth="1"/>
    <col min="6" max="6" width="24.6640625" style="26" customWidth="1"/>
    <col min="7" max="16384" width="9.109375" style="26"/>
  </cols>
  <sheetData>
    <row r="1" spans="1:7" s="53" customFormat="1" ht="13.8" x14ac:dyDescent="0.3">
      <c r="A1" s="31" t="s">
        <v>199</v>
      </c>
      <c r="E1" s="64"/>
    </row>
    <row r="2" spans="1:7" s="53" customFormat="1" ht="13.8" x14ac:dyDescent="0.3">
      <c r="E2" s="64"/>
    </row>
    <row r="3" spans="1:7" s="53" customFormat="1" ht="27.6" x14ac:dyDescent="0.3">
      <c r="A3" s="65" t="s">
        <v>22</v>
      </c>
      <c r="B3" s="65" t="s">
        <v>25</v>
      </c>
      <c r="C3" s="65" t="s">
        <v>23</v>
      </c>
      <c r="D3" s="65" t="s">
        <v>17</v>
      </c>
      <c r="E3" s="65" t="s">
        <v>219</v>
      </c>
      <c r="F3" s="66" t="s">
        <v>220</v>
      </c>
    </row>
    <row r="4" spans="1:7" s="74" customFormat="1" ht="110.4" x14ac:dyDescent="0.3">
      <c r="A4" s="67" t="s">
        <v>129</v>
      </c>
      <c r="B4" s="68" t="s">
        <v>157</v>
      </c>
      <c r="C4" s="69" t="s">
        <v>155</v>
      </c>
      <c r="D4" s="70" t="s">
        <v>200</v>
      </c>
      <c r="E4" s="71" t="s">
        <v>135</v>
      </c>
      <c r="F4" s="73" t="s">
        <v>136</v>
      </c>
    </row>
    <row r="5" spans="1:7" s="53" customFormat="1" ht="69" x14ac:dyDescent="0.3">
      <c r="A5" s="67" t="s">
        <v>130</v>
      </c>
      <c r="B5" s="68" t="s">
        <v>158</v>
      </c>
      <c r="C5" s="69" t="s">
        <v>156</v>
      </c>
      <c r="D5" s="70" t="s">
        <v>197</v>
      </c>
      <c r="E5" s="71" t="s">
        <v>135</v>
      </c>
      <c r="F5" s="73" t="s">
        <v>136</v>
      </c>
    </row>
    <row r="6" spans="1:7" s="53" customFormat="1" ht="69" x14ac:dyDescent="0.3">
      <c r="A6" s="67" t="s">
        <v>131</v>
      </c>
      <c r="B6" s="68" t="s">
        <v>47</v>
      </c>
      <c r="C6" s="68" t="s">
        <v>48</v>
      </c>
      <c r="D6" s="70" t="s">
        <v>200</v>
      </c>
      <c r="E6" s="71" t="s">
        <v>135</v>
      </c>
      <c r="F6" s="73" t="s">
        <v>136</v>
      </c>
    </row>
    <row r="7" spans="1:7" s="53" customFormat="1" ht="41.4" x14ac:dyDescent="0.3">
      <c r="A7" s="75" t="s">
        <v>132</v>
      </c>
      <c r="B7" s="76" t="s">
        <v>159</v>
      </c>
      <c r="C7" s="76" t="s">
        <v>160</v>
      </c>
      <c r="D7" s="70" t="s">
        <v>197</v>
      </c>
      <c r="E7" s="71" t="s">
        <v>135</v>
      </c>
      <c r="F7" s="73" t="s">
        <v>136</v>
      </c>
    </row>
    <row r="8" spans="1:7" s="53" customFormat="1" ht="27.6" x14ac:dyDescent="0.3">
      <c r="A8" s="67" t="s">
        <v>133</v>
      </c>
      <c r="B8" s="76" t="s">
        <v>161</v>
      </c>
      <c r="C8" s="76" t="s">
        <v>162</v>
      </c>
      <c r="D8" s="70" t="s">
        <v>200</v>
      </c>
      <c r="E8" s="71" t="s">
        <v>135</v>
      </c>
      <c r="F8" s="73" t="s">
        <v>136</v>
      </c>
    </row>
    <row r="9" spans="1:7" s="53" customFormat="1" ht="27.6" x14ac:dyDescent="0.3">
      <c r="A9" s="67" t="s">
        <v>217</v>
      </c>
      <c r="B9" s="59" t="s">
        <v>143</v>
      </c>
      <c r="C9" s="59"/>
      <c r="D9" s="71"/>
      <c r="E9" s="71"/>
      <c r="F9" s="73" t="s">
        <v>136</v>
      </c>
    </row>
    <row r="10" spans="1:7" s="53" customFormat="1" ht="13.8" x14ac:dyDescent="0.3">
      <c r="E10" s="64"/>
    </row>
    <row r="11" spans="1:7" s="53" customFormat="1" ht="13.8" x14ac:dyDescent="0.3">
      <c r="E11" s="64"/>
    </row>
    <row r="12" spans="1:7" s="53" customFormat="1" ht="13.8" x14ac:dyDescent="0.3">
      <c r="E12" s="64"/>
    </row>
    <row r="13" spans="1:7" s="53" customFormat="1" ht="13.8" x14ac:dyDescent="0.2">
      <c r="A13" s="29" t="s">
        <v>210</v>
      </c>
      <c r="E13" s="64"/>
    </row>
    <row r="14" spans="1:7" s="53" customFormat="1" ht="30" customHeight="1" x14ac:dyDescent="0.2">
      <c r="B14" s="194" t="s">
        <v>211</v>
      </c>
      <c r="C14" s="194"/>
      <c r="D14" s="194"/>
      <c r="E14" s="30"/>
      <c r="F14" s="30"/>
      <c r="G14" s="30"/>
    </row>
    <row r="15" spans="1:7" s="53" customFormat="1" ht="13.8" x14ac:dyDescent="0.3">
      <c r="E15" s="64"/>
    </row>
    <row r="16" spans="1:7" s="53" customFormat="1" ht="13.8" x14ac:dyDescent="0.3">
      <c r="E16" s="64"/>
    </row>
    <row r="17" spans="5:5" s="53" customFormat="1" ht="13.8" x14ac:dyDescent="0.3">
      <c r="E17" s="64"/>
    </row>
    <row r="18" spans="5:5" s="53" customFormat="1" ht="13.8" x14ac:dyDescent="0.3">
      <c r="E18" s="64"/>
    </row>
    <row r="19" spans="5:5" s="53" customFormat="1" ht="13.8" x14ac:dyDescent="0.3">
      <c r="E19" s="64"/>
    </row>
    <row r="20" spans="5:5" s="53" customFormat="1" ht="13.8" x14ac:dyDescent="0.3">
      <c r="E20" s="64"/>
    </row>
    <row r="21" spans="5:5" s="53" customFormat="1" ht="13.8" x14ac:dyDescent="0.3">
      <c r="E21" s="64"/>
    </row>
    <row r="22" spans="5:5" s="53" customFormat="1" ht="13.8" x14ac:dyDescent="0.3">
      <c r="E22" s="64"/>
    </row>
    <row r="23" spans="5:5" s="53" customFormat="1" ht="13.8" x14ac:dyDescent="0.3">
      <c r="E23" s="64"/>
    </row>
    <row r="24" spans="5:5" s="53" customFormat="1" ht="13.8" x14ac:dyDescent="0.3">
      <c r="E24" s="64"/>
    </row>
    <row r="25" spans="5:5" s="53" customFormat="1" ht="13.8" x14ac:dyDescent="0.3">
      <c r="E25" s="64"/>
    </row>
    <row r="26" spans="5:5" s="53" customFormat="1" ht="13.8" x14ac:dyDescent="0.3">
      <c r="E26" s="64"/>
    </row>
    <row r="27" spans="5:5" s="53" customFormat="1" ht="13.8" x14ac:dyDescent="0.3">
      <c r="E27" s="64"/>
    </row>
    <row r="28" spans="5:5" s="53" customFormat="1" ht="13.8" x14ac:dyDescent="0.3">
      <c r="E28" s="64"/>
    </row>
    <row r="29" spans="5:5" s="53" customFormat="1" ht="13.8" x14ac:dyDescent="0.3">
      <c r="E29" s="64"/>
    </row>
    <row r="30" spans="5:5" s="53" customFormat="1" ht="13.8" x14ac:dyDescent="0.3">
      <c r="E30" s="64"/>
    </row>
    <row r="31" spans="5:5" s="53" customFormat="1" ht="13.8" x14ac:dyDescent="0.3">
      <c r="E31" s="64"/>
    </row>
    <row r="32" spans="5:5" s="53" customFormat="1" ht="13.8" x14ac:dyDescent="0.3">
      <c r="E32" s="64"/>
    </row>
    <row r="33" spans="5:5" s="53" customFormat="1" ht="13.8" x14ac:dyDescent="0.3">
      <c r="E33" s="64"/>
    </row>
    <row r="34" spans="5:5" s="53" customFormat="1" ht="13.8" x14ac:dyDescent="0.3">
      <c r="E34" s="64"/>
    </row>
    <row r="35" spans="5:5" s="53" customFormat="1" ht="13.8" x14ac:dyDescent="0.3">
      <c r="E35" s="64"/>
    </row>
    <row r="36" spans="5:5" s="53" customFormat="1" ht="13.8" x14ac:dyDescent="0.3">
      <c r="E36" s="64"/>
    </row>
    <row r="37" spans="5:5" s="53" customFormat="1" ht="13.8" x14ac:dyDescent="0.3">
      <c r="E37" s="64"/>
    </row>
    <row r="38" spans="5:5" s="53" customFormat="1" ht="13.8" x14ac:dyDescent="0.3">
      <c r="E38" s="64"/>
    </row>
    <row r="39" spans="5:5" s="53" customFormat="1" ht="13.8" x14ac:dyDescent="0.3">
      <c r="E39" s="64"/>
    </row>
    <row r="40" spans="5:5" s="53" customFormat="1" ht="13.8" x14ac:dyDescent="0.3">
      <c r="E40" s="64"/>
    </row>
    <row r="41" spans="5:5" s="53" customFormat="1" ht="13.8" x14ac:dyDescent="0.3">
      <c r="E41" s="64"/>
    </row>
    <row r="42" spans="5:5" s="53" customFormat="1" ht="13.8" x14ac:dyDescent="0.3">
      <c r="E42" s="64"/>
    </row>
    <row r="43" spans="5:5" s="53" customFormat="1" ht="13.8" x14ac:dyDescent="0.3">
      <c r="E43" s="64"/>
    </row>
    <row r="44" spans="5:5" s="53" customFormat="1" ht="13.8" x14ac:dyDescent="0.3">
      <c r="E44" s="64"/>
    </row>
    <row r="45" spans="5:5" s="53" customFormat="1" ht="13.8" x14ac:dyDescent="0.3">
      <c r="E45" s="64"/>
    </row>
    <row r="46" spans="5:5" s="53" customFormat="1" ht="13.8" x14ac:dyDescent="0.3">
      <c r="E46" s="64"/>
    </row>
    <row r="47" spans="5:5" s="53" customFormat="1" ht="13.8" x14ac:dyDescent="0.3">
      <c r="E47" s="64"/>
    </row>
    <row r="48" spans="5:5" s="53" customFormat="1" ht="13.8" x14ac:dyDescent="0.3">
      <c r="E48" s="64"/>
    </row>
    <row r="49" spans="5:5" s="53" customFormat="1" ht="13.8" x14ac:dyDescent="0.3">
      <c r="E49" s="64"/>
    </row>
    <row r="50" spans="5:5" s="53" customFormat="1" ht="13.8" x14ac:dyDescent="0.3">
      <c r="E50" s="64"/>
    </row>
    <row r="51" spans="5:5" s="53" customFormat="1" ht="13.8" x14ac:dyDescent="0.3">
      <c r="E51" s="64"/>
    </row>
    <row r="52" spans="5:5" s="53" customFormat="1" ht="13.8" x14ac:dyDescent="0.3">
      <c r="E52" s="64"/>
    </row>
    <row r="53" spans="5:5" s="53" customFormat="1" ht="13.8" x14ac:dyDescent="0.3">
      <c r="E53" s="64"/>
    </row>
    <row r="54" spans="5:5" s="53" customFormat="1" ht="13.8" x14ac:dyDescent="0.3">
      <c r="E54" s="64"/>
    </row>
    <row r="55" spans="5:5" s="53" customFormat="1" ht="13.8" x14ac:dyDescent="0.3">
      <c r="E55" s="64"/>
    </row>
    <row r="56" spans="5:5" s="53" customFormat="1" ht="13.8" x14ac:dyDescent="0.3">
      <c r="E56" s="64"/>
    </row>
    <row r="57" spans="5:5" s="53" customFormat="1" ht="13.8" x14ac:dyDescent="0.3">
      <c r="E57" s="64"/>
    </row>
    <row r="58" spans="5:5" s="53" customFormat="1" ht="13.8" x14ac:dyDescent="0.3">
      <c r="E58" s="64"/>
    </row>
    <row r="59" spans="5:5" s="53" customFormat="1" ht="13.8" x14ac:dyDescent="0.3">
      <c r="E59" s="64"/>
    </row>
    <row r="60" spans="5:5" s="53" customFormat="1" ht="13.8" x14ac:dyDescent="0.3">
      <c r="E60" s="64"/>
    </row>
  </sheetData>
  <mergeCells count="1">
    <mergeCell ref="B14:D14"/>
  </mergeCells>
  <pageMargins left="0.7" right="0.7" top="1.2537499999999999" bottom="0.75" header="0.3" footer="0.3"/>
  <pageSetup scale="76" fitToHeight="0" orientation="landscape"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'Reference - CVSSv3.0'!$Q$12:$Q$14</xm:f>
          </x14:formula1>
          <xm:sqref>E4:E9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S9"/>
  <sheetViews>
    <sheetView tabSelected="1" zoomScale="90" zoomScaleNormal="90" workbookViewId="0">
      <pane xSplit="7" ySplit="4" topLeftCell="I5" activePane="bottomRight" state="frozen"/>
      <selection pane="topRight" activeCell="H1" sqref="H1"/>
      <selection pane="bottomLeft" activeCell="A5" sqref="A5"/>
      <selection pane="bottomRight" activeCell="E13" sqref="E13"/>
    </sheetView>
  </sheetViews>
  <sheetFormatPr defaultColWidth="9.109375" defaultRowHeight="14.4" x14ac:dyDescent="0.3"/>
  <cols>
    <col min="2" max="2" width="4.88671875" customWidth="1"/>
    <col min="3" max="3" width="25.5546875" customWidth="1"/>
    <col min="4" max="4" width="5" customWidth="1"/>
    <col min="5" max="5" width="22" customWidth="1"/>
    <col min="6" max="6" width="6.33203125" customWidth="1"/>
    <col min="7" max="7" width="28.6640625" customWidth="1"/>
    <col min="8" max="8" width="44.109375" customWidth="1"/>
    <col min="9" max="9" width="25.44140625" customWidth="1"/>
    <col min="10" max="12" width="9.109375" customWidth="1"/>
    <col min="13" max="17" width="15.88671875" customWidth="1"/>
    <col min="18" max="20" width="15.88671875" hidden="1" customWidth="1"/>
    <col min="21" max="21" width="15.88671875" customWidth="1"/>
    <col min="22" max="22" width="15.33203125" customWidth="1"/>
    <col min="23" max="23" width="17.44140625" hidden="1" customWidth="1"/>
    <col min="24" max="25" width="12.109375" customWidth="1"/>
    <col min="26" max="26" width="35.6640625" customWidth="1"/>
    <col min="27" max="27" width="32.6640625" customWidth="1"/>
    <col min="28" max="28" width="23.109375" customWidth="1"/>
    <col min="29" max="31" width="9.109375" customWidth="1"/>
    <col min="32" max="36" width="15.88671875" customWidth="1"/>
    <col min="37" max="39" width="15.88671875" hidden="1" customWidth="1"/>
    <col min="40" max="42" width="15.88671875" customWidth="1"/>
    <col min="43" max="43" width="40.6640625" style="2" customWidth="1"/>
    <col min="44" max="44" width="13.33203125" style="2" customWidth="1"/>
    <col min="45" max="45" width="24.88671875" customWidth="1"/>
  </cols>
  <sheetData>
    <row r="1" spans="1:45" s="77" customFormat="1" ht="13.8" x14ac:dyDescent="0.25">
      <c r="A1" s="31" t="s">
        <v>201</v>
      </c>
    </row>
    <row r="2" spans="1:45" s="77" customFormat="1" ht="13.8" x14ac:dyDescent="0.25">
      <c r="A2" s="77" t="s">
        <v>143</v>
      </c>
    </row>
    <row r="3" spans="1:45" s="77" customFormat="1" ht="23.25" customHeight="1" x14ac:dyDescent="0.25">
      <c r="A3" s="78"/>
      <c r="B3" s="79"/>
      <c r="C3" s="79"/>
      <c r="D3" s="80"/>
      <c r="E3" s="81"/>
      <c r="F3" s="201" t="s">
        <v>3</v>
      </c>
      <c r="G3" s="201"/>
      <c r="H3" s="201"/>
      <c r="I3" s="201"/>
      <c r="J3" s="202" t="s">
        <v>138</v>
      </c>
      <c r="K3" s="203"/>
      <c r="L3" s="203"/>
      <c r="M3" s="203"/>
      <c r="N3" s="203"/>
      <c r="O3" s="203"/>
      <c r="P3" s="203"/>
      <c r="Q3" s="203"/>
      <c r="R3" s="203"/>
      <c r="S3" s="203"/>
      <c r="T3" s="203"/>
      <c r="U3" s="203"/>
      <c r="V3" s="203"/>
      <c r="W3" s="203"/>
      <c r="X3" s="203"/>
      <c r="Y3" s="204"/>
      <c r="Z3" s="198" t="s">
        <v>5</v>
      </c>
      <c r="AA3" s="199"/>
      <c r="AB3" s="200"/>
      <c r="AC3" s="195" t="s">
        <v>139</v>
      </c>
      <c r="AD3" s="196"/>
      <c r="AE3" s="196"/>
      <c r="AF3" s="196"/>
      <c r="AG3" s="196"/>
      <c r="AH3" s="196"/>
      <c r="AI3" s="196"/>
      <c r="AJ3" s="196"/>
      <c r="AK3" s="196"/>
      <c r="AL3" s="196"/>
      <c r="AM3" s="196"/>
      <c r="AN3" s="196"/>
      <c r="AO3" s="196"/>
      <c r="AP3" s="196"/>
      <c r="AQ3" s="197"/>
      <c r="AR3" s="82"/>
      <c r="AS3" s="82"/>
    </row>
    <row r="4" spans="1:45" s="77" customFormat="1" ht="88.5" customHeight="1" x14ac:dyDescent="0.25">
      <c r="A4" s="83" t="s">
        <v>1</v>
      </c>
      <c r="B4" s="84" t="s">
        <v>127</v>
      </c>
      <c r="C4" s="85" t="s">
        <v>2</v>
      </c>
      <c r="D4" s="86" t="s">
        <v>126</v>
      </c>
      <c r="E4" s="87" t="s">
        <v>16</v>
      </c>
      <c r="F4" s="88" t="s">
        <v>128</v>
      </c>
      <c r="G4" s="89" t="s">
        <v>0</v>
      </c>
      <c r="H4" s="89" t="s">
        <v>6</v>
      </c>
      <c r="I4" s="90" t="s">
        <v>204</v>
      </c>
      <c r="J4" s="170" t="s">
        <v>72</v>
      </c>
      <c r="K4" s="170" t="s">
        <v>73</v>
      </c>
      <c r="L4" s="170" t="s">
        <v>74</v>
      </c>
      <c r="M4" s="166" t="s">
        <v>84</v>
      </c>
      <c r="N4" s="166" t="s">
        <v>85</v>
      </c>
      <c r="O4" s="166" t="s">
        <v>241</v>
      </c>
      <c r="P4" s="166" t="s">
        <v>87</v>
      </c>
      <c r="Q4" s="166" t="s">
        <v>71</v>
      </c>
      <c r="R4" s="166" t="s">
        <v>213</v>
      </c>
      <c r="S4" s="166" t="s">
        <v>214</v>
      </c>
      <c r="T4" s="166" t="s">
        <v>215</v>
      </c>
      <c r="U4" s="166" t="s">
        <v>239</v>
      </c>
      <c r="V4" s="171" t="s">
        <v>140</v>
      </c>
      <c r="W4" s="171" t="s">
        <v>141</v>
      </c>
      <c r="X4" s="172" t="s">
        <v>221</v>
      </c>
      <c r="Y4" s="173" t="s">
        <v>142</v>
      </c>
      <c r="Z4" s="165" t="s">
        <v>236</v>
      </c>
      <c r="AA4" s="165" t="s">
        <v>243</v>
      </c>
      <c r="AB4" s="165" t="s">
        <v>18</v>
      </c>
      <c r="AC4" s="174" t="s">
        <v>222</v>
      </c>
      <c r="AD4" s="174" t="s">
        <v>223</v>
      </c>
      <c r="AE4" s="174" t="s">
        <v>224</v>
      </c>
      <c r="AF4" s="175" t="s">
        <v>225</v>
      </c>
      <c r="AG4" s="175" t="s">
        <v>226</v>
      </c>
      <c r="AH4" s="175" t="s">
        <v>242</v>
      </c>
      <c r="AI4" s="175" t="s">
        <v>227</v>
      </c>
      <c r="AJ4" s="175" t="s">
        <v>228</v>
      </c>
      <c r="AK4" s="175" t="s">
        <v>229</v>
      </c>
      <c r="AL4" s="175" t="s">
        <v>230</v>
      </c>
      <c r="AM4" s="175" t="s">
        <v>231</v>
      </c>
      <c r="AN4" s="175" t="s">
        <v>240</v>
      </c>
      <c r="AO4" s="175" t="s">
        <v>232</v>
      </c>
      <c r="AP4" s="175" t="s">
        <v>233</v>
      </c>
      <c r="AQ4" s="188" t="s">
        <v>4</v>
      </c>
      <c r="AR4" s="82"/>
      <c r="AS4" s="82"/>
    </row>
    <row r="5" spans="1:45" s="53" customFormat="1" ht="55.2" x14ac:dyDescent="0.3">
      <c r="A5" s="72">
        <v>1</v>
      </c>
      <c r="B5" s="57" t="s">
        <v>129</v>
      </c>
      <c r="C5" s="91" t="str">
        <f>IF(VLOOKUP(Table4[[#This Row],[T ID]],Table5[#All],5,FALSE)="No","Not in scope",VLOOKUP(Table4[[#This Row],[T ID]],Table5[#All],2,FALSE))</f>
        <v>Deliver undirected malware</v>
      </c>
      <c r="D5" s="57" t="s">
        <v>167</v>
      </c>
      <c r="E5" s="91" t="str">
        <f>IF(VLOOKUP(Table4[[#This Row],[V ID]],Vulnerabilities[#All],3,FALSE)="No","Not in scope",VLOOKUP(Table4[[#This Row],[V ID]],Vulnerabilities[#All],2,FALSE))</f>
        <v>Unpatched COTS operating system</v>
      </c>
      <c r="F5" s="59" t="s">
        <v>115</v>
      </c>
      <c r="G5" s="92" t="str">
        <f>VLOOKUP(Table4[[#This Row],[A ID]],Assets[#All],3,FALSE)</f>
        <v>Software on Nav System</v>
      </c>
      <c r="H5" s="49" t="s">
        <v>178</v>
      </c>
      <c r="I5" s="59" t="s">
        <v>175</v>
      </c>
      <c r="J5" s="93" t="s">
        <v>58</v>
      </c>
      <c r="K5" s="93" t="s">
        <v>79</v>
      </c>
      <c r="L5" s="93" t="s">
        <v>67</v>
      </c>
      <c r="M5" s="164" t="s">
        <v>80</v>
      </c>
      <c r="N5" s="164" t="s">
        <v>58</v>
      </c>
      <c r="O5" s="164" t="s">
        <v>58</v>
      </c>
      <c r="P5" s="164" t="s">
        <v>79</v>
      </c>
      <c r="Q5" s="164" t="s">
        <v>101</v>
      </c>
      <c r="R5" s="168">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3.1096342200000002</v>
      </c>
      <c r="S5" s="168">
        <f>(1 - ((1 - VLOOKUP(Table4[[#This Row],[Confidentiality]],'Reference - CVSSv3.0'!$B$15:$C$17,2,FALSE)) * (1 - VLOOKUP(Table4[[#This Row],[Integrity]],'Reference - CVSSv3.0'!$B$15:$C$17,2,FALSE)) *  (1 - VLOOKUP(Table4[[#This Row],[Availability]],'Reference - CVSSv3.0'!$B$15:$C$17,2,FALSE))))</f>
        <v>0.65680000000000005</v>
      </c>
      <c r="T5" s="168">
        <f>IF(Table4[[#This Row],[Scope]]="Unchanged",6.42*Table4[[#This Row],[ISC Base]],IF(Table4[[#This Row],[Scope]]="Changed",7.52*(Table4[[#This Row],[ISC Base]] - 0.029) - 3.25 * POWER(Table4[[#This Row],[ISC Base]] - 0.02,15),NA()))</f>
        <v>4.7173241070114784</v>
      </c>
      <c r="U5" s="168">
        <f>IF(Table4[[#This Row],[Impact Sub Score]]&lt;=0,0,IF(Table4[[#This Row],[Scope]]="Unchanged",ROUNDUP(MIN((Table4[[#This Row],[Impact Sub Score]]+Table4[[#This Row],[Exploitability Sub Score]]),10),1),IF(Table4[[#This Row],[Scope]]="Changed",ROUNDUP(MIN((1.08*(Table4[[#This Row],[Impact Sub Score]]+Table4[[#This Row],[Exploitability Sub Score]])),10),1),NA())))</f>
        <v>8.5</v>
      </c>
      <c r="V5" s="189" t="s">
        <v>107</v>
      </c>
      <c r="W5" s="190">
        <f>VLOOKUP(Table4[[#This Row],[Threat Event Initiation]],NIST_Scale_LOAI[],2,FALSE)</f>
        <v>1</v>
      </c>
      <c r="X5" s="16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8.5</v>
      </c>
      <c r="Y5" s="9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HIGH</v>
      </c>
      <c r="Z5" s="49" t="s">
        <v>184</v>
      </c>
      <c r="AA5" s="49" t="s">
        <v>189</v>
      </c>
      <c r="AB5" s="94" t="s">
        <v>205</v>
      </c>
      <c r="AC5" s="93" t="s">
        <v>58</v>
      </c>
      <c r="AD5" s="93" t="s">
        <v>79</v>
      </c>
      <c r="AE5" s="93" t="s">
        <v>79</v>
      </c>
      <c r="AF5" s="164" t="s">
        <v>80</v>
      </c>
      <c r="AG5" s="164" t="s">
        <v>58</v>
      </c>
      <c r="AH5" s="164" t="s">
        <v>79</v>
      </c>
      <c r="AI5" s="164" t="s">
        <v>79</v>
      </c>
      <c r="AJ5" s="164" t="s">
        <v>101</v>
      </c>
      <c r="AK5" s="168">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3.8870427750000003</v>
      </c>
      <c r="AL5" s="168">
        <f>(1 - ((1 - VLOOKUP(Table4[[#This Row],[ConfidentialityP]],'Reference - CVSSv3.0'!$B$15:$C$17,2,FALSE)) * (1 - VLOOKUP(Table4[[#This Row],[IntegrityP]],'Reference - CVSSv3.0'!$B$15:$C$17,2,FALSE)) *  (1 - VLOOKUP(Table4[[#This Row],[AvailabilityP]],'Reference - CVSSv3.0'!$B$15:$C$17,2,FALSE))))</f>
        <v>0.21999999999999997</v>
      </c>
      <c r="AM5" s="168">
        <f>IF(Table4[[#This Row],[ScopeP]]="Unchanged",6.42*Table4[[#This Row],[ISC BaseP]],IF(Table4[[#This Row],[ScopeP]]="Changed",7.52*(Table4[[#This Row],[ISC BaseP]] - 0.029) - 3.25 * POWER(Table4[[#This Row],[ISC BaseP]] - 0.02,15),NA()))</f>
        <v>1.4363199998935039</v>
      </c>
      <c r="AN5" s="168">
        <f>IF(Table4[[#This Row],[Impact Sub ScoreP]]&lt;=0,0,IF(Table4[[#This Row],[ScopeP]]="Unchanged",ROUNDUP(MIN((Table4[[#This Row],[Impact Sub ScoreP]]+Table4[[#This Row],[Exploitability Sub ScoreP]]),10),1),IF(Table4[[#This Row],[ScopeP]]="Changed",ROUNDUP(MIN((1.08*(Table4[[#This Row],[Impact Sub ScoreP]]+Table4[[#This Row],[Exploitability Sub ScoreP]])),10),1),NA())))</f>
        <v>5.8</v>
      </c>
      <c r="AO5" s="168">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5.8</v>
      </c>
      <c r="AP5" s="9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MEDIUM</v>
      </c>
      <c r="AQ5" s="59" t="s">
        <v>143</v>
      </c>
    </row>
    <row r="6" spans="1:45" s="53" customFormat="1" ht="55.2" x14ac:dyDescent="0.3">
      <c r="A6" s="71">
        <v>2</v>
      </c>
      <c r="B6" s="57" t="s">
        <v>130</v>
      </c>
      <c r="C6" s="91" t="str">
        <f>IF(VLOOKUP(Table4[[#This Row],[T ID]],Table5[#All],5,FALSE)="No","Not in scope",VLOOKUP(Table4[[#This Row],[T ID]],Table5[#All],2,FALSE))</f>
        <v>Deliver directed malware</v>
      </c>
      <c r="D6" s="59" t="s">
        <v>168</v>
      </c>
      <c r="E6" s="91" t="str">
        <f>IF(VLOOKUP(Table4[[#This Row],[V ID]],Vulnerabilities[#All],3,FALSE)="No","Not in scope",VLOOKUP(Table4[[#This Row],[V ID]],Vulnerabilities[#All],2,FALSE))</f>
        <v>Unprotected network port</v>
      </c>
      <c r="F6" s="95" t="s">
        <v>120</v>
      </c>
      <c r="G6" s="92" t="str">
        <f>VLOOKUP(Table4[[#This Row],[A ID]],Assets[#All],3,FALSE)</f>
        <v>Computer Resources</v>
      </c>
      <c r="H6" s="49" t="s">
        <v>178</v>
      </c>
      <c r="I6" s="59" t="s">
        <v>175</v>
      </c>
      <c r="J6" s="93" t="s">
        <v>67</v>
      </c>
      <c r="K6" s="93" t="s">
        <v>67</v>
      </c>
      <c r="L6" s="93" t="s">
        <v>58</v>
      </c>
      <c r="M6" s="164" t="s">
        <v>80</v>
      </c>
      <c r="N6" s="164" t="s">
        <v>67</v>
      </c>
      <c r="O6" s="164" t="s">
        <v>79</v>
      </c>
      <c r="P6" s="164" t="s">
        <v>79</v>
      </c>
      <c r="Q6" s="164" t="s">
        <v>76</v>
      </c>
      <c r="R6" s="168">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2.2211672999999998</v>
      </c>
      <c r="S6" s="168">
        <f>(1 - ((1 - VLOOKUP(Table4[[#This Row],[Confidentiality]],'Reference - CVSSv3.0'!$B$15:$C$17,2,FALSE)) * (1 - VLOOKUP(Table4[[#This Row],[Integrity]],'Reference - CVSSv3.0'!$B$15:$C$17,2,FALSE)) *  (1 - VLOOKUP(Table4[[#This Row],[Availability]],'Reference - CVSSv3.0'!$B$15:$C$17,2,FALSE))))</f>
        <v>0.84899199999999997</v>
      </c>
      <c r="T6" s="168">
        <f>IF(Table4[[#This Row],[Scope]]="Unchanged",6.42*Table4[[#This Row],[ISC Base]],IF(Table4[[#This Row],[Scope]]="Changed",7.52*(Table4[[#This Row],[ISC Base]] - 0.029) - 3.25 * POWER(Table4[[#This Row],[ISC Base]] - 0.02,15),NA()))</f>
        <v>5.4505286399999999</v>
      </c>
      <c r="U6" s="168">
        <f>IF(Table4[[#This Row],[Impact Sub Score]]&lt;=0,0,IF(Table4[[#This Row],[Scope]]="Unchanged",ROUNDUP(MIN((Table4[[#This Row],[Impact Sub Score]]+Table4[[#This Row],[Exploitability Sub Score]]),10),1),IF(Table4[[#This Row],[Scope]]="Changed",ROUNDUP(MIN((1.08*(Table4[[#This Row],[Impact Sub Score]]+Table4[[#This Row],[Exploitability Sub Score]])),10),1),NA())))</f>
        <v>7.6999999999999993</v>
      </c>
      <c r="V6" s="189" t="s">
        <v>67</v>
      </c>
      <c r="W6" s="190">
        <f>VLOOKUP(Table4[[#This Row],[Threat Event Initiation]],NIST_Scale_LOAI[],2,FALSE)</f>
        <v>0.8</v>
      </c>
      <c r="X6" s="16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7.3</v>
      </c>
      <c r="Y6" s="9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HIGH</v>
      </c>
      <c r="Z6" s="49" t="s">
        <v>184</v>
      </c>
      <c r="AA6" s="49" t="s">
        <v>189</v>
      </c>
      <c r="AB6" s="94" t="s">
        <v>205</v>
      </c>
      <c r="AC6" s="93" t="s">
        <v>67</v>
      </c>
      <c r="AD6" s="93" t="s">
        <v>67</v>
      </c>
      <c r="AE6" s="93" t="s">
        <v>58</v>
      </c>
      <c r="AF6" s="164" t="s">
        <v>77</v>
      </c>
      <c r="AG6" s="164" t="s">
        <v>67</v>
      </c>
      <c r="AH6" s="164" t="s">
        <v>67</v>
      </c>
      <c r="AI6" s="164" t="s">
        <v>78</v>
      </c>
      <c r="AJ6" s="164" t="s">
        <v>76</v>
      </c>
      <c r="AK6" s="168">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0.12109046400000002</v>
      </c>
      <c r="AL6" s="168">
        <f>(1 - ((1 - VLOOKUP(Table4[[#This Row],[ConfidentialityP]],'Reference - CVSSv3.0'!$B$15:$C$17,2,FALSE)) * (1 - VLOOKUP(Table4[[#This Row],[IntegrityP]],'Reference - CVSSv3.0'!$B$15:$C$17,2,FALSE)) *  (1 - VLOOKUP(Table4[[#This Row],[AvailabilityP]],'Reference - CVSSv3.0'!$B$15:$C$17,2,FALSE))))</f>
        <v>0.84899199999999997</v>
      </c>
      <c r="AM6" s="168">
        <f>IF(Table4[[#This Row],[ScopeP]]="Unchanged",6.42*Table4[[#This Row],[ISC BaseP]],IF(Table4[[#This Row],[ScopeP]]="Changed",7.52*(Table4[[#This Row],[ISC BaseP]] - 0.029) - 3.25 * POWER(Table4[[#This Row],[ISC BaseP]] - 0.02,15),NA()))</f>
        <v>5.4505286399999999</v>
      </c>
      <c r="AN6" s="168">
        <f>IF(Table4[[#This Row],[Impact Sub ScoreP]]&lt;=0,0,IF(Table4[[#This Row],[ScopeP]]="Unchanged",ROUNDUP(MIN((Table4[[#This Row],[Impact Sub ScoreP]]+Table4[[#This Row],[Exploitability Sub ScoreP]]),10),1),IF(Table4[[#This Row],[ScopeP]]="Changed",ROUNDUP(MIN((1.08*(Table4[[#This Row],[Impact Sub ScoreP]]+Table4[[#This Row],[Exploitability Sub ScoreP]])),10),1),NA())))</f>
        <v>5.6</v>
      </c>
      <c r="AO6" s="168">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5.6</v>
      </c>
      <c r="AP6" s="9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MEDIUM</v>
      </c>
      <c r="AQ6" s="59" t="s">
        <v>244</v>
      </c>
    </row>
    <row r="7" spans="1:45" s="53" customFormat="1" ht="41.4" x14ac:dyDescent="0.3">
      <c r="A7" s="71">
        <v>3</v>
      </c>
      <c r="B7" s="57" t="s">
        <v>131</v>
      </c>
      <c r="C7" s="91" t="str">
        <f>IF(VLOOKUP(Table4[[#This Row],[T ID]],Table5[#All],5,FALSE)="No","Not in scope",VLOOKUP(Table4[[#This Row],[T ID]],Table5[#All],2,FALSE))</f>
        <v xml:space="preserve">Perform perimeter network reconnaissance/scanning. </v>
      </c>
      <c r="D7" s="59" t="s">
        <v>168</v>
      </c>
      <c r="E7" s="91" t="str">
        <f>IF(VLOOKUP(Table4[[#This Row],[V ID]],Vulnerabilities[#All],3,FALSE)="No","Not in scope",VLOOKUP(Table4[[#This Row],[V ID]],Vulnerabilities[#All],2,FALSE))</f>
        <v>Unprotected network port</v>
      </c>
      <c r="F7" s="59" t="s">
        <v>121</v>
      </c>
      <c r="G7" s="92" t="str">
        <f>VLOOKUP(Table4[[#This Row],[A ID]],Assets[#All],3,FALSE)</f>
        <v>Computer/OS network identification</v>
      </c>
      <c r="H7" s="49" t="s">
        <v>179</v>
      </c>
      <c r="I7" s="59" t="s">
        <v>175</v>
      </c>
      <c r="J7" s="93" t="s">
        <v>58</v>
      </c>
      <c r="K7" s="93" t="s">
        <v>79</v>
      </c>
      <c r="L7" s="93" t="s">
        <v>58</v>
      </c>
      <c r="M7" s="164" t="s">
        <v>80</v>
      </c>
      <c r="N7" s="164" t="s">
        <v>67</v>
      </c>
      <c r="O7" s="164" t="s">
        <v>79</v>
      </c>
      <c r="P7" s="164" t="s">
        <v>79</v>
      </c>
      <c r="Q7" s="164" t="s">
        <v>76</v>
      </c>
      <c r="R7" s="168">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2.2211672999999998</v>
      </c>
      <c r="S7" s="168">
        <f>(1 - ((1 - VLOOKUP(Table4[[#This Row],[Confidentiality]],'Reference - CVSSv3.0'!$B$15:$C$17,2,FALSE)) * (1 - VLOOKUP(Table4[[#This Row],[Integrity]],'Reference - CVSSv3.0'!$B$15:$C$17,2,FALSE)) *  (1 - VLOOKUP(Table4[[#This Row],[Availability]],'Reference - CVSSv3.0'!$B$15:$C$17,2,FALSE))))</f>
        <v>0.39159999999999995</v>
      </c>
      <c r="T7" s="168">
        <f>IF(Table4[[#This Row],[Scope]]="Unchanged",6.42*Table4[[#This Row],[ISC Base]],IF(Table4[[#This Row],[Scope]]="Changed",7.52*(Table4[[#This Row],[ISC Base]] - 0.029) - 3.25 * POWER(Table4[[#This Row],[ISC Base]] - 0.02,15),NA()))</f>
        <v>2.5140719999999996</v>
      </c>
      <c r="U7" s="168">
        <f>IF(Table4[[#This Row],[Impact Sub Score]]&lt;=0,0,IF(Table4[[#This Row],[Scope]]="Unchanged",ROUNDUP(MIN((Table4[[#This Row],[Impact Sub Score]]+Table4[[#This Row],[Exploitability Sub Score]]),10),1),IF(Table4[[#This Row],[Scope]]="Changed",ROUNDUP(MIN((1.08*(Table4[[#This Row],[Impact Sub Score]]+Table4[[#This Row],[Exploitability Sub Score]])),10),1),NA())))</f>
        <v>4.8</v>
      </c>
      <c r="V7" s="189" t="s">
        <v>57</v>
      </c>
      <c r="W7" s="190">
        <f>VLOOKUP(Table4[[#This Row],[Threat Event Initiation]],NIST_Scale_LOAI[],2,FALSE)</f>
        <v>0.5</v>
      </c>
      <c r="X7" s="16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7" s="9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 s="59" t="s">
        <v>185</v>
      </c>
      <c r="AA7" s="49" t="s">
        <v>188</v>
      </c>
      <c r="AB7" s="94" t="s">
        <v>206</v>
      </c>
      <c r="AC7" s="93" t="s">
        <v>58</v>
      </c>
      <c r="AD7" s="93" t="s">
        <v>79</v>
      </c>
      <c r="AE7" s="93" t="s">
        <v>58</v>
      </c>
      <c r="AF7" s="164" t="s">
        <v>77</v>
      </c>
      <c r="AG7" s="164" t="s">
        <v>58</v>
      </c>
      <c r="AH7" s="164" t="s">
        <v>58</v>
      </c>
      <c r="AI7" s="164" t="s">
        <v>79</v>
      </c>
      <c r="AJ7" s="164" t="s">
        <v>76</v>
      </c>
      <c r="AK7" s="168">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0.66711876000000003</v>
      </c>
      <c r="AL7" s="168">
        <f>(1 - ((1 - VLOOKUP(Table4[[#This Row],[ConfidentialityP]],'Reference - CVSSv3.0'!$B$15:$C$17,2,FALSE)) * (1 - VLOOKUP(Table4[[#This Row],[IntegrityP]],'Reference - CVSSv3.0'!$B$15:$C$17,2,FALSE)) *  (1 - VLOOKUP(Table4[[#This Row],[AvailabilityP]],'Reference - CVSSv3.0'!$B$15:$C$17,2,FALSE))))</f>
        <v>0.39159999999999995</v>
      </c>
      <c r="AM7" s="168">
        <f>IF(Table4[[#This Row],[ScopeP]]="Unchanged",6.42*Table4[[#This Row],[ISC BaseP]],IF(Table4[[#This Row],[ScopeP]]="Changed",7.52*(Table4[[#This Row],[ISC BaseP]] - 0.029) - 3.25 * POWER(Table4[[#This Row],[ISC BaseP]] - 0.02,15),NA()))</f>
        <v>2.5140719999999996</v>
      </c>
      <c r="AN7" s="168">
        <f>IF(Table4[[#This Row],[Impact Sub ScoreP]]&lt;=0,0,IF(Table4[[#This Row],[ScopeP]]="Unchanged",ROUNDUP(MIN((Table4[[#This Row],[Impact Sub ScoreP]]+Table4[[#This Row],[Exploitability Sub ScoreP]]),10),1),IF(Table4[[#This Row],[ScopeP]]="Changed",ROUNDUP(MIN((1.08*(Table4[[#This Row],[Impact Sub ScoreP]]+Table4[[#This Row],[Exploitability Sub ScoreP]])),10),1),NA())))</f>
        <v>3.2</v>
      </c>
      <c r="AO7" s="168">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2.9</v>
      </c>
      <c r="AP7" s="9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7" s="59"/>
    </row>
    <row r="8" spans="1:45" s="53" customFormat="1" ht="41.4" x14ac:dyDescent="0.3">
      <c r="A8" s="71">
        <v>4</v>
      </c>
      <c r="B8" s="57" t="s">
        <v>132</v>
      </c>
      <c r="C8" s="91" t="str">
        <f>IF(VLOOKUP(Table4[[#This Row],[T ID]],Table5[#All],5,FALSE)="No","Not in scope",VLOOKUP(Table4[[#This Row],[T ID]],Table5[#All],2,FALSE))</f>
        <v>Intercept network communication</v>
      </c>
      <c r="D8" s="59" t="s">
        <v>181</v>
      </c>
      <c r="E8" s="91" t="str">
        <f>IF(VLOOKUP(Table4[[#This Row],[V ID]],Vulnerabilities[#All],3,FALSE)="No","Not in scope",VLOOKUP(Table4[[#This Row],[V ID]],Vulnerabilities[#All],2,FALSE))</f>
        <v>Unencrypted ePHI in flight</v>
      </c>
      <c r="F8" s="59" t="s">
        <v>118</v>
      </c>
      <c r="G8" s="92" t="str">
        <f>VLOOKUP(Table4[[#This Row],[A ID]],Assets[#All],3,FALSE)</f>
        <v>Patient health information in flight</v>
      </c>
      <c r="H8" s="49" t="s">
        <v>183</v>
      </c>
      <c r="I8" s="59" t="s">
        <v>136</v>
      </c>
      <c r="J8" s="93" t="s">
        <v>67</v>
      </c>
      <c r="K8" s="93" t="s">
        <v>58</v>
      </c>
      <c r="L8" s="93" t="s">
        <v>79</v>
      </c>
      <c r="M8" s="164" t="s">
        <v>80</v>
      </c>
      <c r="N8" s="164" t="s">
        <v>67</v>
      </c>
      <c r="O8" s="164" t="s">
        <v>79</v>
      </c>
      <c r="P8" s="164" t="s">
        <v>79</v>
      </c>
      <c r="Q8" s="164" t="s">
        <v>76</v>
      </c>
      <c r="R8" s="168">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2.2211672999999998</v>
      </c>
      <c r="S8" s="168">
        <f>(1 - ((1 - VLOOKUP(Table4[[#This Row],[Confidentiality]],'Reference - CVSSv3.0'!$B$15:$C$17,2,FALSE)) * (1 - VLOOKUP(Table4[[#This Row],[Integrity]],'Reference - CVSSv3.0'!$B$15:$C$17,2,FALSE)) *  (1 - VLOOKUP(Table4[[#This Row],[Availability]],'Reference - CVSSv3.0'!$B$15:$C$17,2,FALSE))))</f>
        <v>0.65680000000000005</v>
      </c>
      <c r="T8" s="168">
        <f>IF(Table4[[#This Row],[Scope]]="Unchanged",6.42*Table4[[#This Row],[ISC Base]],IF(Table4[[#This Row],[Scope]]="Changed",7.52*(Table4[[#This Row],[ISC Base]] - 0.029) - 3.25 * POWER(Table4[[#This Row],[ISC Base]] - 0.02,15),NA()))</f>
        <v>4.2166560000000004</v>
      </c>
      <c r="U8" s="168">
        <f>IF(Table4[[#This Row],[Impact Sub Score]]&lt;=0,0,IF(Table4[[#This Row],[Scope]]="Unchanged",ROUNDUP(MIN((Table4[[#This Row],[Impact Sub Score]]+Table4[[#This Row],[Exploitability Sub Score]]),10),1),IF(Table4[[#This Row],[Scope]]="Changed",ROUNDUP(MIN((1.08*(Table4[[#This Row],[Impact Sub Score]]+Table4[[#This Row],[Exploitability Sub Score]])),10),1),NA())))</f>
        <v>6.5</v>
      </c>
      <c r="V8" s="189" t="s">
        <v>67</v>
      </c>
      <c r="W8" s="190">
        <f>VLOOKUP(Table4[[#This Row],[Threat Event Initiation]],NIST_Scale_LOAI[],2,FALSE)</f>
        <v>0.8</v>
      </c>
      <c r="X8" s="16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v>
      </c>
      <c r="Y8" s="9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8" s="59" t="s">
        <v>186</v>
      </c>
      <c r="AA8" s="49" t="s">
        <v>187</v>
      </c>
      <c r="AB8" s="94" t="s">
        <v>207</v>
      </c>
      <c r="AC8" s="93" t="s">
        <v>58</v>
      </c>
      <c r="AD8" s="93" t="s">
        <v>79</v>
      </c>
      <c r="AE8" s="93" t="s">
        <v>79</v>
      </c>
      <c r="AF8" s="164" t="s">
        <v>80</v>
      </c>
      <c r="AG8" s="164" t="s">
        <v>67</v>
      </c>
      <c r="AH8" s="164" t="s">
        <v>79</v>
      </c>
      <c r="AI8" s="164" t="s">
        <v>79</v>
      </c>
      <c r="AJ8" s="164" t="s">
        <v>76</v>
      </c>
      <c r="AK8" s="168">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2.2211672999999998</v>
      </c>
      <c r="AL8" s="168">
        <f>(1 - ((1 - VLOOKUP(Table4[[#This Row],[ConfidentialityP]],'Reference - CVSSv3.0'!$B$15:$C$17,2,FALSE)) * (1 - VLOOKUP(Table4[[#This Row],[IntegrityP]],'Reference - CVSSv3.0'!$B$15:$C$17,2,FALSE)) *  (1 - VLOOKUP(Table4[[#This Row],[AvailabilityP]],'Reference - CVSSv3.0'!$B$15:$C$17,2,FALSE))))</f>
        <v>0.21999999999999997</v>
      </c>
      <c r="AM8" s="168">
        <f>IF(Table4[[#This Row],[ScopeP]]="Unchanged",6.42*Table4[[#This Row],[ISC BaseP]],IF(Table4[[#This Row],[ScopeP]]="Changed",7.52*(Table4[[#This Row],[ISC BaseP]] - 0.029) - 3.25 * POWER(Table4[[#This Row],[ISC BaseP]] - 0.02,15),NA()))</f>
        <v>1.4123999999999999</v>
      </c>
      <c r="AN8" s="168">
        <f>IF(Table4[[#This Row],[Impact Sub ScoreP]]&lt;=0,0,IF(Table4[[#This Row],[ScopeP]]="Unchanged",ROUNDUP(MIN((Table4[[#This Row],[Impact Sub ScoreP]]+Table4[[#This Row],[Exploitability Sub ScoreP]]),10),1),IF(Table4[[#This Row],[ScopeP]]="Changed",ROUNDUP(MIN((1.08*(Table4[[#This Row],[Impact Sub ScoreP]]+Table4[[#This Row],[Exploitability Sub ScoreP]])),10),1),NA())))</f>
        <v>3.7</v>
      </c>
      <c r="AO8" s="168">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3.2</v>
      </c>
      <c r="AP8" s="9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8" s="59"/>
    </row>
    <row r="9" spans="1:45" s="53" customFormat="1" ht="28.5" customHeight="1" x14ac:dyDescent="0.3">
      <c r="A9" s="71" t="s">
        <v>217</v>
      </c>
      <c r="B9" s="57" t="s">
        <v>143</v>
      </c>
      <c r="C9" s="91" t="e">
        <f>IF(VLOOKUP(Table4[[#This Row],[T ID]],Table5[#All],5,FALSE)="No","Not in scope",VLOOKUP(Table4[[#This Row],[T ID]],Table5[#All],2,FALSE))</f>
        <v>#N/A</v>
      </c>
      <c r="D9" s="59"/>
      <c r="E9" s="91" t="e">
        <f>IF(VLOOKUP(Table4[[#This Row],[V ID]],Vulnerabilities[#All],3,FALSE)="No","Not in scope",VLOOKUP(Table4[[#This Row],[V ID]],Vulnerabilities[#All],2,FALSE))</f>
        <v>#N/A</v>
      </c>
      <c r="F9" s="59" t="s">
        <v>143</v>
      </c>
      <c r="G9" s="92" t="e">
        <f>VLOOKUP(Table4[[#This Row],[A ID]],Assets[#All],3,FALSE)</f>
        <v>#N/A</v>
      </c>
      <c r="H9" s="59"/>
      <c r="I9" s="59"/>
      <c r="J9" s="93"/>
      <c r="K9" s="93"/>
      <c r="L9" s="93"/>
      <c r="M9" s="164"/>
      <c r="N9" s="164"/>
      <c r="O9" s="164"/>
      <c r="P9" s="164"/>
      <c r="Q9" s="164"/>
      <c r="R9" s="168" t="e">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#N/A</v>
      </c>
      <c r="S9" s="168" t="e">
        <f>(1 - ((1 - VLOOKUP(Table4[[#This Row],[Confidentiality]],'Reference - CVSSv3.0'!$B$15:$C$17,2,FALSE)) * (1 - VLOOKUP(Table4[[#This Row],[Integrity]],'Reference - CVSSv3.0'!$B$15:$C$17,2,FALSE)) *  (1 - VLOOKUP(Table4[[#This Row],[Availability]],'Reference - CVSSv3.0'!$B$15:$C$17,2,FALSE))))</f>
        <v>#N/A</v>
      </c>
      <c r="T9" s="168" t="e">
        <f>IF(Table4[[#This Row],[Scope]]="Unchanged",6.42*Table4[[#This Row],[ISC Base]],IF(Table4[[#This Row],[Scope]]="Changed",7.52*(Table4[[#This Row],[ISC Base]] - 0.029) - 3.25 * POWER(Table4[[#This Row],[ISC Base]] - 0.02,15),NA()))</f>
        <v>#N/A</v>
      </c>
      <c r="U9" s="168" t="e">
        <f>IF(Table4[[#This Row],[Impact Sub Score]]&lt;=0,0,IF(Table4[[#This Row],[Scope]]="Unchanged",ROUNDUP(MIN((Table4[[#This Row],[Impact Sub Score]]+Table4[[#This Row],[Exploitability Sub Score]]),10),1),IF(Table4[[#This Row],[Scope]]="Changed",ROUNDUP(MIN((1.08*(Table4[[#This Row],[Impact Sub Score]]+Table4[[#This Row],[Exploitability Sub Score]])),10),1),NA())))</f>
        <v>#N/A</v>
      </c>
      <c r="V9" s="189"/>
      <c r="W9" s="190" t="e">
        <f>VLOOKUP(Table4[[#This Row],[Threat Event Initiation]],NIST_Scale_LOAI[],2,FALSE)</f>
        <v>#N/A</v>
      </c>
      <c r="X9" s="168" t="e">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#N/A</v>
      </c>
      <c r="Y9" s="9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
      </c>
      <c r="Z9" s="59"/>
      <c r="AA9" s="59"/>
      <c r="AB9" s="96"/>
      <c r="AC9" s="93"/>
      <c r="AD9" s="93"/>
      <c r="AE9" s="93"/>
      <c r="AF9" s="164"/>
      <c r="AG9" s="164"/>
      <c r="AH9" s="164"/>
      <c r="AI9" s="164"/>
      <c r="AJ9" s="164"/>
      <c r="AK9" s="16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9" s="168" t="e">
        <f>(1 - ((1 - VLOOKUP(Table4[[#This Row],[ConfidentialityP]],'Reference - CVSSv3.0'!$B$15:$C$17,2,FALSE)) * (1 - VLOOKUP(Table4[[#This Row],[IntegrityP]],'Reference - CVSSv3.0'!$B$15:$C$17,2,FALSE)) *  (1 - VLOOKUP(Table4[[#This Row],[AvailabilityP]],'Reference - CVSSv3.0'!$B$15:$C$17,2,FALSE))))</f>
        <v>#N/A</v>
      </c>
      <c r="AM9" s="168" t="e">
        <f>IF(Table4[[#This Row],[ScopeP]]="Unchanged",6.42*Table4[[#This Row],[ISC BaseP]],IF(Table4[[#This Row],[ScopeP]]="Changed",7.52*(Table4[[#This Row],[ISC BaseP]] - 0.029) - 3.25 * POWER(Table4[[#This Row],[ISC BaseP]] - 0.02,15),NA()))</f>
        <v>#N/A</v>
      </c>
      <c r="AN9" s="16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 s="16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 s="16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 s="59"/>
    </row>
  </sheetData>
  <mergeCells count="4">
    <mergeCell ref="AC3:AQ3"/>
    <mergeCell ref="Z3:AB3"/>
    <mergeCell ref="F3:I3"/>
    <mergeCell ref="J3:Y3"/>
  </mergeCells>
  <conditionalFormatting sqref="AP6:AP9 Y5:Y9">
    <cfRule type="cellIs" dxfId="157" priority="26" operator="equal">
      <formula>"Critical"</formula>
    </cfRule>
    <cfRule type="cellIs" dxfId="156" priority="27" operator="equal">
      <formula>"HIGH"</formula>
    </cfRule>
    <cfRule type="cellIs" dxfId="155" priority="28" operator="equal">
      <formula>"Medium"</formula>
    </cfRule>
    <cfRule type="cellIs" dxfId="154" priority="29" operator="equal">
      <formula>"None"</formula>
    </cfRule>
    <cfRule type="cellIs" dxfId="153" priority="30" operator="equal">
      <formula>"Low"</formula>
    </cfRule>
  </conditionalFormatting>
  <conditionalFormatting sqref="AP5">
    <cfRule type="cellIs" dxfId="152" priority="11" operator="equal">
      <formula>"Critical"</formula>
    </cfRule>
    <cfRule type="cellIs" dxfId="151" priority="12" operator="equal">
      <formula>"HIGH"</formula>
    </cfRule>
    <cfRule type="cellIs" dxfId="150" priority="13" operator="equal">
      <formula>"Medium"</formula>
    </cfRule>
    <cfRule type="cellIs" dxfId="149" priority="14" operator="equal">
      <formula>"None"</formula>
    </cfRule>
    <cfRule type="cellIs" dxfId="148" priority="15" operator="equal">
      <formula>"Low"</formula>
    </cfRule>
  </conditionalFormatting>
  <dataValidations xWindow="456" yWindow="434" count="9">
    <dataValidation allowBlank="1" showInputMessage="1" showErrorMessage="1" prompt="This metric measures the impact to the availability of the impacted component resulting from a successfully exploited vulnerability. " sqref="L4 AE4" xr:uid="{00000000-0002-0000-0300-000000000000}"/>
    <dataValidation allowBlank="1" showInputMessage="1" showErrorMessage="1" prompt="This metric measures the impact to integrity of a successfully exploited vulnerability. Integrity refers to the trustworthiness and veracity of information." sqref="K4 AD4" xr:uid="{00000000-0002-0000-0300-000001000000}"/>
    <dataValidation allowBlank="1" showInputMessage="1" showErrorMessage="1" prompt="This metric measures the impact to the confidentiality of the information resources managed by a software component due to a successfully exploited vulnerability. " sqref="J4 AC4" xr:uid="{00000000-0002-0000-0300-000002000000}"/>
    <dataValidation allowBlank="1" showInputMessage="1" showErrorMessage="1" prompt="This metric reflects the context by which vulnerability exploitation is possible. This metric will be larger the more remote (logically, and physically) an attacker can be, in order to exploit the vulnerable component." sqref="M4 AF4" xr:uid="{00000000-0002-0000-0300-000003000000}"/>
    <dataValidation allowBlank="1" showInputMessage="1" showErrorMessage="1" prompt="This metric describes the conditions beyond the attacker's control that must exist in order to exploit the vulnerability. The metric is largest for the least complex attacks." sqref="N4 AG4" xr:uid="{00000000-0002-0000-0300-000004000000}"/>
    <dataValidation allowBlank="1" showInputMessage="1" showErrorMessage="1" prompt="This metric describes the level of privileges an attacker must possess before successfully exploiting the vulnerability. This metric is largest if no privileges are required." sqref="O4 AH4" xr:uid="{00000000-0002-0000-0300-000005000000}"/>
    <dataValidation allowBlank="1" showInputMessage="1" showErrorMessage="1" prompt="This metric determines wether the vulnerability can be exploited solely at the will of the attacker, or wether a separate user (or user initiated process) must participate in some manner. The metric is largest when no user interaction is required." sqref="P4 AI4" xr:uid="{00000000-0002-0000-0300-000006000000}"/>
    <dataValidation allowBlank="1" showInputMessage="1" showErrorMessage="1" prompt="A scope change is the ability for a vulnerability in one software component to impact resources beyond its means, or privilege." sqref="Q4 AJ4" xr:uid="{00000000-0002-0000-0300-000007000000}"/>
    <dataValidation allowBlank="1" showInputMessage="1" showErrorMessage="1" prompt="Threat event initiation is assessed by taking into consideration the characteristics of the threat sources of concern including capability, intent, and targeting." sqref="V4" xr:uid="{00000000-0002-0000-0300-000008000000}"/>
  </dataValidations>
  <pageMargins left="0.70866141732283472" right="0.70866141732283472" top="0.70866141732283472" bottom="0.74803149606299213" header="0.31496062992125984" footer="0.31496062992125984"/>
  <pageSetup scale="20" fitToHeight="0" orientation="landscape"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xWindow="456" yWindow="434" count="7">
        <x14:dataValidation type="list" allowBlank="1" showInputMessage="1" showErrorMessage="1" xr:uid="{00000000-0002-0000-0300-000009000000}">
          <x14:formula1>
            <xm:f>'Reference - CVSSv3.0'!$B$21:$B$23</xm:f>
          </x14:formula1>
          <xm:sqref>Q5:Q9 AJ5:AJ9</xm:sqref>
        </x14:dataValidation>
        <x14:dataValidation type="list" allowBlank="1" showInputMessage="1" showErrorMessage="1" xr:uid="{00000000-0002-0000-0300-00000A000000}">
          <x14:formula1>
            <xm:f>'Reference - CVSSv3.0'!$B$15:$B$18</xm:f>
          </x14:formula1>
          <xm:sqref>J5:L9 AC5:AE9</xm:sqref>
        </x14:dataValidation>
        <x14:dataValidation type="list" allowBlank="1" showInputMessage="1" showErrorMessage="1" xr:uid="{00000000-0002-0000-0300-00000B000000}">
          <x14:formula1>
            <xm:f>'Reference - CVSSv3.0'!$B$6:$B$10</xm:f>
          </x14:formula1>
          <xm:sqref>M5:M9 AF5:AF9</xm:sqref>
        </x14:dataValidation>
        <x14:dataValidation type="list" allowBlank="1" showInputMessage="1" showErrorMessage="1" xr:uid="{00000000-0002-0000-0300-00000C000000}">
          <x14:formula1>
            <xm:f>'Reference - CVSSv3.0'!$E$6:$E$8</xm:f>
          </x14:formula1>
          <xm:sqref>N5:N9 AG5:AG9</xm:sqref>
        </x14:dataValidation>
        <x14:dataValidation type="list" allowBlank="1" showInputMessage="1" showErrorMessage="1" xr:uid="{00000000-0002-0000-0300-00000D000000}">
          <x14:formula1>
            <xm:f>'Reference - CVSSv3.0'!$H$6:$H$9</xm:f>
          </x14:formula1>
          <xm:sqref>O5:O9 AH5:AH9</xm:sqref>
        </x14:dataValidation>
        <x14:dataValidation type="list" allowBlank="1" showInputMessage="1" showErrorMessage="1" xr:uid="{00000000-0002-0000-0300-00000E000000}">
          <x14:formula1>
            <xm:f>'Reference - CVSSv3.0'!$L$6:$L$8</xm:f>
          </x14:formula1>
          <xm:sqref>P5:P9 AI5:AI9</xm:sqref>
        </x14:dataValidation>
        <x14:dataValidation type="list" allowBlank="1" showInputMessage="1" showErrorMessage="1" xr:uid="{00000000-0002-0000-0300-00000F000000}">
          <x14:formula1>
            <xm:f>'Reference - CVSSv3.0'!$Q$5:$Q$10</xm:f>
          </x14:formula1>
          <xm:sqref>V5:V9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N17"/>
  <sheetViews>
    <sheetView zoomScaleNormal="100" workbookViewId="0">
      <selection activeCell="H5" sqref="H5"/>
    </sheetView>
  </sheetViews>
  <sheetFormatPr defaultColWidth="9.109375" defaultRowHeight="14.4" x14ac:dyDescent="0.3"/>
  <cols>
    <col min="1" max="1" width="9.109375" style="24" customWidth="1"/>
    <col min="2" max="2" width="4.88671875" style="24" customWidth="1"/>
    <col min="3" max="3" width="25.5546875" style="25" customWidth="1"/>
    <col min="4" max="4" width="5" style="24" customWidth="1"/>
    <col min="5" max="5" width="22" style="24" customWidth="1"/>
    <col min="6" max="6" width="6.33203125" style="24" customWidth="1"/>
    <col min="7" max="7" width="28.6640625" style="24" customWidth="1"/>
    <col min="8" max="8" width="38" style="24" customWidth="1"/>
    <col min="9" max="9" width="25.44140625" style="24" customWidth="1"/>
    <col min="10" max="10" width="15" style="24" customWidth="1"/>
    <col min="11" max="11" width="35.6640625" style="24" customWidth="1"/>
    <col min="12" max="12" width="15" style="24" customWidth="1"/>
    <col min="13" max="13" width="36.88671875" style="24" customWidth="1"/>
    <col min="14" max="16384" width="9.109375" style="24"/>
  </cols>
  <sheetData>
    <row r="1" spans="1:14" s="53" customFormat="1" x14ac:dyDescent="0.3">
      <c r="A1" s="31" t="s">
        <v>238</v>
      </c>
      <c r="B1" s="77"/>
      <c r="C1" s="77"/>
      <c r="D1" s="77"/>
      <c r="E1" s="77"/>
      <c r="F1" s="77"/>
      <c r="G1" s="77"/>
      <c r="H1" s="77"/>
      <c r="I1" s="77"/>
      <c r="J1" s="77"/>
      <c r="K1" s="77"/>
      <c r="L1" s="77"/>
      <c r="M1" s="77"/>
      <c r="N1"/>
    </row>
    <row r="2" spans="1:14" s="53" customFormat="1" x14ac:dyDescent="0.3">
      <c r="A2" s="31"/>
      <c r="B2" s="77"/>
      <c r="C2" s="77"/>
      <c r="D2" s="77"/>
      <c r="E2" s="77"/>
      <c r="F2" s="77"/>
      <c r="G2" s="77"/>
      <c r="H2" s="77"/>
      <c r="I2" s="77"/>
      <c r="J2" s="77"/>
      <c r="K2" s="77"/>
      <c r="L2" s="77"/>
      <c r="M2" s="77"/>
      <c r="N2"/>
    </row>
    <row r="3" spans="1:14" s="53" customFormat="1" x14ac:dyDescent="0.3">
      <c r="A3" s="77" t="s">
        <v>143</v>
      </c>
      <c r="B3" s="77"/>
      <c r="C3" s="77"/>
      <c r="D3" s="77"/>
      <c r="E3" s="77"/>
      <c r="F3" s="77"/>
      <c r="G3" s="77"/>
      <c r="H3" s="77"/>
      <c r="I3" s="77"/>
      <c r="J3" s="77"/>
      <c r="K3" s="77"/>
      <c r="L3" s="77"/>
      <c r="M3" s="77"/>
      <c r="N3"/>
    </row>
    <row r="4" spans="1:14" s="53" customFormat="1" ht="27.6" x14ac:dyDescent="0.3">
      <c r="A4" s="176" t="s">
        <v>1</v>
      </c>
      <c r="B4" s="177" t="s">
        <v>127</v>
      </c>
      <c r="C4" s="178" t="s">
        <v>2</v>
      </c>
      <c r="D4" s="179" t="s">
        <v>126</v>
      </c>
      <c r="E4" s="180" t="s">
        <v>16</v>
      </c>
      <c r="F4" s="181" t="s">
        <v>128</v>
      </c>
      <c r="G4" s="182" t="s">
        <v>237</v>
      </c>
      <c r="H4" s="182" t="s">
        <v>6</v>
      </c>
      <c r="I4" s="183" t="s">
        <v>204</v>
      </c>
      <c r="J4" s="184" t="s">
        <v>234</v>
      </c>
      <c r="K4" s="185" t="s">
        <v>236</v>
      </c>
      <c r="L4" s="186" t="s">
        <v>235</v>
      </c>
      <c r="M4" s="187" t="s">
        <v>4</v>
      </c>
      <c r="N4" s="2"/>
    </row>
    <row r="5" spans="1:14" s="53" customFormat="1" ht="55.2" x14ac:dyDescent="0.3">
      <c r="A5" s="72">
        <f>Table4[[#This Row],[
ID '#]]</f>
        <v>1</v>
      </c>
      <c r="B5" s="57" t="str">
        <f>IF(Table4[[#This Row],[A ID]]&gt;0,Table4[[#This Row],[T ID]],"")</f>
        <v>T01</v>
      </c>
      <c r="C5" s="49" t="str">
        <f>Table4[[#This Row],[Threat Event(s)]]</f>
        <v>Deliver undirected malware</v>
      </c>
      <c r="D5" s="57" t="str">
        <f>IF(Table4[[#This Row],[V ID]]&gt;0,Table4[[#This Row],[V ID]],"")</f>
        <v>V11</v>
      </c>
      <c r="E5" s="49" t="str">
        <f>Table4[[#This Row],[Vulnerabilities]]</f>
        <v>Unpatched COTS operating system</v>
      </c>
      <c r="F5" s="59" t="str">
        <f>IF(Table4[[#This Row],[A ID]]&gt;0,Table4[[#This Row],[A ID]],"")</f>
        <v>A01</v>
      </c>
      <c r="G5" s="49" t="str">
        <f>Table4[[#This Row],[Asset]]</f>
        <v>Software on Nav System</v>
      </c>
      <c r="H5" s="49" t="str">
        <f>IF(Table4[[#This Row],[Impact Description]]&gt;0,Table4[[#This Row],[Impact Description]],"")</f>
        <v xml:space="preserve">Malicious utilization of  computer resources and computing power, incl. denial of service attacks, ransomware deployment, Bitcoin mining, etc., ). </v>
      </c>
      <c r="I5" s="59" t="str">
        <f>IF(Table4[[#This Row],[Safety Impact 
(Risk ID'# or N/A)]]&gt;0,Table4[[#This Row],[Safety Impact 
(Risk ID'# or N/A)]],"")</f>
        <v>RARC.RI123</v>
      </c>
      <c r="J5" s="93" t="str">
        <f>Table4[[#This Row],[Security 
Risk 
Level]]</f>
        <v>HIGH</v>
      </c>
      <c r="K5" s="49" t="str">
        <f>IF(Table4[[#This Row],[Security Risk Control Measures]]&gt;0,Table4[[#This Row],[Security Risk Control Measures]],"")</f>
        <v>Application Whitelisting
Firewall
Virus Scan
User authentication</v>
      </c>
      <c r="L5" s="93" t="str">
        <f>Table4[[#This Row],[Security Risk LevelP]]</f>
        <v>MEDIUM</v>
      </c>
      <c r="M5" s="59" t="str">
        <f>IF(Table4[[#This Row],[Residual Security Risk Acceptability Justification]]&gt;0,Table4[[#This Row],[Residual Security Risk Acceptability Justification]],"")</f>
        <v xml:space="preserve"> </v>
      </c>
      <c r="N5"/>
    </row>
    <row r="6" spans="1:14" s="53" customFormat="1" ht="55.2" x14ac:dyDescent="0.3">
      <c r="A6" s="71">
        <f>Table4[[#This Row],[
ID '#]]</f>
        <v>2</v>
      </c>
      <c r="B6" s="57" t="str">
        <f>IF(Table4[[#This Row],[A ID]]&gt;0,Table4[[#This Row],[T ID]],"")</f>
        <v>T02</v>
      </c>
      <c r="C6" s="49" t="str">
        <f>Table4[[#This Row],[Threat Event(s)]]</f>
        <v>Deliver directed malware</v>
      </c>
      <c r="D6" s="59" t="str">
        <f>IF(Table4[[#This Row],[V ID]]&gt;0,Table4[[#This Row],[V ID]],"")</f>
        <v>V21</v>
      </c>
      <c r="E6" s="49" t="str">
        <f>Table4[[#This Row],[Vulnerabilities]]</f>
        <v>Unprotected network port</v>
      </c>
      <c r="F6" s="59" t="str">
        <f>IF(Table4[[#This Row],[A ID]]&gt;0,Table4[[#This Row],[A ID]],"")</f>
        <v>A06</v>
      </c>
      <c r="G6" s="49" t="str">
        <f>Table4[[#This Row],[Asset]]</f>
        <v>Computer Resources</v>
      </c>
      <c r="H6" s="49" t="str">
        <f>IF(Table4[[#This Row],[Impact Description]]&gt;0,Table4[[#This Row],[Impact Description]],"")</f>
        <v xml:space="preserve">Malicious utilization of  computer resources and computing power, incl. denial of service attacks, ransomware deployment, Bitcoin mining, etc., ). </v>
      </c>
      <c r="I6" s="59" t="str">
        <f>IF(Table4[[#This Row],[Safety Impact 
(Risk ID'# or N/A)]]&gt;0,Table4[[#This Row],[Safety Impact 
(Risk ID'# or N/A)]],"")</f>
        <v>RARC.RI123</v>
      </c>
      <c r="J6" s="93" t="str">
        <f>Table4[[#This Row],[Security 
Risk 
Level]]</f>
        <v>HIGH</v>
      </c>
      <c r="K6" s="49" t="str">
        <f>IF(Table4[[#This Row],[Security Risk Control Measures]]&gt;0,Table4[[#This Row],[Security Risk Control Measures]],"")</f>
        <v>Application Whitelisting
Firewall
Virus Scan
User authentication</v>
      </c>
      <c r="L6" s="93" t="str">
        <f>Table4[[#This Row],[Security Risk LevelP]]</f>
        <v>MEDIUM</v>
      </c>
      <c r="M6" s="59" t="str">
        <f>IF(Table4[[#This Row],[Residual Security Risk Acceptability Justification]]&gt;0,Table4[[#This Row],[Residual Security Risk Acceptability Justification]],"")</f>
        <v>Justification</v>
      </c>
      <c r="N6"/>
    </row>
    <row r="7" spans="1:14" s="53" customFormat="1" ht="55.2" x14ac:dyDescent="0.3">
      <c r="A7" s="71">
        <f>Table4[[#This Row],[
ID '#]]</f>
        <v>3</v>
      </c>
      <c r="B7" s="57" t="str">
        <f>IF(Table4[[#This Row],[A ID]]&gt;0,Table4[[#This Row],[T ID]],"")</f>
        <v>T03</v>
      </c>
      <c r="C7" s="49" t="str">
        <f>Table4[[#This Row],[Threat Event(s)]]</f>
        <v xml:space="preserve">Perform perimeter network reconnaissance/scanning. </v>
      </c>
      <c r="D7" s="59" t="str">
        <f>IF(Table4[[#This Row],[V ID]]&gt;0,Table4[[#This Row],[V ID]],"")</f>
        <v>V21</v>
      </c>
      <c r="E7" s="49" t="str">
        <f>Table4[[#This Row],[Vulnerabilities]]</f>
        <v>Unprotected network port</v>
      </c>
      <c r="F7" s="59" t="str">
        <f>IF(Table4[[#This Row],[A ID]]&gt;0,Table4[[#This Row],[A ID]],"")</f>
        <v>A07</v>
      </c>
      <c r="G7" s="49" t="str">
        <f>Table4[[#This Row],[Asset]]</f>
        <v>Computer/OS network identification</v>
      </c>
      <c r="H7" s="49" t="str">
        <f>IF(Table4[[#This Row],[Impact Description]]&gt;0,Table4[[#This Row],[Impact Description]],"")</f>
        <v>Obtain knowledge about system internals in an attempt to find attack vectors and possibilities for exploitation of publicly known Vulnerabilities</v>
      </c>
      <c r="I7" s="59" t="str">
        <f>IF(Table4[[#This Row],[Safety Impact 
(Risk ID'# or N/A)]]&gt;0,Table4[[#This Row],[Safety Impact 
(Risk ID'# or N/A)]],"")</f>
        <v>RARC.RI123</v>
      </c>
      <c r="J7" s="93" t="str">
        <f>Table4[[#This Row],[Security 
Risk 
Level]]</f>
        <v>LOW</v>
      </c>
      <c r="K7" s="59" t="str">
        <f>IF(Table4[[#This Row],[Security Risk Control Measures]]&gt;0,Table4[[#This Row],[Security Risk Control Measures]],"")</f>
        <v>Host Hardening</v>
      </c>
      <c r="L7" s="93" t="str">
        <f>Table4[[#This Row],[Security Risk LevelP]]</f>
        <v>LOW</v>
      </c>
      <c r="M7" s="59" t="str">
        <f>IF(Table4[[#This Row],[Residual Security Risk Acceptability Justification]]&gt;0,Table4[[#This Row],[Residual Security Risk Acceptability Justification]],"")</f>
        <v/>
      </c>
      <c r="N7"/>
    </row>
    <row r="8" spans="1:14" s="53" customFormat="1" ht="27.6" x14ac:dyDescent="0.3">
      <c r="A8" s="71">
        <f>Table4[[#This Row],[
ID '#]]</f>
        <v>4</v>
      </c>
      <c r="B8" s="57" t="str">
        <f>IF(Table4[[#This Row],[A ID]]&gt;0,Table4[[#This Row],[T ID]],"")</f>
        <v>T04</v>
      </c>
      <c r="C8" s="49" t="str">
        <f>Table4[[#This Row],[Threat Event(s)]]</f>
        <v>Intercept network communication</v>
      </c>
      <c r="D8" s="59" t="str">
        <f>IF(Table4[[#This Row],[V ID]]&gt;0,Table4[[#This Row],[V ID]],"")</f>
        <v>V32</v>
      </c>
      <c r="E8" s="49" t="str">
        <f>Table4[[#This Row],[Vulnerabilities]]</f>
        <v>Unencrypted ePHI in flight</v>
      </c>
      <c r="F8" s="59" t="str">
        <f>IF(Table4[[#This Row],[A ID]]&gt;0,Table4[[#This Row],[A ID]],"")</f>
        <v>A04</v>
      </c>
      <c r="G8" s="49" t="str">
        <f>Table4[[#This Row],[Asset]]</f>
        <v>Patient health information in flight</v>
      </c>
      <c r="H8" s="49" t="str">
        <f>IF(Table4[[#This Row],[Impact Description]]&gt;0,Table4[[#This Row],[Impact Description]],"")</f>
        <v>ePHI manipulated while transmitted to device</v>
      </c>
      <c r="I8" s="59" t="str">
        <f>IF(Table4[[#This Row],[Safety Impact 
(Risk ID'# or N/A)]]&gt;0,Table4[[#This Row],[Safety Impact 
(Risk ID'# or N/A)]],"")</f>
        <v>n/a</v>
      </c>
      <c r="J8" s="93" t="str">
        <f>Table4[[#This Row],[Security 
Risk 
Level]]</f>
        <v>MEDIUM</v>
      </c>
      <c r="K8" s="59" t="str">
        <f>IF(Table4[[#This Row],[Security Risk Control Measures]]&gt;0,Table4[[#This Row],[Security Risk Control Measures]],"")</f>
        <v>Encrpyted ePHI in flight</v>
      </c>
      <c r="L8" s="93" t="str">
        <f>Table4[[#This Row],[Security Risk LevelP]]</f>
        <v>LOW</v>
      </c>
      <c r="M8" s="59" t="str">
        <f>IF(Table4[[#This Row],[Residual Security Risk Acceptability Justification]]&gt;0,Table4[[#This Row],[Residual Security Risk Acceptability Justification]],"")</f>
        <v/>
      </c>
      <c r="N8"/>
    </row>
    <row r="9" spans="1:14" s="53" customFormat="1" x14ac:dyDescent="0.3">
      <c r="A9" s="71" t="str">
        <f>Table4[[#This Row],[
ID '#]]</f>
        <v>New entry</v>
      </c>
      <c r="B9" s="57" t="str">
        <f>IF(Table4[[#This Row],[A ID]]&gt;0,Table4[[#This Row],[T ID]],"")</f>
        <v xml:space="preserve"> </v>
      </c>
      <c r="C9" s="49" t="e">
        <f>Table4[[#This Row],[Threat Event(s)]]</f>
        <v>#N/A</v>
      </c>
      <c r="D9" s="59" t="str">
        <f>IF(Table4[[#This Row],[V ID]]&gt;0,Table4[[#This Row],[V ID]],"")</f>
        <v/>
      </c>
      <c r="E9" s="49" t="e">
        <f>Table4[[#This Row],[Vulnerabilities]]</f>
        <v>#N/A</v>
      </c>
      <c r="F9" s="59" t="str">
        <f>IF(Table4[[#This Row],[A ID]]&gt;0,Table4[[#This Row],[A ID]],"")</f>
        <v xml:space="preserve"> </v>
      </c>
      <c r="G9" s="49" t="e">
        <f>Table4[[#This Row],[Asset]]</f>
        <v>#N/A</v>
      </c>
      <c r="H9" s="49" t="str">
        <f>IF(Table4[[#This Row],[Impact Description]]&gt;0,Table4[[#This Row],[Impact Description]],"")</f>
        <v/>
      </c>
      <c r="I9" s="59" t="str">
        <f>IF(Table4[[#This Row],[Safety Impact 
(Risk ID'# or N/A)]]&gt;0,Table4[[#This Row],[Safety Impact 
(Risk ID'# or N/A)]],"")</f>
        <v/>
      </c>
      <c r="J9" s="93" t="str">
        <f>Table4[[#This Row],[Security 
Risk 
Level]]</f>
        <v/>
      </c>
      <c r="K9" s="59" t="str">
        <f>IF(Table4[[#This Row],[Security Risk Control Measures]]&gt;0,Table4[[#This Row],[Security Risk Control Measures]],"")</f>
        <v/>
      </c>
      <c r="L9" s="164" t="str">
        <f>Table4[[#This Row],[Security Risk LevelP]]</f>
        <v/>
      </c>
      <c r="M9" s="59" t="str">
        <f>IF(Table4[[#This Row],[Residual Security Risk Acceptability Justification]]&gt;0,Table4[[#This Row],[Residual Security Risk Acceptability Justification]],"")</f>
        <v/>
      </c>
      <c r="N9"/>
    </row>
    <row r="10" spans="1:14" s="53" customFormat="1" x14ac:dyDescent="0.3">
      <c r="A10"/>
      <c r="B10"/>
      <c r="C10"/>
      <c r="D10"/>
      <c r="E10"/>
      <c r="F10"/>
      <c r="G10"/>
      <c r="H10"/>
      <c r="I10"/>
      <c r="J10"/>
      <c r="K10"/>
      <c r="L10"/>
      <c r="M10"/>
      <c r="N10"/>
    </row>
    <row r="11" spans="1:14" s="53" customFormat="1" x14ac:dyDescent="0.3">
      <c r="A11" s="24"/>
      <c r="B11" s="24"/>
      <c r="C11" s="25"/>
      <c r="D11" s="24"/>
      <c r="E11" s="24"/>
      <c r="F11" s="24"/>
      <c r="G11" s="24"/>
    </row>
    <row r="12" spans="1:14" s="53" customFormat="1" ht="13.8" x14ac:dyDescent="0.2">
      <c r="A12" s="29" t="s">
        <v>210</v>
      </c>
      <c r="C12" s="64"/>
    </row>
    <row r="13" spans="1:14" s="53" customFormat="1" ht="32.25" customHeight="1" x14ac:dyDescent="0.2">
      <c r="B13" s="194" t="s">
        <v>211</v>
      </c>
      <c r="C13" s="194"/>
      <c r="D13" s="194"/>
      <c r="E13" s="194"/>
      <c r="F13" s="194"/>
      <c r="G13" s="194"/>
      <c r="H13" s="194"/>
    </row>
    <row r="14" spans="1:14" s="53" customFormat="1" x14ac:dyDescent="0.3">
      <c r="A14" s="24"/>
      <c r="B14" s="24"/>
      <c r="C14" s="25"/>
      <c r="D14" s="24"/>
      <c r="E14" s="24"/>
      <c r="F14" s="24"/>
      <c r="G14" s="24"/>
    </row>
    <row r="15" spans="1:14" s="53" customFormat="1" x14ac:dyDescent="0.3">
      <c r="A15" s="24"/>
      <c r="B15" s="24"/>
      <c r="C15" s="25"/>
      <c r="D15" s="24"/>
      <c r="E15" s="24"/>
      <c r="F15" s="24"/>
      <c r="G15" s="24"/>
    </row>
    <row r="16" spans="1:14" s="53" customFormat="1" x14ac:dyDescent="0.3">
      <c r="A16" s="24"/>
      <c r="B16" s="24"/>
      <c r="C16" s="25"/>
      <c r="D16" s="24"/>
      <c r="E16" s="24"/>
      <c r="F16" s="24"/>
      <c r="G16" s="24"/>
    </row>
    <row r="17" spans="1:8" s="53" customFormat="1" ht="32.25" customHeight="1" x14ac:dyDescent="0.2">
      <c r="A17" s="24"/>
      <c r="B17" s="24"/>
      <c r="C17" s="25"/>
      <c r="D17" s="24"/>
      <c r="E17" s="24"/>
      <c r="F17" s="24"/>
      <c r="G17" s="24"/>
      <c r="H17" s="192"/>
    </row>
  </sheetData>
  <mergeCells count="1">
    <mergeCell ref="B13:H13"/>
  </mergeCells>
  <conditionalFormatting sqref="L6:L9">
    <cfRule type="cellIs" dxfId="60" priority="1" operator="equal">
      <formula>"Critical"</formula>
    </cfRule>
    <cfRule type="cellIs" dxfId="59" priority="2" operator="equal">
      <formula>"HIGH"</formula>
    </cfRule>
    <cfRule type="cellIs" dxfId="58" priority="3" operator="equal">
      <formula>"Medium"</formula>
    </cfRule>
    <cfRule type="cellIs" dxfId="57" priority="4" operator="equal">
      <formula>"None"</formula>
    </cfRule>
    <cfRule type="cellIs" dxfId="56" priority="5" operator="equal">
      <formula>"Low"</formula>
    </cfRule>
  </conditionalFormatting>
  <conditionalFormatting sqref="J5:J9">
    <cfRule type="cellIs" dxfId="55" priority="11" operator="equal">
      <formula>"Critical"</formula>
    </cfRule>
    <cfRule type="cellIs" dxfId="54" priority="12" operator="equal">
      <formula>"HIGH"</formula>
    </cfRule>
    <cfRule type="cellIs" dxfId="53" priority="13" operator="equal">
      <formula>"Medium"</formula>
    </cfRule>
    <cfRule type="cellIs" dxfId="52" priority="14" operator="equal">
      <formula>"None"</formula>
    </cfRule>
    <cfRule type="cellIs" dxfId="51" priority="15" operator="equal">
      <formula>"Low"</formula>
    </cfRule>
  </conditionalFormatting>
  <conditionalFormatting sqref="L5">
    <cfRule type="cellIs" dxfId="50" priority="6" operator="equal">
      <formula>"Critical"</formula>
    </cfRule>
    <cfRule type="cellIs" dxfId="49" priority="7" operator="equal">
      <formula>"HIGH"</formula>
    </cfRule>
    <cfRule type="cellIs" dxfId="48" priority="8" operator="equal">
      <formula>"Medium"</formula>
    </cfRule>
    <cfRule type="cellIs" dxfId="47" priority="9" operator="equal">
      <formula>"None"</formula>
    </cfRule>
    <cfRule type="cellIs" dxfId="46" priority="10" operator="equal">
      <formula>"Low"</formula>
    </cfRule>
  </conditionalFormatting>
  <pageMargins left="0.7" right="0.7" top="0.75" bottom="0.75" header="0.3" footer="0.3"/>
  <pageSetup scale="46" fitToHeight="0" orientation="landscape"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R30"/>
  <sheetViews>
    <sheetView zoomScaleNormal="100" workbookViewId="0"/>
  </sheetViews>
  <sheetFormatPr defaultColWidth="9.109375" defaultRowHeight="14.4" x14ac:dyDescent="0.3"/>
  <cols>
    <col min="1" max="1" width="2.33203125" customWidth="1"/>
    <col min="2" max="2" width="15.33203125" customWidth="1"/>
    <col min="4" max="4" width="5.33203125" customWidth="1"/>
    <col min="7" max="7" width="5.44140625" customWidth="1"/>
    <col min="11" max="11" width="5.33203125" customWidth="1"/>
    <col min="14" max="14" width="5.109375" customWidth="1"/>
    <col min="16" max="16" width="13.88671875" customWidth="1"/>
    <col min="17" max="17" width="11" customWidth="1"/>
    <col min="18" max="18" width="17" customWidth="1"/>
  </cols>
  <sheetData>
    <row r="1" spans="2:18" s="77" customFormat="1" ht="27.75" customHeight="1" x14ac:dyDescent="0.25">
      <c r="B1" s="97" t="s">
        <v>202</v>
      </c>
    </row>
    <row r="2" spans="2:18" s="77" customFormat="1" thickBot="1" x14ac:dyDescent="0.3"/>
    <row r="3" spans="2:18" s="77" customFormat="1" ht="18" thickBot="1" x14ac:dyDescent="0.35">
      <c r="B3" s="205" t="s">
        <v>83</v>
      </c>
      <c r="C3" s="206"/>
      <c r="D3" s="206"/>
      <c r="E3" s="206"/>
      <c r="F3" s="206"/>
      <c r="G3" s="206"/>
      <c r="H3" s="206"/>
      <c r="I3" s="206"/>
      <c r="J3" s="206"/>
      <c r="K3" s="206"/>
      <c r="L3" s="206"/>
      <c r="M3" s="206"/>
      <c r="N3" s="207"/>
      <c r="P3" s="205" t="s">
        <v>68</v>
      </c>
      <c r="Q3" s="206"/>
      <c r="R3" s="207"/>
    </row>
    <row r="4" spans="2:18" s="77" customFormat="1" ht="15.6" thickBot="1" x14ac:dyDescent="0.3">
      <c r="B4" s="212" t="s">
        <v>84</v>
      </c>
      <c r="C4" s="213"/>
      <c r="D4" s="214"/>
      <c r="E4" s="212" t="s">
        <v>85</v>
      </c>
      <c r="F4" s="213"/>
      <c r="G4" s="214"/>
      <c r="H4" s="212" t="s">
        <v>86</v>
      </c>
      <c r="I4" s="213"/>
      <c r="J4" s="213"/>
      <c r="K4" s="214"/>
      <c r="L4" s="215" t="s">
        <v>87</v>
      </c>
      <c r="M4" s="216"/>
      <c r="N4" s="217"/>
      <c r="P4" s="98"/>
      <c r="Q4" s="99" t="s">
        <v>137</v>
      </c>
      <c r="R4" s="100" t="s">
        <v>75</v>
      </c>
    </row>
    <row r="5" spans="2:18" s="77" customFormat="1" ht="15.6" thickBot="1" x14ac:dyDescent="0.3">
      <c r="B5" s="101" t="s">
        <v>88</v>
      </c>
      <c r="C5" s="101" t="s">
        <v>89</v>
      </c>
      <c r="D5" s="101" t="s">
        <v>90</v>
      </c>
      <c r="E5" s="101" t="s">
        <v>91</v>
      </c>
      <c r="F5" s="101" t="s">
        <v>89</v>
      </c>
      <c r="G5" s="101" t="s">
        <v>90</v>
      </c>
      <c r="H5" s="101" t="s">
        <v>88</v>
      </c>
      <c r="I5" s="219" t="s">
        <v>89</v>
      </c>
      <c r="J5" s="220"/>
      <c r="K5" s="101" t="s">
        <v>90</v>
      </c>
      <c r="L5" s="101" t="s">
        <v>88</v>
      </c>
      <c r="M5" s="101" t="s">
        <v>89</v>
      </c>
      <c r="N5" s="101" t="s">
        <v>90</v>
      </c>
      <c r="P5" s="102"/>
      <c r="Q5" s="103" t="s">
        <v>51</v>
      </c>
      <c r="R5" s="104">
        <v>0.04</v>
      </c>
    </row>
    <row r="6" spans="2:18" s="77" customFormat="1" ht="15" x14ac:dyDescent="0.25">
      <c r="B6" s="105" t="s">
        <v>80</v>
      </c>
      <c r="C6" s="106">
        <v>0.85</v>
      </c>
      <c r="D6" s="107" t="s">
        <v>60</v>
      </c>
      <c r="E6" s="105" t="s">
        <v>58</v>
      </c>
      <c r="F6" s="106">
        <v>0.77</v>
      </c>
      <c r="G6" s="108" t="s">
        <v>92</v>
      </c>
      <c r="H6" s="105" t="s">
        <v>79</v>
      </c>
      <c r="I6" s="109">
        <v>0.85</v>
      </c>
      <c r="J6" s="110">
        <v>0.85</v>
      </c>
      <c r="K6" s="107" t="s">
        <v>60</v>
      </c>
      <c r="L6" s="105" t="s">
        <v>79</v>
      </c>
      <c r="M6" s="111">
        <v>0.85</v>
      </c>
      <c r="N6" s="112" t="s">
        <v>60</v>
      </c>
      <c r="P6" s="102"/>
      <c r="Q6" s="113" t="s">
        <v>58</v>
      </c>
      <c r="R6" s="114">
        <v>0.2</v>
      </c>
    </row>
    <row r="7" spans="2:18" s="77" customFormat="1" ht="15" x14ac:dyDescent="0.25">
      <c r="B7" s="105" t="s">
        <v>82</v>
      </c>
      <c r="C7" s="115">
        <v>0.62</v>
      </c>
      <c r="D7" s="107" t="s">
        <v>93</v>
      </c>
      <c r="E7" s="105" t="s">
        <v>67</v>
      </c>
      <c r="F7" s="115">
        <v>0.44</v>
      </c>
      <c r="G7" s="108" t="s">
        <v>94</v>
      </c>
      <c r="H7" s="105" t="s">
        <v>58</v>
      </c>
      <c r="I7" s="116">
        <v>0.62</v>
      </c>
      <c r="J7" s="110">
        <v>0.68</v>
      </c>
      <c r="K7" s="107" t="s">
        <v>92</v>
      </c>
      <c r="L7" s="105" t="s">
        <v>78</v>
      </c>
      <c r="M7" s="117">
        <v>0.62</v>
      </c>
      <c r="N7" s="112" t="s">
        <v>95</v>
      </c>
      <c r="P7" s="102"/>
      <c r="Q7" s="118" t="s">
        <v>57</v>
      </c>
      <c r="R7" s="114">
        <v>0.5</v>
      </c>
    </row>
    <row r="8" spans="2:18" s="77" customFormat="1" ht="15" x14ac:dyDescent="0.25">
      <c r="B8" s="105" t="s">
        <v>81</v>
      </c>
      <c r="C8" s="115">
        <v>0.55000000000000004</v>
      </c>
      <c r="D8" s="107" t="s">
        <v>92</v>
      </c>
      <c r="E8" s="105"/>
      <c r="F8" s="115"/>
      <c r="G8" s="107"/>
      <c r="H8" s="105" t="s">
        <v>67</v>
      </c>
      <c r="I8" s="116">
        <v>0.27</v>
      </c>
      <c r="J8" s="110">
        <v>0.5</v>
      </c>
      <c r="K8" s="107" t="s">
        <v>94</v>
      </c>
      <c r="L8" s="105"/>
      <c r="M8" s="110"/>
      <c r="N8" s="112"/>
      <c r="P8" s="102"/>
      <c r="Q8" s="119" t="s">
        <v>67</v>
      </c>
      <c r="R8" s="114">
        <v>0.8</v>
      </c>
    </row>
    <row r="9" spans="2:18" s="77" customFormat="1" ht="15" x14ac:dyDescent="0.25">
      <c r="B9" s="105" t="s">
        <v>77</v>
      </c>
      <c r="C9" s="115">
        <v>0.2</v>
      </c>
      <c r="D9" s="112" t="s">
        <v>96</v>
      </c>
      <c r="E9" s="136"/>
      <c r="F9" s="135"/>
      <c r="G9" s="191"/>
      <c r="H9" s="105"/>
      <c r="I9" s="116"/>
      <c r="J9" s="110"/>
      <c r="K9" s="112"/>
      <c r="L9" s="105"/>
      <c r="M9" s="110"/>
      <c r="N9" s="112"/>
      <c r="P9" s="102"/>
      <c r="Q9" s="129" t="s">
        <v>107</v>
      </c>
      <c r="R9" s="114">
        <v>1</v>
      </c>
    </row>
    <row r="10" spans="2:18" s="77" customFormat="1" ht="15.6" thickBot="1" x14ac:dyDescent="0.3">
      <c r="B10" s="120"/>
      <c r="C10" s="121"/>
      <c r="D10" s="122"/>
      <c r="E10" s="123"/>
      <c r="F10" s="124"/>
      <c r="G10" s="125"/>
      <c r="H10" s="120"/>
      <c r="I10" s="126"/>
      <c r="J10" s="127"/>
      <c r="K10" s="122"/>
      <c r="L10" s="120"/>
      <c r="M10" s="127"/>
      <c r="N10" s="122"/>
      <c r="P10" s="128"/>
      <c r="R10" s="114"/>
    </row>
    <row r="11" spans="2:18" s="77" customFormat="1" thickBot="1" x14ac:dyDescent="0.3"/>
    <row r="12" spans="2:18" s="77" customFormat="1" ht="18" thickBot="1" x14ac:dyDescent="0.35">
      <c r="B12" s="205" t="s">
        <v>97</v>
      </c>
      <c r="C12" s="206"/>
      <c r="D12" s="206"/>
      <c r="E12" s="206"/>
      <c r="F12" s="206"/>
      <c r="G12" s="206"/>
      <c r="H12" s="206"/>
      <c r="I12" s="206"/>
      <c r="J12" s="206"/>
      <c r="K12" s="206"/>
      <c r="L12" s="206"/>
      <c r="M12" s="206"/>
      <c r="N12" s="207"/>
      <c r="P12" s="167" t="s">
        <v>216</v>
      </c>
      <c r="Q12" s="131" t="s">
        <v>135</v>
      </c>
    </row>
    <row r="13" spans="2:18" s="77" customFormat="1" ht="15.6" thickBot="1" x14ac:dyDescent="0.3">
      <c r="B13" s="208" t="s">
        <v>98</v>
      </c>
      <c r="C13" s="209"/>
      <c r="D13" s="209"/>
      <c r="E13" s="209"/>
      <c r="F13" s="209"/>
      <c r="G13" s="210"/>
      <c r="H13" s="209"/>
      <c r="I13" s="209"/>
      <c r="J13" s="209"/>
      <c r="K13" s="209"/>
      <c r="L13" s="209"/>
      <c r="M13" s="209"/>
      <c r="N13" s="211"/>
      <c r="P13" s="105"/>
      <c r="Q13" s="110" t="s">
        <v>218</v>
      </c>
    </row>
    <row r="14" spans="2:18" s="77" customFormat="1" thickBot="1" x14ac:dyDescent="0.3">
      <c r="B14" s="101" t="s">
        <v>88</v>
      </c>
      <c r="C14" s="101" t="s">
        <v>89</v>
      </c>
      <c r="D14" s="101" t="s">
        <v>90</v>
      </c>
      <c r="E14" s="130"/>
      <c r="F14" s="130"/>
      <c r="G14" s="130"/>
      <c r="H14" s="130"/>
      <c r="I14" s="130"/>
      <c r="J14" s="130"/>
      <c r="K14" s="130"/>
      <c r="L14" s="130"/>
      <c r="M14" s="130"/>
      <c r="N14" s="131"/>
      <c r="P14" s="120"/>
      <c r="Q14" s="127"/>
    </row>
    <row r="15" spans="2:18" s="77" customFormat="1" ht="16.2" x14ac:dyDescent="0.35">
      <c r="B15" s="132" t="s">
        <v>79</v>
      </c>
      <c r="C15" s="106">
        <v>0</v>
      </c>
      <c r="D15" s="133" t="s">
        <v>60</v>
      </c>
      <c r="E15" s="134" t="s">
        <v>212</v>
      </c>
      <c r="F15" s="135"/>
      <c r="G15" s="135"/>
      <c r="H15" s="135"/>
      <c r="J15" s="135"/>
      <c r="K15" s="135"/>
      <c r="L15" s="135"/>
      <c r="M15" s="135"/>
      <c r="N15" s="110"/>
    </row>
    <row r="16" spans="2:18" s="77" customFormat="1" ht="13.8" x14ac:dyDescent="0.25">
      <c r="B16" s="136" t="s">
        <v>58</v>
      </c>
      <c r="C16" s="115">
        <v>0.22</v>
      </c>
      <c r="D16" s="137" t="s">
        <v>92</v>
      </c>
      <c r="E16" s="135"/>
      <c r="F16" s="135"/>
      <c r="G16" s="135"/>
      <c r="H16" s="135"/>
      <c r="I16" s="135"/>
      <c r="J16" s="135"/>
      <c r="K16" s="135"/>
      <c r="L16" s="135"/>
      <c r="M16" s="135"/>
      <c r="N16" s="110"/>
    </row>
    <row r="17" spans="2:17" s="77" customFormat="1" ht="13.8" x14ac:dyDescent="0.25">
      <c r="B17" s="136" t="s">
        <v>67</v>
      </c>
      <c r="C17" s="115">
        <v>0.56000000000000005</v>
      </c>
      <c r="D17" s="137" t="s">
        <v>94</v>
      </c>
      <c r="E17" s="135"/>
      <c r="F17" s="135"/>
      <c r="G17" s="135"/>
      <c r="H17" s="135"/>
      <c r="I17" s="135"/>
      <c r="J17" s="135"/>
      <c r="K17" s="135"/>
      <c r="L17" s="135"/>
      <c r="M17" s="135"/>
      <c r="N17" s="110"/>
    </row>
    <row r="18" spans="2:17" s="77" customFormat="1" thickBot="1" x14ac:dyDescent="0.3">
      <c r="B18" s="123"/>
      <c r="C18" s="121"/>
      <c r="D18" s="138"/>
      <c r="E18" s="124"/>
      <c r="F18" s="124"/>
      <c r="G18" s="124"/>
      <c r="H18" s="124"/>
      <c r="I18" s="124"/>
      <c r="J18" s="124"/>
      <c r="K18" s="124"/>
      <c r="L18" s="124"/>
      <c r="M18" s="124"/>
      <c r="N18" s="127"/>
    </row>
    <row r="19" spans="2:17" s="77" customFormat="1" thickBot="1" x14ac:dyDescent="0.3"/>
    <row r="20" spans="2:17" s="77" customFormat="1" ht="18" thickBot="1" x14ac:dyDescent="0.35">
      <c r="B20" s="205" t="s">
        <v>71</v>
      </c>
      <c r="C20" s="206"/>
      <c r="D20" s="206"/>
      <c r="E20" s="206"/>
      <c r="F20" s="206"/>
      <c r="G20" s="206"/>
      <c r="H20" s="206"/>
      <c r="I20" s="206"/>
      <c r="J20" s="206"/>
      <c r="K20" s="206"/>
      <c r="L20" s="206"/>
      <c r="M20" s="206"/>
      <c r="N20" s="207"/>
    </row>
    <row r="21" spans="2:17" s="77" customFormat="1" ht="42.6" customHeight="1" thickBot="1" x14ac:dyDescent="0.3">
      <c r="B21" s="139" t="s">
        <v>76</v>
      </c>
      <c r="C21" s="221" t="s">
        <v>99</v>
      </c>
      <c r="D21" s="222"/>
      <c r="E21" s="222"/>
      <c r="F21" s="222"/>
      <c r="G21" s="222"/>
      <c r="H21" s="222"/>
      <c r="I21" s="222"/>
      <c r="J21" s="222"/>
      <c r="K21" s="222"/>
      <c r="L21" s="222"/>
      <c r="M21" s="223"/>
      <c r="N21" s="140" t="s">
        <v>100</v>
      </c>
    </row>
    <row r="22" spans="2:17" s="77" customFormat="1" ht="43.95" customHeight="1" thickBot="1" x14ac:dyDescent="0.3">
      <c r="B22" s="141" t="s">
        <v>101</v>
      </c>
      <c r="C22" s="224" t="s">
        <v>102</v>
      </c>
      <c r="D22" s="222"/>
      <c r="E22" s="222"/>
      <c r="F22" s="222"/>
      <c r="G22" s="222"/>
      <c r="H22" s="222"/>
      <c r="I22" s="222"/>
      <c r="J22" s="222"/>
      <c r="K22" s="222"/>
      <c r="L22" s="222"/>
      <c r="M22" s="223"/>
      <c r="N22" s="142" t="s">
        <v>103</v>
      </c>
      <c r="O22" s="143"/>
      <c r="P22" s="143"/>
      <c r="Q22" s="143"/>
    </row>
    <row r="23" spans="2:17" s="77" customFormat="1" ht="15.6" thickBot="1" x14ac:dyDescent="0.3">
      <c r="B23" s="141"/>
      <c r="C23" s="224"/>
      <c r="D23" s="222"/>
      <c r="E23" s="222"/>
      <c r="F23" s="222"/>
      <c r="G23" s="222"/>
      <c r="H23" s="222"/>
      <c r="I23" s="222"/>
      <c r="J23" s="222"/>
      <c r="K23" s="222"/>
      <c r="L23" s="222"/>
      <c r="M23" s="223"/>
      <c r="N23" s="142"/>
    </row>
    <row r="24" spans="2:17" s="77" customFormat="1" ht="13.8" x14ac:dyDescent="0.25"/>
    <row r="25" spans="2:17" s="77" customFormat="1" ht="13.8" x14ac:dyDescent="0.25">
      <c r="B25" s="77" t="s">
        <v>104</v>
      </c>
    </row>
    <row r="26" spans="2:17" s="77" customFormat="1" ht="262.5" customHeight="1" x14ac:dyDescent="0.25">
      <c r="B26" s="53" t="s">
        <v>105</v>
      </c>
      <c r="C26" s="218" t="s">
        <v>106</v>
      </c>
      <c r="D26" s="218"/>
      <c r="E26" s="218"/>
      <c r="F26" s="218"/>
      <c r="G26" s="218"/>
      <c r="H26" s="218"/>
      <c r="I26" s="218"/>
      <c r="J26" s="218"/>
    </row>
    <row r="29" spans="2:17" x14ac:dyDescent="0.3">
      <c r="B29" s="29" t="s">
        <v>210</v>
      </c>
    </row>
    <row r="30" spans="2:17" ht="48" customHeight="1" x14ac:dyDescent="0.3">
      <c r="C30" s="194" t="s">
        <v>211</v>
      </c>
      <c r="D30" s="194"/>
      <c r="E30" s="194"/>
      <c r="F30" s="194"/>
      <c r="G30" s="194"/>
      <c r="H30" s="194"/>
      <c r="I30" s="194"/>
    </row>
  </sheetData>
  <mergeCells count="15">
    <mergeCell ref="C30:I30"/>
    <mergeCell ref="P3:R3"/>
    <mergeCell ref="B13:N13"/>
    <mergeCell ref="B3:N3"/>
    <mergeCell ref="B4:D4"/>
    <mergeCell ref="E4:G4"/>
    <mergeCell ref="H4:K4"/>
    <mergeCell ref="L4:N4"/>
    <mergeCell ref="C26:J26"/>
    <mergeCell ref="I5:J5"/>
    <mergeCell ref="B12:N12"/>
    <mergeCell ref="B20:N20"/>
    <mergeCell ref="C21:M21"/>
    <mergeCell ref="C22:M22"/>
    <mergeCell ref="C23:M23"/>
  </mergeCells>
  <pageMargins left="0.70866141732283472" right="0.70866141732283472" top="1.1023622047244095" bottom="0.74803149606299213" header="0.31496062992125984" footer="0.31496062992125984"/>
  <pageSetup scale="55" fitToHeight="0" orientation="portrait"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H15"/>
  <sheetViews>
    <sheetView zoomScaleNormal="100" workbookViewId="0">
      <selection activeCell="B16" sqref="B16"/>
    </sheetView>
  </sheetViews>
  <sheetFormatPr defaultColWidth="9.109375" defaultRowHeight="14.4" x14ac:dyDescent="0.3"/>
  <cols>
    <col min="1" max="1" width="7.109375" style="24" customWidth="1"/>
    <col min="2" max="2" width="34.88671875" style="24" customWidth="1"/>
    <col min="3" max="3" width="15.88671875" style="25" customWidth="1"/>
    <col min="4" max="4" width="2.88671875" style="24" customWidth="1"/>
    <col min="5" max="5" width="9.109375" style="24"/>
    <col min="6" max="6" width="44.88671875" style="24" customWidth="1"/>
    <col min="7" max="7" width="15.88671875" style="24" customWidth="1"/>
    <col min="8" max="16384" width="9.109375" style="24"/>
  </cols>
  <sheetData>
    <row r="1" spans="1:8" s="53" customFormat="1" ht="13.8" x14ac:dyDescent="0.3">
      <c r="A1" s="97" t="s">
        <v>203</v>
      </c>
      <c r="C1" s="64"/>
    </row>
    <row r="2" spans="1:8" s="53" customFormat="1" thickBot="1" x14ac:dyDescent="0.35">
      <c r="C2" s="64"/>
    </row>
    <row r="3" spans="1:8" s="53" customFormat="1" thickBot="1" x14ac:dyDescent="0.35">
      <c r="A3" s="225" t="s">
        <v>26</v>
      </c>
      <c r="B3" s="226"/>
      <c r="C3" s="226"/>
      <c r="E3" s="227" t="s">
        <v>28</v>
      </c>
      <c r="F3" s="228"/>
      <c r="G3" s="228"/>
    </row>
    <row r="4" spans="1:8" s="53" customFormat="1" ht="13.8" x14ac:dyDescent="0.3">
      <c r="A4" s="144" t="s">
        <v>42</v>
      </c>
      <c r="B4" s="145" t="s">
        <v>17</v>
      </c>
      <c r="C4" s="146" t="s">
        <v>27</v>
      </c>
      <c r="E4" s="147" t="s">
        <v>42</v>
      </c>
      <c r="F4" s="148" t="s">
        <v>29</v>
      </c>
      <c r="G4" s="149" t="s">
        <v>27</v>
      </c>
    </row>
    <row r="5" spans="1:8" s="53" customFormat="1" ht="41.4" x14ac:dyDescent="0.3">
      <c r="A5" s="150" t="s">
        <v>49</v>
      </c>
      <c r="B5" s="151" t="s">
        <v>30</v>
      </c>
      <c r="C5" s="152" t="s">
        <v>59</v>
      </c>
      <c r="E5" s="150" t="s">
        <v>61</v>
      </c>
      <c r="F5" s="153" t="s">
        <v>36</v>
      </c>
      <c r="G5" s="154" t="s">
        <v>59</v>
      </c>
    </row>
    <row r="6" spans="1:8" s="53" customFormat="1" ht="27.6" x14ac:dyDescent="0.3">
      <c r="A6" s="42" t="s">
        <v>52</v>
      </c>
      <c r="B6" s="151" t="s">
        <v>31</v>
      </c>
      <c r="C6" s="152" t="s">
        <v>59</v>
      </c>
      <c r="E6" s="42" t="s">
        <v>62</v>
      </c>
      <c r="F6" s="153" t="s">
        <v>37</v>
      </c>
      <c r="G6" s="155" t="s">
        <v>59</v>
      </c>
    </row>
    <row r="7" spans="1:8" s="53" customFormat="1" ht="27.6" x14ac:dyDescent="0.3">
      <c r="A7" s="42" t="s">
        <v>53</v>
      </c>
      <c r="B7" s="151" t="s">
        <v>32</v>
      </c>
      <c r="C7" s="152" t="s">
        <v>59</v>
      </c>
      <c r="E7" s="42" t="s">
        <v>63</v>
      </c>
      <c r="F7" s="153" t="s">
        <v>38</v>
      </c>
      <c r="G7" s="155" t="s">
        <v>59</v>
      </c>
    </row>
    <row r="8" spans="1:8" s="53" customFormat="1" ht="27.6" x14ac:dyDescent="0.3">
      <c r="A8" s="156" t="s">
        <v>54</v>
      </c>
      <c r="B8" s="157" t="s">
        <v>33</v>
      </c>
      <c r="C8" s="152" t="s">
        <v>60</v>
      </c>
      <c r="E8" s="42" t="s">
        <v>64</v>
      </c>
      <c r="F8" s="153" t="s">
        <v>39</v>
      </c>
      <c r="G8" s="155" t="s">
        <v>59</v>
      </c>
    </row>
    <row r="9" spans="1:8" s="53" customFormat="1" ht="41.4" x14ac:dyDescent="0.3">
      <c r="A9" s="156" t="s">
        <v>55</v>
      </c>
      <c r="B9" s="157" t="s">
        <v>34</v>
      </c>
      <c r="C9" s="152" t="s">
        <v>60</v>
      </c>
      <c r="E9" s="42" t="s">
        <v>65</v>
      </c>
      <c r="F9" s="153" t="s">
        <v>40</v>
      </c>
      <c r="G9" s="155" t="s">
        <v>59</v>
      </c>
    </row>
    <row r="10" spans="1:8" s="53" customFormat="1" ht="55.2" x14ac:dyDescent="0.3">
      <c r="A10" s="158" t="s">
        <v>56</v>
      </c>
      <c r="B10" s="159" t="s">
        <v>35</v>
      </c>
      <c r="C10" s="160" t="s">
        <v>60</v>
      </c>
      <c r="E10" s="161" t="s">
        <v>66</v>
      </c>
      <c r="F10" s="162" t="s">
        <v>41</v>
      </c>
      <c r="G10" s="163" t="s">
        <v>60</v>
      </c>
    </row>
    <row r="11" spans="1:8" s="53" customFormat="1" ht="13.8" x14ac:dyDescent="0.3">
      <c r="C11" s="64"/>
    </row>
    <row r="12" spans="1:8" s="53" customFormat="1" ht="13.8" x14ac:dyDescent="0.3">
      <c r="C12" s="64"/>
    </row>
    <row r="13" spans="1:8" s="53" customFormat="1" ht="13.8" x14ac:dyDescent="0.3">
      <c r="C13" s="64"/>
    </row>
    <row r="14" spans="1:8" s="53" customFormat="1" ht="13.8" x14ac:dyDescent="0.2">
      <c r="A14" s="29" t="s">
        <v>210</v>
      </c>
      <c r="C14" s="64"/>
    </row>
    <row r="15" spans="1:8" s="53" customFormat="1" ht="32.25" customHeight="1" x14ac:dyDescent="0.2">
      <c r="B15" s="194" t="s">
        <v>211</v>
      </c>
      <c r="C15" s="194"/>
      <c r="D15" s="194"/>
      <c r="E15" s="194"/>
      <c r="F15" s="194"/>
      <c r="G15" s="194"/>
      <c r="H15" s="194"/>
    </row>
  </sheetData>
  <mergeCells count="3">
    <mergeCell ref="A3:C3"/>
    <mergeCell ref="E3:G3"/>
    <mergeCell ref="B15:H15"/>
  </mergeCells>
  <pageMargins left="0.7" right="0.7" top="1.29375" bottom="0.75" header="0.3" footer="0.3"/>
  <pageSetup scale="65" fitToHeight="0" orientation="portrait"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0"/>
  <sheetViews>
    <sheetView zoomScale="85" zoomScaleNormal="85" workbookViewId="0">
      <selection activeCell="H13" sqref="H13"/>
    </sheetView>
  </sheetViews>
  <sheetFormatPr defaultColWidth="9.109375" defaultRowHeight="14.4" x14ac:dyDescent="0.3"/>
  <cols>
    <col min="1" max="1" width="6.109375" customWidth="1"/>
    <col min="2" max="2" width="38.109375" customWidth="1"/>
    <col min="3" max="3" width="49.44140625" customWidth="1"/>
    <col min="4" max="4" width="27.88671875" customWidth="1"/>
    <col min="5" max="5" width="14.6640625" customWidth="1"/>
    <col min="6" max="6" width="16.33203125" customWidth="1"/>
    <col min="7" max="7" width="20.109375" customWidth="1"/>
    <col min="8" max="8" width="20.33203125" customWidth="1"/>
  </cols>
  <sheetData>
    <row r="1" spans="1:8" x14ac:dyDescent="0.3">
      <c r="A1" s="229" t="s">
        <v>21</v>
      </c>
      <c r="B1" s="229"/>
      <c r="C1" s="229"/>
      <c r="D1" s="229"/>
      <c r="E1" s="229"/>
      <c r="F1" s="229"/>
      <c r="G1" s="229"/>
      <c r="H1" s="229"/>
    </row>
    <row r="2" spans="1:8" ht="57.6" x14ac:dyDescent="0.3">
      <c r="A2" s="12" t="s">
        <v>22</v>
      </c>
      <c r="B2" s="12" t="s">
        <v>25</v>
      </c>
      <c r="C2" s="12" t="s">
        <v>23</v>
      </c>
      <c r="D2" s="13" t="s">
        <v>17</v>
      </c>
      <c r="E2" s="21" t="s">
        <v>43</v>
      </c>
      <c r="F2" s="14" t="s">
        <v>44</v>
      </c>
      <c r="G2" s="14" t="s">
        <v>45</v>
      </c>
      <c r="H2" s="14" t="s">
        <v>24</v>
      </c>
    </row>
    <row r="3" spans="1:8" s="19" customFormat="1" ht="48" x14ac:dyDescent="0.3">
      <c r="A3" s="15" t="s">
        <v>46</v>
      </c>
      <c r="B3" s="16" t="s">
        <v>47</v>
      </c>
      <c r="C3" s="16" t="s">
        <v>48</v>
      </c>
      <c r="D3" s="17" t="s">
        <v>49</v>
      </c>
      <c r="E3" s="22" t="s">
        <v>50</v>
      </c>
      <c r="F3" s="18" t="s">
        <v>51</v>
      </c>
      <c r="G3" s="18" t="s">
        <v>51</v>
      </c>
      <c r="H3" s="20" t="s">
        <v>51</v>
      </c>
    </row>
    <row r="4" spans="1:8" x14ac:dyDescent="0.3">
      <c r="A4" s="1"/>
      <c r="B4" s="1"/>
      <c r="C4" s="1"/>
      <c r="D4" s="1"/>
      <c r="E4" s="23"/>
      <c r="F4" s="1"/>
      <c r="G4" s="1"/>
      <c r="H4" s="1"/>
    </row>
    <row r="5" spans="1:8" x14ac:dyDescent="0.3">
      <c r="A5" s="1"/>
      <c r="B5" s="1"/>
      <c r="C5" s="1"/>
      <c r="D5" s="1"/>
      <c r="E5" s="23"/>
      <c r="F5" s="1"/>
      <c r="G5" s="1"/>
      <c r="H5" s="1"/>
    </row>
    <row r="6" spans="1:8" x14ac:dyDescent="0.3">
      <c r="A6" s="1"/>
      <c r="B6" s="1"/>
      <c r="C6" s="1"/>
      <c r="D6" s="1"/>
      <c r="E6" s="23"/>
      <c r="F6" s="1"/>
      <c r="G6" s="1"/>
      <c r="H6" s="1"/>
    </row>
    <row r="7" spans="1:8" x14ac:dyDescent="0.3">
      <c r="A7" s="1"/>
      <c r="B7" s="1"/>
      <c r="C7" s="1"/>
      <c r="D7" s="1"/>
      <c r="E7" s="23"/>
      <c r="F7" s="1"/>
      <c r="G7" s="1"/>
      <c r="H7" s="1"/>
    </row>
    <row r="8" spans="1:8" x14ac:dyDescent="0.3">
      <c r="A8" s="1"/>
      <c r="B8" s="1"/>
      <c r="C8" s="1"/>
      <c r="D8" s="1"/>
      <c r="E8" s="23"/>
      <c r="F8" s="1"/>
      <c r="G8" s="1"/>
      <c r="H8" s="1"/>
    </row>
    <row r="9" spans="1:8" x14ac:dyDescent="0.3">
      <c r="A9" s="1"/>
      <c r="B9" s="1"/>
      <c r="C9" s="1"/>
      <c r="D9" s="1"/>
      <c r="E9" s="23"/>
      <c r="F9" s="1"/>
      <c r="G9" s="1"/>
      <c r="H9" s="1"/>
    </row>
    <row r="10" spans="1:8" x14ac:dyDescent="0.3">
      <c r="A10" s="1"/>
      <c r="B10" s="1"/>
      <c r="C10" s="1"/>
      <c r="D10" s="1"/>
      <c r="E10" s="23"/>
      <c r="F10" s="1"/>
      <c r="G10" s="1"/>
      <c r="H10" s="1"/>
    </row>
  </sheetData>
  <mergeCells count="1">
    <mergeCell ref="A1:H1"/>
  </mergeCells>
  <dataValidations count="2">
    <dataValidation type="list" allowBlank="1" showInputMessage="1" showErrorMessage="1" sqref="F3:H3" xr:uid="{00000000-0002-0000-0700-000000000000}">
      <formula1>"Very High, High, Moderate, Low, Very Low"</formula1>
    </dataValidation>
    <dataValidation type="list" allowBlank="1" showInputMessage="1" showErrorMessage="1" sqref="E3" xr:uid="{00000000-0002-0000-0700-000001000000}">
      <formula1>"Confirmed, Expected, Anticipated, Predicted, Possible, N/A"</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3"/>
  <sheetViews>
    <sheetView workbookViewId="0">
      <selection activeCell="H13" sqref="H13"/>
    </sheetView>
  </sheetViews>
  <sheetFormatPr defaultColWidth="9.109375" defaultRowHeight="14.4" x14ac:dyDescent="0.3"/>
  <cols>
    <col min="1" max="1" width="27.6640625" customWidth="1"/>
    <col min="2" max="2" width="102.109375" customWidth="1"/>
  </cols>
  <sheetData>
    <row r="1" spans="1:2" ht="18.600000000000001" thickBot="1" x14ac:dyDescent="0.35">
      <c r="A1" s="3"/>
      <c r="B1" s="4"/>
    </row>
    <row r="2" spans="1:2" ht="18.600000000000001" thickBot="1" x14ac:dyDescent="0.35">
      <c r="A2" s="5" t="s">
        <v>19</v>
      </c>
      <c r="B2" s="6" t="s">
        <v>20</v>
      </c>
    </row>
    <row r="3" spans="1:2" ht="18.600000000000001" thickBot="1" x14ac:dyDescent="0.35">
      <c r="A3" s="7"/>
      <c r="B3" s="8"/>
    </row>
    <row r="4" spans="1:2" x14ac:dyDescent="0.3">
      <c r="A4" s="230"/>
      <c r="B4" s="9"/>
    </row>
    <row r="5" spans="1:2" x14ac:dyDescent="0.3">
      <c r="A5" s="231"/>
      <c r="B5" s="10"/>
    </row>
    <row r="6" spans="1:2" x14ac:dyDescent="0.3">
      <c r="A6" s="231"/>
      <c r="B6" s="10"/>
    </row>
    <row r="7" spans="1:2" ht="15" thickBot="1" x14ac:dyDescent="0.35">
      <c r="A7" s="232"/>
      <c r="B7" s="11"/>
    </row>
    <row r="8" spans="1:2" ht="18.600000000000001" thickBot="1" x14ac:dyDescent="0.35">
      <c r="A8" s="3"/>
      <c r="B8" s="4"/>
    </row>
    <row r="9" spans="1:2" x14ac:dyDescent="0.3">
      <c r="A9" s="230"/>
      <c r="B9" s="9"/>
    </row>
    <row r="10" spans="1:2" x14ac:dyDescent="0.3">
      <c r="A10" s="231"/>
      <c r="B10" s="10"/>
    </row>
    <row r="11" spans="1:2" x14ac:dyDescent="0.3">
      <c r="A11" s="231"/>
      <c r="B11" s="10"/>
    </row>
    <row r="12" spans="1:2" x14ac:dyDescent="0.3">
      <c r="A12" s="231"/>
      <c r="B12" s="10"/>
    </row>
    <row r="13" spans="1:2" ht="15" thickBot="1" x14ac:dyDescent="0.35">
      <c r="A13" s="232"/>
      <c r="B13" s="11"/>
    </row>
  </sheetData>
  <mergeCells count="2">
    <mergeCell ref="A4:A7"/>
    <mergeCell ref="A9:A1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7A78C7D6667D545A71632B087BE75FA" ma:contentTypeVersion="0" ma:contentTypeDescription="Create a new document." ma:contentTypeScope="" ma:versionID="596b0473627b42e9d62b8ce41a9538b8">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3667C78-2767-48FE-B183-28F119783D1F}">
  <ds:schemaRefs>
    <ds:schemaRef ds:uri="http://schemas.microsoft.com/sharepoint/v3/contenttype/forms"/>
  </ds:schemaRefs>
</ds:datastoreItem>
</file>

<file path=customXml/itemProps2.xml><?xml version="1.0" encoding="utf-8"?>
<ds:datastoreItem xmlns:ds="http://schemas.openxmlformats.org/officeDocument/2006/customXml" ds:itemID="{33AF7F02-150C-44AA-ACFE-3054112CF8E2}">
  <ds:schemaRef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F41EE2C7-F8D7-4922-9E20-C61DD39DC2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System &amp; Asset Identification</vt:lpstr>
      <vt:lpstr>Vulnerability Identification</vt:lpstr>
      <vt:lpstr>Threat Assessment</vt:lpstr>
      <vt:lpstr>Security Risk Assess</vt:lpstr>
      <vt:lpstr>Summary</vt:lpstr>
      <vt:lpstr>Reference - CVSSv3.0</vt:lpstr>
      <vt:lpstr>Reference - Threat Source</vt:lpstr>
      <vt:lpstr>OLD - Threat Assessment</vt:lpstr>
      <vt:lpstr>OLD - Risk Controls</vt:lpstr>
      <vt:lpstr>'Reference - CVSSv3.0'!Attack</vt:lpstr>
      <vt:lpstr>'Reference - CVSSv3.0'!CIA</vt:lpstr>
      <vt:lpstr>'Reference - CVSSv3.0'!Comp</vt:lpstr>
      <vt:lpstr>'Reference - CVSSv3.0'!Priv</vt:lpstr>
      <vt:lpstr>'Reference - CVSSv3.0'!Scope</vt:lpstr>
      <vt:lpstr>'Reference - CVSSv3.0'!Ux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Campana, Jose</dc:creator>
  <cp:lastModifiedBy>Londhe, Vinod (Contractor)</cp:lastModifiedBy>
  <cp:lastPrinted>2018-12-18T12:40:04Z</cp:lastPrinted>
  <dcterms:created xsi:type="dcterms:W3CDTF">2017-03-06T20:58:36Z</dcterms:created>
  <dcterms:modified xsi:type="dcterms:W3CDTF">2020-06-11T12:54:35Z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0x010100D7A78C7D6667D545A71632B087BE75FA</vt:lpwstr>
  </property>
</Properties>
</file>