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D:\Stryker\Knee Thor\"/>
    </mc:Choice>
  </mc:AlternateContent>
  <xr:revisionPtr revIDLastSave="0" documentId="13_ncr:1_{C0EF8E46-3008-4E8F-B647-6BB3649A9F2E}" xr6:coauthVersionLast="47" xr6:coauthVersionMax="47" xr10:uidLastSave="{00000000-0000-0000-0000-000000000000}"/>
  <bookViews>
    <workbookView xWindow="-120" yWindow="-120" windowWidth="20730" windowHeight="11160" tabRatio="891" activeTab="2" xr2:uid="{00000000-000D-0000-FFFF-FFFF00000000}"/>
  </bookViews>
  <sheets>
    <sheet name="System &amp; Asset Identification" sheetId="10" r:id="rId1"/>
    <sheet name="Vulnerability Identification" sheetId="11" r:id="rId2"/>
    <sheet name="Security Risk Assess" sheetId="12" r:id="rId3"/>
    <sheet name="Threat Assessment" sheetId="16"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ffectedAsset">#REF!</definedName>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2" l="1"/>
  <c r="G36" i="12"/>
  <c r="C36" i="12"/>
  <c r="E36" i="12"/>
  <c r="R36" i="12"/>
  <c r="S36" i="12"/>
  <c r="T36" i="12" s="1"/>
  <c r="W36" i="12"/>
  <c r="AK36" i="12"/>
  <c r="AL36" i="12"/>
  <c r="AM36" i="12" s="1"/>
  <c r="C47" i="12"/>
  <c r="E47" i="12"/>
  <c r="G47" i="12"/>
  <c r="R47" i="12"/>
  <c r="S47" i="12"/>
  <c r="T47" i="12" s="1"/>
  <c r="W47" i="12"/>
  <c r="AK47" i="12"/>
  <c r="AL47" i="12"/>
  <c r="AM47" i="12" s="1"/>
  <c r="C41" i="12"/>
  <c r="E41" i="12"/>
  <c r="G41" i="12"/>
  <c r="R41" i="12"/>
  <c r="S41" i="12"/>
  <c r="T41" i="12" s="1"/>
  <c r="W41" i="12"/>
  <c r="AK41" i="12"/>
  <c r="AL41" i="12"/>
  <c r="AM41" i="12" s="1"/>
  <c r="C35" i="12"/>
  <c r="E35" i="12"/>
  <c r="G35" i="12"/>
  <c r="R35" i="12"/>
  <c r="S35" i="12"/>
  <c r="T35" i="12" s="1"/>
  <c r="W35" i="12"/>
  <c r="AK35" i="12"/>
  <c r="AL35" i="12"/>
  <c r="AM35" i="12" s="1"/>
  <c r="C11" i="12"/>
  <c r="E11" i="12"/>
  <c r="G11" i="12"/>
  <c r="R11" i="12"/>
  <c r="S11" i="12"/>
  <c r="T11" i="12" s="1"/>
  <c r="W11" i="12"/>
  <c r="AK11" i="12"/>
  <c r="AL11" i="12"/>
  <c r="AM11" i="12" s="1"/>
  <c r="C61" i="12"/>
  <c r="E61" i="12"/>
  <c r="G61" i="12"/>
  <c r="R61" i="12"/>
  <c r="S61" i="12"/>
  <c r="T61" i="12" s="1"/>
  <c r="W61" i="12"/>
  <c r="AK61" i="12"/>
  <c r="AL61" i="12"/>
  <c r="AM61" i="12" s="1"/>
  <c r="C53" i="12"/>
  <c r="E53" i="12"/>
  <c r="G53" i="12"/>
  <c r="R53" i="12"/>
  <c r="S53" i="12"/>
  <c r="T53" i="12" s="1"/>
  <c r="W53" i="12"/>
  <c r="AK53" i="12"/>
  <c r="AL53" i="12"/>
  <c r="AM53" i="12" s="1"/>
  <c r="C24" i="12"/>
  <c r="E24" i="12"/>
  <c r="G24" i="12"/>
  <c r="R24" i="12"/>
  <c r="S24" i="12"/>
  <c r="T24" i="12" s="1"/>
  <c r="W24" i="12"/>
  <c r="AK24" i="12"/>
  <c r="AL24" i="12"/>
  <c r="AM24" i="12" s="1"/>
  <c r="C59" i="12"/>
  <c r="E59" i="12"/>
  <c r="G59" i="12"/>
  <c r="R59" i="12"/>
  <c r="S59" i="12"/>
  <c r="T59" i="12" s="1"/>
  <c r="W59" i="12"/>
  <c r="AK59" i="12"/>
  <c r="AL59" i="12"/>
  <c r="AM59" i="12" s="1"/>
  <c r="C23" i="12"/>
  <c r="E23" i="12"/>
  <c r="G23" i="12"/>
  <c r="R23" i="12"/>
  <c r="S23" i="12"/>
  <c r="T23" i="12" s="1"/>
  <c r="W23" i="12"/>
  <c r="AK23" i="12"/>
  <c r="AL23" i="12"/>
  <c r="AM23" i="12" s="1"/>
  <c r="C60" i="12"/>
  <c r="E60" i="12"/>
  <c r="G60" i="12"/>
  <c r="R60" i="12"/>
  <c r="S60" i="12"/>
  <c r="T60" i="12" s="1"/>
  <c r="W60" i="12"/>
  <c r="AK60" i="12"/>
  <c r="AL60" i="12"/>
  <c r="AM60" i="12" s="1"/>
  <c r="C62" i="12"/>
  <c r="E62" i="12"/>
  <c r="G62" i="12"/>
  <c r="R62" i="12"/>
  <c r="S62" i="12"/>
  <c r="T62" i="12"/>
  <c r="U62" i="12" s="1"/>
  <c r="W62" i="12"/>
  <c r="AK62" i="12"/>
  <c r="AL62" i="12"/>
  <c r="AM62" i="12"/>
  <c r="AN62" i="12" s="1"/>
  <c r="C56" i="12"/>
  <c r="E56" i="12"/>
  <c r="G56" i="12"/>
  <c r="R56" i="12"/>
  <c r="S56" i="12"/>
  <c r="T56" i="12" s="1"/>
  <c r="W56" i="12"/>
  <c r="AK56" i="12"/>
  <c r="AL56" i="12"/>
  <c r="AM56" i="12" s="1"/>
  <c r="C46" i="12"/>
  <c r="E46" i="12"/>
  <c r="G46" i="12"/>
  <c r="R46" i="12"/>
  <c r="S46" i="12"/>
  <c r="T46" i="12" s="1"/>
  <c r="W46" i="12"/>
  <c r="AK46" i="12"/>
  <c r="AL46" i="12"/>
  <c r="AM46" i="12" s="1"/>
  <c r="C45" i="12"/>
  <c r="E45" i="12"/>
  <c r="G45" i="12"/>
  <c r="R45" i="12"/>
  <c r="S45" i="12"/>
  <c r="T45" i="12" s="1"/>
  <c r="W45" i="12"/>
  <c r="AK45" i="12"/>
  <c r="AL45" i="12"/>
  <c r="AM45" i="12" s="1"/>
  <c r="C57" i="12"/>
  <c r="E57" i="12"/>
  <c r="G57" i="12"/>
  <c r="R57" i="12"/>
  <c r="S57" i="12"/>
  <c r="T57" i="12" s="1"/>
  <c r="W57" i="12"/>
  <c r="AK57" i="12"/>
  <c r="AL57" i="12"/>
  <c r="AM57" i="12" s="1"/>
  <c r="C58" i="12"/>
  <c r="E58" i="12"/>
  <c r="G58" i="12"/>
  <c r="R58" i="12"/>
  <c r="S58" i="12"/>
  <c r="T58" i="12" s="1"/>
  <c r="W58" i="12"/>
  <c r="AK58" i="12"/>
  <c r="AL58" i="12"/>
  <c r="AM58" i="12" s="1"/>
  <c r="C55" i="12"/>
  <c r="E55" i="12"/>
  <c r="G55" i="12"/>
  <c r="R55" i="12"/>
  <c r="S55" i="12"/>
  <c r="T55" i="12" s="1"/>
  <c r="W55" i="12"/>
  <c r="AK55" i="12"/>
  <c r="AL55" i="12"/>
  <c r="AM55" i="12" s="1"/>
  <c r="C51" i="12"/>
  <c r="E51" i="12"/>
  <c r="G51" i="12"/>
  <c r="R51" i="12"/>
  <c r="S51" i="12"/>
  <c r="T51" i="12" s="1"/>
  <c r="W51" i="12"/>
  <c r="AK51" i="12"/>
  <c r="AL51" i="12"/>
  <c r="AM51" i="12" s="1"/>
  <c r="C52" i="12"/>
  <c r="E52" i="12"/>
  <c r="G52" i="12"/>
  <c r="R52" i="12"/>
  <c r="S52" i="12"/>
  <c r="T52" i="12" s="1"/>
  <c r="W52" i="12"/>
  <c r="AK52" i="12"/>
  <c r="AL52" i="12"/>
  <c r="AM52" i="12" s="1"/>
  <c r="C48" i="12"/>
  <c r="E48" i="12"/>
  <c r="G48" i="12"/>
  <c r="R48" i="12"/>
  <c r="S48" i="12"/>
  <c r="T48" i="12" s="1"/>
  <c r="W48" i="12"/>
  <c r="AK48" i="12"/>
  <c r="AL48" i="12"/>
  <c r="AM48" i="12" s="1"/>
  <c r="E42" i="12"/>
  <c r="C42" i="12"/>
  <c r="C43" i="12"/>
  <c r="C44" i="12"/>
  <c r="E43" i="12"/>
  <c r="E44" i="12"/>
  <c r="G42" i="12"/>
  <c r="G43" i="12"/>
  <c r="G44" i="12"/>
  <c r="R42" i="12"/>
  <c r="R43" i="12"/>
  <c r="R44" i="12"/>
  <c r="S42" i="12"/>
  <c r="T42" i="12" s="1"/>
  <c r="S43" i="12"/>
  <c r="T43" i="12" s="1"/>
  <c r="S44" i="12"/>
  <c r="T44" i="12" s="1"/>
  <c r="W42" i="12"/>
  <c r="W43" i="12"/>
  <c r="W44" i="12"/>
  <c r="AK42" i="12"/>
  <c r="AK43" i="12"/>
  <c r="AK44" i="12"/>
  <c r="AL42" i="12"/>
  <c r="AM42" i="12" s="1"/>
  <c r="AL43" i="12"/>
  <c r="AM43" i="12" s="1"/>
  <c r="AL44" i="12"/>
  <c r="AM44" i="12" s="1"/>
  <c r="C54" i="12"/>
  <c r="E54" i="12"/>
  <c r="G54" i="12"/>
  <c r="R54" i="12"/>
  <c r="S54" i="12"/>
  <c r="T54" i="12" s="1"/>
  <c r="W54" i="12"/>
  <c r="AK54" i="12"/>
  <c r="AL54" i="12"/>
  <c r="AM54" i="12" s="1"/>
  <c r="C50" i="12"/>
  <c r="E50" i="12"/>
  <c r="G50" i="12"/>
  <c r="R50" i="12"/>
  <c r="S50" i="12"/>
  <c r="T50" i="12" s="1"/>
  <c r="W50" i="12"/>
  <c r="AK50" i="12"/>
  <c r="AL50" i="12"/>
  <c r="AM50" i="12" s="1"/>
  <c r="C49" i="12"/>
  <c r="E49" i="12"/>
  <c r="G49" i="12"/>
  <c r="R49" i="12"/>
  <c r="S49" i="12"/>
  <c r="T49" i="12" s="1"/>
  <c r="W49" i="12"/>
  <c r="AK49" i="12"/>
  <c r="AL49" i="12"/>
  <c r="AM49" i="12" s="1"/>
  <c r="C39" i="12"/>
  <c r="E39" i="12"/>
  <c r="G39" i="12"/>
  <c r="R39" i="12"/>
  <c r="S39" i="12"/>
  <c r="T39" i="12" s="1"/>
  <c r="W39" i="12"/>
  <c r="AK39" i="12"/>
  <c r="AL39" i="12"/>
  <c r="AM39" i="12" s="1"/>
  <c r="C38" i="12"/>
  <c r="E38" i="12"/>
  <c r="G38" i="12"/>
  <c r="R38" i="12"/>
  <c r="S38" i="12"/>
  <c r="T38" i="12" s="1"/>
  <c r="W38" i="12"/>
  <c r="AK38" i="12"/>
  <c r="AL38" i="12"/>
  <c r="AM38" i="12" s="1"/>
  <c r="C37" i="12"/>
  <c r="E37" i="12"/>
  <c r="G37" i="12"/>
  <c r="R37" i="12"/>
  <c r="S37" i="12"/>
  <c r="T37" i="12" s="1"/>
  <c r="W37" i="12"/>
  <c r="AK37" i="12"/>
  <c r="AL37" i="12"/>
  <c r="AM37" i="12" s="1"/>
  <c r="C34" i="12"/>
  <c r="E34" i="12"/>
  <c r="G34" i="12"/>
  <c r="R34" i="12"/>
  <c r="S34" i="12"/>
  <c r="T34" i="12" s="1"/>
  <c r="W34" i="12"/>
  <c r="AK34" i="12"/>
  <c r="AL34" i="12"/>
  <c r="AM34" i="12" s="1"/>
  <c r="C33" i="12"/>
  <c r="E33" i="12"/>
  <c r="G33" i="12"/>
  <c r="R33" i="12"/>
  <c r="S33" i="12"/>
  <c r="T33" i="12" s="1"/>
  <c r="W33" i="12"/>
  <c r="AK33" i="12"/>
  <c r="AL33" i="12"/>
  <c r="AM33" i="12" s="1"/>
  <c r="C31" i="12"/>
  <c r="E31" i="12"/>
  <c r="G31" i="12"/>
  <c r="R31" i="12"/>
  <c r="S31" i="12"/>
  <c r="T31" i="12" s="1"/>
  <c r="W31" i="12"/>
  <c r="AK31" i="12"/>
  <c r="AL31" i="12"/>
  <c r="AM31" i="12" s="1"/>
  <c r="C32" i="12"/>
  <c r="E32" i="12"/>
  <c r="G32" i="12"/>
  <c r="R32" i="12"/>
  <c r="S32" i="12"/>
  <c r="T32" i="12" s="1"/>
  <c r="W32" i="12"/>
  <c r="AK32" i="12"/>
  <c r="AL32" i="12"/>
  <c r="AM32" i="12" s="1"/>
  <c r="C29" i="12"/>
  <c r="E29" i="12"/>
  <c r="G29" i="12"/>
  <c r="R29" i="12"/>
  <c r="S29" i="12"/>
  <c r="T29" i="12" s="1"/>
  <c r="W29" i="12"/>
  <c r="AK29" i="12"/>
  <c r="AL29" i="12"/>
  <c r="AM29" i="12" s="1"/>
  <c r="C30" i="12"/>
  <c r="E30" i="12"/>
  <c r="G30" i="12"/>
  <c r="R30" i="12"/>
  <c r="S30" i="12"/>
  <c r="T30" i="12" s="1"/>
  <c r="W30" i="12"/>
  <c r="AK30" i="12"/>
  <c r="AL30" i="12"/>
  <c r="AM30" i="12" s="1"/>
  <c r="C28" i="12"/>
  <c r="E28" i="12"/>
  <c r="G28" i="12"/>
  <c r="R28" i="12"/>
  <c r="S28" i="12"/>
  <c r="T28" i="12" s="1"/>
  <c r="W28" i="12"/>
  <c r="AK28" i="12"/>
  <c r="AL28" i="12"/>
  <c r="AM28" i="12" s="1"/>
  <c r="C27" i="12"/>
  <c r="E27" i="12"/>
  <c r="G27" i="12"/>
  <c r="R27" i="12"/>
  <c r="S27" i="12"/>
  <c r="T27" i="12" s="1"/>
  <c r="W27" i="12"/>
  <c r="AK27" i="12"/>
  <c r="AL27" i="12"/>
  <c r="AM27" i="12" s="1"/>
  <c r="C26" i="12"/>
  <c r="E26" i="12"/>
  <c r="G26" i="12"/>
  <c r="R26" i="12"/>
  <c r="S26" i="12"/>
  <c r="T26" i="12" s="1"/>
  <c r="W26" i="12"/>
  <c r="AK26" i="12"/>
  <c r="AL26" i="12"/>
  <c r="AM26" i="12" s="1"/>
  <c r="C25" i="12"/>
  <c r="E25" i="12"/>
  <c r="G25" i="12"/>
  <c r="R25" i="12"/>
  <c r="S25" i="12"/>
  <c r="T25" i="12" s="1"/>
  <c r="W25" i="12"/>
  <c r="AK25" i="12"/>
  <c r="AL25" i="12"/>
  <c r="AM25" i="12" s="1"/>
  <c r="C10" i="12"/>
  <c r="E10" i="12"/>
  <c r="G10" i="12"/>
  <c r="R10" i="12"/>
  <c r="S10" i="12"/>
  <c r="T10" i="12" s="1"/>
  <c r="W10" i="12"/>
  <c r="AK10" i="12"/>
  <c r="AL10" i="12"/>
  <c r="AM10" i="12" s="1"/>
  <c r="C22" i="12"/>
  <c r="E22" i="12"/>
  <c r="G22" i="12"/>
  <c r="R22" i="12"/>
  <c r="S22" i="12"/>
  <c r="T22" i="12" s="1"/>
  <c r="W22" i="12"/>
  <c r="AK22" i="12"/>
  <c r="AL22" i="12"/>
  <c r="AM22" i="12" s="1"/>
  <c r="C20" i="12"/>
  <c r="E20" i="12"/>
  <c r="G20" i="12"/>
  <c r="R20" i="12"/>
  <c r="S20" i="12"/>
  <c r="T20" i="12" s="1"/>
  <c r="W20" i="12"/>
  <c r="AK20" i="12"/>
  <c r="AL20" i="12"/>
  <c r="AM20" i="12" s="1"/>
  <c r="C21" i="12"/>
  <c r="E21" i="12"/>
  <c r="G21" i="12"/>
  <c r="R21" i="12"/>
  <c r="S21" i="12"/>
  <c r="T21" i="12" s="1"/>
  <c r="W21" i="12"/>
  <c r="AK21" i="12"/>
  <c r="AL21" i="12"/>
  <c r="AM21" i="12" s="1"/>
  <c r="C19" i="12"/>
  <c r="E19" i="12"/>
  <c r="G19" i="12"/>
  <c r="R19" i="12"/>
  <c r="S19" i="12"/>
  <c r="T19" i="12" s="1"/>
  <c r="W19" i="12"/>
  <c r="AK19" i="12"/>
  <c r="AL19" i="12"/>
  <c r="AM19" i="12" s="1"/>
  <c r="C17" i="12"/>
  <c r="E17" i="12"/>
  <c r="G17" i="12"/>
  <c r="R17" i="12"/>
  <c r="S17" i="12"/>
  <c r="T17" i="12" s="1"/>
  <c r="W17" i="12"/>
  <c r="AK17" i="12"/>
  <c r="AL17" i="12"/>
  <c r="AM17" i="12" s="1"/>
  <c r="C16" i="12"/>
  <c r="E16" i="12"/>
  <c r="G16" i="12"/>
  <c r="R16" i="12"/>
  <c r="S16" i="12"/>
  <c r="T16" i="12" s="1"/>
  <c r="W16" i="12"/>
  <c r="AK16" i="12"/>
  <c r="AL16" i="12"/>
  <c r="AM16" i="12" s="1"/>
  <c r="C15" i="12"/>
  <c r="E15" i="12"/>
  <c r="G15" i="12"/>
  <c r="R15" i="12"/>
  <c r="S15" i="12"/>
  <c r="T15" i="12" s="1"/>
  <c r="W15" i="12"/>
  <c r="AK15" i="12"/>
  <c r="AL15" i="12"/>
  <c r="AM15" i="12" s="1"/>
  <c r="C9" i="12"/>
  <c r="E9" i="12"/>
  <c r="G9" i="12"/>
  <c r="R9" i="12"/>
  <c r="S9" i="12"/>
  <c r="T9" i="12" s="1"/>
  <c r="W9" i="12"/>
  <c r="AK9" i="12"/>
  <c r="AL9" i="12"/>
  <c r="AM9" i="12" s="1"/>
  <c r="C14" i="12"/>
  <c r="E14" i="12"/>
  <c r="G14" i="12"/>
  <c r="R14" i="12"/>
  <c r="S14" i="12"/>
  <c r="T14" i="12" s="1"/>
  <c r="W14" i="12"/>
  <c r="AK14" i="12"/>
  <c r="AL14" i="12"/>
  <c r="AM14" i="12" s="1"/>
  <c r="C13" i="12"/>
  <c r="E13" i="12"/>
  <c r="G13" i="12"/>
  <c r="R13" i="12"/>
  <c r="S13" i="12"/>
  <c r="T13" i="12" s="1"/>
  <c r="W13" i="12"/>
  <c r="AK13" i="12"/>
  <c r="AL13" i="12"/>
  <c r="AM13" i="12" s="1"/>
  <c r="C8" i="12"/>
  <c r="E8" i="12"/>
  <c r="G8" i="12"/>
  <c r="R8" i="12"/>
  <c r="S8" i="12"/>
  <c r="T8" i="12" s="1"/>
  <c r="W8" i="12"/>
  <c r="AK8" i="12"/>
  <c r="AL8" i="12"/>
  <c r="AM8" i="12" s="1"/>
  <c r="AN57" i="12" l="1"/>
  <c r="AN19" i="12"/>
  <c r="AN49" i="12"/>
  <c r="AN50" i="12"/>
  <c r="AN51" i="12"/>
  <c r="AN58" i="12"/>
  <c r="AN61" i="12"/>
  <c r="AN11" i="12"/>
  <c r="AN35" i="12"/>
  <c r="AN41" i="12"/>
  <c r="AN47" i="12"/>
  <c r="AN36" i="12"/>
  <c r="AN48" i="12"/>
  <c r="AO56" i="12"/>
  <c r="AP56" i="12" s="1"/>
  <c r="AN28" i="12"/>
  <c r="AN33" i="12"/>
  <c r="AN38" i="12"/>
  <c r="AN39" i="12"/>
  <c r="AN59" i="12"/>
  <c r="AN24" i="12"/>
  <c r="AN54" i="12"/>
  <c r="AN52" i="12"/>
  <c r="AN60" i="12"/>
  <c r="AN55" i="12"/>
  <c r="AN53" i="12"/>
  <c r="AN45" i="12"/>
  <c r="AN46" i="12"/>
  <c r="AN44" i="12"/>
  <c r="AN43" i="12"/>
  <c r="AN15" i="12"/>
  <c r="AN23" i="12"/>
  <c r="AN17" i="12"/>
  <c r="AN25" i="12"/>
  <c r="AN8" i="12"/>
  <c r="AO13" i="12"/>
  <c r="AP13" i="12" s="1"/>
  <c r="AN14" i="12"/>
  <c r="AN9" i="12"/>
  <c r="AN37" i="12"/>
  <c r="AO21" i="12"/>
  <c r="AP21" i="12" s="1"/>
  <c r="AN20" i="12"/>
  <c r="AO22" i="12"/>
  <c r="AP22" i="12" s="1"/>
  <c r="AN10" i="12"/>
  <c r="AN27" i="12"/>
  <c r="AN30" i="12"/>
  <c r="AN29" i="12"/>
  <c r="AN32" i="12"/>
  <c r="AN31" i="12"/>
  <c r="AO42" i="12"/>
  <c r="AP42" i="12" s="1"/>
  <c r="AN16" i="12"/>
  <c r="AN26" i="12"/>
  <c r="AN34" i="12"/>
  <c r="U27" i="12"/>
  <c r="U52" i="12"/>
  <c r="X51" i="12"/>
  <c r="Y51" i="12" s="1"/>
  <c r="U54" i="12"/>
  <c r="U53" i="12"/>
  <c r="X61" i="12"/>
  <c r="Y61" i="12" s="1"/>
  <c r="U60" i="12"/>
  <c r="U59" i="12"/>
  <c r="X58" i="12"/>
  <c r="Y58" i="12" s="1"/>
  <c r="U57" i="12"/>
  <c r="X56" i="12"/>
  <c r="Y56" i="12" s="1"/>
  <c r="X55" i="12"/>
  <c r="Y55" i="12" s="1"/>
  <c r="U50" i="12"/>
  <c r="U49" i="12"/>
  <c r="X48" i="12"/>
  <c r="Y48" i="12" s="1"/>
  <c r="U47" i="12"/>
  <c r="U44" i="12"/>
  <c r="U46" i="12"/>
  <c r="U45" i="12"/>
  <c r="U43" i="12"/>
  <c r="U42" i="12"/>
  <c r="X47" i="12"/>
  <c r="Y47" i="12" s="1"/>
  <c r="X37" i="12"/>
  <c r="Y37" i="12" s="1"/>
  <c r="U38" i="12"/>
  <c r="X41" i="12"/>
  <c r="Y41" i="12" s="1"/>
  <c r="U39" i="12"/>
  <c r="U41" i="12"/>
  <c r="X33" i="12"/>
  <c r="Y33" i="12" s="1"/>
  <c r="U32" i="12"/>
  <c r="U31" i="12"/>
  <c r="U36" i="12"/>
  <c r="X35" i="12"/>
  <c r="Y35" i="12" s="1"/>
  <c r="X30" i="12"/>
  <c r="Y30" i="12" s="1"/>
  <c r="U34" i="12"/>
  <c r="X29" i="12"/>
  <c r="Y29" i="12" s="1"/>
  <c r="X36" i="12"/>
  <c r="Y36" i="12" s="1"/>
  <c r="U14" i="12"/>
  <c r="U15" i="12"/>
  <c r="U28" i="12"/>
  <c r="U26" i="12"/>
  <c r="U25" i="12"/>
  <c r="X24" i="12"/>
  <c r="Y24" i="12" s="1"/>
  <c r="U23" i="12"/>
  <c r="U22" i="12"/>
  <c r="U21" i="12"/>
  <c r="U20" i="12"/>
  <c r="U19" i="12"/>
  <c r="U17" i="12"/>
  <c r="X16" i="12"/>
  <c r="Y16" i="12" s="1"/>
  <c r="U13" i="12"/>
  <c r="U9" i="12"/>
  <c r="U10" i="12"/>
  <c r="U35" i="12"/>
  <c r="U8" i="12"/>
  <c r="X11" i="12"/>
  <c r="Y11" i="12" s="1"/>
  <c r="AO36" i="12"/>
  <c r="AP36" i="12" s="1"/>
  <c r="AO47" i="12"/>
  <c r="AP47" i="12" s="1"/>
  <c r="AO41" i="12"/>
  <c r="AP41" i="12" s="1"/>
  <c r="AO35" i="12"/>
  <c r="AP35" i="12" s="1"/>
  <c r="AO11" i="12"/>
  <c r="AP11" i="12" s="1"/>
  <c r="U61" i="12"/>
  <c r="U11" i="12"/>
  <c r="AO61" i="12"/>
  <c r="AP61" i="12" s="1"/>
  <c r="X53" i="12"/>
  <c r="Y53" i="12" s="1"/>
  <c r="X23" i="12"/>
  <c r="Y23" i="12" s="1"/>
  <c r="AO59" i="12"/>
  <c r="AP59" i="12" s="1"/>
  <c r="U24" i="12"/>
  <c r="AO53" i="12"/>
  <c r="AP53" i="12" s="1"/>
  <c r="AO24" i="12"/>
  <c r="AP24" i="12" s="1"/>
  <c r="X59" i="12"/>
  <c r="Y59" i="12" s="1"/>
  <c r="X60" i="12"/>
  <c r="Y60" i="12" s="1"/>
  <c r="AO23" i="12"/>
  <c r="AP23" i="12" s="1"/>
  <c r="AO62" i="12"/>
  <c r="AP62" i="12" s="1"/>
  <c r="AO60" i="12"/>
  <c r="AP60" i="12" s="1"/>
  <c r="X62" i="12"/>
  <c r="Y62" i="12" s="1"/>
  <c r="X46" i="12"/>
  <c r="Y46" i="12" s="1"/>
  <c r="AO58" i="12"/>
  <c r="AP58" i="12" s="1"/>
  <c r="X45" i="12"/>
  <c r="Y45" i="12" s="1"/>
  <c r="AN56" i="12"/>
  <c r="U56" i="12"/>
  <c r="AO46" i="12"/>
  <c r="AP46" i="12" s="1"/>
  <c r="X57" i="12"/>
  <c r="Y57" i="12" s="1"/>
  <c r="U55" i="12"/>
  <c r="AO45" i="12"/>
  <c r="AP45" i="12" s="1"/>
  <c r="X52" i="12"/>
  <c r="Y52" i="12" s="1"/>
  <c r="AO57" i="12"/>
  <c r="AP57" i="12" s="1"/>
  <c r="U58" i="12"/>
  <c r="X42" i="12"/>
  <c r="Y42" i="12" s="1"/>
  <c r="U51" i="12"/>
  <c r="AO55" i="12"/>
  <c r="AP55" i="12" s="1"/>
  <c r="AO51" i="12"/>
  <c r="AP51" i="12" s="1"/>
  <c r="AO52" i="12"/>
  <c r="AP52" i="12" s="1"/>
  <c r="X44" i="12"/>
  <c r="Y44" i="12" s="1"/>
  <c r="AO48" i="12"/>
  <c r="AP48" i="12" s="1"/>
  <c r="X43" i="12"/>
  <c r="Y43" i="12" s="1"/>
  <c r="AO49" i="12"/>
  <c r="AP49" i="12" s="1"/>
  <c r="AO44" i="12"/>
  <c r="AP44" i="12" s="1"/>
  <c r="U48" i="12"/>
  <c r="X50" i="12"/>
  <c r="Y50" i="12" s="1"/>
  <c r="X54" i="12"/>
  <c r="Y54" i="12" s="1"/>
  <c r="AN42" i="12"/>
  <c r="AO43" i="12"/>
  <c r="AP43" i="12" s="1"/>
  <c r="X39" i="12"/>
  <c r="Y39" i="12" s="1"/>
  <c r="AO54" i="12"/>
  <c r="AP54" i="12" s="1"/>
  <c r="X49" i="12"/>
  <c r="Y49" i="12" s="1"/>
  <c r="X38" i="12"/>
  <c r="Y38" i="12" s="1"/>
  <c r="AO50" i="12"/>
  <c r="AP50" i="12" s="1"/>
  <c r="X34" i="12"/>
  <c r="Y34" i="12" s="1"/>
  <c r="AO37" i="12"/>
  <c r="AP37" i="12" s="1"/>
  <c r="AO38" i="12"/>
  <c r="AP38" i="12" s="1"/>
  <c r="AO39" i="12"/>
  <c r="AP39" i="12" s="1"/>
  <c r="U37" i="12"/>
  <c r="U29" i="12"/>
  <c r="AO34" i="12"/>
  <c r="AP34" i="12" s="1"/>
  <c r="AO29" i="12"/>
  <c r="AP29" i="12" s="1"/>
  <c r="X32" i="12"/>
  <c r="Y32" i="12" s="1"/>
  <c r="AO33" i="12"/>
  <c r="AP33" i="12" s="1"/>
  <c r="X31" i="12"/>
  <c r="Y31" i="12" s="1"/>
  <c r="U33" i="12"/>
  <c r="U30" i="12"/>
  <c r="AO31" i="12"/>
  <c r="AP31" i="12" s="1"/>
  <c r="AO32" i="12"/>
  <c r="AP32" i="12" s="1"/>
  <c r="X28" i="12"/>
  <c r="Y28" i="12" s="1"/>
  <c r="AO30" i="12"/>
  <c r="AP30" i="12" s="1"/>
  <c r="X27" i="12"/>
  <c r="Y27" i="12" s="1"/>
  <c r="X25" i="12"/>
  <c r="Y25" i="12" s="1"/>
  <c r="AO28" i="12"/>
  <c r="AP28" i="12" s="1"/>
  <c r="X26" i="12"/>
  <c r="Y26" i="12" s="1"/>
  <c r="AO27" i="12"/>
  <c r="AP27" i="12" s="1"/>
  <c r="AO26" i="12"/>
  <c r="AP26" i="12" s="1"/>
  <c r="X10" i="12"/>
  <c r="Y10" i="12" s="1"/>
  <c r="AO25" i="12"/>
  <c r="AP25" i="12" s="1"/>
  <c r="AN22" i="12"/>
  <c r="X19" i="12"/>
  <c r="Y19" i="12" s="1"/>
  <c r="AO10" i="12"/>
  <c r="AP10" i="12" s="1"/>
  <c r="AN21" i="12"/>
  <c r="AO20" i="12"/>
  <c r="AP20" i="12" s="1"/>
  <c r="X22" i="12"/>
  <c r="Y22" i="12" s="1"/>
  <c r="X20" i="12"/>
  <c r="Y20" i="12" s="1"/>
  <c r="X21" i="12"/>
  <c r="Y21" i="12" s="1"/>
  <c r="X17" i="12"/>
  <c r="Y17" i="12" s="1"/>
  <c r="AO19" i="12"/>
  <c r="AP19" i="12" s="1"/>
  <c r="AO17" i="12"/>
  <c r="AP17" i="12" s="1"/>
  <c r="X15" i="12"/>
  <c r="Y15" i="12" s="1"/>
  <c r="X14" i="12"/>
  <c r="Y14" i="12" s="1"/>
  <c r="AO16" i="12"/>
  <c r="AP16" i="12" s="1"/>
  <c r="U16" i="12"/>
  <c r="X9" i="12"/>
  <c r="Y9" i="12" s="1"/>
  <c r="AO15" i="12"/>
  <c r="AP15" i="12" s="1"/>
  <c r="AO9" i="12"/>
  <c r="AP9" i="12" s="1"/>
  <c r="AN13" i="12"/>
  <c r="X13" i="12"/>
  <c r="Y13" i="12" s="1"/>
  <c r="X8" i="12"/>
  <c r="Y8" i="12" s="1"/>
  <c r="AO14" i="12"/>
  <c r="AP14" i="12" s="1"/>
  <c r="AO8" i="12"/>
  <c r="AP8" i="12" s="1"/>
  <c r="C7" i="12"/>
  <c r="E7" i="12"/>
  <c r="G7" i="12"/>
  <c r="R7" i="12"/>
  <c r="S7" i="12"/>
  <c r="T7" i="12" s="1"/>
  <c r="W7" i="12"/>
  <c r="AK7" i="12"/>
  <c r="AL7" i="12"/>
  <c r="AM7" i="12" s="1"/>
  <c r="C6" i="12"/>
  <c r="E6" i="12"/>
  <c r="G6" i="12"/>
  <c r="R6" i="12"/>
  <c r="S6" i="12"/>
  <c r="T6" i="12" s="1"/>
  <c r="W6" i="12"/>
  <c r="AK6" i="12"/>
  <c r="AL6" i="12"/>
  <c r="AM6" i="12" s="1"/>
  <c r="G5" i="12"/>
  <c r="AN6" i="12" l="1"/>
  <c r="AN7" i="12"/>
  <c r="X7" i="12"/>
  <c r="Y7" i="12" s="1"/>
  <c r="U6" i="12"/>
  <c r="U7" i="12"/>
  <c r="AO7" i="12"/>
  <c r="AP7" i="12" s="1"/>
  <c r="X6" i="12"/>
  <c r="Y6" i="12" s="1"/>
  <c r="AO6" i="12"/>
  <c r="AP6" i="12" s="1"/>
  <c r="G40" i="12"/>
  <c r="G18" i="12"/>
  <c r="G12" i="12"/>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12" i="12"/>
  <c r="E6" i="21" s="1"/>
  <c r="E18" i="12"/>
  <c r="E40" i="12"/>
  <c r="C5" i="21"/>
  <c r="C12" i="12"/>
  <c r="C18" i="12"/>
  <c r="C40" i="12"/>
  <c r="E9" i="21" l="1"/>
  <c r="E8" i="21"/>
  <c r="C9" i="21"/>
  <c r="C8" i="21"/>
  <c r="C7" i="21"/>
  <c r="C6" i="21"/>
  <c r="E7" i="21"/>
  <c r="E5" i="21"/>
  <c r="W40" i="12"/>
  <c r="W18" i="12"/>
  <c r="W12" i="12"/>
  <c r="R40" i="12" l="1"/>
  <c r="R5" i="12" l="1"/>
  <c r="R12" i="12"/>
  <c r="R18" i="12"/>
  <c r="AL40" i="12"/>
  <c r="AL18" i="12"/>
  <c r="AL12" i="12"/>
  <c r="AK40" i="12"/>
  <c r="AK18" i="12"/>
  <c r="AK12" i="12"/>
  <c r="AK5" i="12" l="1"/>
  <c r="AM40" i="12" l="1"/>
  <c r="AM18" i="12"/>
  <c r="AM12" i="12"/>
  <c r="AL5" i="12"/>
  <c r="AM5" i="12" s="1"/>
  <c r="AN5" i="12" s="1"/>
  <c r="AN12" i="12" l="1"/>
  <c r="AN40" i="12"/>
  <c r="AN18" i="12"/>
  <c r="G8" i="21"/>
  <c r="G6" i="21"/>
  <c r="G7" i="21" l="1"/>
  <c r="G9" i="21"/>
  <c r="AO40" i="12"/>
  <c r="AP40" i="12" s="1"/>
  <c r="L8" i="21" s="1"/>
  <c r="AO18" i="12"/>
  <c r="AP18" i="12" s="1"/>
  <c r="AO12" i="12"/>
  <c r="AP12" i="12" s="1"/>
  <c r="L7" i="21" l="1"/>
  <c r="L9" i="21"/>
  <c r="S40" i="12"/>
  <c r="T40" i="12" s="1"/>
  <c r="U40" i="12" s="1"/>
  <c r="S18" i="12"/>
  <c r="T18" i="12" s="1"/>
  <c r="S12" i="12"/>
  <c r="T12" i="12" s="1"/>
  <c r="X18" i="12" l="1"/>
  <c r="X12" i="12"/>
  <c r="X40" i="12"/>
  <c r="U12" i="12"/>
  <c r="U18" i="12"/>
  <c r="S5" i="12"/>
  <c r="T5" i="12" s="1"/>
  <c r="U5" i="12" l="1"/>
  <c r="W5" i="12" l="1"/>
  <c r="G5" i="21"/>
  <c r="X5" i="12" l="1"/>
  <c r="AO5" i="12"/>
  <c r="AP5" i="12" s="1"/>
  <c r="L5" i="21" l="1"/>
  <c r="L6" i="21"/>
  <c r="Y12" i="12"/>
  <c r="J6" i="21" s="1"/>
  <c r="Y18" i="12"/>
  <c r="Y40" i="12"/>
  <c r="Y5" i="12"/>
  <c r="J5" i="21" s="1"/>
  <c r="J8" i="21" l="1"/>
  <c r="J7"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tc={5B424D5A-FF05-4A09-8095-453760AD3CAD}</author>
    <author>tc={17B7D763-4DC8-4B7E-807B-4621B78BB4AF}</author>
    <author>tc={0F54170B-0B62-4D76-B3DE-8728083215B5}</author>
    <author>tc={BA551AEA-8FD1-410A-A372-D6570D622204}</author>
    <author>tc={149A1916-D894-4EF0-B358-9F2136679947}</author>
    <author>tc={0FF1A018-AED1-4CE3-A71E-DD93811FC90C}</author>
    <author>tc={C9D5C198-31B4-46CB-9A79-52E6C77F05D8}</author>
    <author>tc={8B7CC49C-18F2-4500-ADB2-3BFFBBF31019}</author>
    <author>tc={A061E1EA-0017-4478-AD87-436F1D6C4460}</author>
    <author>tc={777AECFC-5C89-4DFA-B9E8-1C0FC889E194}</author>
    <author>tc={31769957-AC71-4D10-951F-27138CDBEA73}</author>
    <author>tc={FC896880-8533-44BC-81FF-EDAC9EBF0BDC}</author>
    <author>tc={2A36A496-887F-42CB-9ACA-1232B227E68E}</author>
    <author>tc={05D527FC-38C8-4947-8DF1-1987BF64A12B}</author>
    <author>tc={163E962F-DEC8-417E-BE70-EA8B3E44C47B}</author>
    <author>tc={C224C9F4-5E5C-4B3F-822F-B9C624A47470}</author>
    <author>tc={0915E130-9FA5-4D89-91A9-2409D9E7AD74}</author>
  </authors>
  <commentList>
    <comment ref="AA6" authorId="0" shapeId="0" xr:uid="{5B424D5A-FF05-4A09-8095-453760AD3CAD}">
      <text>
        <t>[Threaded comment]
Your version of Excel allows you to read this threaded comment; however, any edits to it will get removed if the file is opened in a newer version of Excel. Learn more: https://go.microsoft.com/fwlink/?linkid=870924
Comment:
    #Gaurav for 4th point "Application should be updated with the latest version of dependencies" add a refrence.
Reply:
    Updated with 4.1</t>
      </text>
    </comment>
    <comment ref="AA8" authorId="1" shapeId="0" xr:uid="{17B7D763-4DC8-4B7E-807B-4621B78BB4AF}">
      <text>
        <t>[Threaded comment]
Your version of Excel allows you to read this threaded comment; however, any edits to it will get removed if the file is opened in a newer version of Excel. Learn more: https://go.microsoft.com/fwlink/?linkid=870924
Comment:
    # Gaurav add the refrences properly. we have added the verififcation. Just go through it and create a cross reference. These points are technical so kindly see to it.
Reply:
    Updated with correct section</t>
      </text>
    </comment>
    <comment ref="AB8" authorId="2" shapeId="0" xr:uid="{0F54170B-0B62-4D76-B3DE-8728083215B5}">
      <text>
        <t>[Threaded comment]
Your version of Excel allows you to read this threaded comment; however, any edits to it will get removed if the file is opened in a newer version of Excel. Learn more: https://go.microsoft.com/fwlink/?linkid=870924
Comment:
    #gaurav give a number to this point</t>
      </text>
    </comment>
    <comment ref="AA11" authorId="3" shapeId="0" xr:uid="{BA551AEA-8FD1-410A-A372-D6570D622204}">
      <text>
        <t>[Threaded comment]
Your version of Excel allows you to read this threaded comment; however, any edits to it will get removed if the file is opened in a newer version of Excel. Learn more: https://go.microsoft.com/fwlink/?linkid=870924
Comment:
    #gaurav fill the reference for 4th point</t>
      </text>
    </comment>
    <comment ref="AA13" authorId="4" shapeId="0" xr:uid="{149A1916-D894-4EF0-B358-9F2136679947}">
      <text>
        <t>[Threaded comment]
Your version of Excel allows you to read this threaded comment; however, any edits to it will get removed if the file is opened in a newer version of Excel. Learn more: https://go.microsoft.com/fwlink/?linkid=870924
Comment:
    #Gaurav for 4th point "Application should be updated with the latest version of dependencies" add a refrence.</t>
      </text>
    </comment>
    <comment ref="AA15" authorId="5" shapeId="0" xr:uid="{0FF1A018-AED1-4CE3-A71E-DD93811FC90C}">
      <text>
        <t>[Threaded comment]
Your version of Excel allows you to read this threaded comment; however, any edits to it will get removed if the file is opened in a newer version of Excel. Learn more: https://go.microsoft.com/fwlink/?linkid=870924
Comment:
    #Gaurav for 4th point "Application should be updated with the latest version of dependencies" add a refrence.</t>
      </text>
    </comment>
    <comment ref="AA20" authorId="6" shapeId="0" xr:uid="{C9D5C198-31B4-46CB-9A79-52E6C77F05D8}">
      <text>
        <t>[Threaded comment]
Your version of Excel allows you to read this threaded comment; however, any edits to it will get removed if the file is opened in a newer version of Excel. Learn more: https://go.microsoft.com/fwlink/?linkid=870924
Comment:
    # Gaurav add reference for 3.1
Reply:
    Updated</t>
      </text>
    </comment>
    <comment ref="AA21" authorId="7" shapeId="0" xr:uid="{8B7CC49C-18F2-4500-ADB2-3BFFBBF31019}">
      <text>
        <t>[Threaded comment]
Your version of Excel allows you to read this threaded comment; however, any edits to it will get removed if the file is opened in a newer version of Excel. Learn more: https://go.microsoft.com/fwlink/?linkid=870924
Comment:
    #gaurav Please add reference to point 2.1 and 4.1</t>
      </text>
    </comment>
    <comment ref="AA30" authorId="8" shapeId="0" xr:uid="{A061E1EA-0017-4478-AD87-436F1D6C4460}">
      <text>
        <t>[Threaded comment]
Your version of Excel allows you to read this threaded comment; however, any edits to it will get removed if the file is opened in a newer version of Excel. Learn more: https://go.microsoft.com/fwlink/?linkid=870924
Comment:
    #Gaurav add reference for point 2
Reply:
    Updated</t>
      </text>
    </comment>
    <comment ref="AA33" authorId="9" shapeId="0" xr:uid="{777AECFC-5C89-4DFA-B9E8-1C0FC889E194}">
      <text>
        <t>[Threaded comment]
Your version of Excel allows you to read this threaded comment; however, any edits to it will get removed if the file is opened in a newer version of Excel. Learn more: https://go.microsoft.com/fwlink/?linkid=870924
Comment:
    #Gaurav please add reference here point no. 2
Reply:
    Updated</t>
      </text>
    </comment>
    <comment ref="AA40" authorId="10" shapeId="0" xr:uid="{31769957-AC71-4D10-951F-27138CDBEA73}">
      <text>
        <t>[Threaded comment]
Your version of Excel allows you to read this threaded comment; however, any edits to it will get removed if the file is opened in a newer version of Excel. Learn more: https://go.microsoft.com/fwlink/?linkid=870924
Comment:
    #Gaurav there are no reference for point 1
Reply:
    Updated</t>
      </text>
    </comment>
    <comment ref="AA45" authorId="11" shapeId="0" xr:uid="{FC896880-8533-44BC-81FF-EDAC9EBF0BDC}">
      <text>
        <t>[Threaded comment]
Your version of Excel allows you to read this threaded comment; however, any edits to it will get removed if the file is opened in a newer version of Excel. Learn more: https://go.microsoft.com/fwlink/?linkid=870924
Comment:
    #Gaurav please add proper points to document references
Reply:
    Updated</t>
      </text>
    </comment>
    <comment ref="AA46" authorId="12" shapeId="0" xr:uid="{2A36A496-887F-42CB-9ACA-1232B227E68E}">
      <text>
        <t>[Threaded comment]
Your version of Excel allows you to read this threaded comment; however, any edits to it will get removed if the file is opened in a newer version of Excel. Learn more: https://go.microsoft.com/fwlink/?linkid=870924
Comment:
    #gaurav Please provide reference for the point 1. The one given here is taking about the access management but it is related to license data. So please check if its applicable here
Reply:
    updated</t>
      </text>
    </comment>
    <comment ref="AA47" authorId="13" shapeId="0" xr:uid="{05D527FC-38C8-4947-8DF1-1987BF64A12B}">
      <text>
        <t>[Threaded comment]
Your version of Excel allows you to read this threaded comment; however, any edits to it will get removed if the file is opened in a newer version of Excel. Learn more: https://go.microsoft.com/fwlink/?linkid=870924
Comment:
    #gaurav please provide reference for [1.1] if applicable.
Reply:
    updated</t>
      </text>
    </comment>
    <comment ref="AA48" authorId="14" shapeId="0" xr:uid="{163E962F-DEC8-417E-BE70-EA8B3E44C47B}">
      <text>
        <t>[Threaded comment]
Your version of Excel allows you to read this threaded comment; however, any edits to it will get removed if the file is opened in a newer version of Excel. Learn more: https://go.microsoft.com/fwlink/?linkid=870924
Comment:
    #Gaurav please add a reference for point 4</t>
      </text>
    </comment>
    <comment ref="AA55" authorId="15" shapeId="0" xr:uid="{C224C9F4-5E5C-4B3F-822F-B9C624A47470}">
      <text>
        <t>[Threaded comment]
Your version of Excel allows you to read this threaded comment; however, any edits to it will get removed if the file is opened in a newer version of Excel. Learn more: https://go.microsoft.com/fwlink/?linkid=870924
Comment:
    #Gaurav kindly fill refrence for 2.1 and 3.1</t>
      </text>
    </comment>
    <comment ref="AA57" authorId="16" shapeId="0" xr:uid="{0915E130-9FA5-4D89-91A9-2409D9E7AD74}">
      <text>
        <t>[Threaded comment]
Your version of Excel allows you to read this threaded comment; however, any edits to it will get removed if the file is opened in a newer version of Excel. Learn more: https://go.microsoft.com/fwlink/?linkid=870924
Comment:
    #Gaurav please provide reference for point 1</t>
      </text>
    </comment>
  </commentList>
</comments>
</file>

<file path=xl/sharedStrings.xml><?xml version="1.0" encoding="utf-8"?>
<sst xmlns="http://schemas.openxmlformats.org/spreadsheetml/2006/main" count="1877" uniqueCount="501">
  <si>
    <t>System &amp; Asset Identification</t>
  </si>
  <si>
    <t xml:space="preserve">Medical Device / System: </t>
  </si>
  <si>
    <t>Scope:</t>
  </si>
  <si>
    <t>Date:</t>
  </si>
  <si>
    <t xml:space="preserve">Conducted by: </t>
  </si>
  <si>
    <t>ID #</t>
  </si>
  <si>
    <t>Asset Type
(Information/Physical)</t>
  </si>
  <si>
    <t>Asset</t>
  </si>
  <si>
    <t>Asset Description</t>
  </si>
  <si>
    <t>Comments</t>
  </si>
  <si>
    <t>A01</t>
  </si>
  <si>
    <t>Physical Asset</t>
  </si>
  <si>
    <t>User Laptop</t>
  </si>
  <si>
    <t xml:space="preserve">Utilizing computer resources and computing power by adversary, allows various general purpose attacks, such as  incl. denial of service attacks (Ransomware deployment, Bitcoin Mining, abuse of peripheral devices such as WebCam, Microphones, etc., ). </t>
  </si>
  <si>
    <t>Outside of Trust Boundary. May include guidance in SOM for this asset, if appriopriate</t>
  </si>
  <si>
    <t>A02</t>
  </si>
  <si>
    <t xml:space="preserve">USB Drive </t>
  </si>
  <si>
    <t>Utilizing usb drive by adversary, allows various general purpose attacks, such malware , virus attacks etc</t>
  </si>
  <si>
    <t>A03</t>
  </si>
  <si>
    <t>Information asset</t>
  </si>
  <si>
    <t>User Password / Credentials</t>
  </si>
  <si>
    <t xml:space="preserve">User Passwords/Credentials provide access to ePHI, Software Binaries, read access to config files. </t>
  </si>
  <si>
    <t>A04</t>
  </si>
  <si>
    <t>THOR Knee Planning Application</t>
  </si>
  <si>
    <t>Contains Knee Planning software which controls the overall features for segmentation, landmark planning, implant size calculation etc.</t>
  </si>
  <si>
    <t>A05</t>
  </si>
  <si>
    <t>Patient Personal and Health data</t>
  </si>
  <si>
    <t>DICOM data stored on hard disk after import. Contains patient identity, DOB, Age/Gender, image data</t>
  </si>
  <si>
    <t>A06</t>
  </si>
  <si>
    <t>Laptop Operating System</t>
  </si>
  <si>
    <t>Information about internals of the system (Device identification, software versions, supported protocols, etc.)</t>
  </si>
  <si>
    <t>A07</t>
  </si>
  <si>
    <t>Implant Database</t>
  </si>
  <si>
    <t>Database of Stryker implants</t>
  </si>
  <si>
    <t>A08</t>
  </si>
  <si>
    <t>Network Location</t>
  </si>
  <si>
    <t>Network location where the CT Dicom data is stored</t>
  </si>
  <si>
    <t>A09</t>
  </si>
  <si>
    <t>Information Asset</t>
  </si>
  <si>
    <t>Application Settings</t>
  </si>
  <si>
    <t>Application specific configuration settings</t>
  </si>
  <si>
    <t>A10</t>
  </si>
  <si>
    <t>User Settings</t>
  </si>
  <si>
    <t>User specific configuration settings</t>
  </si>
  <si>
    <t>A11</t>
  </si>
  <si>
    <t>Log Files</t>
  </si>
  <si>
    <t>Log files containing application errors and debug logs</t>
  </si>
  <si>
    <t>A12</t>
  </si>
  <si>
    <t>Statistical Model</t>
  </si>
  <si>
    <t>A13</t>
  </si>
  <si>
    <t>Translation data</t>
  </si>
  <si>
    <t>GUI specific japanese translation files</t>
  </si>
  <si>
    <t>A14</t>
  </si>
  <si>
    <t>User License data</t>
  </si>
  <si>
    <t>Application instance specific license data</t>
  </si>
  <si>
    <t>A15</t>
  </si>
  <si>
    <t>Security keys, tokens, certificates</t>
  </si>
  <si>
    <t>Encryption keys and tokens</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</si>
  <si>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</si>
  <si>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</si>
  <si>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</si>
  <si>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</si>
  <si>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</si>
  <si>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</si>
  <si>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</si>
  <si>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</si>
  <si>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</si>
  <si>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Ineffective management of user credentials</t>
  </si>
  <si>
    <t>Yes</t>
  </si>
  <si>
    <t>n/a</t>
  </si>
  <si>
    <t>V02</t>
  </si>
  <si>
    <t>Improper Authentication</t>
  </si>
  <si>
    <t>V03</t>
  </si>
  <si>
    <t>Improper Input Validation</t>
  </si>
  <si>
    <t>V04</t>
  </si>
  <si>
    <t>Unprotected Storage of Credential</t>
  </si>
  <si>
    <t>SBOM</t>
  </si>
  <si>
    <t>V11</t>
  </si>
  <si>
    <t>Unpatched COTS operating system</t>
  </si>
  <si>
    <t>V12</t>
  </si>
  <si>
    <t>UnProtected Application Binaries</t>
  </si>
  <si>
    <t>V13</t>
  </si>
  <si>
    <t>Ineffective patch management</t>
  </si>
  <si>
    <t>Security Operations Manual</t>
  </si>
  <si>
    <t>V14</t>
  </si>
  <si>
    <t>Lack of software vulnerability management</t>
  </si>
  <si>
    <t>V15</t>
  </si>
  <si>
    <t xml:space="preserve"> 3rd Party Component Dependency</t>
  </si>
  <si>
    <t>V16</t>
  </si>
  <si>
    <t>Embed Virus into Binary or Embedded Malicious Code</t>
  </si>
  <si>
    <t>V17</t>
  </si>
  <si>
    <t>Hidden Functionality</t>
  </si>
  <si>
    <t>Access points</t>
  </si>
  <si>
    <t>V21</t>
  </si>
  <si>
    <t>Unprotected network port</t>
  </si>
  <si>
    <t>V22</t>
  </si>
  <si>
    <t>Unprotected external USB Port</t>
  </si>
  <si>
    <t>V23</t>
  </si>
  <si>
    <t>Unprotected external CD/DVD Drive</t>
  </si>
  <si>
    <t>V24</t>
  </si>
  <si>
    <t>Unprotected Physical storage of Laptop</t>
  </si>
  <si>
    <t>V25</t>
  </si>
  <si>
    <t>Unprotected public network connections</t>
  </si>
  <si>
    <t>V26</t>
  </si>
  <si>
    <t>Lack of monitoring mechanisms</t>
  </si>
  <si>
    <t>Data</t>
  </si>
  <si>
    <t>V31</t>
  </si>
  <si>
    <t>Insecure Storage of Sensitive Information</t>
  </si>
  <si>
    <t>V32</t>
  </si>
  <si>
    <t>Unencrypted ePHI in flight</t>
  </si>
  <si>
    <t>No</t>
  </si>
  <si>
    <t>No network related transmission of data by the application</t>
  </si>
  <si>
    <t>V33</t>
  </si>
  <si>
    <t>Use of a Broken or Risky Cryptographic Algorithm or Inadequate encryption strength</t>
  </si>
  <si>
    <t>V34</t>
  </si>
  <si>
    <t>Exposure of Private Information</t>
  </si>
  <si>
    <t>V35</t>
  </si>
  <si>
    <t>Sensitive Data Storage in Improperly Locked Memory</t>
  </si>
  <si>
    <t>V36</t>
  </si>
  <si>
    <t>Lack of fault reports recorded in administrator and operator logs</t>
  </si>
  <si>
    <t>V37</t>
  </si>
  <si>
    <t>Log Files: Audit Log Manipulation, Log Injection-Tampering-Forging</t>
  </si>
  <si>
    <t>V38</t>
  </si>
  <si>
    <t>Information Exposure Through Log Files</t>
  </si>
  <si>
    <t>InSecure Configurations of Resources</t>
  </si>
  <si>
    <t>V40</t>
  </si>
  <si>
    <t>Lack of efficient configuration change control</t>
  </si>
  <si>
    <t>V41</t>
  </si>
  <si>
    <t xml:space="preserve">Malicious Software Download </t>
  </si>
  <si>
    <t>V42</t>
  </si>
  <si>
    <t>Malicious Automated Software Update</t>
  </si>
  <si>
    <t>V43</t>
  </si>
  <si>
    <t>External Control of System or Configuration Setting</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</si>
  <si>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</si>
  <si>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</si>
  <si>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</si>
  <si>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</si>
  <si>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</si>
  <si>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</si>
  <si>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</si>
  <si>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</si>
  <si>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</si>
  <si>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</si>
  <si>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</si>
  <si>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</si>
  <si>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</si>
  <si>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</si>
  <si>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</si>
  <si>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</si>
  <si>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</si>
  <si>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</si>
  <si>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</si>
  <si>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</si>
  <si>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</si>
  <si>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</si>
  <si>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</si>
  <si>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</si>
  <si>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</si>
  <si>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</si>
  <si>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</si>
  <si>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</si>
  <si>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</si>
  <si>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</si>
  <si>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</si>
  <si>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</si>
  <si>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</si>
  <si>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</si>
  <si>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</si>
  <si>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</si>
  <si>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</si>
  <si>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</si>
  <si>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Privileges Required</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</si>
  <si>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</si>
  <si>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</si>
  <si>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</si>
  <si>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</si>
  <si>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</si>
  <si>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CVSS v3.0 Base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</si>
  <si>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</si>
  <si>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</si>
  <si>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Residual Security Risk Acceptability Justification</t>
  </si>
  <si>
    <t>T01</t>
  </si>
  <si>
    <t xml:space="preserve">Access to Thor knee Planning application impacted due to system being down or functional degradation </t>
  </si>
  <si>
    <t>Low</t>
  </si>
  <si>
    <t>Network</t>
  </si>
  <si>
    <t>None</t>
  </si>
  <si>
    <t>Unchanged</t>
  </si>
  <si>
    <t xml:space="preserve">1.Application Whitelisting
2.Firewall
3.Virus Scan
4.User authentication
5.Proper crash logs of application should be maintained </t>
  </si>
  <si>
    <t xml:space="preserve">[1.1.] SOM- 13.2 Other Compensation/Protection Controls (MDLP-3, 4, 5)
[2.1] SOM- 13.3 Firewall Implementation
[3.1] SOM- 8.5 Anti-Malware Software Updates (CSUP-4)
[3.2] SOM - 13. MALWARE DETECTION/PROTECTION (MLDP-1)
[4.1.] User authentication is Managed through Windows login
SADD: ES05, ES06
[4.2] SOM - 16. PERSON AUTHENTICATION (PAUT)
[4.3] SOM - 16.2 User Account Management
[4.4] SOM-  7.1 Access Prevention (AUTH-1)
[5.1.] Debug logs, Audit logs.
Audit logs are encrypted. 
SRS: 2.17.10
SADD: DS13
SDD: ML11
"Debug logs, Audit logs. Audit logs are encrypted. T0-3598, T0-1830
[5.2] SOM - 6. AUDIT CONTROLS (AUDT)
[5.3] SOM- 6.3 Audit Log Protection (AUDT-7)"
</t>
  </si>
  <si>
    <t>[1.1.1] SOM- 13.2 Other Compensation/Protection Controls (MDLP-3, 4, 5)
[2.1.1] SOM- 13.3 Firewall Implementation
[3.1.1] SOM- 8.5 Anti-Malware Software Updates (CSUP-4)
[3.2.1] SOM - 13. MALWARE DETECTION/PROTECTION (MLDP-1)
[4.1.1] PR- PY-SYK-CC-001 User Authentication
[4.2.1] SOM - 16. PERSON AUTHENTICATION (PAUT)
[4.3.1] SOM - 16.2 User Account Management
[4.4.1] SOM-  7.1 Access Prevention (AUTH-1)
[5.1.1] PR- PY-SYK-CC-002 Proper Crash Logs are Maintained Locally in Encrypted Form
[5.2.1] SOM - 6. AUDIT CONTROLS (AUDT)
[5.3.1] SOM- 6.3 Audit Log Protection (AUDT-7)</t>
  </si>
  <si>
    <t>Changed</t>
  </si>
  <si>
    <t>1. Virus Scan
2. Firewall
3. Windows security update install
4. Application should be updated with the latest version of dependencies.</t>
  </si>
  <si>
    <t>[1.1.1] SOM - 8.5 Anti-Malware Software Updates (CSUP-4)
[1.2.1] SOM - 13. MALWARE DETECTION/PROTECTION (MLDP-1)
[1.3.1] PR - PY-SYK-CC-003 Application Dependency Check
[2.1.1] SOM- 13.3 Firewall Implementation
[3.1.1] SOM - 8.3 Operating System Updates (CSUP-2)</t>
  </si>
  <si>
    <t>Application behaves in an unpredictable manner.</t>
  </si>
  <si>
    <t>1. Update drivers
2. Virus Scan
3. Input validation and proper access management in application
4. Application should not be allowed to get installed in shared directory/path.</t>
  </si>
  <si>
    <t xml:space="preserve">[1.1] SOM - 8.3 8.3 Operating System Updates (CSUP-2)
[2.1] SOM - 8.5 Anti-Malware Software Updates (CSUP-4)
[2.2] SOM - 13. MALWARE DETECTION/PROTECTION (MLDP-1)
[3.1] Input data validation:
SRS:2.2.1, 2.2.8, 2.5.27, 2.5.26 
SADD: PL01, ML09
SDD: C231,C279, C278
[3.2] Access management - Windows user
SADD: ES05, ES06
[4.1] Installation: 
SRS: 2.22.1, 2.22.2, 2.10.3;
SADD: PKG1, PKG2
</t>
  </si>
  <si>
    <t xml:space="preserve">[1.1.1] PR-PY-SYK-CC-003  Application Dependency Check
[1.1.2] SOM - 8.3 8.3 Operating System Updates (CSUP-2)
[2.1.1] SOM - 8.5 Anti-Malware Software Updates (CSUP-4)
[2.2.1] SOM - 13. MALWARE DETECTION/PROTECTION (MLDP-1)
[3.1.1] PR-PY-SYK-CC-005  Input Validation Check
[3.2.1] PR-PY-SYK-CC-006 Secured Application Path and Proper Access Management
[4.1.1] PR-PY-SYK-CC-006 Secured Application Path and Proper Access Management
</t>
  </si>
  <si>
    <t xml:space="preserve">1. The 3rd party modules and dependencies should be updated with latest versions.
2. Application upgrade should verify if all required dependencies are updated in system.
3. Application upgrade should detect any upgrade or change in dependecies on user system and show dependency issue message to application user.
</t>
  </si>
  <si>
    <t>[1.1.1] Pentest Report
[2.1.1] Pentest Report
[3.1.1] Pentest Report</t>
  </si>
  <si>
    <r>
      <t xml:space="preserve">1. Firewall
2. Virus Scan
</t>
    </r>
    <r>
      <rPr>
        <sz val="11"/>
        <color rgb="FFFF0000"/>
        <rFont val="Cambria"/>
        <family val="1"/>
      </rPr>
      <t>3. The internet communication of Thor application should be secured using SSL or other secure protocols.
4. The application should not trust the system installed Trust certificates instead the application should verify SSL communication.</t>
    </r>
  </si>
  <si>
    <t>[1.1] SOM- 13.3 Firewall Implementation
[2.1] SOM -  8.5 Anti-Malware Software Updates (CSUP-4)
[2.2] SOM - 13. MALWARE DETECTION/PROTECTION (MLDP-1)
[3.1] Not applicable as no internet connection is getting used.
[4.1] Not applicable as no internet connection is getting used.</t>
  </si>
  <si>
    <t>[1.1.1] SOM- 13.3 Firewall Implementation
[2.1.1] SOM -  8.5 Anti-Malware Software Updates (CSUP-4)
[2.2.1] SOM - 13. MALWARE DETECTION/PROTECTION (MLDP-1)
[3.1.1] Not applicable for v1.0 as no internet connection is getting used.
[4.1.1] Not applicable for v1.0 as no internet connection is getting used.</t>
  </si>
  <si>
    <t>1. The application binaries should be obfuscated and should not take any runtime inputs from user console.
2. The permission to binaries should be appropriate so that only authorised system user should only have access.</t>
  </si>
  <si>
    <t>[1.1.1] PR - PY-SYK-CC-004 Obfuscation of Code
[2.1.1] PR - PY-SYK-CC-006 Secured Application Path and Proper Access Management</t>
  </si>
  <si>
    <t>Local</t>
  </si>
  <si>
    <t xml:space="preserve">[1.1] SOM - 8.5 Anti-Malware Software Updates (CSUP-4)
[1.2] SOM - 13. MALWARE DETECTION/PROTECTION (MLDP-1)
[1.3] Access management - Windows user  
MSI - SRS-2.22.1, 2.22.2, 2.10.3
SADD- PKG1, PKG2, PL01,ES05, ES06
[2.1] SOM- 13.3 Firewall Implementation
[3.1] SOM - 8.3 Operating System Updates (CSUP-2)
[3.2] SOM - 13.2 Other Compensation/Protection Controls (MDLP-3, 4, 5)
</t>
  </si>
  <si>
    <t xml:space="preserve">[1.1.1] SOM - 8.5 Anti-Malware Software Updates (CSUP-4)
[1.2.1] SOM - 13. MALWARE DETECTION/PROTECTION (MLDP-1)
[1.3.1] Access management - Windows user  
MSI - SRS-2.22.1, 2.22.2, 2.10.3
SADD- PKG1, PKG2, PL01,ES05, ES06
[2.1.1] SOM- 13.3 Firewall Implementation
[3.1.1] SOM - 8.3 Operating System Updates (CSUP-2)
[3.2.1] SOM - 13.2 Other Compensation/Protection Controls (MDLP-3, 4, 5)
[3.2.2] PR -  PY-SYK-CC-003  Application Dependency Check
</t>
  </si>
  <si>
    <t>T02</t>
  </si>
  <si>
    <t>High</t>
  </si>
  <si>
    <t>Required</t>
  </si>
  <si>
    <t>1. Application Whitelisting
2. Firewall
3. Virus Scan
4. User authentication</t>
  </si>
  <si>
    <t>[1.1] SOM- 13.2 Other Compensation/Protection Controls (MDLP-3, 4, 5)
[2.1] SOM-13.3 Support for Firewall
[3.1] SOM- 8.5 Anti-Malware Software Updates (CSUP-4)
[3.2] SOM - 13. MALWARE DETECTION/PROTECTION (MLDP-1)
[4.1.] User authentication is Managed through Windows login
SADD: ES05, ES06
[4.2] SOM - 16. PERSON AUTHENTICATION (PAUT)
[4.3] SOM - 16.2 User Account Management
[4.4] SOM-  7.1 Access Prevention (AUTH-1)</t>
  </si>
  <si>
    <t>[1.1.1] SOM- 13.2 Other Compensation/Protection Controls (MDLP-3, 4, 5)
[2.1.1] SOM- 13.3 Firewall Implementation
[3.1.1] SOM- 8.5 Anti-Malware Software Updates (CSUP-4)
[3.2.1] SOM - 13. MALWARE DETECTION/PROTECTION (MLDP-1)
[4.1.1] PR- PY-SYK-CC-001 User Authentication
[4.2.1] SOM - 16. PERSON AUTHENTICATION (PAUT)
[4.3.1] SOM - 16.2 User Account Management
[4.4.1] SOM-  7.1 Access Prevention (AUTH-1)</t>
  </si>
  <si>
    <t>Physical</t>
  </si>
  <si>
    <t>[1.1] SOM- 8.5 Anti-Malware Software Updates (CSUP-4)
[1.2] SOM - 13. MALWARE DETECTION/PROTECTION (MLDP-1)
[2.1] SOM- 13.3 Firewall Implementation
[3.1] SOM - 8.3 Operating System Updates (CSUP-2)</t>
  </si>
  <si>
    <t>[1.1.1] SOM- 8.5 Anti-Malware Software Updates (CSUP-4)
[1.2.1] SOM - 13. MALWARE DETECTION/PROTECTION (MLDP-1)
[2.1.1] SOM- 13.3 Firewall Implementation
[3.1.1] SOM - 8.3 Operating System Updates (CSUP-2)</t>
  </si>
  <si>
    <t xml:space="preserve">1. Virus Scan
</t>
  </si>
  <si>
    <t>[1.1] SOM- 8.5 Anti-Malware Software Updates (CSUP-4)
[1.2] SOM - 13. MALWARE DETECTION/PROTECTION (MLDP-1)</t>
  </si>
  <si>
    <t>[1.1.1] SOM- 8.5 Anti-Malware Software Updates (CSUP-4)
[1.2.1] SOM - 13. MALWARE DETECTION/PROTECTION (MLDP-1)</t>
  </si>
  <si>
    <t>1. Virus Scan
2. Firewall
3. Windows security update install.
4. Application should be updated with the latest version of dependencies.</t>
  </si>
  <si>
    <t xml:space="preserve">[1.1.1] SOM- 8.5 Anti-Malware Software Updates (CSUP-4)
[1.2.1] SOM - 13. MALWARE DETECTION/PROTECTION (MLDP-1)
[2.1.1] SOM- 13.3 Firewall Implementation
[3.1.1] SOM - 8.3 Operating System Updates (CSUP-2)
</t>
  </si>
  <si>
    <t>[1.1.] SOM- 13.2 Other Compensation/Protection Controls (MDLP-3, 4, 5)
[2.1] SOM- 13.3 Firewall Implementation
[3.1] SOM- 8.5 Anti-Malware Software Updates (CSUP-4)
[3.2] SOM - 13. MALWARE DETECTION/PROTECTION (MLDP-1)
[4.1.] User authentication is Managed through Windows login
SADD: ES05, ES06
[4.2] SOM - 16. PERSON AUTHENTICATION (PAUT)
[4.3] SOM - 16.2 User Account Management
[4.4] SOM-  7.1 Access Prevention (AUTH-1)</t>
  </si>
  <si>
    <t>1. The application binaries should be obfuscated and should not take any runtime inputs from user console.
2. The permission to binaries should be appropriate so that only authorised system user should have access.</t>
  </si>
  <si>
    <t xml:space="preserve">[1.1] SOM- 6. AUDIT CONTROLS (AUDT)
[1.2] SOM- 6.3 Audit Log Protection (AUDT-7)
[1.3] SOM- 6.4 Log Export, Use, and Notification (AUDT-5, 6, 8)
[1.4]25.3 Security Testing
[2.1] Access management - Windows user
SADD: ES05, ES06
</t>
  </si>
  <si>
    <t>[1.1.1] SOM- 6. AUDIT CONTROLS (AUDT)
[1.2.1] SOM- 6.3 Audit Log Protection (AUDT-7)
[1.3.1] SOM- 6.4 Log Export, Use, and Notification (AUDT-5, 6, 8)
[1.4.1] SOM- 25.3 Security Testing
[2.1.1] PR-PY-SYK-CC-006 Secured Application Path and Proper Access Management</t>
  </si>
  <si>
    <t>T03</t>
  </si>
  <si>
    <t>Loss of Stryker IP</t>
  </si>
  <si>
    <t>1. Firewall
2. The internet communication of Thor application should be secured using SSL or other secure protocols.
3. The application should not trust the system installed Trust certificates instead the application should verify SSL communication.</t>
  </si>
  <si>
    <t>[1.1] SOM- 13.3 Firewall Implementation
[2.1] Not applicable as no internet connection is getting used.
[3.1] Not applicable as no internet connection is getting used.</t>
  </si>
  <si>
    <t>[1.1.1] SOM- 13.3 Firewall Implementation
[2.1.1] Not applicable as no internet connection is getting used.
[3.1.1] Not applicable as no internet connection is getting used.</t>
  </si>
  <si>
    <t>Loss of Stryker Reputation, potential loss of revenue</t>
  </si>
  <si>
    <t>[1.1] SOM- 13.3 Firewall Implementation
[2.1] Not applicable as no internet connection is getting used.
[3.1] Not applicable as no internet connection is getting used.
[4.1]License file encryption is done using AES 
SRS:2.17.13, 2.17.4
SADD: ES04, DS10, C277</t>
  </si>
  <si>
    <t>[1.1.1] SOM- 13.3 Firewall Implementation
[2.1.1] Not applicable as no internet connection is getting used.
[3.1.1] Not applicable as no internet connection is getting used.
[4.1.1] License file encryption is done using AES
[4.1.2] PR - PY-SYK-CC-010 Use of Secure Crypto</t>
  </si>
  <si>
    <t>Loss of Stryker Reputation, loss of Stryker IP, potential loss of PHI</t>
  </si>
  <si>
    <t>1. The internet communication of Thor application should be secured using SSL or other secure protocols.
2. The application should not trust the system installed Trust certificates instead the application should verify SSL communication.
3. The keys and token should be stored using windows credential manager.</t>
  </si>
  <si>
    <t>[1.1.1] Not applicable as no internet connection is getting used.
[2.1.1] Not applicable as no internet connection is getting used.
[3.1.1] PR - PY-SYK-CC-001 User Authentication
[3.1.2] PR - PY-SYK-CC-010 Use of Secure Crypto</t>
  </si>
  <si>
    <t>T05</t>
  </si>
  <si>
    <t>1. Virus scan
2. Application should verify the checksum of all the DLL files and executable inside application folder before starting main thread.
3. Proper Code review of applciation before releasing.
4. Anti-dynamic instrumentation techniques should be implimented in application.</t>
  </si>
  <si>
    <t>[1.1] SOM -  8.5 Anti-Malware Software Updates (CSUP-4)
[1.2] SOM - 13. MALWARE DETECTION/PROTECTION (MLDP-1)
[2.1] Checksum of DLL: TBD
[3.1] Code review: process followed.
[4.1] Anti dynamic instrumentation: TBD</t>
  </si>
  <si>
    <t>[1.1.1] SOM -  8.5 Anti-Malware Software Updates (CSUP-4)
[1.2.1] SOM - 13. MALWARE DETECTION/PROTECTION (MLDP-1)
[2.1.1] Checksum of DLL: TBD
[3.1.1] Code review: process followed.
[4.1.1] PR - PY-SYK-CC-007 Dynamic Instrumentation</t>
  </si>
  <si>
    <t>1. Application should not have direct access to hidden functionalities. It is recommended to delete all unused funtionalities from application that could be there while development of application. 
2. Code Review.
3. Application Testing</t>
  </si>
  <si>
    <t>[1.1] Hidden functionalities: Not applicable
[2.1] Code review: process followed.
[3.1] Application testing : Done</t>
  </si>
  <si>
    <t>[1.1.1] Hidden functionalities: Not applicable
[2.1.1] Code review: process followed.
[3.1.1] Application testing : Done</t>
  </si>
  <si>
    <t xml:space="preserve">Potential system integrity loss. </t>
  </si>
  <si>
    <t>1. The keys, password and token should be stored in encrypted form.
Few of the sensitive data like keys should be stored using windows credential manager.</t>
  </si>
  <si>
    <t>[1.1] Keys and tokens are kept in application binary, not stored on drive or configs.</t>
  </si>
  <si>
    <t>[1.1.1] PR-PY-SYK-CC-008 Hard Coded Sensitive Information
[1.1.2] PR-PY-SYK-CC-010 Use of Secure Crypto</t>
  </si>
  <si>
    <t>1. All log files should be stored encrypted .
2. The log files should not contain senstive user information and license information.</t>
  </si>
  <si>
    <t>[1.1][2.1] Audit logs are encrypted
SRS: 2.17.10, 2.17.4
SADD: DS13
SDD: ML11</t>
  </si>
  <si>
    <t xml:space="preserve">[1.1.1][2.1.1] PR-PY-SYK-CC-002 Proper Crash Logs are Maintained Locally in Encrypted Form
[1.1.2][2.1.2] PR-PY-SYK-CC-010 Use of Secure Crypto
</t>
  </si>
  <si>
    <t>T06</t>
  </si>
  <si>
    <t>1. The keys, password and token should be stored in encrypted form.Few of the sensitive data like keys should be stored using windows credential manager.</t>
  </si>
  <si>
    <t>[1.1.1] PR-PY-SYK-CC-008 Hard Coded Sensitive Information
[1.1.2] PR -  PY-SYK-CC-010 Use of Secure Crypto</t>
  </si>
  <si>
    <t>Moderate</t>
  </si>
  <si>
    <r>
      <rPr>
        <sz val="11"/>
        <color rgb="FFFF0000"/>
        <rFont val="Cambria"/>
        <family val="1"/>
      </rPr>
      <t>1. Proper Access control should be implimented in application directory so that only authorised users can access application and its files.</t>
    </r>
    <r>
      <rPr>
        <sz val="11"/>
        <color theme="1"/>
        <rFont val="Cambria"/>
        <family val="1"/>
      </rPr>
      <t xml:space="preserve">
</t>
    </r>
  </si>
  <si>
    <t>[1.1] Handled through user id linked license, windows user directory.
SRS: 2.17.13, 2.17.4
SADD: DS02, DS04, ES05, ES06
SDD: ML09</t>
  </si>
  <si>
    <t>[1.1.1] PR-PY-SYK-CC-006 Secured Application Path and Proper Access Management</t>
  </si>
  <si>
    <t>1. The application should accept inputs from application UI interface only.
2. The application should verify input type before accepting it. Example, Date type of input should be in a specific format and should not conatain any other symbol or any alphabetic letter inside it.</t>
  </si>
  <si>
    <t>[1.1] Handled in application input widgets.
[2.1] SRS:2.5.4
SADD: EL06, EL09, ML02, UI02
SDD: C115, C202, C261, C262</t>
  </si>
  <si>
    <t>[1.1.1] PR - PY-SYK-CC-009 Command Line Arguments 
[2.1.1] PR - PY-SYK-CC-005 Input Validation Check</t>
  </si>
  <si>
    <t>1. Firewall
2. The internet communication of Thor application should be secured using SSL or other secure protocols.
3. The application should not trust the system installed Trust certificates instead the application should verify SSL communication.
4. The License should be encrypted for communication over internet.</t>
  </si>
  <si>
    <t>[1.1] SOM- 13.3 Firewall Implementation
[2.1] Not applicable as no internet connection is getting used.
[3.1] Not applicable as no internet connection is getting used.
[4.1] Not applicable as no internet connection is getting used.</t>
  </si>
  <si>
    <t>[1.1.1] SOM- 13.3 Firewall Implementation
[2.1.1] Not applicable as no internet connection is getting used.
[3.1.1] Not applicable as no internet connection is getting used.
[4.1.1] Not applicable as no internet connection is getting used.</t>
  </si>
  <si>
    <t>T07</t>
  </si>
  <si>
    <t>Financial penalties, loss of Stryker Reputation, potential loss of revenue</t>
  </si>
  <si>
    <t xml:space="preserve">1. Proper Access control should be implimented in application directory so that only authorised users can access application and its files.
2. The license should be verified everytime the application is started.
3. The license time period and authority should not get manipulated at client side by manupulating registery data or saved license data.
4. The license should be encrypted .
5. The treatment plan directory should have proper permissions only to authorized user . </t>
  </si>
  <si>
    <t xml:space="preserve">[1.1] SOM-6.3 Audit Log Protection
[1.2] SOM-7.2  Privilege and Access (AUTH-2, 3, 4, 5, SGUD-3, 3.1
[2.1] SOM-13.2 Other Compensation/Protection Controls (MDLP-3, 4, 5)
[3.1] SOM-16.1 Password/ID Assignments (PAUT-1)
[4.1] SOM-13.2 Other Compensation/Protection Controls (MDLP-3, 4, 5)
[4.2] Handled through user id linked license, windows user directory. License data is encrypted.
SRS:  2.17.13, 2.17.4
SADD: DS02, DS04, ES05, ES06
SDD: ML09,  ES04,  DS10, C277
[5.1] SOM-7.2 Privilege and Access (AUTH-2, 3, 4, 5, SGUD-3, 3.1) </t>
  </si>
  <si>
    <t xml:space="preserve">[1.1.1] PR-PY-SYK-CC-006 Secured Application Path and Proper Access Management
[2.1.1] PY-SYK-CC-014 Licence Check 
[3.1.1] PR-PY-SYK-CC-013 Secure Configuration File 
[4.1.1] PR-PY-SYK-CC-010 Use of Secure Crypto 
[5.1.1] PR-PY-SYK-CC-006 Secured Application Path and Proper Access Management 
[5.1.2] PY-SYK-CC-013 Secure Configuration File </t>
  </si>
  <si>
    <t>1. The user credentials should not be stored unencrypted.
2. The user credentials /license should not be stored in path where treatment plan data is getting stored.</t>
  </si>
  <si>
    <t xml:space="preserve">[1.1.1] PR-PY-SYK-CC-001 User Authentication 
[2.1.1] PR-PY-SYK-CC-001 User Authentication </t>
  </si>
  <si>
    <t>1. The Treatment plan should be stored encrypted.
2. The treatment plan directory should only be accessible to system user using the application.</t>
  </si>
  <si>
    <t>[1.1] - SOM-4 MANAGEMENT OF PII and PHI (MPII-1) 
[2.1] - SOM-4 MANAGEMENT OF PII and PHI (MPII-1) 
Access management - Windows user, Data encryption handler
SRS: 2.17.3
SADD: ES05, ES06, DS02, DS04
SDD: C276, C277</t>
  </si>
  <si>
    <t xml:space="preserve">[1.1.1] PR-PY-SYK-CC-012 Secure PHI Data 
[2.1.1] PR-PY-SYK-CC-006 Secured Application Path and Proper Access Management </t>
  </si>
  <si>
    <t>1. The application should use  secure cryptographic algorithms to encrypt user data files.</t>
  </si>
  <si>
    <t xml:space="preserve">[1.1.1] PR-PY-SYK-CC-010 Use of Secure Crypto </t>
  </si>
  <si>
    <t>1. The application should use  secure cryptographic algorithms to encrypt user data files.
2. No sensitive user data should be stored in windows registry.</t>
  </si>
  <si>
    <t>[1.1.1] PR - PY-SYK-CC-010 Use of Secure Crypto
[2.1.1] PR - PY-SYK-CC-011 Sensitive Data in Registry</t>
  </si>
  <si>
    <t>1. Identify data that needs to be protected from swapping and choose platform-appropriate protection mechanisms.
2. Check return values of method calls and method API calls to ensure locking operations are successful.</t>
  </si>
  <si>
    <t>[1.1][2.1]Windows 10 is minimum OS version</t>
  </si>
  <si>
    <t>[1.1.1][2.1.1] Windows 10 is minimum OS version</t>
  </si>
  <si>
    <t xml:space="preserve">1. The Treatment plan should be stored encrypted.
</t>
  </si>
  <si>
    <t>[1.1] SOM-4 MANAGEMENT OF PII and PHI (MPII-1)
Encryption of treatment plan file : TBD</t>
  </si>
  <si>
    <t xml:space="preserve">1. The Treatment plan should be stored encrypted.
2. The treatment plan directory should only be accessible to system user using the application.
</t>
  </si>
  <si>
    <t>[1.1] SOM- 12 - HEALTH DATA INTEGRITY AND AUTHENTICITY (IGAU-1, 2)
[2.1]Access management - Windows user, Data encryption handler
SRS: 2.17.3
SADD: ES05, ES06, DS02, DS04
SDD: C276, C277</t>
  </si>
  <si>
    <t>[1.1.1] PR- PY-SYK-CC-012 Secure PHI Data
[1.1.2] PR-PY-SYK-CC-010 Use of Secure Crypto
[1.1.3] SOM- 12 -HEALTH DATA INTEGRITY AND AUTHENTICITY (IGAU-1, 2)
[2.1.1] PY-SYK-CC-006 Secured Application Path and Proper Access Management</t>
  </si>
  <si>
    <t>T08</t>
  </si>
  <si>
    <t>1. The PHI data should be stored encrypted.
2. The PHI data directory should only be accessible to system user using the application.
3. The PHI data should not be stored in local SQLIte databases in plain text.
4. The PHI data should not be stored in Log files.</t>
  </si>
  <si>
    <t>[1.1]PHI data stored in audit log file and case list is encrypted.
[2.1]Directory acces is managed using windows user credential.
[3.1]PHI data is not stored in local DB.
[4.1]PHI data stored in audit log file and case list is encrypted.
SRS: 2.17.10, 2.17.13, 2.17.4
SADD: DS13, DS02, DS04, ES05, ES06
SDD:ML11, C276, C277</t>
  </si>
  <si>
    <t>[1.1.1]PR - PY-SYK-CC-012 Secure PHI Data
[2.1.1] PR - PY-SYK-CC-006 Secured Application Path and Proper Access Management
[3.1.1] PR - PY-SYK-CC-012 Secure PHI Data
[4.1.1] PR - PY-SYK-CC-012 Secure PHI Data</t>
  </si>
  <si>
    <t>1. The application should use  secure cryptographic algorithms to encrypt PHI data/ files.</t>
  </si>
  <si>
    <t>[1.1]Access management - Windows user, Data encryption handler
SRS: 2.17.3
SADD: ES05, ES06, DS02, DS04
SDD: C276, C277</t>
  </si>
  <si>
    <t>[1.1.1] PR - PY-SYK-CC-012 Secure PHI Data</t>
  </si>
  <si>
    <t>[1.1.1] SOM- 13.3 Firewall Implementation.
[2.1.1] Not applicable as no internet connection is getting used.
[3.1.1] Not applicable as no internet connection is getting used.</t>
  </si>
  <si>
    <t>1. Identify data that needs to be protected from swapping and choose platform-appropriate protection mechanisms.
2. Check return values to ensure locking operations are successful.</t>
  </si>
  <si>
    <t xml:space="preserve">[1.1.1][2.1.1] Not applicable for Windows 10
</t>
  </si>
  <si>
    <t>Potential loss of PHI</t>
  </si>
  <si>
    <t xml:space="preserve">[1.1][2.1]TBD: Not applicable for Windows 10
</t>
  </si>
  <si>
    <t>[1.1.1][2.1.1] Not applicable for Windows 10</t>
  </si>
  <si>
    <t>T09</t>
  </si>
  <si>
    <t>1. The keys, certificates , token etc. should stored using windows credential manager.
2. The certificates and token should be stored encrypted .</t>
  </si>
  <si>
    <t>[1.1][2.1]Keys and tokens are kept in application binary, not stored on drive or configs. 
[1.2][2.2] Access management - Windows user, Data encryption handler
SRS: 2.17.3
SADD: ES05, ES06, DS02, DS04
SDD: C276, C277</t>
  </si>
  <si>
    <t>[1.1.1] PR- PY-SYK-CC-001 User Authentication
[2.1.] PR-PY-SYK-CC-010 Use of Secure Crypto</t>
  </si>
  <si>
    <t>1. The application should use  secure cryptographic algorithms to encrypt security keys, tokens and certificates.</t>
  </si>
  <si>
    <t>[1.1.1]PR - PY-SYK-CC-010 Use of Secure Crypto</t>
  </si>
  <si>
    <t>[1.1][2.1]Keys and tokens are kept in application binary, not stored on drive or configs. Access management - Windows user, Data encryption handler
SRS: 2.17.3
SADD: ES05, ES06, DS02, DS04
SDD: C276, C277</t>
  </si>
  <si>
    <t>[1.1.1] PR- PY-SYK-CC-001 User Authentication
[2.1.1] PR-PY-SYK-CC-010 Use of Secure Crypto</t>
  </si>
  <si>
    <t xml:space="preserve">1. The user encrypted license should be stored using windows credential manager.
2. The License data should be encrypted and should not be modified.
</t>
  </si>
  <si>
    <t>[1.1.1] PR-PY-SYK-CC-001 User Authentication</t>
  </si>
  <si>
    <t>1. The application should use  secure cryptographic algorithms to encrypt user Licence data.</t>
  </si>
  <si>
    <t>[1.1.1] PR-PY-SYK-CC-010 Use of Secure Crypto</t>
  </si>
  <si>
    <t>1. The Password credentials should be encrypted and  should be stored using windows credential manager.</t>
  </si>
  <si>
    <t>T10</t>
  </si>
  <si>
    <t>1. The password to login should be complex and contain combination of Capital and small letters , symbols/ special chracters and numbers.
2. There should be server side rate limiting implimented on password field so that after certain wrong attempts user should not be able to try again.
3. There should be server side captcha verification when login to restrict brute force attack.
4. The application binary should not take password as a run time argument.</t>
  </si>
  <si>
    <t>[1.1] SOM- 16.	PERSON AUTHENTICATION (PAUT)
[1.2] SOM-16.2 User Account Management (PAUT-2, 3, 4, 5, 6, 7, 8, 9, 10, 11, 12, 13, 14)
[2.1] Not Applicable as there is no server
[2.2] SOM-3.5 System Security Context and Intended Environment (SGUD-4) 
[3.1] Not Applicable as there is no server
[3.2] SOM - 3.5 System Security Context and Intended Environment (SGUD-4) 
[4.1]</t>
  </si>
  <si>
    <t xml:space="preserve">[1.1.1] PR-PY-SYK-CC-001 User Authentication
[1.1.2] SOM- 16.	PERSON AUTHENTICATION (PAUT)
[1.2.1] SOM-16.2 User Account Management (PAUT-2, 3, 4, 5, 6, 7, 8, 9, 10, 11, 12, 13, 14)
[2.1.1] NA
[3.1.1] NA
[4.1.1]PR-PY-SYK-CC-009 Command Line Arguments </t>
  </si>
  <si>
    <t>1. Firewall
2. The System should be locked for some time after multiple wrong password attempts.
3. Application should not be having same password as system user password.</t>
  </si>
  <si>
    <t>[1.1] SOM - 13.3 Firewall Implementation
[2.1] SOM -  16.2 User Account Management (PAUT-2, 3, 4, 5, 6, 7, 8, 9, 10, 11, 12, 13, 14)
[3.1] SOM -  16.2 User Account Management (PAUT-2, 3, 4, 5, 6, 7, 8, 9, 10, 11, 12, 13, 14)</t>
  </si>
  <si>
    <t>[1.1.1] SOM - 13.3 Firewall Implementation
[2.1.1] SOM -  16.2 User Account Management (PAUT-2, 3, 4, 5, 6, 7, 8, 9, 10, 11, 12, 13, 14)
[3.1.1] SOM -  16.2 User Account Management (PAUT-2, 3, 4, 5, 6, 7, 8, 9, 10, 11, 12, 13, 14)</t>
  </si>
  <si>
    <t>T11</t>
  </si>
  <si>
    <t>1. The application setting file should not have permission to get edited by any system user.
2. The application setting file should not contain any credentials , keys, tokens and license data.</t>
  </si>
  <si>
    <t>[1.1]Config file is kept in user directory and not accesible to other user.
[1.2] SOM - 3.5	System Security Context and Intended Environment (SGUD-4)
[2.1]SRS: 2.17.2
SADD- DS02, DS04
[2.2] SOM - 3.5	System Security Context and Intended Environment (SGUD-4)</t>
  </si>
  <si>
    <t>[1.1.1][2.1.1] PR - PY-SYK-CC-006 Secured Application Path and Proper Access Management
[1.2.1][2.2.1] SOM - 3.5	System Security Context and Intended Environment (SGUD-4)</t>
  </si>
  <si>
    <t>1. The application should use  secure cryptographic algorithms to encrypt user any sensitive information in application settings.</t>
  </si>
  <si>
    <t>[1.1]Application setting does not contain any PHI or PPI. 
[1.2] SOM - 3.5 System Security Context and Intended Environment (SGUD-4)</t>
  </si>
  <si>
    <t>[1.1.1] PR - PY-SYK-CC-012 Secure PHI Data 
[1.2.1] SOM - 3.5 System Security Context and Intended Environment (SGUD-4)</t>
  </si>
  <si>
    <t>1. The User setting file should not have permission to get edited by any system user.
2. The user setting file should not contain any credentials , keys, tokens and license data.
3. The user settings should not contains PHI data.</t>
  </si>
  <si>
    <t xml:space="preserve">[1.1]Config file is kept in user directory and not accesible to other user.
[2.1]SRS: 2.17.2, 2.17.3
SADD- DS02, DS04, ES05, ES06
[3.1] SOM- 3.5 System Security Context and Intended Environment (SGUD-4) </t>
  </si>
  <si>
    <t xml:space="preserve">[1.1.1] PR - PY-SYK-CC-013 Secure Configuration File
[2.1.1] PR - PY-SYK-CC-006 Secured Application Path and Proper Access Management
[3.1.1][3.1.2] SOM- 3.5	System Security Context and Intended Environment (SGUD-4) </t>
  </si>
  <si>
    <t>1. The logs should be properly maintained for administrator and operator operations.
2. The logs should not disclose any sensitive data.</t>
  </si>
  <si>
    <t>[1.1] SOM-  7.1 Access Prevention (AUTH-1)
[1.2] SOM- 16. PERSON AUTHENTICATION (PAUT)
[1.3] SOM- 6. AUDIT CONTROLS (AUDT)
[1.4] SOM-  6.3 Audit Log Protection (AUDT-7)
[2.1]Debug logs, Audit logs are encrypted. 
SRS: 2.17.10
SADD: DS13
SDD:ML11</t>
  </si>
  <si>
    <t>[1.1.1] SOM-  7.1 Access Prevention (AUTH-1)
[1.2.1] SOM- 16. PERSON AUTHENTICATION (PAUT)
[1.3.1] SOM- 6. AUDIT CONTROLS (AUDT)
[1.4.1] SOM-  6.3 Audit Log Protection (AUDT-7)
[1.4.2][2.1.1]PR-PY-SYK-CC-002 Proper Crash Logs are Maintained Locally in Encrypted Form</t>
  </si>
  <si>
    <t>1. The application should use  secure cryptographic algorithms to encrypt sensitive user information.</t>
  </si>
  <si>
    <t>[1.1]Access management - Windows user, AES 256 Data encryption handler
SRS: 2.17.3
SADD: ES05, ES06, DS02, DS04
SDD: C276, C277
[1.2] SOM -  3.5 System Security Context and Intended Environment (SGUD-4)</t>
  </si>
  <si>
    <t>[1.1.1] PR - PY-SYK-CC-010 Use of Secure Crypto
[1.2.1] SOM -  3.5 System Security Context and Intended Environment (SGUD-4)</t>
  </si>
  <si>
    <t>T12</t>
  </si>
  <si>
    <t>Unauthorized agent acquires and modifies Stryker's source. Could offer Stryker's IP to competitor to accelerate time to market of competing product or for directed malware attack.</t>
  </si>
  <si>
    <t>1. Virus scan
2. Application should verify the checksum of all the DLL files and executable inside application folder before starting main thread.
3. Anti hooking techniques should be implimented in application.</t>
  </si>
  <si>
    <t xml:space="preserve">[1.1] SOM- 8.5 Anti-Malware Software Updates (CSUP-4)
[1.2] SOM - 13. MALWARE DETECTION/PROTECTION (MLDP-1)
[2.1]
[3.1] </t>
  </si>
  <si>
    <t>[1.1.1] SOM- 8.5 Anti-Malware Software Updates (CSUP-4)
[1.2.1] SOM - 13. MALWARE DETECTION/PROTECTION (MLDP-1)
[3.1.1] PR-PY-SYK-CC-007 Dynamic Instrumentation</t>
  </si>
  <si>
    <t xml:space="preserve">[1.1] SOM- 3.5 System Security Context and Intended Environment (SGUD-4)
[2.1] SOM-16.2 User Account Management (PAUT-2, 3, 4, 5, 6, 7, 8, 9, 10, 11, 12, 13, 14) 
</t>
  </si>
  <si>
    <t xml:space="preserve">[1.1.1] PR-PY-SYK-CC-004 Obfuscation of Code 
[2.1.1] SOM-16.2 User Account Management (PAUT-2, 3, 4, 5, 6, 7, 8, 9, 10, 11, 12, 13, 14) </t>
  </si>
  <si>
    <t>1. Application should not have direct access to hidden functionalities. It is recommended to delete all unused funtionalities from application that could be there while development of appplication. 
2. Code review
3. Application Testing</t>
  </si>
  <si>
    <t>[2.1] Code Review Done
[3.1] Application Testing Done</t>
  </si>
  <si>
    <t>[2.1.1] Code Review Done
[3.1.1] Application Testing done</t>
  </si>
  <si>
    <t>Unauthorized agent acquires and modifies Stryker's source code. Could offer Stryker's IP to competitor to accelerate time to market of competing product.</t>
  </si>
  <si>
    <t>1. The application should be updated using  3rd party modules and dependencies to  latest versions.
2. Application upgrade should verify if all required dependencies are updated in system.
3. Application upgrade should detect any upgrade or change in dependecies on user system and show dependency issue message to application user.</t>
  </si>
  <si>
    <t>[1.1] SOM-8.1 Secure Servicing and Security Upgrades Overview (CSUP-1)
[1.2] SOM-28.1	List of 3rd party components
[2.1] SOM-8.1 Secure Servicing and Security Upgrades Overview (CSUP-1)
[3.1] SOM-8.1 Secure Servicing and Security Upgrades Overview (CSUP-1)</t>
  </si>
  <si>
    <t xml:space="preserve">[1.1.1] PR-PY-SYK-CC-003 Application Dependency Check 
[2.1.1] PR-PY-SYK-CC-003 Application Dependency Check 
[3.1.1] PR-PY-SYK-CC-003 Application Dependency Check </t>
  </si>
  <si>
    <t>1. The log files should not contain any sensitive data like tokens, stack trace, license data, user data, passwords etc.</t>
  </si>
  <si>
    <t>[1.1] SOM- 6.3 Audit Log Protection (AUDT-7) 
[1.2] Debug logs, Audit logs.
Audit logs are encrypted. 
SRS: 2.17.10
SADD: DS13
SDD:ML11</t>
  </si>
  <si>
    <t>[1.1.1]PR-PY-SYK-CC-002 Proper Crash Logs are Maintained Locally in Encrypted Form 
[1.1.2] SOM- 6.3 Audit Log Protection (AUDT-7) 
[1.2.1] PR-PY-SYK-CC-002 Proper Crash Logs are Maintained Locally in Encrypted Form</t>
  </si>
  <si>
    <t>T13</t>
  </si>
  <si>
    <t>Access to Thor knee planning application impacted due to system being down or functional degradation</t>
  </si>
  <si>
    <t xml:space="preserve">1. Firewall
2. Virus Scan
</t>
  </si>
  <si>
    <t>[1.1] SOM- 13.3 Firewall Implementation
[2.1] SOM-6.4 Log Export, Use, and Notification (AUDT-5, 6, 8) 
[2.2] SOM- 
 8.5 Anti-Malware Software Updates (CSUP-4)
[2.3] SOM-13. MALWARE DETECTION/PROTECTION (MLDP-1)</t>
  </si>
  <si>
    <t>[1.1.1] SOM- 13.3 Firewall Implementation
[2.1.1] SOM- 8.5 Anti-Malware Software Updates (CSUP-4)
[2.2.1][2.3.1] SOM - 13. MALWARE DETECTION/PROTECTION (MLDP-1)</t>
  </si>
  <si>
    <t xml:space="preserve">1. Firewall
2. The proper dependency check and system specification should be checked whenever application starts. If there is anything not suitable for Thor , the application shsould show error message and should not load.
</t>
  </si>
  <si>
    <t>[1.1] SOM- 13.3 Firewall Implementation
System health check. 
[2.1] SOM-3.5 System Security Context and Intended Environment (SGUD-4) 
SRS: 2.2.7</t>
  </si>
  <si>
    <t xml:space="preserve">[1.1.1] SOM- 13.3 Firewall Implementation
[2.1.1] PR-PY-SYK-CC-003 Application Dependency Check </t>
  </si>
  <si>
    <t xml:space="preserve">Document references: </t>
  </si>
  <si>
    <t>SRS - CT knee SRS: D005010021  </t>
  </si>
  <si>
    <t>SAD - THOR: CT Knee Planning SOFTWARE_ARCHITECTURAL_DESIGN: D005010022 </t>
  </si>
  <si>
    <t>SDD - THOR: CT Knee Planning 
SOFTWARE_DETAILED_DESIGN: D005</t>
  </si>
  <si>
    <t>PR- Pentest report</t>
  </si>
  <si>
    <t>Threat Assessment</t>
  </si>
  <si>
    <t>#</t>
  </si>
  <si>
    <t xml:space="preserve">Threat Event </t>
  </si>
  <si>
    <t xml:space="preserve">Description </t>
  </si>
  <si>
    <t>Threat Source</t>
  </si>
  <si>
    <t>In Scope (Yes/No)</t>
  </si>
  <si>
    <t>Rationale 
(if out of scope)</t>
  </si>
  <si>
    <t>Deliver undirected malware</t>
  </si>
  <si>
    <t>`</t>
  </si>
  <si>
    <t>TSA-3 - Skript Kiddies</t>
  </si>
  <si>
    <t>Deliver directed malware</t>
  </si>
  <si>
    <t>Thread source delivers malware on a removable media which was designed to exploit a known vulnerability of the Software. Directed attack on the Application using knowledge about the Application.</t>
  </si>
  <si>
    <t xml:space="preserve">
TSA-2 Organization</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</si>
  <si>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</si>
  <si>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</si>
  <si>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T04</t>
  </si>
  <si>
    <t>Intercept network communication</t>
  </si>
  <si>
    <t xml:space="preserve">Adversary uses commercial or free software to manipulate network communication (man-in-the middle attack) </t>
  </si>
  <si>
    <t>TSA-2 Organization</t>
  </si>
  <si>
    <t>Application donot share any data over the network</t>
  </si>
  <si>
    <t>Unauthorized modifications  to Knee Planning Application</t>
  </si>
  <si>
    <t>Adversary gains unauthorized access to the system and removes or modifies application binaries.</t>
  </si>
  <si>
    <t>TSA-1 - Individual (Disgruntled/Ex-Employees, Outsider, Insider, Trusted Insider, Priveleged Insider)</t>
  </si>
  <si>
    <t>Unauthorized access to system administration</t>
  </si>
  <si>
    <t>Adversary gains unauthorized access to the system and removes or modifies application configuration or binaries.</t>
  </si>
  <si>
    <t>Unauthorized access to Treatment plan</t>
  </si>
  <si>
    <t>Adversary gains unauthorized access to the treatment design plan of the patient.</t>
  </si>
  <si>
    <t>Unauthorized access to PHI</t>
  </si>
  <si>
    <t>Adversary gains unauthorized access to the system and steals ePHI information</t>
  </si>
  <si>
    <t>TSA-3 - Skript Kiddies-</t>
  </si>
  <si>
    <t>Unauthorized users may steal credentials/device's keys/certificates</t>
  </si>
  <si>
    <t xml:space="preserve">Adversary gains unauthorized access to the encryption keys and tokens </t>
  </si>
  <si>
    <t>Brute force login attempts/password guessing attacks</t>
  </si>
  <si>
    <t xml:space="preserve">Adversary gains unauthorized access to the system </t>
  </si>
  <si>
    <t>Compromised Config Files, causing the system to become inaccurate</t>
  </si>
  <si>
    <t xml:space="preserve">Adversary gains unauthorized access to the system and make modifications to the software configuration files </t>
  </si>
  <si>
    <t>Theft of  Stryker's IP</t>
  </si>
  <si>
    <t>Distributed Denial of Service ('DDoS') attack</t>
  </si>
  <si>
    <t>Access to Knee Planning application impacted due to system being down or functional degradation</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</si>
  <si>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</si>
  <si>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</si>
  <si>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</si>
  <si>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</si>
  <si>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</si>
  <si>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</si>
  <si>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</si>
  <si>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</si>
  <si>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</si>
  <si>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</si>
  <si>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</si>
  <si>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</si>
  <si>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</si>
  <si>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</si>
  <si>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</si>
  <si>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</si>
  <si>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</si>
  <si>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Adjacent Network</t>
  </si>
  <si>
    <t>A</t>
  </si>
  <si>
    <t>H</t>
  </si>
  <si>
    <t>R</t>
  </si>
  <si>
    <t>P</t>
  </si>
  <si>
    <t>Very High</t>
  </si>
  <si>
    <t>Technical Impact Metrics</t>
  </si>
  <si>
    <t>In Scope</t>
  </si>
  <si>
    <t>Confidentiality, Integrity, Availability Impact</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</si>
  <si>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</si>
  <si>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</si>
  <si>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</si>
  <si>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</si>
  <si>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</si>
  <si>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</si>
  <si>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</si>
  <si>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</si>
  <si>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</si>
  <si>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</si>
  <si>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</si>
  <si>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</si>
  <si>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</si>
  <si>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</si>
  <si>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</si>
  <si>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</si>
  <si>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</si>
  <si>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</si>
  <si>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</si>
  <si>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</si>
  <si>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</si>
  <si>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</si>
  <si>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</si>
  <si>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</si>
  <si>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</si>
  <si>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</si>
  <si>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</si>
  <si>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</si>
  <si>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</si>
  <si>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</si>
  <si>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</si>
  <si>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</si>
  <si>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</si>
  <si>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</si>
  <si>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</si>
  <si>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</si>
  <si>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</si>
  <si>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</si>
  <si>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</si>
  <si>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</si>
  <si>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</si>
  <si>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</si>
  <si>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</si>
  <si>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</si>
  <si>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</si>
  <si>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Possible</t>
  </si>
  <si>
    <t>Feature/Function</t>
  </si>
  <si>
    <t>Risk Controls</t>
  </si>
  <si>
    <t xml:space="preserve">[1.1] SOM - 8.5 Anti-Malware Software Updates (CSUP-4)
[1.2] SOM - 13. MALWARE DETECTION/PROTECTION (MLDP-1)
[1.3] Access management - Windows user  
MSI - SRS-2.22.1, 2.22.2, 2.10.3
SADD- PKG1, PKG2, PL01,ES05, ES06
[2.1] SOM- 13.3 Firewall Implementation
[3.1] SOM - 8.3 Operating System Updates (CSUP-2)
[4.1] SDP - 5.1.4 </t>
  </si>
  <si>
    <t xml:space="preserve">[1.1] SDP - D005010020 - 5.1.4
[2.1] SDP - D005010020 - 5.1.4
[3.1] SDP - D005010020 - 5.1.4 
</t>
  </si>
  <si>
    <t>[1.1] SOM - 3.5  System Security Context and Intended Environment (SGUD-4)
[1.2]Used AES 256 Data encryption Algorithm 
SRS: 2.17.3
SADD: 2.2.8.5.1, 2.2.8.5.2. UI15</t>
  </si>
  <si>
    <t>[1.1] SOM-16.2 User Account Management (PAUT-2, 3, 4, 5, 6, 7, 8, 9, 10, 11, 12, 13, 14) 
[2.1] SDD: DS10, DS07</t>
  </si>
  <si>
    <t>[1.1]Not Applicable.  Using windows credentials to authenticate</t>
  </si>
  <si>
    <t xml:space="preserve">
[1.1] Not applicable as no internet connection is getting used.
[2.1] Not applicable as no internet connection is getting used.
[3.1] Not applicable</t>
  </si>
  <si>
    <t xml:space="preserve">[1.1] - SOM-4 MANAGEMENT OF PII and PHI (MPII-1)
[1.2] Data encryption handler
SRS: 2.17.3
SADD:UI15, ES05, ES06, DS02, DS04
SDD: C276, C277
[2.1] User data not stored in windows registry.  Access management - Windows user, </t>
  </si>
  <si>
    <t>[1.1] SOM-16.2 User Account Management (PAUT-2, 3, 4, 5, 6, 7, 8, 9, 10, 11, 12, 13, 14)
[1.2] Access management - Windows user, AES Data encryption handler
SRS: 2.17.3
SADD: 2.2.8.1, ES05, ES06, DS02, DS04
SDD: C276, C277
[2.1] SOM-3.5     System Security Context and Intended Environment (SGUD-4) 
[2.2] SAD: UI15, ML09, ES05, ES06, DS02, DS04</t>
  </si>
  <si>
    <t>Statistical Model Data is utilized by auto-segmentation and bone referencing algorithms.</t>
  </si>
  <si>
    <t>[1.1] Obfuscation of code.
[2.1] SAD - PKG1</t>
  </si>
  <si>
    <t>Column1</t>
  </si>
  <si>
    <t xml:space="preserve">[1.1] Access management - Windows user, Data encryption handler
SRS: 2.17.3
SADD: ES05, ES06, DS02, DS04
[1.3] D005010050 INSTALLATION_MANUAL_AND_TROUBLESHOOT
[2.1] Not applicable for Windows 10
</t>
  </si>
  <si>
    <t>[1.1]Access management - Windows user, Data encryption handler
SRS: 2.17.3
SADD: ES05, ES06, DS02, DS04
SDD: C276, C277
D005010050 INSTALLATION_MANUAL_AND_TROUBLESHOOT</t>
  </si>
  <si>
    <t>[1.1] - SOM-6.4 Log Export, Use, and Notification (AUDT-5, 6, 8) 
[1.2]Access management - Windows user, Data encryption handler
SRS: 2.17.3
SADD: ES05, ES06, DS02, DS04
SDD: C276, C277
D005010050 INSTALLATION_MANUAL_AND_TROUBLESHOOT</t>
  </si>
  <si>
    <t>Customers are required to manage the Laptop/Windows credentials</t>
  </si>
  <si>
    <t>Sofware is Installed on the end customer laptop so Operating System is provided by the customer for Software Installation</t>
  </si>
  <si>
    <t>Post the implementation of Security Control measures the security risk level is low, so residual risk is acceptable.</t>
  </si>
  <si>
    <t>Formula 3D Knee Planning Software</t>
  </si>
  <si>
    <t xml:space="preserve">Formula 3D Knee Planning is indicated for pre-operative planning for a knee replacement surgery where Stryker’s Triathlon knee implant is used. The Formula 3D Knee Planning  is intended to provide a surgeon facing, easy to use CT Knee planning software, that uses the patient’s CT scans to visualize the disease condition of Knee in three dimension and enable effective decision making for the surgeons before they even go into the operating room on the day of the surgery. 
Functionality Includes: 
• Auto-segmentation and landmark identification (manual modification possible) 
• Effortless implant planning 
• Saves the planned report for quick reference, The surgeon has the control and can choose how to interpret and use the results from the pre-operative planning. </t>
  </si>
  <si>
    <t>Deepak Sharma</t>
  </si>
  <si>
    <t>Document Number and Revision</t>
  </si>
  <si>
    <t>D005010014 Rev 0</t>
  </si>
  <si>
    <t>Description</t>
  </si>
  <si>
    <t>Product Security Risk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</si>
</sst>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1"/>
      <name val="Calibri"/>
      <family val="2"/>
      <scheme val="minor"/>
    </font>
    <font>
      <sz val="11"/>
      <color rgb="FF000000"/>
      <name val="Calibri"/>
      <family val="2"/>
      <charset val="1"/>
    </font>
    <font>
      <sz val="11"/>
      <color rgb="FFFF0000"/>
      <name val="Cambria"/>
      <family val="1"/>
    </font>
    <font>
      <sz val="10"/>
      <color rgb="FF000000"/>
      <name val="Humanist Slabserif 712 Std Roma"/>
      <charset val="1"/>
    </font>
    <font>
      <i/>
      <sz val="11"/>
      <name val="Cambria"/>
      <family val="1"/>
    </font>
    <font>
      <sz val="8"/>
      <name val="Calibri"/>
      <family val="2"/>
      <scheme val="minor"/>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4">
    <xf numFmtId="0" fontId="0" fillId="0" borderId="0"/>
    <xf numFmtId="0" fontId="1" fillId="0" borderId="0"/>
    <xf numFmtId="0" fontId="14" fillId="0" borderId="0"/>
    <xf numFmtId="0" fontId="38" fillId="0" borderId="0"/>
  </cellStyleXfs>
  <cellXfs count="258">
    <xf numFmtId="0" fontId="0" fillId="0" borderId="0" xfId="0"/>
    <xf numFmtId="0" fontId="0" fillId="0" borderId="1" xfId="0" applyBorder="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3" fillId="0" borderId="0" xfId="0" applyFont="1" applyAlignment="1">
      <alignment vertical="top" wrapText="1"/>
    </xf>
    <xf numFmtId="0" fontId="17" fillId="0" borderId="0" xfId="0" applyFont="1"/>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39" xfId="0" applyFont="1" applyBorder="1" applyAlignment="1">
      <alignment vertical="top"/>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5" fillId="18" borderId="1" xfId="0" applyFont="1" applyFill="1" applyBorder="1" applyAlignment="1">
      <alignment vertical="top"/>
    </xf>
    <xf numFmtId="0" fontId="23" fillId="0" borderId="1" xfId="0" applyFont="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Alignment="1">
      <alignment horizontal="center" vertical="center"/>
    </xf>
    <xf numFmtId="2" fontId="23" fillId="0" borderId="0" xfId="0" applyNumberFormat="1" applyFont="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Alignment="1">
      <alignment horizontal="center" vertical="center"/>
    </xf>
    <xf numFmtId="2" fontId="15" fillId="0" borderId="0" xfId="0" applyNumberFormat="1" applyFont="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Alignment="1">
      <alignment horizontal="center" vertical="center"/>
    </xf>
    <xf numFmtId="0" fontId="15" fillId="13" borderId="0" xfId="0" applyFont="1" applyFill="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1" xfId="0" applyFont="1" applyBorder="1" applyAlignment="1">
      <alignment horizontal="left" vertical="top" wrapText="1"/>
    </xf>
    <xf numFmtId="0" fontId="15" fillId="0" borderId="39" xfId="0" applyFont="1" applyBorder="1" applyAlignment="1">
      <alignment horizontal="center" vertical="top" wrapText="1"/>
    </xf>
    <xf numFmtId="0" fontId="15" fillId="0" borderId="5" xfId="0" applyFont="1" applyBorder="1" applyAlignment="1">
      <alignment horizontal="left" vertical="top" wrapText="1"/>
    </xf>
    <xf numFmtId="0" fontId="15" fillId="0" borderId="36" xfId="0" applyFont="1" applyBorder="1" applyAlignment="1">
      <alignment horizontal="center" vertical="top"/>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15" fillId="15" borderId="1" xfId="0"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0" fillId="0" borderId="1" xfId="0"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0" fillId="0" borderId="1" xfId="0" applyBorder="1" applyAlignment="1">
      <alignment horizontal="center" vertical="top" wrapText="1"/>
    </xf>
    <xf numFmtId="0" fontId="0" fillId="0" borderId="2" xfId="0" applyBorder="1" applyAlignment="1">
      <alignment vertical="top" wrapText="1"/>
    </xf>
    <xf numFmtId="0" fontId="37" fillId="5" borderId="6" xfId="0" applyFont="1" applyFill="1" applyBorder="1" applyAlignment="1">
      <alignment horizontal="center" vertical="top" wrapText="1"/>
    </xf>
    <xf numFmtId="0" fontId="0" fillId="0" borderId="4" xfId="0" applyBorder="1" applyAlignment="1">
      <alignment horizontal="center" vertical="top" wrapText="1"/>
    </xf>
    <xf numFmtId="0" fontId="15" fillId="0" borderId="2" xfId="0" applyFont="1" applyBorder="1" applyAlignment="1">
      <alignment horizontal="left" vertical="top" wrapText="1"/>
    </xf>
    <xf numFmtId="0" fontId="15" fillId="0" borderId="5" xfId="0" applyFont="1" applyBorder="1" applyAlignment="1">
      <alignment horizontal="center" vertical="top"/>
    </xf>
    <xf numFmtId="0" fontId="15" fillId="0" borderId="36" xfId="0" applyFont="1" applyBorder="1" applyAlignment="1">
      <alignment vertical="top"/>
    </xf>
    <xf numFmtId="0" fontId="15" fillId="0" borderId="7" xfId="0" applyFont="1" applyBorder="1" applyAlignment="1">
      <alignment vertical="top" wrapText="1"/>
    </xf>
    <xf numFmtId="0" fontId="15" fillId="19" borderId="7" xfId="0" applyFont="1" applyFill="1" applyBorder="1" applyAlignment="1">
      <alignment vertical="top" wrapText="1"/>
    </xf>
    <xf numFmtId="0" fontId="21" fillId="0" borderId="1" xfId="0" applyFont="1" applyBorder="1" applyAlignment="1">
      <alignment horizontal="left" vertical="top" wrapText="1"/>
    </xf>
    <xf numFmtId="0" fontId="39" fillId="0" borderId="1" xfId="0" applyFont="1" applyBorder="1" applyAlignment="1">
      <alignment vertical="top" wrapText="1"/>
    </xf>
    <xf numFmtId="0" fontId="39" fillId="0" borderId="0" xfId="0" applyFont="1" applyAlignment="1">
      <alignment vertical="top" wrapText="1"/>
    </xf>
    <xf numFmtId="164" fontId="15" fillId="15" borderId="1" xfId="0" applyNumberFormat="1" applyFont="1" applyFill="1" applyBorder="1" applyAlignment="1">
      <alignment horizontal="center" vertical="center" wrapText="1"/>
    </xf>
    <xf numFmtId="164" fontId="24" fillId="19" borderId="1" xfId="0" applyNumberFormat="1" applyFont="1" applyFill="1" applyBorder="1" applyAlignment="1">
      <alignment horizontal="center" vertical="center" wrapText="1"/>
    </xf>
    <xf numFmtId="0" fontId="24" fillId="22" borderId="1" xfId="0" applyFont="1" applyFill="1" applyBorder="1" applyAlignment="1">
      <alignment horizontal="center" vertical="center" wrapText="1"/>
    </xf>
    <xf numFmtId="0" fontId="15" fillId="0" borderId="1" xfId="0" applyFont="1" applyBorder="1" applyAlignment="1">
      <alignment horizontal="center" vertical="center"/>
    </xf>
    <xf numFmtId="0" fontId="0" fillId="0" borderId="0" xfId="0" applyAlignment="1">
      <alignment horizontal="center" vertical="center"/>
    </xf>
    <xf numFmtId="0" fontId="15" fillId="0" borderId="1" xfId="0" applyFont="1" applyBorder="1" applyAlignment="1">
      <alignment vertical="top" wrapText="1"/>
    </xf>
    <xf numFmtId="0" fontId="15" fillId="19" borderId="1" xfId="0" applyFont="1" applyFill="1" applyBorder="1" applyAlignment="1">
      <alignment vertical="top" wrapText="1"/>
    </xf>
    <xf numFmtId="0" fontId="17" fillId="0" borderId="0" xfId="0" applyFont="1" applyAlignment="1">
      <alignment wrapText="1"/>
    </xf>
    <xf numFmtId="0" fontId="40" fillId="0" borderId="0" xfId="0" applyFont="1" applyAlignment="1">
      <alignment wrapText="1"/>
    </xf>
    <xf numFmtId="0" fontId="0" fillId="0" borderId="0" xfId="0" applyAlignment="1">
      <alignment wrapText="1"/>
    </xf>
    <xf numFmtId="0" fontId="23" fillId="19" borderId="1" xfId="0" applyFont="1" applyFill="1" applyBorder="1" applyAlignment="1">
      <alignment vertical="top" wrapText="1"/>
    </xf>
    <xf numFmtId="0" fontId="21" fillId="19" borderId="1" xfId="0" applyFont="1" applyFill="1" applyBorder="1" applyAlignment="1">
      <alignment wrapText="1"/>
    </xf>
    <xf numFmtId="0" fontId="0" fillId="19" borderId="0" xfId="0" applyFill="1" applyAlignment="1">
      <alignment wrapText="1"/>
    </xf>
    <xf numFmtId="0" fontId="15" fillId="0" borderId="1" xfId="0" applyFont="1" applyBorder="1" applyAlignment="1">
      <alignment horizontal="center" vertical="center" wrapText="1"/>
    </xf>
    <xf numFmtId="0" fontId="15" fillId="19" borderId="1" xfId="0" applyFont="1" applyFill="1" applyBorder="1" applyAlignment="1">
      <alignment horizontal="center" vertical="center" wrapText="1"/>
    </xf>
    <xf numFmtId="0" fontId="15" fillId="0" borderId="1" xfId="0" applyFont="1" applyBorder="1" applyAlignment="1">
      <alignment horizontal="center" vertical="center"/>
    </xf>
    <xf numFmtId="0" fontId="23" fillId="0" borderId="4" xfId="0" applyFont="1" applyBorder="1" applyAlignment="1">
      <alignment horizontal="center" vertical="top" wrapText="1"/>
    </xf>
    <xf numFmtId="0" fontId="41" fillId="0" borderId="1" xfId="0" applyFont="1" applyBorder="1" applyAlignment="1">
      <alignment horizontal="center" vertical="top" wrapText="1"/>
    </xf>
    <xf numFmtId="0" fontId="23" fillId="0" borderId="1" xfId="0" applyFont="1" applyFill="1" applyBorder="1" applyAlignment="1">
      <alignment horizontal="left" vertical="top" wrapText="1"/>
    </xf>
    <xf numFmtId="164" fontId="15" fillId="15" borderId="1" xfId="0" applyNumberFormat="1" applyFont="1" applyFill="1" applyBorder="1" applyAlignment="1">
      <alignment horizontal="center" vertical="top" wrapText="1"/>
    </xf>
    <xf numFmtId="164" fontId="15" fillId="15" borderId="6" xfId="0" applyNumberFormat="1" applyFont="1" applyFill="1" applyBorder="1" applyAlignment="1">
      <alignment horizontal="center" vertical="top" wrapText="1"/>
    </xf>
    <xf numFmtId="164" fontId="15" fillId="15" borderId="5" xfId="0" applyNumberFormat="1" applyFont="1" applyFill="1" applyBorder="1" applyAlignment="1">
      <alignment horizontal="center" vertical="top" wrapText="1"/>
    </xf>
    <xf numFmtId="0" fontId="23" fillId="0" borderId="0" xfId="0" applyFont="1" applyAlignment="1">
      <alignment wrapText="1"/>
    </xf>
    <xf numFmtId="0" fontId="15" fillId="0" borderId="1" xfId="0" applyFont="1" applyBorder="1" applyAlignment="1">
      <alignment horizontal="left" vertical="top" wrapText="1"/>
    </xf>
    <xf numFmtId="14" fontId="15" fillId="0" borderId="1" xfId="0" applyNumberFormat="1"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4">
    <cellStyle name="Excel Built-in Normal" xfId="2" xr:uid="{00000000-0005-0000-0000-000000000000}"/>
    <cellStyle name="Normal" xfId="0" builtinId="0"/>
    <cellStyle name="Normal 2" xfId="1" xr:uid="{00000000-0005-0000-0000-000001000000}"/>
    <cellStyle name="Normal 3" xfId="3" xr:uid="{56DE692E-654F-42BB-A63C-95B6B2C5B890}"/>
  </cellStyles>
  <dxfs count="185">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FF"/>
        <name val="Cambria"/>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Vishnu  K" id="{AE989636-13C7-4CDD-9E68-9C0C81A5AFAF}" userId="Vishnu  K" providerId="None"/>
  <person displayName="Manmeet_x0009_Singh" id="{5402DEF8-D36A-4FED-A72A-252DF8145E04}" userId="Manmeet_x0009_Singh" providerId="None"/>
  <person displayName="Pranay  Likhitkar" id="{CF833CF8-89D5-458A-84EA-D10BAED4BB12}" userId="S::pranay@payatu.io::5935e03e-b804-4de3-b379-232f1e85f326" providerId="AD"/>
  <person displayName="Manickavel, Sridhar" id="{FC029FFD-E30B-4138-B2FC-F5CB79D757AC}" userId="S::sridhar.manickavel@stryker.com::1a735ae1-f867-4c39-81b5-dcb3f6854ba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10:E26" totalsRowShown="0" headerRowDxfId="184" dataDxfId="182" headerRowBorderDxfId="183" tableBorderDxfId="181" totalsRowBorderDxfId="180">
  <autoFilter ref="A10:E26" xr:uid="{00000000-0009-0000-0100-000003000000}"/>
  <tableColumns count="5">
    <tableColumn id="1" xr3:uid="{00000000-0010-0000-0000-000001000000}" name="ID #" dataDxfId="179"/>
    <tableColumn id="2" xr3:uid="{00000000-0010-0000-0000-000002000000}" name="Asset Type_x000a_(Information/Physical)" dataDxfId="178"/>
    <tableColumn id="3" xr3:uid="{00000000-0010-0000-0000-000003000000}" name="Asset" dataDxfId="177"/>
    <tableColumn id="4" xr3:uid="{00000000-0010-0000-0000-000004000000}" name="Asset Description" dataDxfId="176"/>
    <tableColumn id="5" xr3:uid="{C8CC76E7-E82F-4D75-B742-4EB1CB69686B}" name="Comments"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41" totalsRowShown="0" headerRowDxfId="174" dataDxfId="172" headerRowBorderDxfId="173" tableBorderDxfId="171" totalsRowBorderDxfId="170">
  <autoFilter ref="A4:D41" xr:uid="{00000000-0009-0000-0100-000002000000}"/>
  <tableColumns count="4">
    <tableColumn id="1" xr3:uid="{00000000-0010-0000-0100-000001000000}" name="Vuln. ID" dataDxfId="169"/>
    <tableColumn id="4" xr3:uid="{00000000-0010-0000-0100-000004000000}" name="Vulnerability Description" dataDxfId="168"/>
    <tableColumn id="5" xr3:uid="{00000000-0010-0000-0100-000005000000}" name="Applicable (Yes/No)" dataDxfId="167"/>
    <tableColumn id="6" xr3:uid="{00000000-0010-0000-0100-000006000000}" name="Rationale (if Vulnerability not applicable)" dataDxfId="166"/>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R63" totalsRowShown="0" headerRowDxfId="160" dataDxfId="159" tableBorderDxfId="158">
  <autoFilter ref="A4:AR63" xr:uid="{00000000-0009-0000-0100-000004000000}"/>
  <tableColumns count="44">
    <tableColumn id="1" xr3:uid="{00000000-0010-0000-0300-000001000000}" name="_x000a_ID #" dataDxfId="157" totalsRowDxfId="156"/>
    <tableColumn id="23" xr3:uid="{00000000-0010-0000-0300-000017000000}" name="T ID" dataDxfId="155" totalsRowDxfId="154"/>
    <tableColumn id="2" xr3:uid="{00000000-0010-0000-0300-000002000000}" name="Threat Event(s)" dataDxfId="153" totalsRowDxfId="152">
      <calculatedColumnFormula>IF(VLOOKUP(Table4[[#This Row],[T ID]],Table5[#All],5,FALSE)="No","Not in scope",VLOOKUP(Table4[[#This Row],[T ID]],Table5[#All],2,FALSE))</calculatedColumnFormula>
    </tableColumn>
    <tableColumn id="22" xr3:uid="{00000000-0010-0000-0300-000016000000}" name="V ID" dataDxfId="151" totalsRowDxfId="150"/>
    <tableColumn id="3" xr3:uid="{00000000-0010-0000-0300-000003000000}" name="Vulnerabilities" dataDxfId="149" totalsRowDxfId="148">
      <calculatedColumnFormula>IF(VLOOKUP(Table4[[#This Row],[V ID]],Vulnerabilities[#All],3,FALSE)="No","Not in scope",VLOOKUP(Table4[[#This Row],[V ID]],Vulnerabilities[#All],2,FALSE))</calculatedColumnFormula>
    </tableColumn>
    <tableColumn id="24" xr3:uid="{00000000-0010-0000-0300-000018000000}" name="A ID" dataDxfId="147" totalsRowDxfId="146"/>
    <tableColumn id="4" xr3:uid="{00000000-0010-0000-0300-000004000000}" name="Asset" dataDxfId="145" totalsRowDxfId="144">
      <calculatedColumnFormula>VLOOKUP(Table4[[#This Row],[A ID]],Assets[#All],3,FALSE)</calculatedColumnFormula>
    </tableColumn>
    <tableColumn id="5" xr3:uid="{00000000-0010-0000-0300-000005000000}" name="Impact Description" dataDxfId="143" totalsRowDxfId="142"/>
    <tableColumn id="7" xr3:uid="{00000000-0010-0000-0300-000007000000}" name="Safety Impact _x000a_(Risk ID# or N/A)" dataDxfId="141" totalsRowDxfId="140"/>
    <tableColumn id="26" xr3:uid="{00000000-0010-0000-0300-00001A000000}" name="Confidentiality" dataDxfId="139" totalsRowDxfId="138"/>
    <tableColumn id="25" xr3:uid="{00000000-0010-0000-0300-000019000000}" name="Integrity" dataDxfId="137" totalsRowDxfId="136"/>
    <tableColumn id="21" xr3:uid="{00000000-0010-0000-0300-000015000000}" name="Availability" dataDxfId="135" totalsRowDxfId="134"/>
    <tableColumn id="44" xr3:uid="{00000000-0010-0000-0300-00002C000000}" name="Attack Vector" dataDxfId="133" totalsRowDxfId="132"/>
    <tableColumn id="45" xr3:uid="{00000000-0010-0000-0300-00002D000000}" name="Attack Complexity" dataDxfId="131" totalsRowDxfId="130"/>
    <tableColumn id="46" xr3:uid="{00000000-0010-0000-0300-00002E000000}" name="Privileges Required" dataDxfId="129" totalsRowDxfId="128"/>
    <tableColumn id="47" xr3:uid="{00000000-0010-0000-0300-00002F000000}" name="User Interaction" dataDxfId="127" totalsRowDxfId="126"/>
    <tableColumn id="43" xr3:uid="{00000000-0010-0000-0300-00002B000000}" name="Scope" dataDxfId="125" totalsRowDxfId="124"/>
    <tableColumn id="48" xr3:uid="{00000000-0010-0000-0300-000030000000}" name="Exploitability Sub Score" dataDxfId="123" totalsRowDxfId="122">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21" totalsRowDxfId="120">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9" totalsRowDxfId="118">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17" totalsRowDxfId="116">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15"/>
    <tableColumn id="33" xr3:uid="{00000000-0010-0000-0300-000021000000}" name="Threat Event Initiation_x000a_Score" dataDxfId="114" totalsRowDxfId="113">
      <calculatedColumnFormula>VLOOKUP(Table4[[#This Row],[Threat Event Initiation]],NIST_Scale_LOAI[],2,FALSE)</calculatedColumnFormula>
    </tableColumn>
    <tableColumn id="10" xr3:uid="{00000000-0010-0000-0300-00000A000000}" name="Overall Risk Score" dataDxfId="112" totalsRowDxfId="111">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10" totalsRowDxfId="109">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8" totalsRowDxfId="107"/>
    <tableColumn id="14" xr3:uid="{00000000-0010-0000-0300-00000E000000}" name="Implementation of Risk Control Measures " dataDxfId="106" totalsRowDxfId="105"/>
    <tableColumn id="15" xr3:uid="{00000000-0010-0000-0300-00000F000000}" name="Verification of Risk Control Measures (Effectiveness)" dataDxfId="104" totalsRowDxfId="103"/>
    <tableColumn id="13" xr3:uid="{00000000-0010-0000-0300-00000D000000}" name="ConfidentialityP" dataDxfId="102" totalsRowDxfId="101"/>
    <tableColumn id="27" xr3:uid="{00000000-0010-0000-0300-00001B000000}" name="IntegrityP" dataDxfId="100" totalsRowDxfId="99"/>
    <tableColumn id="28" xr3:uid="{00000000-0010-0000-0300-00001C000000}" name="AvailabilityP" dataDxfId="98" totalsRowDxfId="97"/>
    <tableColumn id="8" xr3:uid="{00000000-0010-0000-0300-000008000000}" name="Attack VectorP" dataDxfId="96" totalsRowDxfId="95"/>
    <tableColumn id="29" xr3:uid="{00000000-0010-0000-0300-00001D000000}" name="Attack ComplexityP" dataDxfId="94" totalsRowDxfId="93"/>
    <tableColumn id="30" xr3:uid="{00000000-0010-0000-0300-00001E000000}" name="Privileges RequiredP" dataDxfId="92" totalsRowDxfId="91"/>
    <tableColumn id="31" xr3:uid="{00000000-0010-0000-0300-00001F000000}" name="User InteractionP" dataDxfId="90"/>
    <tableColumn id="36" xr3:uid="{00000000-0010-0000-0300-000024000000}" name="ScopeP" dataDxfId="89" totalsRowDxfId="88"/>
    <tableColumn id="35" xr3:uid="{00000000-0010-0000-0300-000023000000}" name="Exploitability Sub ScoreP" dataDxfId="87" totalsRowDxfId="86">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85" totalsRowDxfId="84">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83" totalsRowDxfId="82">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81" totalsRowDxfId="80">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9" totalsRowDxfId="78">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77" totalsRowDxfId="76">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75" totalsRowDxfId="74"/>
    <tableColumn id="6" xr3:uid="{8EB10499-D637-4E4B-81A7-3192DFAE233C}" name="Column1" dataDxfId="73" totalsRowDxfId="72"/>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headerRowDxfId="71" dataDxfId="69" headerRowBorderDxfId="70" tableBorderDxfId="68" totalsRowBorderDxfId="67">
  <autoFilter ref="A3:F17" xr:uid="{00000000-0009-0000-0100-000005000000}"/>
  <tableColumns count="6">
    <tableColumn id="1" xr3:uid="{00000000-0010-0000-0200-000001000000}" name="#" dataDxfId="66"/>
    <tableColumn id="2" xr3:uid="{00000000-0010-0000-0200-000002000000}" name="Threat Event " dataDxfId="65"/>
    <tableColumn id="3" xr3:uid="{00000000-0010-0000-0200-000003000000}" name="Description " dataDxfId="64"/>
    <tableColumn id="4" xr3:uid="{00000000-0010-0000-0200-000004000000}" name="Threat Source" dataDxfId="63"/>
    <tableColumn id="5" xr3:uid="{00000000-0010-0000-0200-000005000000}" name="In Scope (Yes/No)" dataDxfId="62"/>
    <tableColumn id="13" xr3:uid="{00000000-0010-0000-0200-00000D000000}" name="Rationale _x000a_(if out of scope)" dataDxfId="61"/>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41415" displayName="Table41415" ref="A4:M9" totalsRowShown="0" headerRowDxfId="45" dataDxfId="44" tableBorderDxfId="43">
  <tableColumns count="13">
    <tableColumn id="1" xr3:uid="{00000000-0010-0000-0400-000001000000}" name="_x000a_ID #" dataDxfId="42" totalsRowDxfId="41">
      <calculatedColumnFormula>Table4[[#This Row],[
ID '#]]</calculatedColumnFormula>
    </tableColumn>
    <tableColumn id="23" xr3:uid="{00000000-0010-0000-0400-000017000000}" name="T ID" dataDxfId="40" totalsRowDxfId="39">
      <calculatedColumnFormula>IF(Table4[[#This Row],[A ID]]&gt;0,Table4[[#This Row],[T ID]],"")</calculatedColumnFormula>
    </tableColumn>
    <tableColumn id="2" xr3:uid="{00000000-0010-0000-0400-000002000000}" name="Threat Event(s)" dataDxfId="38" totalsRowDxfId="37">
      <calculatedColumnFormula>Table4[[#This Row],[Threat Event(s)]]</calculatedColumnFormula>
    </tableColumn>
    <tableColumn id="22" xr3:uid="{00000000-0010-0000-0400-000016000000}" name="V ID" dataDxfId="36" totalsRowDxfId="35">
      <calculatedColumnFormula>IF(Table4[[#This Row],[V ID]]&gt;0,Table4[[#This Row],[V ID]],"")</calculatedColumnFormula>
    </tableColumn>
    <tableColumn id="3" xr3:uid="{00000000-0010-0000-0400-000003000000}" name="Vulnerabilities" dataDxfId="34" totalsRowDxfId="33">
      <calculatedColumnFormula>Table4[[#This Row],[Vulnerabilities]]</calculatedColumnFormula>
    </tableColumn>
    <tableColumn id="24" xr3:uid="{00000000-0010-0000-0400-000018000000}" name="A ID" dataDxfId="32" totalsRowDxfId="31">
      <calculatedColumnFormula>IF(Table4[[#This Row],[A ID]]&gt;0,Table4[[#This Row],[A ID]],"")</calculatedColumnFormula>
    </tableColumn>
    <tableColumn id="4" xr3:uid="{00000000-0010-0000-0400-000004000000}" name="Assets" dataDxfId="30" totalsRowDxfId="29">
      <calculatedColumnFormula>Table4[[#This Row],[Asset]]</calculatedColumnFormula>
    </tableColumn>
    <tableColumn id="5" xr3:uid="{00000000-0010-0000-0400-000005000000}" name="Impact Description" dataDxfId="28" totalsRowDxfId="27">
      <calculatedColumnFormula>IF(Table4[[#This Row],[Impact Description]]&gt;0,Table4[[#This Row],[Impact Description]],"")</calculatedColumnFormula>
    </tableColumn>
    <tableColumn id="7" xr3:uid="{00000000-0010-0000-0400-000007000000}" name="Safety Impact _x000a_(Risk ID# or N/A)" dataDxfId="26" totalsRowDxfId="25">
      <calculatedColumnFormula>IF(Table4[[#This Row],[Safety Impact 
(Risk ID'# or N/A)]]&gt;0,Table4[[#This Row],[Safety Impact 
(Risk ID'# or N/A)]],"")</calculatedColumnFormula>
    </tableColumn>
    <tableColumn id="11" xr3:uid="{00000000-0010-0000-0400-00000B000000}" name="Pre-Controls _x000a_Risk Level" dataDxfId="24" totalsRowDxfId="23">
      <calculatedColumnFormula>Table4[[#This Row],[Security 
Risk 
Level]]</calculatedColumnFormula>
    </tableColumn>
    <tableColumn id="12" xr3:uid="{00000000-0010-0000-0400-00000C000000}" name="Security Risk Control Measures" dataDxfId="22" totalsRowDxfId="21">
      <calculatedColumnFormula>IF(Table4[[#This Row],[Security Risk Control Measures]]&gt;0,Table4[[#This Row],[Security Risk Control Measures]],"")</calculatedColumnFormula>
    </tableColumn>
    <tableColumn id="50" xr3:uid="{00000000-0010-0000-0400-000032000000}" name="Post-Controls Risk Level" dataDxfId="20" totalsRowDxfId="19">
      <calculatedColumnFormula>Table4[[#This Row],[Security Risk LevelP]]</calculatedColumnFormula>
    </tableColumn>
    <tableColumn id="20" xr3:uid="{00000000-0010-0000-0400-00001400000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NIST_Scale_LOAI" displayName="NIST_Scale_LOAI" ref="Q4:R10" totalsRowShown="0" headerRowDxfId="16" dataDxfId="15" tableBorderDxfId="14">
  <autoFilter ref="Q4:R10" xr:uid="{00000000-0009-0000-0100-000006000000}"/>
  <tableColumns count="2">
    <tableColumn id="1" xr3:uid="{00000000-0010-0000-0500-000001000000}" name="Rating" dataDxfId="13"/>
    <tableColumn id="2" xr3:uid="{00000000-0010-0000-0500-000002000000}" name="Score" dataDxfId="12"/>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C10" totalsRowShown="0" headerRowDxfId="11" dataDxfId="10" tableBorderDxfId="9">
  <autoFilter ref="A4:C10" xr:uid="{00000000-0009-0000-0100-000007000000}"/>
  <tableColumns count="3">
    <tableColumn id="1" xr3:uid="{00000000-0010-0000-0600-000001000000}" name="ID#" dataDxfId="8"/>
    <tableColumn id="2" xr3:uid="{00000000-0010-0000-0600-000002000000}" name="Threat Source" dataDxfId="7"/>
    <tableColumn id="3" xr3:uid="{00000000-0010-0000-0600-000003000000}" name="In Scope (Y/N)" dataDxfId="6"/>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E4:G10" totalsRowShown="0" headerRowDxfId="5" dataDxfId="4" tableBorderDxfId="3">
  <autoFilter ref="E4:G10" xr:uid="{00000000-0009-0000-0100-000008000000}"/>
  <tableColumns count="3">
    <tableColumn id="1" xr3:uid="{00000000-0010-0000-0700-000001000000}" name="ID#" dataDxfId="2"/>
    <tableColumn id="2" xr3:uid="{00000000-0010-0000-0700-000002000000}" name="Source" dataDxfId="1"/>
    <tableColumn id="3" xr3:uid="{00000000-0010-0000-0700-000003000000}" name="In Scope (Y/N)"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6" dT="2021-12-01T09:29:45.58" personId="{5402DEF8-D36A-4FED-A72A-252DF8145E04}" id="{5B424D5A-FF05-4A09-8095-453760AD3CAD}">
    <text>#Gaurav for 4th point "Application should be updated with the latest version of dependencies" add a refrence.</text>
  </threadedComment>
  <threadedComment ref="AA6" dT="2021-12-07T11:48:45.17" personId="{FC029FFD-E30B-4138-B2FC-F5CB79D757AC}" id="{DD2C0695-7C11-499C-ADAF-07A3228442B6}" parentId="{5B424D5A-FF05-4A09-8095-453760AD3CAD}">
    <text>Updated with 4.1</text>
  </threadedComment>
  <threadedComment ref="AA8" dT="2021-12-01T10:23:39.39" personId="{5402DEF8-D36A-4FED-A72A-252DF8145E04}" id="{17B7D763-4DC8-4B7E-807B-4621B78BB4AF}">
    <text># Gaurav add the refrences properly. we have added the verififcation. Just go through it and create a cross reference. These points are technical so kindly see to it.</text>
  </threadedComment>
  <threadedComment ref="AA8" dT="2021-12-07T11:52:34.55" personId="{FC029FFD-E30B-4138-B2FC-F5CB79D757AC}" id="{5F26A4FA-2A41-4968-B0D3-FA98480429E6}" parentId="{17B7D763-4DC8-4B7E-807B-4621B78BB4AF}">
    <text>Updated with correct section</text>
  </threadedComment>
  <threadedComment ref="AB8" dT="2021-12-01T10:24:08.59" personId="{5402DEF8-D36A-4FED-A72A-252DF8145E04}" id="{0F54170B-0B62-4D76-B3DE-8728083215B5}">
    <text>#gaurav give a number to this point</text>
  </threadedComment>
  <threadedComment ref="AA11" dT="2021-12-02T07:09:09.74" personId="{AE989636-13C7-4CDD-9E68-9C0C81A5AFAF}" id="{BA551AEA-8FD1-410A-A372-D6570D622204}">
    <text>#gaurav fill the reference for 4th point</text>
  </threadedComment>
  <threadedComment ref="AA13" dT="2021-12-01T12:10:20.70" personId="{AE989636-13C7-4CDD-9E68-9C0C81A5AFAF}" id="{149A1916-D894-4EF0-B358-9F2136679947}">
    <text>#Gaurav for 4th point "Application should be updated with the latest version of dependencies" add a refrence.</text>
  </threadedComment>
  <threadedComment ref="AA15" dT="2021-12-01T12:10:20.70" personId="{AE989636-13C7-4CDD-9E68-9C0C81A5AFAF}" id="{0FF1A018-AED1-4CE3-A71E-DD93811FC90C}">
    <text>#Gaurav for 4th point "Application should be updated with the latest version of dependencies" add a refrence.</text>
  </threadedComment>
  <threadedComment ref="AA20" dT="2021-12-01T14:15:54.43" personId="{5402DEF8-D36A-4FED-A72A-252DF8145E04}" id="{C9D5C198-31B4-46CB-9A79-52E6C77F05D8}">
    <text># Gaurav add reference for 3.1</text>
  </threadedComment>
  <threadedComment ref="AA20" dT="2021-12-08T11:49:10.01" personId="{FC029FFD-E30B-4138-B2FC-F5CB79D757AC}" id="{4D7F6320-56E2-4221-B52C-C2CAC71F12EE}" parentId="{C9D5C198-31B4-46CB-9A79-52E6C77F05D8}">
    <text>Updated</text>
  </threadedComment>
  <threadedComment ref="AA21" dT="2021-12-02T07:21:07.61" personId="{AE989636-13C7-4CDD-9E68-9C0C81A5AFAF}" id="{8B7CC49C-18F2-4500-ADB2-3BFFBBF31019}">
    <text>#gaurav Please add reference to point 2.1 and 4.1</text>
  </threadedComment>
  <threadedComment ref="AA30" dT="2021-12-02T07:08:28.40" personId="{CF833CF8-89D5-458A-84EA-D10BAED4BB12}" id="{A061E1EA-0017-4478-AD87-436F1D6C4460}">
    <text>#Gaurav add reference for point 2</text>
  </threadedComment>
  <threadedComment ref="AA30" dT="2021-12-08T09:21:08.39" personId="{FC029FFD-E30B-4138-B2FC-F5CB79D757AC}" id="{A997F012-72FE-4659-844D-138AC8213CC5}" parentId="{A061E1EA-0017-4478-AD87-436F1D6C4460}">
    <text>Updated</text>
  </threadedComment>
  <threadedComment ref="AA33" dT="2021-12-01T16:43:19.80" personId="{CF833CF8-89D5-458A-84EA-D10BAED4BB12}" id="{777AECFC-5C89-4DFA-B9E8-1C0FC889E194}">
    <text>#Gaurav please add reference here point no. 2</text>
  </threadedComment>
  <threadedComment ref="AA33" dT="2021-12-08T07:49:00.81" personId="{FC029FFD-E30B-4138-B2FC-F5CB79D757AC}" id="{3AAAF6B3-7F65-4885-8466-992B8D308583}" parentId="{777AECFC-5C89-4DFA-B9E8-1C0FC889E194}">
    <text>Updated</text>
  </threadedComment>
  <threadedComment ref="AA40" dT="2021-12-01T13:20:09.68" personId="{CF833CF8-89D5-458A-84EA-D10BAED4BB12}" id="{31769957-AC71-4D10-951F-27138CDBEA73}">
    <text>#Gaurav there are no reference for point 1</text>
  </threadedComment>
  <threadedComment ref="AA40" dT="2021-12-08T07:53:35.49" personId="{FC029FFD-E30B-4138-B2FC-F5CB79D757AC}" id="{BB17E5F6-EE7F-467A-89F6-EFEBDF624F0C}" parentId="{31769957-AC71-4D10-951F-27138CDBEA73}">
    <text>Updated</text>
  </threadedComment>
  <threadedComment ref="AA45" dT="2021-12-02T08:31:01.70" personId="{CF833CF8-89D5-458A-84EA-D10BAED4BB12}" id="{FC896880-8533-44BC-81FF-EDAC9EBF0BDC}">
    <text>#Gaurav please add proper points to document references</text>
  </threadedComment>
  <threadedComment ref="AA45" dT="2021-12-08T08:03:38.45" personId="{FC029FFD-E30B-4138-B2FC-F5CB79D757AC}" id="{09081AC2-9306-49DC-8558-2B8789BAF2F9}" parentId="{FC896880-8533-44BC-81FF-EDAC9EBF0BDC}">
    <text>Updated</text>
  </threadedComment>
  <threadedComment ref="AA46" dT="2021-12-02T07:43:42.13" personId="{AE989636-13C7-4CDD-9E68-9C0C81A5AFAF}" id="{2A36A496-887F-42CB-9ACA-1232B227E68E}">
    <text>#gaurav Please provide reference for the point 1. The one given here is taking about the access management but it is related to license data. So please check if its applicable here</text>
  </threadedComment>
  <threadedComment ref="AA46" dT="2021-12-08T09:27:41.25" personId="{FC029FFD-E30B-4138-B2FC-F5CB79D757AC}" id="{F845AF7D-DE33-49E1-B00D-44815E6338AC}" parentId="{2A36A496-887F-42CB-9ACA-1232B227E68E}">
    <text>updated</text>
  </threadedComment>
  <threadedComment ref="AA47" dT="2021-12-02T07:44:46.61" personId="{AE989636-13C7-4CDD-9E68-9C0C81A5AFAF}" id="{05D527FC-38C8-4947-8DF1-1987BF64A12B}">
    <text>#gaurav please provide reference for [1.1] if applicable.</text>
  </threadedComment>
  <threadedComment ref="AA47" dT="2021-12-08T09:28:42.27" personId="{FC029FFD-E30B-4138-B2FC-F5CB79D757AC}" id="{EFC8CBC0-5B62-44A8-963D-81AA57123F25}" parentId="{05D527FC-38C8-4947-8DF1-1987BF64A12B}">
    <text>updated</text>
  </threadedComment>
  <threadedComment ref="AA48" dT="2021-12-02T07:16:01.30" personId="{CF833CF8-89D5-458A-84EA-D10BAED4BB12}" id="{163E962F-DEC8-417E-BE70-EA8B3E44C47B}">
    <text>#Gaurav please add a reference for point 4</text>
  </threadedComment>
  <threadedComment ref="AA55" dT="2021-12-01T17:23:58.01" personId="{5402DEF8-D36A-4FED-A72A-252DF8145E04}" id="{C224C9F4-5E5C-4B3F-822F-B9C624A47470}">
    <text>#Gaurav kindly fill refrence for 2.1 and 3.1</text>
  </threadedComment>
  <threadedComment ref="AA57" dT="2021-12-01T17:25:34.15" personId="{CF833CF8-89D5-458A-84EA-D10BAED4BB12}" id="{0915E130-9FA5-4D89-91A9-2409D9E7AD74}">
    <text>#Gaurav please provide reference for point 1</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3"/>
  <sheetViews>
    <sheetView topLeftCell="A10" zoomScaleNormal="100" workbookViewId="0">
      <selection activeCell="C7" sqref="C7:D7"/>
    </sheetView>
  </sheetViews>
  <sheetFormatPr defaultColWidth="9.140625" defaultRowHeight="14.25"/>
  <cols>
    <col min="1" max="1" width="7.85546875" style="25" customWidth="1"/>
    <col min="2" max="2" width="30.7109375" style="25" customWidth="1"/>
    <col min="3" max="3" width="40.85546875" style="25" customWidth="1"/>
    <col min="4" max="4" width="51.28515625" style="25" customWidth="1"/>
    <col min="5" max="5" width="16.140625" style="25" customWidth="1"/>
    <col min="6" max="6" width="14.28515625" style="25" customWidth="1"/>
    <col min="7" max="16384" width="9.140625" style="25"/>
  </cols>
  <sheetData>
    <row r="1" spans="1:5" s="28" customFormat="1">
      <c r="A1" s="27" t="s">
        <v>0</v>
      </c>
    </row>
    <row r="2" spans="1:5" s="28" customFormat="1"/>
    <row r="3" spans="1:5" s="28" customFormat="1">
      <c r="A3" s="29" t="s">
        <v>1</v>
      </c>
      <c r="B3" s="30"/>
      <c r="C3" s="217" t="s">
        <v>494</v>
      </c>
      <c r="D3" s="217"/>
    </row>
    <row r="4" spans="1:5" s="28" customFormat="1" ht="161.44999999999999" customHeight="1">
      <c r="A4" s="31" t="s">
        <v>2</v>
      </c>
      <c r="B4" s="32"/>
      <c r="C4" s="217" t="s">
        <v>495</v>
      </c>
      <c r="D4" s="217"/>
    </row>
    <row r="5" spans="1:5" s="28" customFormat="1">
      <c r="A5" s="31" t="s">
        <v>499</v>
      </c>
      <c r="B5" s="32"/>
      <c r="C5" s="218" t="s">
        <v>500</v>
      </c>
      <c r="D5" s="217"/>
    </row>
    <row r="6" spans="1:5" s="28" customFormat="1" ht="30" customHeight="1">
      <c r="A6" s="33" t="s">
        <v>497</v>
      </c>
      <c r="B6" s="34"/>
      <c r="C6" s="217" t="s">
        <v>498</v>
      </c>
      <c r="D6" s="217"/>
    </row>
    <row r="7" spans="1:5" s="28" customFormat="1">
      <c r="A7" s="31" t="s">
        <v>3</v>
      </c>
      <c r="B7" s="32"/>
      <c r="C7" s="218">
        <v>44530</v>
      </c>
      <c r="D7" s="217"/>
    </row>
    <row r="8" spans="1:5" s="28" customFormat="1" ht="30" customHeight="1">
      <c r="A8" s="33" t="s">
        <v>4</v>
      </c>
      <c r="B8" s="34"/>
      <c r="C8" s="217" t="s">
        <v>496</v>
      </c>
      <c r="D8" s="217"/>
    </row>
    <row r="9" spans="1:5" s="28" customFormat="1"/>
    <row r="10" spans="1:5" s="28" customFormat="1" ht="28.5">
      <c r="A10" s="35" t="s">
        <v>5</v>
      </c>
      <c r="B10" s="36" t="s">
        <v>6</v>
      </c>
      <c r="C10" s="36" t="s">
        <v>7</v>
      </c>
      <c r="D10" s="37" t="s">
        <v>8</v>
      </c>
      <c r="E10" s="184" t="s">
        <v>9</v>
      </c>
    </row>
    <row r="11" spans="1:5" s="28" customFormat="1" ht="85.5">
      <c r="A11" s="38" t="s">
        <v>10</v>
      </c>
      <c r="B11" s="39" t="s">
        <v>11</v>
      </c>
      <c r="C11" s="199" t="s">
        <v>12</v>
      </c>
      <c r="D11" s="42" t="s">
        <v>13</v>
      </c>
      <c r="E11" s="28" t="s">
        <v>14</v>
      </c>
    </row>
    <row r="12" spans="1:5" s="28" customFormat="1" ht="85.5">
      <c r="A12" s="38" t="s">
        <v>15</v>
      </c>
      <c r="B12" s="39" t="s">
        <v>11</v>
      </c>
      <c r="C12" s="199" t="s">
        <v>16</v>
      </c>
      <c r="D12" s="42" t="s">
        <v>17</v>
      </c>
      <c r="E12" s="28" t="s">
        <v>14</v>
      </c>
    </row>
    <row r="13" spans="1:5" s="28" customFormat="1" ht="28.5">
      <c r="A13" s="38" t="s">
        <v>18</v>
      </c>
      <c r="B13" s="39" t="s">
        <v>19</v>
      </c>
      <c r="C13" s="179" t="s">
        <v>20</v>
      </c>
      <c r="D13" s="41" t="s">
        <v>21</v>
      </c>
    </row>
    <row r="14" spans="1:5" s="28" customFormat="1" ht="42.75">
      <c r="A14" s="38" t="s">
        <v>22</v>
      </c>
      <c r="B14" s="39" t="s">
        <v>19</v>
      </c>
      <c r="C14" s="199" t="s">
        <v>23</v>
      </c>
      <c r="D14" s="42" t="s">
        <v>24</v>
      </c>
    </row>
    <row r="15" spans="1:5" s="28" customFormat="1" ht="28.5">
      <c r="A15" s="38" t="s">
        <v>25</v>
      </c>
      <c r="B15" s="39" t="s">
        <v>19</v>
      </c>
      <c r="C15" s="179" t="s">
        <v>26</v>
      </c>
      <c r="D15" s="42" t="s">
        <v>27</v>
      </c>
    </row>
    <row r="16" spans="1:5" s="28" customFormat="1" ht="85.5">
      <c r="A16" s="38" t="s">
        <v>28</v>
      </c>
      <c r="B16" s="39" t="s">
        <v>19</v>
      </c>
      <c r="C16" s="179" t="s">
        <v>29</v>
      </c>
      <c r="D16" s="42" t="s">
        <v>30</v>
      </c>
      <c r="E16" s="28" t="s">
        <v>14</v>
      </c>
    </row>
    <row r="17" spans="1:5" s="28" customFormat="1">
      <c r="A17" s="38" t="s">
        <v>31</v>
      </c>
      <c r="B17" s="39" t="s">
        <v>19</v>
      </c>
      <c r="C17" s="40" t="s">
        <v>32</v>
      </c>
      <c r="D17" s="42" t="s">
        <v>33</v>
      </c>
    </row>
    <row r="18" spans="1:5" s="28" customFormat="1" ht="85.5">
      <c r="A18" s="185" t="s">
        <v>34</v>
      </c>
      <c r="B18" s="182" t="s">
        <v>11</v>
      </c>
      <c r="C18" s="179" t="s">
        <v>35</v>
      </c>
      <c r="D18" s="183" t="s">
        <v>36</v>
      </c>
      <c r="E18" s="28" t="s">
        <v>14</v>
      </c>
    </row>
    <row r="19" spans="1:5" s="28" customFormat="1">
      <c r="A19" s="38" t="s">
        <v>37</v>
      </c>
      <c r="B19" s="39" t="s">
        <v>38</v>
      </c>
      <c r="C19" s="199" t="s">
        <v>39</v>
      </c>
      <c r="D19" s="42" t="s">
        <v>40</v>
      </c>
    </row>
    <row r="20" spans="1:5" s="28" customFormat="1">
      <c r="A20" s="38" t="s">
        <v>41</v>
      </c>
      <c r="B20" s="39" t="s">
        <v>38</v>
      </c>
      <c r="C20" s="199" t="s">
        <v>42</v>
      </c>
      <c r="D20" s="42" t="s">
        <v>43</v>
      </c>
    </row>
    <row r="21" spans="1:5" s="28" customFormat="1">
      <c r="A21" s="38" t="s">
        <v>44</v>
      </c>
      <c r="B21" s="39" t="s">
        <v>38</v>
      </c>
      <c r="C21" s="40" t="s">
        <v>45</v>
      </c>
      <c r="D21" s="186" t="s">
        <v>46</v>
      </c>
    </row>
    <row r="22" spans="1:5" s="28" customFormat="1" ht="28.5">
      <c r="A22" s="210" t="s">
        <v>47</v>
      </c>
      <c r="B22" s="211" t="s">
        <v>38</v>
      </c>
      <c r="C22" s="86" t="s">
        <v>48</v>
      </c>
      <c r="D22" s="186" t="s">
        <v>485</v>
      </c>
      <c r="E22" s="193"/>
    </row>
    <row r="23" spans="1:5" s="28" customFormat="1" ht="15">
      <c r="A23" s="38" t="s">
        <v>49</v>
      </c>
      <c r="B23" s="39" t="s">
        <v>19</v>
      </c>
      <c r="C23" s="179" t="s">
        <v>50</v>
      </c>
      <c r="D23" s="42" t="s">
        <v>51</v>
      </c>
    </row>
    <row r="24" spans="1:5" s="28" customFormat="1">
      <c r="A24" s="38" t="s">
        <v>52</v>
      </c>
      <c r="B24" s="39" t="s">
        <v>19</v>
      </c>
      <c r="C24" s="199" t="s">
        <v>53</v>
      </c>
      <c r="D24" s="42" t="s">
        <v>54</v>
      </c>
    </row>
    <row r="25" spans="1:5" s="28" customFormat="1">
      <c r="A25" s="43" t="s">
        <v>55</v>
      </c>
      <c r="B25" s="43" t="s">
        <v>19</v>
      </c>
      <c r="C25" s="199" t="s">
        <v>56</v>
      </c>
      <c r="D25" s="199" t="s">
        <v>57</v>
      </c>
    </row>
    <row r="26" spans="1:5" s="28" customFormat="1">
      <c r="A26" s="38"/>
      <c r="B26" s="44"/>
      <c r="C26" s="45"/>
      <c r="D26" s="46"/>
    </row>
    <row r="40" spans="1:8">
      <c r="A40" s="26" t="s">
        <v>58</v>
      </c>
    </row>
    <row r="41" spans="1:8" ht="34.5" customHeight="1">
      <c r="B41" s="219" t="s">
        <v>59</v>
      </c>
      <c r="C41" s="219"/>
      <c r="D41" s="201"/>
      <c r="E41" s="201"/>
      <c r="F41" s="201"/>
      <c r="G41" s="201"/>
      <c r="H41" s="201"/>
    </row>
    <row r="43" spans="1:8">
      <c r="B43" s="28" t="s">
        <v>60</v>
      </c>
    </row>
  </sheetData>
  <mergeCells count="7">
    <mergeCell ref="C3:D3"/>
    <mergeCell ref="C4:D4"/>
    <mergeCell ref="C5:D5"/>
    <mergeCell ref="C6:D6"/>
    <mergeCell ref="B41:C41"/>
    <mergeCell ref="C8:D8"/>
    <mergeCell ref="C7:D7"/>
  </mergeCells>
  <phoneticPr fontId="42" type="noConversion"/>
  <dataValidations count="1">
    <dataValidation type="list" allowBlank="1" showInputMessage="1" showErrorMessage="1" sqref="C25" xr:uid="{2CAF6490-B33B-4223-9C2D-1FB1DFA63510}">
      <formula1 xml:space="preserve"> AffectedAsset</formula1>
    </dataValidation>
  </dataValidations>
  <pageMargins left="0.70866141732283472" right="0.70866141732283472" top="1.5748031496062993" bottom="0.74803149606299213" header="0.31496062992125984" footer="0.31496062992125984"/>
  <pageSetup scale="8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47"/>
  <sheetViews>
    <sheetView zoomScaleNormal="100" workbookViewId="0">
      <selection activeCell="D12" sqref="D12"/>
    </sheetView>
  </sheetViews>
  <sheetFormatPr defaultColWidth="9.140625" defaultRowHeight="15"/>
  <cols>
    <col min="1" max="1" width="31.7109375" style="23" customWidth="1"/>
    <col min="2" max="2" width="58.5703125" style="23" customWidth="1"/>
    <col min="3" max="3" width="20.7109375" style="23" customWidth="1"/>
    <col min="4" max="4" width="42.7109375" style="23" customWidth="1"/>
    <col min="5" max="16384" width="9.140625" style="23"/>
  </cols>
  <sheetData>
    <row r="1" spans="1:4" s="47" customFormat="1" ht="15" customHeight="1">
      <c r="A1" s="27" t="s">
        <v>61</v>
      </c>
    </row>
    <row r="2" spans="1:4" s="47" customFormat="1" ht="15" customHeight="1">
      <c r="A2" s="27"/>
    </row>
    <row r="3" spans="1:4" s="47" customFormat="1" ht="14.25" hidden="1"/>
    <row r="4" spans="1:4" s="47" customFormat="1" ht="14.25">
      <c r="A4" s="48" t="s">
        <v>62</v>
      </c>
      <c r="B4" s="49" t="s">
        <v>63</v>
      </c>
      <c r="C4" s="49" t="s">
        <v>64</v>
      </c>
      <c r="D4" s="49" t="s">
        <v>65</v>
      </c>
    </row>
    <row r="5" spans="1:4" s="47" customFormat="1" ht="28.5">
      <c r="A5" s="50" t="s">
        <v>66</v>
      </c>
      <c r="B5" s="51" t="s">
        <v>67</v>
      </c>
      <c r="C5" s="199" t="s">
        <v>68</v>
      </c>
      <c r="D5" s="199" t="s">
        <v>491</v>
      </c>
    </row>
    <row r="6" spans="1:4" s="47" customFormat="1" ht="14.25">
      <c r="A6" s="52" t="s">
        <v>70</v>
      </c>
      <c r="B6" s="51" t="s">
        <v>71</v>
      </c>
      <c r="C6" s="199" t="s">
        <v>68</v>
      </c>
      <c r="D6" s="199"/>
    </row>
    <row r="7" spans="1:4" s="47" customFormat="1" ht="14.25">
      <c r="A7" s="52" t="s">
        <v>72</v>
      </c>
      <c r="B7" s="53" t="s">
        <v>73</v>
      </c>
      <c r="C7" s="199" t="s">
        <v>68</v>
      </c>
      <c r="D7" s="53"/>
    </row>
    <row r="8" spans="1:4" s="47" customFormat="1" ht="14.25">
      <c r="A8" s="52" t="s">
        <v>74</v>
      </c>
      <c r="B8" s="53" t="s">
        <v>75</v>
      </c>
      <c r="C8" s="199" t="s">
        <v>68</v>
      </c>
      <c r="D8" s="53"/>
    </row>
    <row r="9" spans="1:4" s="47" customFormat="1" ht="14.25">
      <c r="A9" s="52"/>
      <c r="B9" s="53"/>
      <c r="C9" s="199"/>
      <c r="D9" s="53"/>
    </row>
    <row r="10" spans="1:4" s="47" customFormat="1" ht="14.25">
      <c r="A10" s="52"/>
      <c r="B10" s="53"/>
      <c r="C10" s="199"/>
      <c r="D10" s="53"/>
    </row>
    <row r="11" spans="1:4" s="47" customFormat="1" ht="14.25">
      <c r="A11" s="54" t="s">
        <v>76</v>
      </c>
      <c r="B11" s="54"/>
      <c r="C11" s="54"/>
      <c r="D11" s="54"/>
    </row>
    <row r="12" spans="1:4" s="47" customFormat="1" ht="42.75">
      <c r="A12" s="55" t="s">
        <v>77</v>
      </c>
      <c r="B12" s="55" t="s">
        <v>78</v>
      </c>
      <c r="C12" s="199" t="s">
        <v>68</v>
      </c>
      <c r="D12" s="199" t="s">
        <v>492</v>
      </c>
    </row>
    <row r="13" spans="1:4" s="47" customFormat="1" ht="14.25">
      <c r="A13" s="52" t="s">
        <v>79</v>
      </c>
      <c r="B13" s="53" t="s">
        <v>80</v>
      </c>
      <c r="C13" s="199" t="s">
        <v>68</v>
      </c>
      <c r="D13" s="53" t="s">
        <v>69</v>
      </c>
    </row>
    <row r="14" spans="1:4" s="47" customFormat="1" ht="14.25">
      <c r="A14" s="52" t="s">
        <v>81</v>
      </c>
      <c r="B14" s="55" t="s">
        <v>82</v>
      </c>
      <c r="C14" s="199" t="s">
        <v>68</v>
      </c>
      <c r="D14" s="53" t="s">
        <v>83</v>
      </c>
    </row>
    <row r="15" spans="1:4" s="47" customFormat="1" ht="14.25">
      <c r="A15" s="52" t="s">
        <v>84</v>
      </c>
      <c r="B15" s="55" t="s">
        <v>85</v>
      </c>
      <c r="C15" s="199" t="s">
        <v>68</v>
      </c>
      <c r="D15" s="53"/>
    </row>
    <row r="16" spans="1:4" s="47" customFormat="1" ht="14.25">
      <c r="A16" s="52" t="s">
        <v>86</v>
      </c>
      <c r="B16" s="53" t="s">
        <v>87</v>
      </c>
      <c r="C16" s="199" t="s">
        <v>68</v>
      </c>
      <c r="D16" s="53"/>
    </row>
    <row r="17" spans="1:4" s="47" customFormat="1" ht="14.25">
      <c r="A17" s="52" t="s">
        <v>88</v>
      </c>
      <c r="B17" s="53" t="s">
        <v>89</v>
      </c>
      <c r="C17" s="199" t="s">
        <v>68</v>
      </c>
      <c r="D17" s="53"/>
    </row>
    <row r="18" spans="1:4" s="47" customFormat="1" ht="14.25">
      <c r="A18" s="52" t="s">
        <v>90</v>
      </c>
      <c r="B18" s="53" t="s">
        <v>91</v>
      </c>
      <c r="C18" s="199" t="s">
        <v>68</v>
      </c>
      <c r="D18" s="53"/>
    </row>
    <row r="19" spans="1:4" s="47" customFormat="1" ht="14.25">
      <c r="A19" s="54" t="s">
        <v>92</v>
      </c>
      <c r="B19" s="54"/>
      <c r="C19" s="54"/>
      <c r="D19" s="54"/>
    </row>
    <row r="20" spans="1:4" s="47" customFormat="1" ht="14.25">
      <c r="A20" s="52" t="s">
        <v>93</v>
      </c>
      <c r="B20" s="53" t="s">
        <v>94</v>
      </c>
      <c r="C20" s="199" t="s">
        <v>68</v>
      </c>
      <c r="D20" s="199" t="s">
        <v>69</v>
      </c>
    </row>
    <row r="21" spans="1:4" s="47" customFormat="1" ht="14.25">
      <c r="A21" s="55" t="s">
        <v>95</v>
      </c>
      <c r="B21" s="53" t="s">
        <v>96</v>
      </c>
      <c r="C21" s="199" t="s">
        <v>68</v>
      </c>
      <c r="D21" s="199" t="s">
        <v>69</v>
      </c>
    </row>
    <row r="22" spans="1:4" s="47" customFormat="1" ht="14.25">
      <c r="A22" s="52" t="s">
        <v>97</v>
      </c>
      <c r="B22" s="53" t="s">
        <v>98</v>
      </c>
      <c r="C22" s="199" t="s">
        <v>68</v>
      </c>
      <c r="D22" s="199" t="s">
        <v>69</v>
      </c>
    </row>
    <row r="23" spans="1:4" s="47" customFormat="1" ht="14.25">
      <c r="A23" s="52" t="s">
        <v>99</v>
      </c>
      <c r="B23" s="53" t="s">
        <v>100</v>
      </c>
      <c r="C23" s="199" t="s">
        <v>68</v>
      </c>
      <c r="D23" s="53" t="s">
        <v>69</v>
      </c>
    </row>
    <row r="24" spans="1:4" s="47" customFormat="1" ht="14.25">
      <c r="A24" s="52" t="s">
        <v>101</v>
      </c>
      <c r="B24" s="53" t="s">
        <v>102</v>
      </c>
      <c r="C24" s="199" t="s">
        <v>68</v>
      </c>
      <c r="D24" s="53"/>
    </row>
    <row r="25" spans="1:4" s="47" customFormat="1" ht="14.25">
      <c r="A25" s="52" t="s">
        <v>103</v>
      </c>
      <c r="B25" s="53" t="s">
        <v>104</v>
      </c>
      <c r="C25" s="199" t="s">
        <v>68</v>
      </c>
      <c r="D25" s="53"/>
    </row>
    <row r="26" spans="1:4" s="47" customFormat="1" ht="14.25">
      <c r="A26" s="52"/>
      <c r="B26" s="53"/>
      <c r="C26" s="199"/>
      <c r="D26" s="53"/>
    </row>
    <row r="27" spans="1:4" s="47" customFormat="1" ht="14.25">
      <c r="A27" s="54" t="s">
        <v>105</v>
      </c>
      <c r="B27" s="54"/>
      <c r="C27" s="54"/>
      <c r="D27" s="54"/>
    </row>
    <row r="28" spans="1:4" s="47" customFormat="1" ht="14.25">
      <c r="A28" s="52" t="s">
        <v>106</v>
      </c>
      <c r="B28" s="53" t="s">
        <v>107</v>
      </c>
      <c r="C28" s="199" t="s">
        <v>68</v>
      </c>
      <c r="D28" s="53" t="s">
        <v>69</v>
      </c>
    </row>
    <row r="29" spans="1:4" s="47" customFormat="1" ht="14.25">
      <c r="A29" s="52" t="s">
        <v>108</v>
      </c>
      <c r="B29" s="53" t="s">
        <v>109</v>
      </c>
      <c r="C29" s="199" t="s">
        <v>110</v>
      </c>
      <c r="D29" s="53" t="s">
        <v>111</v>
      </c>
    </row>
    <row r="30" spans="1:4" s="47" customFormat="1" ht="28.5">
      <c r="A30" s="52" t="s">
        <v>112</v>
      </c>
      <c r="B30" s="199" t="s">
        <v>113</v>
      </c>
      <c r="C30" s="199" t="s">
        <v>68</v>
      </c>
      <c r="D30" s="53"/>
    </row>
    <row r="31" spans="1:4" s="47" customFormat="1" ht="14.25">
      <c r="A31" s="52" t="s">
        <v>114</v>
      </c>
      <c r="B31" s="53" t="s">
        <v>115</v>
      </c>
      <c r="C31" s="199" t="s">
        <v>68</v>
      </c>
      <c r="D31" s="53"/>
    </row>
    <row r="32" spans="1:4" s="47" customFormat="1" ht="14.25">
      <c r="A32" s="52" t="s">
        <v>116</v>
      </c>
      <c r="B32" s="53" t="s">
        <v>117</v>
      </c>
      <c r="C32" s="199" t="s">
        <v>68</v>
      </c>
      <c r="D32" s="53"/>
    </row>
    <row r="33" spans="1:8" s="47" customFormat="1" ht="14.25">
      <c r="A33" s="52" t="s">
        <v>118</v>
      </c>
      <c r="B33" s="53" t="s">
        <v>119</v>
      </c>
      <c r="C33" s="199" t="s">
        <v>68</v>
      </c>
      <c r="D33" s="53"/>
    </row>
    <row r="34" spans="1:8" s="47" customFormat="1" ht="14.25">
      <c r="A34" s="52" t="s">
        <v>120</v>
      </c>
      <c r="B34" s="53" t="s">
        <v>121</v>
      </c>
      <c r="C34" s="199" t="s">
        <v>68</v>
      </c>
      <c r="D34" s="53"/>
    </row>
    <row r="35" spans="1:8" s="47" customFormat="1" ht="14.25">
      <c r="A35" s="52" t="s">
        <v>122</v>
      </c>
      <c r="B35" s="53" t="s">
        <v>123</v>
      </c>
      <c r="C35" s="199" t="s">
        <v>68</v>
      </c>
      <c r="D35" s="53"/>
    </row>
    <row r="36" spans="1:8" s="47" customFormat="1" ht="14.25">
      <c r="A36" s="52"/>
      <c r="B36" s="53"/>
      <c r="C36" s="199"/>
      <c r="D36" s="53"/>
    </row>
    <row r="37" spans="1:8" s="47" customFormat="1" ht="14.25">
      <c r="A37" s="180" t="s">
        <v>124</v>
      </c>
      <c r="B37" s="181"/>
      <c r="C37" s="181"/>
      <c r="D37" s="181"/>
    </row>
    <row r="38" spans="1:8" s="47" customFormat="1" ht="14.25">
      <c r="A38" s="52" t="s">
        <v>125</v>
      </c>
      <c r="B38" s="53" t="s">
        <v>126</v>
      </c>
      <c r="C38" s="199" t="s">
        <v>68</v>
      </c>
      <c r="D38" s="53"/>
    </row>
    <row r="39" spans="1:8" s="47" customFormat="1" ht="14.25">
      <c r="A39" s="52" t="s">
        <v>127</v>
      </c>
      <c r="B39" s="53" t="s">
        <v>128</v>
      </c>
      <c r="C39" s="199" t="s">
        <v>68</v>
      </c>
      <c r="D39" s="53"/>
    </row>
    <row r="40" spans="1:8" s="47" customFormat="1" ht="14.25">
      <c r="A40" s="56" t="s">
        <v>129</v>
      </c>
      <c r="B40" s="57" t="s">
        <v>130</v>
      </c>
      <c r="C40" s="199" t="s">
        <v>68</v>
      </c>
      <c r="D40" s="57"/>
    </row>
    <row r="41" spans="1:8" s="47" customFormat="1" ht="14.25">
      <c r="A41" s="56" t="s">
        <v>131</v>
      </c>
      <c r="B41" s="57" t="s">
        <v>132</v>
      </c>
      <c r="C41" s="199" t="s">
        <v>68</v>
      </c>
      <c r="D41" s="57"/>
    </row>
    <row r="42" spans="1:8" s="47" customFormat="1" ht="14.25"/>
    <row r="43" spans="1:8" s="47" customFormat="1" ht="14.25"/>
    <row r="44" spans="1:8" s="47" customFormat="1" ht="14.25"/>
    <row r="45" spans="1:8" s="47" customFormat="1" ht="14.25">
      <c r="A45" s="26" t="s">
        <v>58</v>
      </c>
    </row>
    <row r="46" spans="1:8" s="47" customFormat="1" ht="47.25" customHeight="1">
      <c r="B46" s="201" t="s">
        <v>59</v>
      </c>
      <c r="C46" s="201"/>
      <c r="D46" s="201"/>
      <c r="E46" s="201"/>
      <c r="F46" s="201"/>
      <c r="G46" s="201"/>
      <c r="H46" s="201"/>
    </row>
    <row r="47" spans="1:8" s="47" customFormat="1" ht="14.25"/>
  </sheetData>
  <pageMargins left="0.7" right="0.7" top="1.3495833333333334" bottom="0.75" header="0.3" footer="0.3"/>
  <pageSetup scale="75"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m:sqref>C5:C10 C12:C18 C20:C26 C38:C41 C28:C36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79"/>
  <sheetViews>
    <sheetView tabSelected="1" zoomScale="85" zoomScaleNormal="85" workbookViewId="0">
      <pane xSplit="7" ySplit="4" topLeftCell="H7" activePane="bottomRight" state="frozen"/>
      <selection pane="topRight" activeCell="H1" sqref="H1"/>
      <selection pane="bottomLeft" activeCell="A5" sqref="A5"/>
      <selection pane="bottomRight"/>
    </sheetView>
  </sheetViews>
  <sheetFormatPr defaultColWidth="9.140625" defaultRowHeight="15"/>
  <cols>
    <col min="2" max="2" width="4.85546875" customWidth="1"/>
    <col min="3" max="3" width="38.7109375" customWidth="1"/>
    <col min="4" max="4" width="5" customWidth="1"/>
    <col min="5" max="5" width="17.85546875" customWidth="1"/>
    <col min="6" max="6" width="6.28515625" customWidth="1"/>
    <col min="7" max="7" width="23.28515625" customWidth="1"/>
    <col min="8" max="8" width="44.140625" customWidth="1"/>
    <col min="9" max="9" width="25.42578125" hidden="1" customWidth="1"/>
    <col min="10" max="12" width="9.140625" style="198" customWidth="1"/>
    <col min="13" max="17" width="15.85546875" customWidth="1"/>
    <col min="18" max="20" width="15.85546875" hidden="1" customWidth="1"/>
    <col min="21" max="21" width="15.85546875" customWidth="1"/>
    <col min="22" max="22" width="15.28515625" customWidth="1"/>
    <col min="23" max="23" width="17.42578125" hidden="1" customWidth="1"/>
    <col min="24" max="25" width="12.140625" customWidth="1"/>
    <col min="26" max="26" width="35.7109375" customWidth="1"/>
    <col min="27" max="27" width="32.7109375" customWidth="1"/>
    <col min="28" max="28" width="23.140625" customWidth="1"/>
    <col min="29" max="31" width="9.140625" customWidth="1"/>
    <col min="32" max="36" width="15.85546875" customWidth="1"/>
    <col min="37" max="39" width="15.85546875" hidden="1" customWidth="1"/>
    <col min="40" max="42" width="15.85546875" customWidth="1"/>
    <col min="43" max="43" width="40.7109375" customWidth="1"/>
    <col min="44" max="44" width="13.28515625" customWidth="1"/>
    <col min="45" max="45" width="24.85546875" customWidth="1"/>
  </cols>
  <sheetData>
    <row r="1" spans="1:45" s="69" customFormat="1" ht="14.25">
      <c r="A1" s="27" t="s">
        <v>133</v>
      </c>
      <c r="J1" s="99"/>
      <c r="K1" s="99"/>
      <c r="L1" s="99"/>
    </row>
    <row r="2" spans="1:45" s="69" customFormat="1" ht="14.25">
      <c r="A2" s="69" t="s">
        <v>134</v>
      </c>
      <c r="J2" s="99"/>
      <c r="K2" s="99"/>
      <c r="L2" s="99"/>
    </row>
    <row r="3" spans="1:45" s="69" customFormat="1" ht="23.25" customHeight="1">
      <c r="A3" s="70"/>
      <c r="B3" s="71"/>
      <c r="C3" s="71"/>
      <c r="D3" s="72"/>
      <c r="E3" s="73"/>
      <c r="F3" s="226" t="s">
        <v>135</v>
      </c>
      <c r="G3" s="226"/>
      <c r="H3" s="226"/>
      <c r="I3" s="226"/>
      <c r="J3" s="227" t="s">
        <v>136</v>
      </c>
      <c r="K3" s="228"/>
      <c r="L3" s="228"/>
      <c r="M3" s="228"/>
      <c r="N3" s="228"/>
      <c r="O3" s="228"/>
      <c r="P3" s="228"/>
      <c r="Q3" s="228"/>
      <c r="R3" s="228"/>
      <c r="S3" s="228"/>
      <c r="T3" s="228"/>
      <c r="U3" s="228"/>
      <c r="V3" s="228"/>
      <c r="W3" s="228"/>
      <c r="X3" s="228"/>
      <c r="Y3" s="229"/>
      <c r="Z3" s="223" t="s">
        <v>137</v>
      </c>
      <c r="AA3" s="224"/>
      <c r="AB3" s="225"/>
      <c r="AC3" s="220" t="s">
        <v>138</v>
      </c>
      <c r="AD3" s="221"/>
      <c r="AE3" s="221"/>
      <c r="AF3" s="221"/>
      <c r="AG3" s="221"/>
      <c r="AH3" s="221"/>
      <c r="AI3" s="221"/>
      <c r="AJ3" s="221"/>
      <c r="AK3" s="221"/>
      <c r="AL3" s="221"/>
      <c r="AM3" s="221"/>
      <c r="AN3" s="221"/>
      <c r="AO3" s="221"/>
      <c r="AP3" s="221"/>
      <c r="AQ3" s="222"/>
      <c r="AR3" s="74"/>
      <c r="AS3" s="74"/>
    </row>
    <row r="4" spans="1:45" s="69" customFormat="1" ht="88.5" customHeight="1">
      <c r="A4" s="75" t="s">
        <v>139</v>
      </c>
      <c r="B4" s="76" t="s">
        <v>140</v>
      </c>
      <c r="C4" s="77" t="s">
        <v>141</v>
      </c>
      <c r="D4" s="78" t="s">
        <v>142</v>
      </c>
      <c r="E4" s="79" t="s">
        <v>143</v>
      </c>
      <c r="F4" s="80" t="s">
        <v>144</v>
      </c>
      <c r="G4" s="81" t="s">
        <v>7</v>
      </c>
      <c r="H4" s="81" t="s">
        <v>145</v>
      </c>
      <c r="I4" s="82" t="s">
        <v>146</v>
      </c>
      <c r="J4" s="157" t="s">
        <v>147</v>
      </c>
      <c r="K4" s="157" t="s">
        <v>148</v>
      </c>
      <c r="L4" s="157" t="s">
        <v>149</v>
      </c>
      <c r="M4" s="153" t="s">
        <v>150</v>
      </c>
      <c r="N4" s="153" t="s">
        <v>151</v>
      </c>
      <c r="O4" s="153" t="s">
        <v>152</v>
      </c>
      <c r="P4" s="153" t="s">
        <v>153</v>
      </c>
      <c r="Q4" s="153" t="s">
        <v>154</v>
      </c>
      <c r="R4" s="153" t="s">
        <v>155</v>
      </c>
      <c r="S4" s="153" t="s">
        <v>156</v>
      </c>
      <c r="T4" s="153" t="s">
        <v>157</v>
      </c>
      <c r="U4" s="153" t="s">
        <v>158</v>
      </c>
      <c r="V4" s="158" t="s">
        <v>159</v>
      </c>
      <c r="W4" s="158" t="s">
        <v>160</v>
      </c>
      <c r="X4" s="159" t="s">
        <v>161</v>
      </c>
      <c r="Y4" s="160" t="s">
        <v>162</v>
      </c>
      <c r="Z4" s="152" t="s">
        <v>163</v>
      </c>
      <c r="AA4" s="152" t="s">
        <v>164</v>
      </c>
      <c r="AB4" s="152" t="s">
        <v>165</v>
      </c>
      <c r="AC4" s="161" t="s">
        <v>166</v>
      </c>
      <c r="AD4" s="161" t="s">
        <v>167</v>
      </c>
      <c r="AE4" s="161" t="s">
        <v>168</v>
      </c>
      <c r="AF4" s="162" t="s">
        <v>169</v>
      </c>
      <c r="AG4" s="162" t="s">
        <v>170</v>
      </c>
      <c r="AH4" s="162" t="s">
        <v>171</v>
      </c>
      <c r="AI4" s="162" t="s">
        <v>172</v>
      </c>
      <c r="AJ4" s="162" t="s">
        <v>173</v>
      </c>
      <c r="AK4" s="162" t="s">
        <v>174</v>
      </c>
      <c r="AL4" s="162" t="s">
        <v>175</v>
      </c>
      <c r="AM4" s="162" t="s">
        <v>176</v>
      </c>
      <c r="AN4" s="162" t="s">
        <v>177</v>
      </c>
      <c r="AO4" s="162" t="s">
        <v>178</v>
      </c>
      <c r="AP4" s="162" t="s">
        <v>179</v>
      </c>
      <c r="AQ4" s="175" t="s">
        <v>180</v>
      </c>
      <c r="AR4" s="216" t="s">
        <v>487</v>
      </c>
      <c r="AS4" s="74"/>
    </row>
    <row r="5" spans="1:45" s="47" customFormat="1" ht="409.5">
      <c r="A5" s="65">
        <v>1</v>
      </c>
      <c r="B5" s="51" t="s">
        <v>181</v>
      </c>
      <c r="C5" s="83" t="str">
        <f>IF(VLOOKUP(Table4[[#This Row],[T ID]],Table5[#All],5,FALSE)="No","Not in scope",VLOOKUP(Table4[[#This Row],[T ID]],Table5[#All],2,FALSE))</f>
        <v>Deliver undirected malware</v>
      </c>
      <c r="D5" s="51" t="s">
        <v>77</v>
      </c>
      <c r="E5" s="83" t="str">
        <f>IF(VLOOKUP(Table4[[#This Row],[V ID]],Vulnerabilities[#All],3,FALSE)="No","Not in scope",VLOOKUP(Table4[[#This Row],[V ID]],Vulnerabilities[#All],2,FALSE))</f>
        <v>Unpatched COTS operating system</v>
      </c>
      <c r="F5" s="53" t="s">
        <v>28</v>
      </c>
      <c r="G5" s="84" t="str">
        <f>VLOOKUP(Table4[[#This Row],[A ID]],Assets[#All],3,FALSE)</f>
        <v>Laptop Operating System</v>
      </c>
      <c r="H5" s="199" t="s">
        <v>182</v>
      </c>
      <c r="I5" s="53"/>
      <c r="J5" s="85" t="s">
        <v>183</v>
      </c>
      <c r="K5" s="85" t="s">
        <v>183</v>
      </c>
      <c r="L5" s="85" t="s">
        <v>183</v>
      </c>
      <c r="M5" s="151" t="s">
        <v>184</v>
      </c>
      <c r="N5" s="151" t="s">
        <v>183</v>
      </c>
      <c r="O5" s="151" t="s">
        <v>185</v>
      </c>
      <c r="P5" s="151" t="s">
        <v>185</v>
      </c>
      <c r="Q5" s="151" t="s">
        <v>186</v>
      </c>
      <c r="R5" s="15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5" s="155">
        <f>(1 - ((1 - VLOOKUP(Table4[[#This Row],[Confidentiality]],'Reference - CVSSv3.0'!$B$15:$C$17,2,FALSE)) * (1 - VLOOKUP(Table4[[#This Row],[Integrity]],'Reference - CVSSv3.0'!$B$15:$C$17,2,FALSE)) *  (1 - VLOOKUP(Table4[[#This Row],[Availability]],'Reference - CVSSv3.0'!$B$15:$C$17,2,FALSE))))</f>
        <v>0.52544799999999992</v>
      </c>
      <c r="T5" s="155">
        <f>IF(Table4[[#This Row],[Scope]]="Unchanged",6.42*Table4[[#This Row],[ISC Base]],IF(Table4[[#This Row],[Scope]]="Changed",7.52*(Table4[[#This Row],[ISC Base]] - 0.029) - 3.25 * POWER(Table4[[#This Row],[ISC Base]] - 0.02,15),NA()))</f>
        <v>3.3733761599999994</v>
      </c>
      <c r="U5"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5" s="176" t="s">
        <v>183</v>
      </c>
      <c r="W5" s="177">
        <f>VLOOKUP(Table4[[#This Row],[Threat Event Initiation]],NIST_Scale_LOAI[],2,FALSE)</f>
        <v>0.2</v>
      </c>
      <c r="X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199" t="s">
        <v>187</v>
      </c>
      <c r="AA5" s="199" t="s">
        <v>188</v>
      </c>
      <c r="AB5" s="86" t="s">
        <v>189</v>
      </c>
      <c r="AC5" s="207" t="s">
        <v>185</v>
      </c>
      <c r="AD5" s="207" t="s">
        <v>185</v>
      </c>
      <c r="AE5" s="207" t="s">
        <v>183</v>
      </c>
      <c r="AF5" s="208" t="s">
        <v>184</v>
      </c>
      <c r="AG5" s="208" t="s">
        <v>183</v>
      </c>
      <c r="AH5" s="208" t="s">
        <v>185</v>
      </c>
      <c r="AI5" s="208" t="s">
        <v>185</v>
      </c>
      <c r="AJ5" s="208" t="s">
        <v>186</v>
      </c>
      <c r="AK5"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5" s="155">
        <f>(1 - ((1 - VLOOKUP(Table4[[#This Row],[ConfidentialityP]],'Reference - CVSSv3.0'!$B$15:$C$17,2,FALSE)) * (1 - VLOOKUP(Table4[[#This Row],[IntegrityP]],'Reference - CVSSv3.0'!$B$15:$C$17,2,FALSE)) *  (1 - VLOOKUP(Table4[[#This Row],[AvailabilityP]],'Reference - CVSSv3.0'!$B$15:$C$17,2,FALSE))))</f>
        <v>0.21999999999999997</v>
      </c>
      <c r="AM5" s="155">
        <f>IF(Table4[[#This Row],[ScopeP]]="Unchanged",6.42*Table4[[#This Row],[ISC BaseP]],IF(Table4[[#This Row],[ScopeP]]="Changed",7.52*(Table4[[#This Row],[ISC BaseP]] - 0.029) - 3.25 * POWER(Table4[[#This Row],[ISC BaseP]] - 0.02,15),NA()))</f>
        <v>1.4123999999999999</v>
      </c>
      <c r="AN5" s="155">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5"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2.2000000000000002</v>
      </c>
      <c r="AP5" s="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53" t="s">
        <v>134</v>
      </c>
      <c r="AR5" s="214"/>
    </row>
    <row r="6" spans="1:45" s="47" customFormat="1" ht="240">
      <c r="A6" s="64">
        <v>2</v>
      </c>
      <c r="B6" s="53" t="s">
        <v>181</v>
      </c>
      <c r="C6" s="84" t="str">
        <f>IF(VLOOKUP(Table4[[#This Row],[T ID]],Table5[#All],5,FALSE)="No","Not in scope",VLOOKUP(Table4[[#This Row],[T ID]],Table5[#All],2,FALSE))</f>
        <v>Deliver undirected malware</v>
      </c>
      <c r="D6" s="53" t="s">
        <v>81</v>
      </c>
      <c r="E6" s="84" t="str">
        <f>IF(VLOOKUP(Table4[[#This Row],[V ID]],Vulnerabilities[#All],3,FALSE)="No","Not in scope",VLOOKUP(Table4[[#This Row],[V ID]],Vulnerabilities[#All],2,FALSE))</f>
        <v>Ineffective patch management</v>
      </c>
      <c r="F6" s="87" t="s">
        <v>28</v>
      </c>
      <c r="G6" s="84" t="str">
        <f>VLOOKUP(Table4[[#This Row],[A ID]],Assets[#All],3,FALSE)</f>
        <v>Laptop Operating System</v>
      </c>
      <c r="H6" s="199" t="s">
        <v>182</v>
      </c>
      <c r="I6" s="53"/>
      <c r="J6" s="85" t="s">
        <v>183</v>
      </c>
      <c r="K6" s="85" t="s">
        <v>183</v>
      </c>
      <c r="L6" s="85" t="s">
        <v>183</v>
      </c>
      <c r="M6" s="151" t="s">
        <v>184</v>
      </c>
      <c r="N6" s="151" t="s">
        <v>183</v>
      </c>
      <c r="O6" s="151" t="s">
        <v>185</v>
      </c>
      <c r="P6" s="151" t="s">
        <v>185</v>
      </c>
      <c r="Q6" s="151" t="s">
        <v>186</v>
      </c>
      <c r="R6"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6" s="155">
        <f>(1 - ((1 - VLOOKUP(Table4[[#This Row],[Confidentiality]],'Reference - CVSSv3.0'!$B$15:$C$17,2,FALSE)) * (1 - VLOOKUP(Table4[[#This Row],[Integrity]],'Reference - CVSSv3.0'!$B$15:$C$17,2,FALSE)) *  (1 - VLOOKUP(Table4[[#This Row],[Availability]],'Reference - CVSSv3.0'!$B$15:$C$17,2,FALSE))))</f>
        <v>0.52544799999999992</v>
      </c>
      <c r="T6" s="155">
        <f>IF(Table4[[#This Row],[Scope]]="Unchanged",6.42*Table4[[#This Row],[ISC Base]],IF(Table4[[#This Row],[Scope]]="Changed",7.52*(Table4[[#This Row],[ISC Base]] - 0.029) - 3.25 * POWER(Table4[[#This Row],[ISC Base]] - 0.02,15),NA()))</f>
        <v>3.3733761599999994</v>
      </c>
      <c r="U6"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6" s="195" t="s">
        <v>183</v>
      </c>
      <c r="W6" s="155">
        <f>VLOOKUP(Table4[[#This Row],[Threat Event Initiation]],NIST_Scale_LOAI[],2,FALSE)</f>
        <v>0.2</v>
      </c>
      <c r="X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199" t="s">
        <v>191</v>
      </c>
      <c r="AA6" s="199" t="s">
        <v>477</v>
      </c>
      <c r="AB6" s="206" t="s">
        <v>192</v>
      </c>
      <c r="AC6" s="207" t="s">
        <v>185</v>
      </c>
      <c r="AD6" s="207" t="s">
        <v>185</v>
      </c>
      <c r="AE6" s="207" t="s">
        <v>183</v>
      </c>
      <c r="AF6" s="208" t="s">
        <v>184</v>
      </c>
      <c r="AG6" s="208" t="s">
        <v>183</v>
      </c>
      <c r="AH6" s="208" t="s">
        <v>185</v>
      </c>
      <c r="AI6" s="208" t="s">
        <v>185</v>
      </c>
      <c r="AJ6" s="208" t="s">
        <v>186</v>
      </c>
      <c r="AK6"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6" s="155">
        <f>(1 - ((1 - VLOOKUP(Table4[[#This Row],[ConfidentialityP]],'Reference - CVSSv3.0'!$B$15:$C$17,2,FALSE)) * (1 - VLOOKUP(Table4[[#This Row],[IntegrityP]],'Reference - CVSSv3.0'!$B$15:$C$17,2,FALSE)) *  (1 - VLOOKUP(Table4[[#This Row],[AvailabilityP]],'Reference - CVSSv3.0'!$B$15:$C$17,2,FALSE))))</f>
        <v>0.21999999999999997</v>
      </c>
      <c r="AM6" s="155">
        <f>IF(Table4[[#This Row],[ScopeP]]="Unchanged",6.42*Table4[[#This Row],[ISC BaseP]],IF(Table4[[#This Row],[ScopeP]]="Changed",7.52*(Table4[[#This Row],[ISC BaseP]] - 0.029) - 3.25 * POWER(Table4[[#This Row],[ISC BaseP]] - 0.02,15),NA()))</f>
        <v>1.4123999999999999</v>
      </c>
      <c r="AN6" s="155">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6"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2.2000000000000002</v>
      </c>
      <c r="AP6"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 s="53"/>
      <c r="AR6" s="213"/>
    </row>
    <row r="7" spans="1:45" s="47" customFormat="1" ht="356.25">
      <c r="A7" s="64">
        <v>4</v>
      </c>
      <c r="B7" s="53" t="s">
        <v>181</v>
      </c>
      <c r="C7" s="84" t="str">
        <f>IF(VLOOKUP(Table4[[#This Row],[T ID]],Table5[#All],5,FALSE)="No","Not in scope",VLOOKUP(Table4[[#This Row],[T ID]],Table5[#All],2,FALSE))</f>
        <v>Deliver undirected malware</v>
      </c>
      <c r="D7" s="53" t="s">
        <v>84</v>
      </c>
      <c r="E7" s="84" t="str">
        <f>IF(VLOOKUP(Table4[[#This Row],[V ID]],Vulnerabilities[#All],3,FALSE)="No","Not in scope",VLOOKUP(Table4[[#This Row],[V ID]],Vulnerabilities[#All],2,FALSE))</f>
        <v>Lack of software vulnerability management</v>
      </c>
      <c r="F7" s="87" t="s">
        <v>22</v>
      </c>
      <c r="G7" s="84" t="str">
        <f>VLOOKUP(Table4[[#This Row],[A ID]],Assets[#All],3,FALSE)</f>
        <v>THOR Knee Planning Application</v>
      </c>
      <c r="H7" s="199" t="s">
        <v>193</v>
      </c>
      <c r="I7" s="53"/>
      <c r="J7" s="85" t="s">
        <v>183</v>
      </c>
      <c r="K7" s="85" t="s">
        <v>183</v>
      </c>
      <c r="L7" s="85" t="s">
        <v>183</v>
      </c>
      <c r="M7" s="151" t="s">
        <v>184</v>
      </c>
      <c r="N7" s="151" t="s">
        <v>183</v>
      </c>
      <c r="O7" s="151" t="s">
        <v>185</v>
      </c>
      <c r="P7" s="151" t="s">
        <v>185</v>
      </c>
      <c r="Q7" s="151" t="s">
        <v>186</v>
      </c>
      <c r="R7"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7" s="155">
        <f>(1 - ((1 - VLOOKUP(Table4[[#This Row],[Confidentiality]],'Reference - CVSSv3.0'!$B$15:$C$17,2,FALSE)) * (1 - VLOOKUP(Table4[[#This Row],[Integrity]],'Reference - CVSSv3.0'!$B$15:$C$17,2,FALSE)) *  (1 - VLOOKUP(Table4[[#This Row],[Availability]],'Reference - CVSSv3.0'!$B$15:$C$17,2,FALSE))))</f>
        <v>0.52544799999999992</v>
      </c>
      <c r="T7" s="155">
        <f>IF(Table4[[#This Row],[Scope]]="Unchanged",6.42*Table4[[#This Row],[ISC Base]],IF(Table4[[#This Row],[Scope]]="Changed",7.52*(Table4[[#This Row],[ISC Base]] - 0.029) - 3.25 * POWER(Table4[[#This Row],[ISC Base]] - 0.02,15),NA()))</f>
        <v>3.3733761599999994</v>
      </c>
      <c r="U7"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7" s="195" t="s">
        <v>183</v>
      </c>
      <c r="W7" s="155">
        <f>VLOOKUP(Table4[[#This Row],[Threat Event Initiation]],NIST_Scale_LOAI[],2,FALSE)</f>
        <v>0.2</v>
      </c>
      <c r="X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 s="199" t="s">
        <v>194</v>
      </c>
      <c r="AA7" s="199" t="s">
        <v>195</v>
      </c>
      <c r="AB7" s="86" t="s">
        <v>196</v>
      </c>
      <c r="AC7" s="207" t="s">
        <v>185</v>
      </c>
      <c r="AD7" s="207" t="s">
        <v>185</v>
      </c>
      <c r="AE7" s="207" t="s">
        <v>183</v>
      </c>
      <c r="AF7" s="208" t="s">
        <v>184</v>
      </c>
      <c r="AG7" s="208" t="s">
        <v>208</v>
      </c>
      <c r="AH7" s="208" t="s">
        <v>185</v>
      </c>
      <c r="AI7" s="208" t="s">
        <v>185</v>
      </c>
      <c r="AJ7" s="208" t="s">
        <v>186</v>
      </c>
      <c r="AK7"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L7" s="155">
        <f>(1 - ((1 - VLOOKUP(Table4[[#This Row],[ConfidentialityP]],'Reference - CVSSv3.0'!$B$15:$C$17,2,FALSE)) * (1 - VLOOKUP(Table4[[#This Row],[IntegrityP]],'Reference - CVSSv3.0'!$B$15:$C$17,2,FALSE)) *  (1 - VLOOKUP(Table4[[#This Row],[AvailabilityP]],'Reference - CVSSv3.0'!$B$15:$C$17,2,FALSE))))</f>
        <v>0.21999999999999997</v>
      </c>
      <c r="AM7" s="155">
        <f>IF(Table4[[#This Row],[ScopeP]]="Unchanged",6.42*Table4[[#This Row],[ISC BaseP]],IF(Table4[[#This Row],[ScopeP]]="Changed",7.52*(Table4[[#This Row],[ISC BaseP]] - 0.029) - 3.25 * POWER(Table4[[#This Row],[ISC BaseP]] - 0.02,15),NA()))</f>
        <v>1.4123999999999999</v>
      </c>
      <c r="AN7" s="155">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7"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7"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 s="199" t="s">
        <v>493</v>
      </c>
      <c r="AR7" s="213"/>
    </row>
    <row r="8" spans="1:45" s="47" customFormat="1" ht="156.75">
      <c r="A8" s="64">
        <v>5</v>
      </c>
      <c r="B8" s="53" t="s">
        <v>181</v>
      </c>
      <c r="C8" s="84" t="str">
        <f>IF(VLOOKUP(Table4[[#This Row],[T ID]],Table5[#All],5,FALSE)="No","Not in scope",VLOOKUP(Table4[[#This Row],[T ID]],Table5[#All],2,FALSE))</f>
        <v>Deliver undirected malware</v>
      </c>
      <c r="D8" s="53" t="s">
        <v>86</v>
      </c>
      <c r="E8" s="84" t="str">
        <f>IF(VLOOKUP(Table4[[#This Row],[V ID]],Vulnerabilities[#All],3,FALSE)="No","Not in scope",VLOOKUP(Table4[[#This Row],[V ID]],Vulnerabilities[#All],2,FALSE))</f>
        <v xml:space="preserve"> 3rd Party Component Dependency</v>
      </c>
      <c r="F8" s="87" t="s">
        <v>22</v>
      </c>
      <c r="G8" s="84" t="str">
        <f>VLOOKUP(Table4[[#This Row],[A ID]],Assets[#All],3,FALSE)</f>
        <v>THOR Knee Planning Application</v>
      </c>
      <c r="H8" s="199" t="s">
        <v>193</v>
      </c>
      <c r="I8" s="53"/>
      <c r="J8" s="85" t="s">
        <v>183</v>
      </c>
      <c r="K8" s="85" t="s">
        <v>183</v>
      </c>
      <c r="L8" s="85" t="s">
        <v>183</v>
      </c>
      <c r="M8" s="151" t="s">
        <v>184</v>
      </c>
      <c r="N8" s="151" t="s">
        <v>183</v>
      </c>
      <c r="O8" s="151" t="s">
        <v>185</v>
      </c>
      <c r="P8" s="151" t="s">
        <v>185</v>
      </c>
      <c r="Q8" s="151" t="s">
        <v>186</v>
      </c>
      <c r="R8"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8" s="155">
        <f>(1 - ((1 - VLOOKUP(Table4[[#This Row],[Confidentiality]],'Reference - CVSSv3.0'!$B$15:$C$17,2,FALSE)) * (1 - VLOOKUP(Table4[[#This Row],[Integrity]],'Reference - CVSSv3.0'!$B$15:$C$17,2,FALSE)) *  (1 - VLOOKUP(Table4[[#This Row],[Availability]],'Reference - CVSSv3.0'!$B$15:$C$17,2,FALSE))))</f>
        <v>0.52544799999999992</v>
      </c>
      <c r="T8" s="155">
        <f>IF(Table4[[#This Row],[Scope]]="Unchanged",6.42*Table4[[#This Row],[ISC Base]],IF(Table4[[#This Row],[Scope]]="Changed",7.52*(Table4[[#This Row],[ISC Base]] - 0.029) - 3.25 * POWER(Table4[[#This Row],[ISC Base]] - 0.02,15),NA()))</f>
        <v>3.3733761599999994</v>
      </c>
      <c r="U8"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8" s="195" t="s">
        <v>183</v>
      </c>
      <c r="W8" s="155">
        <f>VLOOKUP(Table4[[#This Row],[Threat Event Initiation]],NIST_Scale_LOAI[],2,FALSE)</f>
        <v>0.2</v>
      </c>
      <c r="X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 s="199" t="s">
        <v>197</v>
      </c>
      <c r="AA8" s="199" t="s">
        <v>478</v>
      </c>
      <c r="AB8" s="86" t="s">
        <v>198</v>
      </c>
      <c r="AC8" s="207" t="s">
        <v>185</v>
      </c>
      <c r="AD8" s="207" t="s">
        <v>185</v>
      </c>
      <c r="AE8" s="207" t="s">
        <v>183</v>
      </c>
      <c r="AF8" s="208" t="s">
        <v>184</v>
      </c>
      <c r="AG8" s="208" t="s">
        <v>183</v>
      </c>
      <c r="AH8" s="208" t="s">
        <v>185</v>
      </c>
      <c r="AI8" s="208" t="s">
        <v>185</v>
      </c>
      <c r="AJ8" s="208" t="s">
        <v>186</v>
      </c>
      <c r="AK8"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8" s="155">
        <f>(1 - ((1 - VLOOKUP(Table4[[#This Row],[ConfidentialityP]],'Reference - CVSSv3.0'!$B$15:$C$17,2,FALSE)) * (1 - VLOOKUP(Table4[[#This Row],[IntegrityP]],'Reference - CVSSv3.0'!$B$15:$C$17,2,FALSE)) *  (1 - VLOOKUP(Table4[[#This Row],[AvailabilityP]],'Reference - CVSSv3.0'!$B$15:$C$17,2,FALSE))))</f>
        <v>0.21999999999999997</v>
      </c>
      <c r="AM8" s="155">
        <f>IF(Table4[[#This Row],[ScopeP]]="Unchanged",6.42*Table4[[#This Row],[ISC BaseP]],IF(Table4[[#This Row],[ScopeP]]="Changed",7.52*(Table4[[#This Row],[ISC BaseP]] - 0.029) - 3.25 * POWER(Table4[[#This Row],[ISC BaseP]] - 0.02,15),NA()))</f>
        <v>1.4123999999999999</v>
      </c>
      <c r="AN8" s="155">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O8"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2.2000000000000002</v>
      </c>
      <c r="AP8"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 s="53"/>
      <c r="AR8" s="213"/>
    </row>
    <row r="9" spans="1:45" s="47" customFormat="1" ht="256.5">
      <c r="A9" s="64"/>
      <c r="B9" s="53" t="s">
        <v>181</v>
      </c>
      <c r="C9" s="84" t="str">
        <f>IF(VLOOKUP(Table4[[#This Row],[T ID]],Table5[#All],5,FALSE)="No","Not in scope",VLOOKUP(Table4[[#This Row],[T ID]],Table5[#All],2,FALSE))</f>
        <v>Deliver undirected malware</v>
      </c>
      <c r="D9" s="53" t="s">
        <v>101</v>
      </c>
      <c r="E9" s="84" t="str">
        <f>IF(VLOOKUP(Table4[[#This Row],[V ID]],Vulnerabilities[#All],3,FALSE)="No","Not in scope",VLOOKUP(Table4[[#This Row],[V ID]],Vulnerabilities[#All],2,FALSE))</f>
        <v>Unprotected public network connections</v>
      </c>
      <c r="F9" s="87" t="s">
        <v>28</v>
      </c>
      <c r="G9" s="84" t="str">
        <f>VLOOKUP(Table4[[#This Row],[A ID]],Assets[#All],3,FALSE)</f>
        <v>Laptop Operating System</v>
      </c>
      <c r="H9" s="199" t="s">
        <v>182</v>
      </c>
      <c r="I9" s="53"/>
      <c r="J9" s="197" t="s">
        <v>183</v>
      </c>
      <c r="K9" s="197" t="s">
        <v>183</v>
      </c>
      <c r="L9" s="197" t="s">
        <v>183</v>
      </c>
      <c r="M9" s="151" t="s">
        <v>184</v>
      </c>
      <c r="N9" s="151" t="s">
        <v>183</v>
      </c>
      <c r="O9" s="151" t="s">
        <v>185</v>
      </c>
      <c r="P9" s="151" t="s">
        <v>185</v>
      </c>
      <c r="Q9" s="151" t="s">
        <v>186</v>
      </c>
      <c r="R9"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9" s="155">
        <f>(1 - ((1 - VLOOKUP(Table4[[#This Row],[Confidentiality]],'Reference - CVSSv3.0'!$B$15:$C$17,2,FALSE)) * (1 - VLOOKUP(Table4[[#This Row],[Integrity]],'Reference - CVSSv3.0'!$B$15:$C$17,2,FALSE)) *  (1 - VLOOKUP(Table4[[#This Row],[Availability]],'Reference - CVSSv3.0'!$B$15:$C$17,2,FALSE))))</f>
        <v>0.52544799999999992</v>
      </c>
      <c r="T9" s="155">
        <f>IF(Table4[[#This Row],[Scope]]="Unchanged",6.42*Table4[[#This Row],[ISC Base]],IF(Table4[[#This Row],[Scope]]="Changed",7.52*(Table4[[#This Row],[ISC Base]] - 0.029) - 3.25 * POWER(Table4[[#This Row],[ISC Base]] - 0.02,15),NA()))</f>
        <v>3.3733761599999994</v>
      </c>
      <c r="U9"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9" s="195" t="s">
        <v>183</v>
      </c>
      <c r="W9" s="155">
        <f>VLOOKUP(Table4[[#This Row],[Threat Event Initiation]],NIST_Scale_LOAI[],2,FALSE)</f>
        <v>0.2</v>
      </c>
      <c r="X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200" t="s">
        <v>199</v>
      </c>
      <c r="AA9" s="199" t="s">
        <v>200</v>
      </c>
      <c r="AB9" s="86" t="s">
        <v>201</v>
      </c>
      <c r="AC9" s="209" t="s">
        <v>183</v>
      </c>
      <c r="AD9" s="209" t="s">
        <v>183</v>
      </c>
      <c r="AE9" s="209" t="s">
        <v>183</v>
      </c>
      <c r="AF9" s="208" t="s">
        <v>184</v>
      </c>
      <c r="AG9" s="208" t="s">
        <v>183</v>
      </c>
      <c r="AH9" s="208" t="s">
        <v>185</v>
      </c>
      <c r="AI9" s="208" t="s">
        <v>185</v>
      </c>
      <c r="AJ9" s="208" t="s">
        <v>186</v>
      </c>
      <c r="AK9"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9" s="155">
        <f>(1 - ((1 - VLOOKUP(Table4[[#This Row],[ConfidentialityP]],'Reference - CVSSv3.0'!$B$15:$C$17,2,FALSE)) * (1 - VLOOKUP(Table4[[#This Row],[IntegrityP]],'Reference - CVSSv3.0'!$B$15:$C$17,2,FALSE)) *  (1 - VLOOKUP(Table4[[#This Row],[AvailabilityP]],'Reference - CVSSv3.0'!$B$15:$C$17,2,FALSE))))</f>
        <v>0.52544799999999992</v>
      </c>
      <c r="AM9" s="155">
        <f>IF(Table4[[#This Row],[ScopeP]]="Unchanged",6.42*Table4[[#This Row],[ISC BaseP]],IF(Table4[[#This Row],[ScopeP]]="Changed",7.52*(Table4[[#This Row],[ISC BaseP]] - 0.029) - 3.25 * POWER(Table4[[#This Row],[ISC BaseP]] - 0.02,15),NA()))</f>
        <v>3.3733761599999994</v>
      </c>
      <c r="AN9" s="155">
        <f>IF(Table4[[#This Row],[Impact Sub ScoreP]]&lt;=0,0,IF(Table4[[#This Row],[ScopeP]]="Unchanged",ROUNDUP(MIN((Table4[[#This Row],[Impact Sub ScoreP]]+Table4[[#This Row],[Exploitability Sub ScoreP]]),10),1),IF(Table4[[#This Row],[ScopeP]]="Changed",ROUNDUP(MIN((1.08*(Table4[[#This Row],[Impact Sub ScoreP]]+Table4[[#This Row],[Exploitability Sub ScoreP]])),10),1),NA())))</f>
        <v>7.3</v>
      </c>
      <c r="AO9"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4.1999999999999993</v>
      </c>
      <c r="AP9"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9" s="53"/>
      <c r="AR9" s="213"/>
    </row>
    <row r="10" spans="1:45" s="47" customFormat="1" ht="102" customHeight="1">
      <c r="A10" s="64"/>
      <c r="B10" s="53" t="s">
        <v>181</v>
      </c>
      <c r="C10" s="84" t="str">
        <f>IF(VLOOKUP(Table4[[#This Row],[T ID]],Table5[#All],5,FALSE)="No","Not in scope",VLOOKUP(Table4[[#This Row],[T ID]],Table5[#All],2,FALSE))</f>
        <v>Deliver undirected malware</v>
      </c>
      <c r="D10" s="53" t="s">
        <v>79</v>
      </c>
      <c r="E10" s="84" t="str">
        <f>IF(VLOOKUP(Table4[[#This Row],[V ID]],Vulnerabilities[#All],3,FALSE)="No","Not in scope",VLOOKUP(Table4[[#This Row],[V ID]],Vulnerabilities[#All],2,FALSE))</f>
        <v>UnProtected Application Binaries</v>
      </c>
      <c r="F10" s="87" t="s">
        <v>22</v>
      </c>
      <c r="G10" s="84" t="str">
        <f>VLOOKUP(Table4[[#This Row],[A ID]],Assets[#All],3,FALSE)</f>
        <v>THOR Knee Planning Application</v>
      </c>
      <c r="H10" s="199" t="s">
        <v>193</v>
      </c>
      <c r="I10" s="53"/>
      <c r="J10" s="197" t="s">
        <v>183</v>
      </c>
      <c r="K10" s="197" t="s">
        <v>183</v>
      </c>
      <c r="L10" s="197" t="s">
        <v>183</v>
      </c>
      <c r="M10" s="151" t="s">
        <v>184</v>
      </c>
      <c r="N10" s="151" t="s">
        <v>183</v>
      </c>
      <c r="O10" s="151" t="s">
        <v>185</v>
      </c>
      <c r="P10" s="151" t="s">
        <v>185</v>
      </c>
      <c r="Q10" s="151" t="s">
        <v>186</v>
      </c>
      <c r="R10"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10" s="155">
        <f>(1 - ((1 - VLOOKUP(Table4[[#This Row],[Confidentiality]],'Reference - CVSSv3.0'!$B$15:$C$17,2,FALSE)) * (1 - VLOOKUP(Table4[[#This Row],[Integrity]],'Reference - CVSSv3.0'!$B$15:$C$17,2,FALSE)) *  (1 - VLOOKUP(Table4[[#This Row],[Availability]],'Reference - CVSSv3.0'!$B$15:$C$17,2,FALSE))))</f>
        <v>0.52544799999999992</v>
      </c>
      <c r="T10" s="155">
        <f>IF(Table4[[#This Row],[Scope]]="Unchanged",6.42*Table4[[#This Row],[ISC Base]],IF(Table4[[#This Row],[Scope]]="Changed",7.52*(Table4[[#This Row],[ISC Base]] - 0.029) - 3.25 * POWER(Table4[[#This Row],[ISC Base]] - 0.02,15),NA()))</f>
        <v>3.3733761599999994</v>
      </c>
      <c r="U10"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10" s="195" t="s">
        <v>183</v>
      </c>
      <c r="W10" s="155">
        <f>VLOOKUP(Table4[[#This Row],[Threat Event Initiation]],NIST_Scale_LOAI[],2,FALSE)</f>
        <v>0.2</v>
      </c>
      <c r="X1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1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86" t="s">
        <v>202</v>
      </c>
      <c r="AA10" s="199" t="s">
        <v>486</v>
      </c>
      <c r="AB10" s="86" t="s">
        <v>203</v>
      </c>
      <c r="AC10" s="209" t="s">
        <v>185</v>
      </c>
      <c r="AD10" s="209" t="s">
        <v>185</v>
      </c>
      <c r="AE10" s="209" t="s">
        <v>183</v>
      </c>
      <c r="AF10" s="208" t="s">
        <v>184</v>
      </c>
      <c r="AG10" s="208" t="s">
        <v>208</v>
      </c>
      <c r="AH10" s="208" t="s">
        <v>185</v>
      </c>
      <c r="AI10" s="208" t="s">
        <v>185</v>
      </c>
      <c r="AJ10" s="208" t="s">
        <v>186</v>
      </c>
      <c r="AK10"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L10" s="155">
        <f>(1 - ((1 - VLOOKUP(Table4[[#This Row],[ConfidentialityP]],'Reference - CVSSv3.0'!$B$15:$C$17,2,FALSE)) * (1 - VLOOKUP(Table4[[#This Row],[IntegrityP]],'Reference - CVSSv3.0'!$B$15:$C$17,2,FALSE)) *  (1 - VLOOKUP(Table4[[#This Row],[AvailabilityP]],'Reference - CVSSv3.0'!$B$15:$C$17,2,FALSE))))</f>
        <v>0.21999999999999997</v>
      </c>
      <c r="AM10" s="155">
        <f>IF(Table4[[#This Row],[ScopeP]]="Unchanged",6.42*Table4[[#This Row],[ISC BaseP]],IF(Table4[[#This Row],[ScopeP]]="Changed",7.52*(Table4[[#This Row],[ISC BaseP]] - 0.029) - 3.25 * POWER(Table4[[#This Row],[ISC BaseP]] - 0.02,15),NA()))</f>
        <v>1.4123999999999999</v>
      </c>
      <c r="AN10" s="155">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10"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10"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0" s="199" t="s">
        <v>493</v>
      </c>
      <c r="AR10" s="213"/>
    </row>
    <row r="11" spans="1:45" s="47" customFormat="1" ht="399">
      <c r="A11" s="64"/>
      <c r="B11" s="53" t="s">
        <v>181</v>
      </c>
      <c r="C11" s="84" t="str">
        <f>IF(VLOOKUP(Table4[[#This Row],[T ID]],Table5[#All],5,FALSE)="No","Not in scope",VLOOKUP(Table4[[#This Row],[T ID]],Table5[#All],2,FALSE))</f>
        <v>Deliver undirected malware</v>
      </c>
      <c r="D11" s="53" t="s">
        <v>95</v>
      </c>
      <c r="E11" s="84" t="str">
        <f>IF(VLOOKUP(Table4[[#This Row],[V ID]],Vulnerabilities[#All],3,FALSE)="No","Not in scope",VLOOKUP(Table4[[#This Row],[V ID]],Vulnerabilities[#All],2,FALSE))</f>
        <v>Unprotected external USB Port</v>
      </c>
      <c r="F11" s="87" t="s">
        <v>28</v>
      </c>
      <c r="G11" s="84" t="str">
        <f>VLOOKUP(Table4[[#This Row],[A ID]],Assets[#All],3,FALSE)</f>
        <v>Laptop Operating System</v>
      </c>
      <c r="H11" s="199" t="s">
        <v>182</v>
      </c>
      <c r="I11" s="53"/>
      <c r="J11" s="197" t="s">
        <v>183</v>
      </c>
      <c r="K11" s="197" t="s">
        <v>185</v>
      </c>
      <c r="L11" s="197" t="s">
        <v>185</v>
      </c>
      <c r="M11" s="151" t="s">
        <v>204</v>
      </c>
      <c r="N11" s="151" t="s">
        <v>183</v>
      </c>
      <c r="O11" s="151" t="s">
        <v>185</v>
      </c>
      <c r="P11" s="151" t="s">
        <v>185</v>
      </c>
      <c r="Q11" s="151" t="s">
        <v>186</v>
      </c>
      <c r="R11"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11" s="155">
        <f>(1 - ((1 - VLOOKUP(Table4[[#This Row],[Confidentiality]],'Reference - CVSSv3.0'!$B$15:$C$17,2,FALSE)) * (1 - VLOOKUP(Table4[[#This Row],[Integrity]],'Reference - CVSSv3.0'!$B$15:$C$17,2,FALSE)) *  (1 - VLOOKUP(Table4[[#This Row],[Availability]],'Reference - CVSSv3.0'!$B$15:$C$17,2,FALSE))))</f>
        <v>0.21999999999999997</v>
      </c>
      <c r="T11" s="155">
        <f>IF(Table4[[#This Row],[Scope]]="Unchanged",6.42*Table4[[#This Row],[ISC Base]],IF(Table4[[#This Row],[Scope]]="Changed",7.52*(Table4[[#This Row],[ISC Base]] - 0.029) - 3.25 * POWER(Table4[[#This Row],[ISC Base]] - 0.02,15),NA()))</f>
        <v>1.4123999999999999</v>
      </c>
      <c r="U11"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11" s="195" t="s">
        <v>183</v>
      </c>
      <c r="W11" s="155">
        <f>VLOOKUP(Table4[[#This Row],[Threat Event Initiation]],NIST_Scale_LOAI[],2,FALSE)</f>
        <v>0.2</v>
      </c>
      <c r="X1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1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9" t="s">
        <v>191</v>
      </c>
      <c r="AA11" s="199" t="s">
        <v>205</v>
      </c>
      <c r="AB11" s="86" t="s">
        <v>206</v>
      </c>
      <c r="AC11" s="209" t="s">
        <v>183</v>
      </c>
      <c r="AD11" s="209" t="s">
        <v>185</v>
      </c>
      <c r="AE11" s="209" t="s">
        <v>185</v>
      </c>
      <c r="AF11" s="208" t="s">
        <v>204</v>
      </c>
      <c r="AG11" s="208" t="s">
        <v>183</v>
      </c>
      <c r="AH11" s="208" t="s">
        <v>185</v>
      </c>
      <c r="AI11" s="208" t="s">
        <v>185</v>
      </c>
      <c r="AJ11" s="208" t="s">
        <v>186</v>
      </c>
      <c r="AK11"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2.5151453250000002</v>
      </c>
      <c r="AL11" s="155">
        <f>(1 - ((1 - VLOOKUP(Table4[[#This Row],[ConfidentialityP]],'Reference - CVSSv3.0'!$B$15:$C$17,2,FALSE)) * (1 - VLOOKUP(Table4[[#This Row],[IntegrityP]],'Reference - CVSSv3.0'!$B$15:$C$17,2,FALSE)) *  (1 - VLOOKUP(Table4[[#This Row],[AvailabilityP]],'Reference - CVSSv3.0'!$B$15:$C$17,2,FALSE))))</f>
        <v>0.21999999999999997</v>
      </c>
      <c r="AM11" s="155">
        <f>IF(Table4[[#This Row],[ScopeP]]="Unchanged",6.42*Table4[[#This Row],[ISC BaseP]],IF(Table4[[#This Row],[ScopeP]]="Changed",7.52*(Table4[[#This Row],[ISC BaseP]] - 0.029) - 3.25 * POWER(Table4[[#This Row],[ISC BaseP]] - 0.02,15),NA()))</f>
        <v>1.4123999999999999</v>
      </c>
      <c r="AN11" s="155">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O11"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v>
      </c>
      <c r="AP11"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1" s="53"/>
      <c r="AR11" s="213"/>
    </row>
    <row r="12" spans="1:45" s="47" customFormat="1" ht="179.45" customHeight="1">
      <c r="A12" s="64">
        <v>2</v>
      </c>
      <c r="B12" s="51" t="s">
        <v>207</v>
      </c>
      <c r="C12" s="83" t="str">
        <f>IF(VLOOKUP(Table4[[#This Row],[T ID]],Table5[#All],5,FALSE)="No","Not in scope",VLOOKUP(Table4[[#This Row],[T ID]],Table5[#All],2,FALSE))</f>
        <v>Deliver directed malware</v>
      </c>
      <c r="D12" s="53" t="s">
        <v>93</v>
      </c>
      <c r="E12" s="83" t="str">
        <f>IF(VLOOKUP(Table4[[#This Row],[V ID]],Vulnerabilities[#All],3,FALSE)="No","Not in scope",VLOOKUP(Table4[[#This Row],[V ID]],Vulnerabilities[#All],2,FALSE))</f>
        <v>Unprotected network port</v>
      </c>
      <c r="F12" s="87" t="s">
        <v>22</v>
      </c>
      <c r="G12" s="84" t="str">
        <f>VLOOKUP(Table4[[#This Row],[A ID]],Assets[#All],3,FALSE)</f>
        <v>THOR Knee Planning Application</v>
      </c>
      <c r="H12" s="199" t="s">
        <v>193</v>
      </c>
      <c r="I12" s="53"/>
      <c r="J12" s="85" t="s">
        <v>183</v>
      </c>
      <c r="K12" s="85" t="s">
        <v>183</v>
      </c>
      <c r="L12" s="85" t="s">
        <v>183</v>
      </c>
      <c r="M12" s="151" t="s">
        <v>184</v>
      </c>
      <c r="N12" s="151" t="s">
        <v>208</v>
      </c>
      <c r="O12" s="151" t="s">
        <v>185</v>
      </c>
      <c r="P12" s="151" t="s">
        <v>209</v>
      </c>
      <c r="Q12" s="151" t="s">
        <v>186</v>
      </c>
      <c r="R12" s="15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2" s="155">
        <f>(1 - ((1 - VLOOKUP(Table4[[#This Row],[Confidentiality]],'Reference - CVSSv3.0'!$B$15:$C$17,2,FALSE)) * (1 - VLOOKUP(Table4[[#This Row],[Integrity]],'Reference - CVSSv3.0'!$B$15:$C$17,2,FALSE)) *  (1 - VLOOKUP(Table4[[#This Row],[Availability]],'Reference - CVSSv3.0'!$B$15:$C$17,2,FALSE))))</f>
        <v>0.52544799999999992</v>
      </c>
      <c r="T12" s="155">
        <f>IF(Table4[[#This Row],[Scope]]="Unchanged",6.42*Table4[[#This Row],[ISC Base]],IF(Table4[[#This Row],[Scope]]="Changed",7.52*(Table4[[#This Row],[ISC Base]] - 0.029) - 3.25 * POWER(Table4[[#This Row],[ISC Base]] - 0.02,15),NA()))</f>
        <v>3.3733761599999994</v>
      </c>
      <c r="U12" s="155">
        <f>IF(Table4[[#This Row],[Impact Sub Score]]&lt;=0,0,IF(Table4[[#This Row],[Scope]]="Unchanged",ROUNDUP(MIN((Table4[[#This Row],[Impact Sub Score]]+Table4[[#This Row],[Exploitability Sub Score]]),10),1),IF(Table4[[#This Row],[Scope]]="Changed",ROUNDUP(MIN((1.08*(Table4[[#This Row],[Impact Sub Score]]+Table4[[#This Row],[Exploitability Sub Score]])),10),1),NA())))</f>
        <v>5</v>
      </c>
      <c r="V12" s="176" t="s">
        <v>183</v>
      </c>
      <c r="W12" s="177">
        <f>VLOOKUP(Table4[[#This Row],[Threat Event Initiation]],NIST_Scale_LOAI[],2,FALSE)</f>
        <v>0.2</v>
      </c>
      <c r="X12"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2"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9" t="s">
        <v>210</v>
      </c>
      <c r="AA12" s="200" t="s">
        <v>211</v>
      </c>
      <c r="AB12" s="204" t="s">
        <v>212</v>
      </c>
      <c r="AC12" s="207" t="s">
        <v>183</v>
      </c>
      <c r="AD12" s="207" t="s">
        <v>183</v>
      </c>
      <c r="AE12" s="207" t="s">
        <v>183</v>
      </c>
      <c r="AF12" s="208" t="s">
        <v>184</v>
      </c>
      <c r="AG12" s="208" t="s">
        <v>208</v>
      </c>
      <c r="AH12" s="208" t="s">
        <v>185</v>
      </c>
      <c r="AI12" s="208" t="s">
        <v>209</v>
      </c>
      <c r="AJ12" s="208" t="s">
        <v>186</v>
      </c>
      <c r="AK12"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1.6201455599999999</v>
      </c>
      <c r="AL12" s="155">
        <f>(1 - ((1 - VLOOKUP(Table4[[#This Row],[ConfidentialityP]],'Reference - CVSSv3.0'!$B$15:$C$17,2,FALSE)) * (1 - VLOOKUP(Table4[[#This Row],[IntegrityP]],'Reference - CVSSv3.0'!$B$15:$C$17,2,FALSE)) *  (1 - VLOOKUP(Table4[[#This Row],[AvailabilityP]],'Reference - CVSSv3.0'!$B$15:$C$17,2,FALSE))))</f>
        <v>0.52544799999999992</v>
      </c>
      <c r="AM12" s="155">
        <f>IF(Table4[[#This Row],[ScopeP]]="Unchanged",6.42*Table4[[#This Row],[ISC BaseP]],IF(Table4[[#This Row],[ScopeP]]="Changed",7.52*(Table4[[#This Row],[ISC BaseP]] - 0.029) - 3.25 * POWER(Table4[[#This Row],[ISC BaseP]] - 0.02,15),NA()))</f>
        <v>3.3733761599999994</v>
      </c>
      <c r="AN12" s="155">
        <f>IF(Table4[[#This Row],[Impact Sub ScoreP]]&lt;=0,0,IF(Table4[[#This Row],[ScopeP]]="Unchanged",ROUNDUP(MIN((Table4[[#This Row],[Impact Sub ScoreP]]+Table4[[#This Row],[Exploitability Sub ScoreP]]),10),1),IF(Table4[[#This Row],[ScopeP]]="Changed",ROUNDUP(MIN((1.08*(Table4[[#This Row],[Impact Sub ScoreP]]+Table4[[#This Row],[Exploitability Sub ScoreP]])),10),1),NA())))</f>
        <v>5</v>
      </c>
      <c r="AO12"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12" s="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2" s="199" t="s">
        <v>493</v>
      </c>
      <c r="AR12" s="213"/>
    </row>
    <row r="13" spans="1:45" s="47" customFormat="1" ht="195" customHeight="1">
      <c r="A13" s="64"/>
      <c r="B13" s="53" t="s">
        <v>207</v>
      </c>
      <c r="C13" s="84" t="str">
        <f>IF(VLOOKUP(Table4[[#This Row],[T ID]],Table5[#All],5,FALSE)="No","Not in scope",VLOOKUP(Table4[[#This Row],[T ID]],Table5[#All],2,FALSE))</f>
        <v>Deliver directed malware</v>
      </c>
      <c r="D13" s="53" t="s">
        <v>95</v>
      </c>
      <c r="E13" s="84" t="str">
        <f>IF(VLOOKUP(Table4[[#This Row],[V ID]],Vulnerabilities[#All],3,FALSE)="No","Not in scope",VLOOKUP(Table4[[#This Row],[V ID]],Vulnerabilities[#All],2,FALSE))</f>
        <v>Unprotected external USB Port</v>
      </c>
      <c r="F13" s="87" t="s">
        <v>22</v>
      </c>
      <c r="G13" s="84" t="str">
        <f>VLOOKUP(Table4[[#This Row],[A ID]],Assets[#All],3,FALSE)</f>
        <v>THOR Knee Planning Application</v>
      </c>
      <c r="H13" s="199" t="s">
        <v>193</v>
      </c>
      <c r="I13" s="53"/>
      <c r="J13" s="197" t="s">
        <v>183</v>
      </c>
      <c r="K13" s="197" t="s">
        <v>183</v>
      </c>
      <c r="L13" s="197" t="s">
        <v>183</v>
      </c>
      <c r="M13" s="151" t="s">
        <v>204</v>
      </c>
      <c r="N13" s="151" t="s">
        <v>208</v>
      </c>
      <c r="O13" s="151" t="s">
        <v>185</v>
      </c>
      <c r="P13" s="151" t="s">
        <v>209</v>
      </c>
      <c r="Q13" s="151" t="s">
        <v>186</v>
      </c>
      <c r="R13"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3" s="155">
        <f>(1 - ((1 - VLOOKUP(Table4[[#This Row],[Confidentiality]],'Reference - CVSSv3.0'!$B$15:$C$17,2,FALSE)) * (1 - VLOOKUP(Table4[[#This Row],[Integrity]],'Reference - CVSSv3.0'!$B$15:$C$17,2,FALSE)) *  (1 - VLOOKUP(Table4[[#This Row],[Availability]],'Reference - CVSSv3.0'!$B$15:$C$17,2,FALSE))))</f>
        <v>0.52544799999999992</v>
      </c>
      <c r="T13" s="155">
        <f>IF(Table4[[#This Row],[Scope]]="Unchanged",6.42*Table4[[#This Row],[ISC Base]],IF(Table4[[#This Row],[Scope]]="Changed",7.52*(Table4[[#This Row],[ISC Base]] - 0.029) - 3.25 * POWER(Table4[[#This Row],[ISC Base]] - 0.02,15),NA()))</f>
        <v>3.3733761599999994</v>
      </c>
      <c r="U13"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13" s="195" t="s">
        <v>183</v>
      </c>
      <c r="W13" s="155">
        <f>VLOOKUP(Table4[[#This Row],[Threat Event Initiation]],NIST_Scale_LOAI[],2,FALSE)</f>
        <v>0.2</v>
      </c>
      <c r="X13"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9" t="s">
        <v>191</v>
      </c>
      <c r="AA13" s="205" t="s">
        <v>214</v>
      </c>
      <c r="AB13" s="204" t="s">
        <v>215</v>
      </c>
      <c r="AC13" s="209" t="s">
        <v>183</v>
      </c>
      <c r="AD13" s="209" t="s">
        <v>183</v>
      </c>
      <c r="AE13" s="209" t="s">
        <v>183</v>
      </c>
      <c r="AF13" s="208" t="s">
        <v>204</v>
      </c>
      <c r="AG13" s="208" t="s">
        <v>208</v>
      </c>
      <c r="AH13" s="208" t="s">
        <v>185</v>
      </c>
      <c r="AI13" s="208" t="s">
        <v>209</v>
      </c>
      <c r="AJ13" s="208" t="s">
        <v>186</v>
      </c>
      <c r="AK13"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1.0483294800000003</v>
      </c>
      <c r="AL13" s="155">
        <f>(1 - ((1 - VLOOKUP(Table4[[#This Row],[ConfidentialityP]],'Reference - CVSSv3.0'!$B$15:$C$17,2,FALSE)) * (1 - VLOOKUP(Table4[[#This Row],[IntegrityP]],'Reference - CVSSv3.0'!$B$15:$C$17,2,FALSE)) *  (1 - VLOOKUP(Table4[[#This Row],[AvailabilityP]],'Reference - CVSSv3.0'!$B$15:$C$17,2,FALSE))))</f>
        <v>0.52544799999999992</v>
      </c>
      <c r="AM13" s="155">
        <f>IF(Table4[[#This Row],[ScopeP]]="Unchanged",6.42*Table4[[#This Row],[ISC BaseP]],IF(Table4[[#This Row],[ScopeP]]="Changed",7.52*(Table4[[#This Row],[ISC BaseP]] - 0.029) - 3.25 * POWER(Table4[[#This Row],[ISC BaseP]] - 0.02,15),NA()))</f>
        <v>3.3733761599999994</v>
      </c>
      <c r="AN13" s="155">
        <f>IF(Table4[[#This Row],[Impact Sub ScoreP]]&lt;=0,0,IF(Table4[[#This Row],[ScopeP]]="Unchanged",ROUNDUP(MIN((Table4[[#This Row],[Impact Sub ScoreP]]+Table4[[#This Row],[Exploitability Sub ScoreP]]),10),1),IF(Table4[[#This Row],[ScopeP]]="Changed",ROUNDUP(MIN((1.08*(Table4[[#This Row],[Impact Sub ScoreP]]+Table4[[#This Row],[Exploitability Sub ScoreP]])),10),1),NA())))</f>
        <v>4.5</v>
      </c>
      <c r="AO13"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13"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3" s="199" t="s">
        <v>493</v>
      </c>
      <c r="AR13" s="213"/>
    </row>
    <row r="14" spans="1:45" s="47" customFormat="1" ht="59.45" customHeight="1">
      <c r="A14" s="64"/>
      <c r="B14" s="53" t="s">
        <v>207</v>
      </c>
      <c r="C14" s="84" t="str">
        <f>IF(VLOOKUP(Table4[[#This Row],[T ID]],Table5[#All],5,FALSE)="No","Not in scope",VLOOKUP(Table4[[#This Row],[T ID]],Table5[#All],2,FALSE))</f>
        <v>Deliver directed malware</v>
      </c>
      <c r="D14" s="53" t="s">
        <v>97</v>
      </c>
      <c r="E14" s="84" t="str">
        <f>IF(VLOOKUP(Table4[[#This Row],[V ID]],Vulnerabilities[#All],3,FALSE)="No","Not in scope",VLOOKUP(Table4[[#This Row],[V ID]],Vulnerabilities[#All],2,FALSE))</f>
        <v>Unprotected external CD/DVD Drive</v>
      </c>
      <c r="F14" s="87" t="s">
        <v>22</v>
      </c>
      <c r="G14" s="84" t="str">
        <f>VLOOKUP(Table4[[#This Row],[A ID]],Assets[#All],3,FALSE)</f>
        <v>THOR Knee Planning Application</v>
      </c>
      <c r="H14" s="199" t="s">
        <v>193</v>
      </c>
      <c r="I14" s="53"/>
      <c r="J14" s="197" t="s">
        <v>183</v>
      </c>
      <c r="K14" s="197" t="s">
        <v>183</v>
      </c>
      <c r="L14" s="197" t="s">
        <v>183</v>
      </c>
      <c r="M14" s="151" t="s">
        <v>204</v>
      </c>
      <c r="N14" s="151" t="s">
        <v>208</v>
      </c>
      <c r="O14" s="151" t="s">
        <v>185</v>
      </c>
      <c r="P14" s="151" t="s">
        <v>209</v>
      </c>
      <c r="Q14" s="151" t="s">
        <v>186</v>
      </c>
      <c r="R14"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4" s="155">
        <f>(1 - ((1 - VLOOKUP(Table4[[#This Row],[Confidentiality]],'Reference - CVSSv3.0'!$B$15:$C$17,2,FALSE)) * (1 - VLOOKUP(Table4[[#This Row],[Integrity]],'Reference - CVSSv3.0'!$B$15:$C$17,2,FALSE)) *  (1 - VLOOKUP(Table4[[#This Row],[Availability]],'Reference - CVSSv3.0'!$B$15:$C$17,2,FALSE))))</f>
        <v>0.52544799999999992</v>
      </c>
      <c r="T14" s="155">
        <f>IF(Table4[[#This Row],[Scope]]="Unchanged",6.42*Table4[[#This Row],[ISC Base]],IF(Table4[[#This Row],[Scope]]="Changed",7.52*(Table4[[#This Row],[ISC Base]] - 0.029) - 3.25 * POWER(Table4[[#This Row],[ISC Base]] - 0.02,15),NA()))</f>
        <v>3.3733761599999994</v>
      </c>
      <c r="U14"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14" s="195" t="s">
        <v>183</v>
      </c>
      <c r="W14" s="155">
        <f>VLOOKUP(Table4[[#This Row],[Threat Event Initiation]],NIST_Scale_LOAI[],2,FALSE)</f>
        <v>0.2</v>
      </c>
      <c r="X14"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9" t="s">
        <v>216</v>
      </c>
      <c r="AA14" s="199" t="s">
        <v>217</v>
      </c>
      <c r="AB14" s="86" t="s">
        <v>218</v>
      </c>
      <c r="AC14" s="209" t="s">
        <v>183</v>
      </c>
      <c r="AD14" s="209" t="s">
        <v>183</v>
      </c>
      <c r="AE14" s="209" t="s">
        <v>183</v>
      </c>
      <c r="AF14" s="208" t="s">
        <v>204</v>
      </c>
      <c r="AG14" s="208" t="s">
        <v>208</v>
      </c>
      <c r="AH14" s="208" t="s">
        <v>185</v>
      </c>
      <c r="AI14" s="208" t="s">
        <v>209</v>
      </c>
      <c r="AJ14" s="208" t="s">
        <v>186</v>
      </c>
      <c r="AK14"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1.0483294800000003</v>
      </c>
      <c r="AL14" s="155">
        <f>(1 - ((1 - VLOOKUP(Table4[[#This Row],[ConfidentialityP]],'Reference - CVSSv3.0'!$B$15:$C$17,2,FALSE)) * (1 - VLOOKUP(Table4[[#This Row],[IntegrityP]],'Reference - CVSSv3.0'!$B$15:$C$17,2,FALSE)) *  (1 - VLOOKUP(Table4[[#This Row],[AvailabilityP]],'Reference - CVSSv3.0'!$B$15:$C$17,2,FALSE))))</f>
        <v>0.52544799999999992</v>
      </c>
      <c r="AM14" s="155">
        <f>IF(Table4[[#This Row],[ScopeP]]="Unchanged",6.42*Table4[[#This Row],[ISC BaseP]],IF(Table4[[#This Row],[ScopeP]]="Changed",7.52*(Table4[[#This Row],[ISC BaseP]] - 0.029) - 3.25 * POWER(Table4[[#This Row],[ISC BaseP]] - 0.02,15),NA()))</f>
        <v>3.3733761599999994</v>
      </c>
      <c r="AN14" s="155">
        <f>IF(Table4[[#This Row],[Impact Sub ScoreP]]&lt;=0,0,IF(Table4[[#This Row],[ScopeP]]="Unchanged",ROUNDUP(MIN((Table4[[#This Row],[Impact Sub ScoreP]]+Table4[[#This Row],[Exploitability Sub ScoreP]]),10),1),IF(Table4[[#This Row],[ScopeP]]="Changed",ROUNDUP(MIN((1.08*(Table4[[#This Row],[Impact Sub ScoreP]]+Table4[[#This Row],[Exploitability Sub ScoreP]])),10),1),NA())))</f>
        <v>4.5</v>
      </c>
      <c r="AO14"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14"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4" s="199" t="s">
        <v>493</v>
      </c>
      <c r="AR14" s="213"/>
    </row>
    <row r="15" spans="1:45" s="47" customFormat="1" ht="189.6" customHeight="1">
      <c r="A15" s="64"/>
      <c r="B15" s="53" t="s">
        <v>207</v>
      </c>
      <c r="C15" s="84" t="str">
        <f>IF(VLOOKUP(Table4[[#This Row],[T ID]],Table5[#All],5,FALSE)="No","Not in scope",VLOOKUP(Table4[[#This Row],[T ID]],Table5[#All],2,FALSE))</f>
        <v>Deliver directed malware</v>
      </c>
      <c r="D15" s="53" t="s">
        <v>99</v>
      </c>
      <c r="E15" s="84" t="str">
        <f>IF(VLOOKUP(Table4[[#This Row],[V ID]],Vulnerabilities[#All],3,FALSE)="No","Not in scope",VLOOKUP(Table4[[#This Row],[V ID]],Vulnerabilities[#All],2,FALSE))</f>
        <v>Unprotected Physical storage of Laptop</v>
      </c>
      <c r="F15" s="87" t="s">
        <v>22</v>
      </c>
      <c r="G15" s="84" t="str">
        <f>VLOOKUP(Table4[[#This Row],[A ID]],Assets[#All],3,FALSE)</f>
        <v>THOR Knee Planning Application</v>
      </c>
      <c r="H15" s="199" t="s">
        <v>193</v>
      </c>
      <c r="I15" s="53"/>
      <c r="J15" s="197" t="s">
        <v>183</v>
      </c>
      <c r="K15" s="197" t="s">
        <v>183</v>
      </c>
      <c r="L15" s="197" t="s">
        <v>183</v>
      </c>
      <c r="M15" s="151" t="s">
        <v>204</v>
      </c>
      <c r="N15" s="151" t="s">
        <v>208</v>
      </c>
      <c r="O15" s="151" t="s">
        <v>185</v>
      </c>
      <c r="P15" s="151" t="s">
        <v>209</v>
      </c>
      <c r="Q15" s="151" t="s">
        <v>186</v>
      </c>
      <c r="R15"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5" s="155">
        <f>(1 - ((1 - VLOOKUP(Table4[[#This Row],[Confidentiality]],'Reference - CVSSv3.0'!$B$15:$C$17,2,FALSE)) * (1 - VLOOKUP(Table4[[#This Row],[Integrity]],'Reference - CVSSv3.0'!$B$15:$C$17,2,FALSE)) *  (1 - VLOOKUP(Table4[[#This Row],[Availability]],'Reference - CVSSv3.0'!$B$15:$C$17,2,FALSE))))</f>
        <v>0.52544799999999992</v>
      </c>
      <c r="T15" s="155">
        <f>IF(Table4[[#This Row],[Scope]]="Unchanged",6.42*Table4[[#This Row],[ISC Base]],IF(Table4[[#This Row],[Scope]]="Changed",7.52*(Table4[[#This Row],[ISC Base]] - 0.029) - 3.25 * POWER(Table4[[#This Row],[ISC Base]] - 0.02,15),NA()))</f>
        <v>3.3733761599999994</v>
      </c>
      <c r="U15"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15" s="195" t="s">
        <v>183</v>
      </c>
      <c r="W15" s="155">
        <f>VLOOKUP(Table4[[#This Row],[Threat Event Initiation]],NIST_Scale_LOAI[],2,FALSE)</f>
        <v>0.2</v>
      </c>
      <c r="X1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9" t="s">
        <v>219</v>
      </c>
      <c r="AA15" s="205" t="s">
        <v>214</v>
      </c>
      <c r="AB15" s="204" t="s">
        <v>220</v>
      </c>
      <c r="AC15" s="209" t="s">
        <v>183</v>
      </c>
      <c r="AD15" s="209" t="s">
        <v>183</v>
      </c>
      <c r="AE15" s="209" t="s">
        <v>183</v>
      </c>
      <c r="AF15" s="208" t="s">
        <v>204</v>
      </c>
      <c r="AG15" s="208" t="s">
        <v>208</v>
      </c>
      <c r="AH15" s="208" t="s">
        <v>185</v>
      </c>
      <c r="AI15" s="208" t="s">
        <v>209</v>
      </c>
      <c r="AJ15" s="208" t="s">
        <v>186</v>
      </c>
      <c r="AK15"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1.0483294800000003</v>
      </c>
      <c r="AL15" s="155">
        <f>(1 - ((1 - VLOOKUP(Table4[[#This Row],[ConfidentialityP]],'Reference - CVSSv3.0'!$B$15:$C$17,2,FALSE)) * (1 - VLOOKUP(Table4[[#This Row],[IntegrityP]],'Reference - CVSSv3.0'!$B$15:$C$17,2,FALSE)) *  (1 - VLOOKUP(Table4[[#This Row],[AvailabilityP]],'Reference - CVSSv3.0'!$B$15:$C$17,2,FALSE))))</f>
        <v>0.52544799999999992</v>
      </c>
      <c r="AM15" s="155">
        <f>IF(Table4[[#This Row],[ScopeP]]="Unchanged",6.42*Table4[[#This Row],[ISC BaseP]],IF(Table4[[#This Row],[ScopeP]]="Changed",7.52*(Table4[[#This Row],[ISC BaseP]] - 0.029) - 3.25 * POWER(Table4[[#This Row],[ISC BaseP]] - 0.02,15),NA()))</f>
        <v>3.3733761599999994</v>
      </c>
      <c r="AN15" s="155">
        <f>IF(Table4[[#This Row],[Impact Sub ScoreP]]&lt;=0,0,IF(Table4[[#This Row],[ScopeP]]="Unchanged",ROUNDUP(MIN((Table4[[#This Row],[Impact Sub ScoreP]]+Table4[[#This Row],[Exploitability Sub ScoreP]]),10),1),IF(Table4[[#This Row],[ScopeP]]="Changed",ROUNDUP(MIN((1.08*(Table4[[#This Row],[Impact Sub ScoreP]]+Table4[[#This Row],[Exploitability Sub ScoreP]])),10),1),NA())))</f>
        <v>4.5</v>
      </c>
      <c r="AO15"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15"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5" s="199" t="s">
        <v>493</v>
      </c>
      <c r="AR15" s="213"/>
    </row>
    <row r="16" spans="1:45" s="47" customFormat="1" ht="342">
      <c r="A16" s="64"/>
      <c r="B16" s="53" t="s">
        <v>207</v>
      </c>
      <c r="C16" s="84" t="str">
        <f>IF(VLOOKUP(Table4[[#This Row],[T ID]],Table5[#All],5,FALSE)="No","Not in scope",VLOOKUP(Table4[[#This Row],[T ID]],Table5[#All],2,FALSE))</f>
        <v>Deliver directed malware</v>
      </c>
      <c r="D16" s="53" t="s">
        <v>101</v>
      </c>
      <c r="E16" s="84" t="str">
        <f>IF(VLOOKUP(Table4[[#This Row],[V ID]],Vulnerabilities[#All],3,FALSE)="No","Not in scope",VLOOKUP(Table4[[#This Row],[V ID]],Vulnerabilities[#All],2,FALSE))</f>
        <v>Unprotected public network connections</v>
      </c>
      <c r="F16" s="87" t="s">
        <v>22</v>
      </c>
      <c r="G16" s="84" t="str">
        <f>VLOOKUP(Table4[[#This Row],[A ID]],Assets[#All],3,FALSE)</f>
        <v>THOR Knee Planning Application</v>
      </c>
      <c r="H16" s="199" t="s">
        <v>193</v>
      </c>
      <c r="I16" s="53"/>
      <c r="J16" s="197" t="s">
        <v>183</v>
      </c>
      <c r="K16" s="197" t="s">
        <v>183</v>
      </c>
      <c r="L16" s="197" t="s">
        <v>183</v>
      </c>
      <c r="M16" s="151" t="s">
        <v>184</v>
      </c>
      <c r="N16" s="151" t="s">
        <v>208</v>
      </c>
      <c r="O16" s="151" t="s">
        <v>185</v>
      </c>
      <c r="P16" s="151" t="s">
        <v>209</v>
      </c>
      <c r="Q16" s="151" t="s">
        <v>186</v>
      </c>
      <c r="R16"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6" s="155">
        <f>(1 - ((1 - VLOOKUP(Table4[[#This Row],[Confidentiality]],'Reference - CVSSv3.0'!$B$15:$C$17,2,FALSE)) * (1 - VLOOKUP(Table4[[#This Row],[Integrity]],'Reference - CVSSv3.0'!$B$15:$C$17,2,FALSE)) *  (1 - VLOOKUP(Table4[[#This Row],[Availability]],'Reference - CVSSv3.0'!$B$15:$C$17,2,FALSE))))</f>
        <v>0.52544799999999992</v>
      </c>
      <c r="T16" s="155">
        <f>IF(Table4[[#This Row],[Scope]]="Unchanged",6.42*Table4[[#This Row],[ISC Base]],IF(Table4[[#This Row],[Scope]]="Changed",7.52*(Table4[[#This Row],[ISC Base]] - 0.029) - 3.25 * POWER(Table4[[#This Row],[ISC Base]] - 0.02,15),NA()))</f>
        <v>3.3733761599999994</v>
      </c>
      <c r="U16" s="155">
        <f>IF(Table4[[#This Row],[Impact Sub Score]]&lt;=0,0,IF(Table4[[#This Row],[Scope]]="Unchanged",ROUNDUP(MIN((Table4[[#This Row],[Impact Sub Score]]+Table4[[#This Row],[Exploitability Sub Score]]),10),1),IF(Table4[[#This Row],[Scope]]="Changed",ROUNDUP(MIN((1.08*(Table4[[#This Row],[Impact Sub Score]]+Table4[[#This Row],[Exploitability Sub Score]])),10),1),NA())))</f>
        <v>5</v>
      </c>
      <c r="V16" s="195" t="s">
        <v>183</v>
      </c>
      <c r="W16" s="155">
        <f>VLOOKUP(Table4[[#This Row],[Threat Event Initiation]],NIST_Scale_LOAI[],2,FALSE)</f>
        <v>0.2</v>
      </c>
      <c r="X1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9" t="s">
        <v>210</v>
      </c>
      <c r="AA16" s="199" t="s">
        <v>221</v>
      </c>
      <c r="AB16" s="86" t="s">
        <v>212</v>
      </c>
      <c r="AC16" s="209" t="s">
        <v>183</v>
      </c>
      <c r="AD16" s="209" t="s">
        <v>183</v>
      </c>
      <c r="AE16" s="209" t="s">
        <v>183</v>
      </c>
      <c r="AF16" s="208" t="s">
        <v>184</v>
      </c>
      <c r="AG16" s="208" t="s">
        <v>208</v>
      </c>
      <c r="AH16" s="208" t="s">
        <v>185</v>
      </c>
      <c r="AI16" s="208" t="s">
        <v>209</v>
      </c>
      <c r="AJ16" s="208" t="s">
        <v>186</v>
      </c>
      <c r="AK16"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1.6201455599999999</v>
      </c>
      <c r="AL16" s="155">
        <f>(1 - ((1 - VLOOKUP(Table4[[#This Row],[ConfidentialityP]],'Reference - CVSSv3.0'!$B$15:$C$17,2,FALSE)) * (1 - VLOOKUP(Table4[[#This Row],[IntegrityP]],'Reference - CVSSv3.0'!$B$15:$C$17,2,FALSE)) *  (1 - VLOOKUP(Table4[[#This Row],[AvailabilityP]],'Reference - CVSSv3.0'!$B$15:$C$17,2,FALSE))))</f>
        <v>0.52544799999999992</v>
      </c>
      <c r="AM16" s="155">
        <f>IF(Table4[[#This Row],[ScopeP]]="Unchanged",6.42*Table4[[#This Row],[ISC BaseP]],IF(Table4[[#This Row],[ScopeP]]="Changed",7.52*(Table4[[#This Row],[ISC BaseP]] - 0.029) - 3.25 * POWER(Table4[[#This Row],[ISC BaseP]] - 0.02,15),NA()))</f>
        <v>3.3733761599999994</v>
      </c>
      <c r="AN16" s="155">
        <f>IF(Table4[[#This Row],[Impact Sub ScoreP]]&lt;=0,0,IF(Table4[[#This Row],[ScopeP]]="Unchanged",ROUNDUP(MIN((Table4[[#This Row],[Impact Sub ScoreP]]+Table4[[#This Row],[Exploitability Sub ScoreP]]),10),1),IF(Table4[[#This Row],[ScopeP]]="Changed",ROUNDUP(MIN((1.08*(Table4[[#This Row],[Impact Sub ScoreP]]+Table4[[#This Row],[Exploitability Sub ScoreP]])),10),1),NA())))</f>
        <v>5</v>
      </c>
      <c r="AO16"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16"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6" s="199" t="s">
        <v>493</v>
      </c>
      <c r="AR16" s="213"/>
    </row>
    <row r="17" spans="1:44" s="47" customFormat="1" ht="213.75">
      <c r="A17" s="64"/>
      <c r="B17" s="53" t="s">
        <v>207</v>
      </c>
      <c r="C17" s="84" t="str">
        <f>IF(VLOOKUP(Table4[[#This Row],[T ID]],Table5[#All],5,FALSE)="No","Not in scope",VLOOKUP(Table4[[#This Row],[T ID]],Table5[#All],2,FALSE))</f>
        <v>Deliver directed malware</v>
      </c>
      <c r="D17" s="53" t="s">
        <v>79</v>
      </c>
      <c r="E17" s="84" t="str">
        <f>IF(VLOOKUP(Table4[[#This Row],[V ID]],Vulnerabilities[#All],3,FALSE)="No","Not in scope",VLOOKUP(Table4[[#This Row],[V ID]],Vulnerabilities[#All],2,FALSE))</f>
        <v>UnProtected Application Binaries</v>
      </c>
      <c r="F17" s="87" t="s">
        <v>22</v>
      </c>
      <c r="G17" s="84" t="str">
        <f>VLOOKUP(Table4[[#This Row],[A ID]],Assets[#All],3,FALSE)</f>
        <v>THOR Knee Planning Application</v>
      </c>
      <c r="H17" s="199" t="s">
        <v>193</v>
      </c>
      <c r="I17" s="53"/>
      <c r="J17" s="197" t="s">
        <v>183</v>
      </c>
      <c r="K17" s="197" t="s">
        <v>183</v>
      </c>
      <c r="L17" s="197" t="s">
        <v>183</v>
      </c>
      <c r="M17" s="151" t="s">
        <v>204</v>
      </c>
      <c r="N17" s="151" t="s">
        <v>208</v>
      </c>
      <c r="O17" s="151" t="s">
        <v>183</v>
      </c>
      <c r="P17" s="151" t="s">
        <v>209</v>
      </c>
      <c r="Q17" s="151" t="s">
        <v>186</v>
      </c>
      <c r="R17"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0.76466385600000009</v>
      </c>
      <c r="S17" s="155">
        <f>(1 - ((1 - VLOOKUP(Table4[[#This Row],[Confidentiality]],'Reference - CVSSv3.0'!$B$15:$C$17,2,FALSE)) * (1 - VLOOKUP(Table4[[#This Row],[Integrity]],'Reference - CVSSv3.0'!$B$15:$C$17,2,FALSE)) *  (1 - VLOOKUP(Table4[[#This Row],[Availability]],'Reference - CVSSv3.0'!$B$15:$C$17,2,FALSE))))</f>
        <v>0.52544799999999992</v>
      </c>
      <c r="T17" s="155">
        <f>IF(Table4[[#This Row],[Scope]]="Unchanged",6.42*Table4[[#This Row],[ISC Base]],IF(Table4[[#This Row],[Scope]]="Changed",7.52*(Table4[[#This Row],[ISC Base]] - 0.029) - 3.25 * POWER(Table4[[#This Row],[ISC Base]] - 0.02,15),NA()))</f>
        <v>3.3733761599999994</v>
      </c>
      <c r="U17" s="15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17" s="195" t="s">
        <v>183</v>
      </c>
      <c r="W17" s="155">
        <f>VLOOKUP(Table4[[#This Row],[Threat Event Initiation]],NIST_Scale_LOAI[],2,FALSE)</f>
        <v>0.2</v>
      </c>
      <c r="X1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9" t="s">
        <v>222</v>
      </c>
      <c r="AA17" s="199" t="s">
        <v>223</v>
      </c>
      <c r="AB17" s="86" t="s">
        <v>224</v>
      </c>
      <c r="AC17" s="209" t="s">
        <v>183</v>
      </c>
      <c r="AD17" s="209" t="s">
        <v>183</v>
      </c>
      <c r="AE17" s="209" t="s">
        <v>183</v>
      </c>
      <c r="AF17" s="208" t="s">
        <v>204</v>
      </c>
      <c r="AG17" s="208" t="s">
        <v>208</v>
      </c>
      <c r="AH17" s="208" t="s">
        <v>183</v>
      </c>
      <c r="AI17" s="208" t="s">
        <v>209</v>
      </c>
      <c r="AJ17" s="208" t="s">
        <v>186</v>
      </c>
      <c r="AK17"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0.76466385600000009</v>
      </c>
      <c r="AL17" s="155">
        <f>(1 - ((1 - VLOOKUP(Table4[[#This Row],[ConfidentialityP]],'Reference - CVSSv3.0'!$B$15:$C$17,2,FALSE)) * (1 - VLOOKUP(Table4[[#This Row],[IntegrityP]],'Reference - CVSSv3.0'!$B$15:$C$17,2,FALSE)) *  (1 - VLOOKUP(Table4[[#This Row],[AvailabilityP]],'Reference - CVSSv3.0'!$B$15:$C$17,2,FALSE))))</f>
        <v>0.52544799999999992</v>
      </c>
      <c r="AM17" s="155">
        <f>IF(Table4[[#This Row],[ScopeP]]="Unchanged",6.42*Table4[[#This Row],[ISC BaseP]],IF(Table4[[#This Row],[ScopeP]]="Changed",7.52*(Table4[[#This Row],[ISC BaseP]] - 0.029) - 3.25 * POWER(Table4[[#This Row],[ISC BaseP]] - 0.02,15),NA()))</f>
        <v>3.3733761599999994</v>
      </c>
      <c r="AN17" s="155">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O17"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17"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7" s="199" t="s">
        <v>493</v>
      </c>
      <c r="AR17" s="213"/>
    </row>
    <row r="18" spans="1:44" s="47" customFormat="1" ht="105" customHeight="1">
      <c r="A18" s="64">
        <v>3</v>
      </c>
      <c r="B18" s="51" t="s">
        <v>225</v>
      </c>
      <c r="C18" s="83" t="str">
        <f>IF(VLOOKUP(Table4[[#This Row],[T ID]],Table5[#All],5,FALSE)="No","Not in scope",VLOOKUP(Table4[[#This Row],[T ID]],Table5[#All],2,FALSE))</f>
        <v xml:space="preserve">Perform perimeter network reconnaissance/scanning. </v>
      </c>
      <c r="D18" s="53" t="s">
        <v>93</v>
      </c>
      <c r="E18" s="83" t="str">
        <f>IF(VLOOKUP(Table4[[#This Row],[V ID]],Vulnerabilities[#All],3,FALSE)="No","Not in scope",VLOOKUP(Table4[[#This Row],[V ID]],Vulnerabilities[#All],2,FALSE))</f>
        <v>Unprotected network port</v>
      </c>
      <c r="F18" s="53" t="s">
        <v>31</v>
      </c>
      <c r="G18" s="84" t="str">
        <f>VLOOKUP(Table4[[#This Row],[A ID]],Assets[#All],3,FALSE)</f>
        <v>Implant Database</v>
      </c>
      <c r="H18" s="199" t="s">
        <v>226</v>
      </c>
      <c r="I18" s="53"/>
      <c r="J18" s="85" t="s">
        <v>183</v>
      </c>
      <c r="K18" s="85" t="s">
        <v>183</v>
      </c>
      <c r="L18" s="85" t="s">
        <v>183</v>
      </c>
      <c r="M18" s="151" t="s">
        <v>184</v>
      </c>
      <c r="N18" s="151" t="s">
        <v>208</v>
      </c>
      <c r="O18" s="151" t="s">
        <v>208</v>
      </c>
      <c r="P18" s="151" t="s">
        <v>209</v>
      </c>
      <c r="Q18" s="151" t="s">
        <v>186</v>
      </c>
      <c r="R18" s="15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0.51463447200000001</v>
      </c>
      <c r="S18" s="155">
        <f>(1 - ((1 - VLOOKUP(Table4[[#This Row],[Confidentiality]],'Reference - CVSSv3.0'!$B$15:$C$17,2,FALSE)) * (1 - VLOOKUP(Table4[[#This Row],[Integrity]],'Reference - CVSSv3.0'!$B$15:$C$17,2,FALSE)) *  (1 - VLOOKUP(Table4[[#This Row],[Availability]],'Reference - CVSSv3.0'!$B$15:$C$17,2,FALSE))))</f>
        <v>0.52544799999999992</v>
      </c>
      <c r="T18" s="155">
        <f>IF(Table4[[#This Row],[Scope]]="Unchanged",6.42*Table4[[#This Row],[ISC Base]],IF(Table4[[#This Row],[Scope]]="Changed",7.52*(Table4[[#This Row],[ISC Base]] - 0.029) - 3.25 * POWER(Table4[[#This Row],[ISC Base]] - 0.02,15),NA()))</f>
        <v>3.3733761599999994</v>
      </c>
      <c r="U18" s="155">
        <f>IF(Table4[[#This Row],[Impact Sub Score]]&lt;=0,0,IF(Table4[[#This Row],[Scope]]="Unchanged",ROUNDUP(MIN((Table4[[#This Row],[Impact Sub Score]]+Table4[[#This Row],[Exploitability Sub Score]]),10),1),IF(Table4[[#This Row],[Scope]]="Changed",ROUNDUP(MIN((1.08*(Table4[[#This Row],[Impact Sub Score]]+Table4[[#This Row],[Exploitability Sub Score]])),10),1),NA())))</f>
        <v>3.9</v>
      </c>
      <c r="V18" s="176" t="s">
        <v>183</v>
      </c>
      <c r="W18" s="177">
        <f>VLOOKUP(Table4[[#This Row],[Threat Event Initiation]],NIST_Scale_LOAI[],2,FALSE)</f>
        <v>0.2</v>
      </c>
      <c r="X1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18"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9" t="s">
        <v>227</v>
      </c>
      <c r="AA18" s="200" t="s">
        <v>228</v>
      </c>
      <c r="AB18" s="86" t="s">
        <v>229</v>
      </c>
      <c r="AC18" s="207" t="s">
        <v>183</v>
      </c>
      <c r="AD18" s="207" t="s">
        <v>183</v>
      </c>
      <c r="AE18" s="207" t="s">
        <v>183</v>
      </c>
      <c r="AF18" s="208" t="s">
        <v>184</v>
      </c>
      <c r="AG18" s="208" t="s">
        <v>208</v>
      </c>
      <c r="AH18" s="208" t="s">
        <v>208</v>
      </c>
      <c r="AI18" s="208" t="s">
        <v>209</v>
      </c>
      <c r="AJ18" s="208" t="s">
        <v>186</v>
      </c>
      <c r="AK18"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0.51463447200000001</v>
      </c>
      <c r="AL18" s="155">
        <f>(1 - ((1 - VLOOKUP(Table4[[#This Row],[ConfidentialityP]],'Reference - CVSSv3.0'!$B$15:$C$17,2,FALSE)) * (1 - VLOOKUP(Table4[[#This Row],[IntegrityP]],'Reference - CVSSv3.0'!$B$15:$C$17,2,FALSE)) *  (1 - VLOOKUP(Table4[[#This Row],[AvailabilityP]],'Reference - CVSSv3.0'!$B$15:$C$17,2,FALSE))))</f>
        <v>0.52544799999999992</v>
      </c>
      <c r="AM18" s="155">
        <f>IF(Table4[[#This Row],[ScopeP]]="Unchanged",6.42*Table4[[#This Row],[ISC BaseP]],IF(Table4[[#This Row],[ScopeP]]="Changed",7.52*(Table4[[#This Row],[ISC BaseP]] - 0.029) - 3.25 * POWER(Table4[[#This Row],[ISC BaseP]] - 0.02,15),NA()))</f>
        <v>3.3733761599999994</v>
      </c>
      <c r="AN18" s="155">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18"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18" s="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8" s="199" t="s">
        <v>493</v>
      </c>
      <c r="AR18" s="213"/>
    </row>
    <row r="19" spans="1:44" s="47" customFormat="1" ht="213.75">
      <c r="A19" s="64"/>
      <c r="B19" s="53" t="s">
        <v>225</v>
      </c>
      <c r="C19" s="84" t="str">
        <f>IF(VLOOKUP(Table4[[#This Row],[T ID]],Table5[#All],5,FALSE)="No","Not in scope",VLOOKUP(Table4[[#This Row],[T ID]],Table5[#All],2,FALSE))</f>
        <v xml:space="preserve">Perform perimeter network reconnaissance/scanning. </v>
      </c>
      <c r="D19" s="53" t="s">
        <v>93</v>
      </c>
      <c r="E19" s="84" t="str">
        <f>IF(VLOOKUP(Table4[[#This Row],[V ID]],Vulnerabilities[#All],3,FALSE)="No","Not in scope",VLOOKUP(Table4[[#This Row],[V ID]],Vulnerabilities[#All],2,FALSE))</f>
        <v>Unprotected network port</v>
      </c>
      <c r="F19" s="87" t="s">
        <v>52</v>
      </c>
      <c r="G19" s="84" t="str">
        <f>VLOOKUP(Table4[[#This Row],[A ID]],Assets[#All],3,FALSE)</f>
        <v>User License data</v>
      </c>
      <c r="H19" s="199" t="s">
        <v>230</v>
      </c>
      <c r="I19" s="53"/>
      <c r="J19" s="197" t="s">
        <v>208</v>
      </c>
      <c r="K19" s="197" t="s">
        <v>183</v>
      </c>
      <c r="L19" s="197" t="s">
        <v>183</v>
      </c>
      <c r="M19" s="151" t="s">
        <v>184</v>
      </c>
      <c r="N19" s="151" t="s">
        <v>208</v>
      </c>
      <c r="O19" s="151" t="s">
        <v>208</v>
      </c>
      <c r="P19" s="151" t="s">
        <v>209</v>
      </c>
      <c r="Q19" s="151" t="s">
        <v>186</v>
      </c>
      <c r="R19"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0.51463447200000001</v>
      </c>
      <c r="S19" s="155">
        <f>(1 - ((1 - VLOOKUP(Table4[[#This Row],[Confidentiality]],'Reference - CVSSv3.0'!$B$15:$C$17,2,FALSE)) * (1 - VLOOKUP(Table4[[#This Row],[Integrity]],'Reference - CVSSv3.0'!$B$15:$C$17,2,FALSE)) *  (1 - VLOOKUP(Table4[[#This Row],[Availability]],'Reference - CVSSv3.0'!$B$15:$C$17,2,FALSE))))</f>
        <v>0.73230400000000007</v>
      </c>
      <c r="T19" s="155">
        <f>IF(Table4[[#This Row],[Scope]]="Unchanged",6.42*Table4[[#This Row],[ISC Base]],IF(Table4[[#This Row],[Scope]]="Changed",7.52*(Table4[[#This Row],[ISC Base]] - 0.029) - 3.25 * POWER(Table4[[#This Row],[ISC Base]] - 0.02,15),NA()))</f>
        <v>4.7013916800000004</v>
      </c>
      <c r="U19" s="155">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195" t="s">
        <v>183</v>
      </c>
      <c r="W19" s="155">
        <f>VLOOKUP(Table4[[#This Row],[Threat Event Initiation]],NIST_Scale_LOAI[],2,FALSE)</f>
        <v>0.2</v>
      </c>
      <c r="X1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1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86" t="s">
        <v>260</v>
      </c>
      <c r="AA19" s="200" t="s">
        <v>231</v>
      </c>
      <c r="AB19" s="86" t="s">
        <v>232</v>
      </c>
      <c r="AC19" s="209" t="s">
        <v>183</v>
      </c>
      <c r="AD19" s="209" t="s">
        <v>183</v>
      </c>
      <c r="AE19" s="209" t="s">
        <v>185</v>
      </c>
      <c r="AF19" s="208" t="s">
        <v>184</v>
      </c>
      <c r="AG19" s="208" t="s">
        <v>208</v>
      </c>
      <c r="AH19" s="208" t="s">
        <v>208</v>
      </c>
      <c r="AI19" s="208" t="s">
        <v>209</v>
      </c>
      <c r="AJ19" s="208" t="s">
        <v>186</v>
      </c>
      <c r="AK19"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0.51463447200000001</v>
      </c>
      <c r="AL19" s="155">
        <f>(1 - ((1 - VLOOKUP(Table4[[#This Row],[ConfidentialityP]],'Reference - CVSSv3.0'!$B$15:$C$17,2,FALSE)) * (1 - VLOOKUP(Table4[[#This Row],[IntegrityP]],'Reference - CVSSv3.0'!$B$15:$C$17,2,FALSE)) *  (1 - VLOOKUP(Table4[[#This Row],[AvailabilityP]],'Reference - CVSSv3.0'!$B$15:$C$17,2,FALSE))))</f>
        <v>0.39159999999999995</v>
      </c>
      <c r="AM19" s="155">
        <f>IF(Table4[[#This Row],[ScopeP]]="Unchanged",6.42*Table4[[#This Row],[ISC BaseP]],IF(Table4[[#This Row],[ScopeP]]="Changed",7.52*(Table4[[#This Row],[ISC BaseP]] - 0.029) - 3.25 * POWER(Table4[[#This Row],[ISC BaseP]] - 0.02,15),NA()))</f>
        <v>2.5140719999999996</v>
      </c>
      <c r="AN19" s="155">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19"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19"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9" s="199" t="s">
        <v>493</v>
      </c>
      <c r="AR19" s="213"/>
    </row>
    <row r="20" spans="1:44" s="47" customFormat="1" ht="148.15" customHeight="1">
      <c r="A20" s="64"/>
      <c r="B20" s="53" t="s">
        <v>225</v>
      </c>
      <c r="C20" s="84" t="str">
        <f>IF(VLOOKUP(Table4[[#This Row],[T ID]],Table5[#All],5,FALSE)="No","Not in scope",VLOOKUP(Table4[[#This Row],[T ID]],Table5[#All],2,FALSE))</f>
        <v xml:space="preserve">Perform perimeter network reconnaissance/scanning. </v>
      </c>
      <c r="D20" s="53" t="s">
        <v>93</v>
      </c>
      <c r="E20" s="84" t="str">
        <f>IF(VLOOKUP(Table4[[#This Row],[V ID]],Vulnerabilities[#All],3,FALSE)="No","Not in scope",VLOOKUP(Table4[[#This Row],[V ID]],Vulnerabilities[#All],2,FALSE))</f>
        <v>Unprotected network port</v>
      </c>
      <c r="F20" s="87" t="s">
        <v>55</v>
      </c>
      <c r="G20" s="84" t="str">
        <f>VLOOKUP(Table4[[#This Row],[A ID]],Assets[#All],3,FALSE)</f>
        <v>Security keys, tokens, certificates</v>
      </c>
      <c r="H20" s="199" t="s">
        <v>233</v>
      </c>
      <c r="I20" s="53"/>
      <c r="J20" s="197" t="s">
        <v>208</v>
      </c>
      <c r="K20" s="197" t="s">
        <v>183</v>
      </c>
      <c r="L20" s="197" t="s">
        <v>183</v>
      </c>
      <c r="M20" s="151" t="s">
        <v>184</v>
      </c>
      <c r="N20" s="151" t="s">
        <v>208</v>
      </c>
      <c r="O20" s="151" t="s">
        <v>208</v>
      </c>
      <c r="P20" s="151" t="s">
        <v>209</v>
      </c>
      <c r="Q20" s="151" t="s">
        <v>186</v>
      </c>
      <c r="R20"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0.51463447200000001</v>
      </c>
      <c r="S20" s="155">
        <f>(1 - ((1 - VLOOKUP(Table4[[#This Row],[Confidentiality]],'Reference - CVSSv3.0'!$B$15:$C$17,2,FALSE)) * (1 - VLOOKUP(Table4[[#This Row],[Integrity]],'Reference - CVSSv3.0'!$B$15:$C$17,2,FALSE)) *  (1 - VLOOKUP(Table4[[#This Row],[Availability]],'Reference - CVSSv3.0'!$B$15:$C$17,2,FALSE))))</f>
        <v>0.73230400000000007</v>
      </c>
      <c r="T20" s="155">
        <f>IF(Table4[[#This Row],[Scope]]="Unchanged",6.42*Table4[[#This Row],[ISC Base]],IF(Table4[[#This Row],[Scope]]="Changed",7.52*(Table4[[#This Row],[ISC Base]] - 0.029) - 3.25 * POWER(Table4[[#This Row],[ISC Base]] - 0.02,15),NA()))</f>
        <v>4.7013916800000004</v>
      </c>
      <c r="U20" s="155">
        <f>IF(Table4[[#This Row],[Impact Sub Score]]&lt;=0,0,IF(Table4[[#This Row],[Scope]]="Unchanged",ROUNDUP(MIN((Table4[[#This Row],[Impact Sub Score]]+Table4[[#This Row],[Exploitability Sub Score]]),10),1),IF(Table4[[#This Row],[Scope]]="Changed",ROUNDUP(MIN((1.08*(Table4[[#This Row],[Impact Sub Score]]+Table4[[#This Row],[Exploitability Sub Score]])),10),1),NA())))</f>
        <v>5.3</v>
      </c>
      <c r="V20" s="195" t="s">
        <v>183</v>
      </c>
      <c r="W20" s="155">
        <f>VLOOKUP(Table4[[#This Row],[Threat Event Initiation]],NIST_Scale_LOAI[],2,FALSE)</f>
        <v>0.2</v>
      </c>
      <c r="X2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2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0" s="86" t="s">
        <v>234</v>
      </c>
      <c r="AA20" s="199" t="s">
        <v>482</v>
      </c>
      <c r="AB20" s="86" t="s">
        <v>235</v>
      </c>
      <c r="AC20" s="209" t="s">
        <v>183</v>
      </c>
      <c r="AD20" s="209" t="s">
        <v>183</v>
      </c>
      <c r="AE20" s="209" t="s">
        <v>185</v>
      </c>
      <c r="AF20" s="208" t="s">
        <v>184</v>
      </c>
      <c r="AG20" s="208" t="s">
        <v>208</v>
      </c>
      <c r="AH20" s="208" t="s">
        <v>208</v>
      </c>
      <c r="AI20" s="208" t="s">
        <v>209</v>
      </c>
      <c r="AJ20" s="208" t="s">
        <v>186</v>
      </c>
      <c r="AK20"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0.51463447200000001</v>
      </c>
      <c r="AL20" s="155">
        <f>(1 - ((1 - VLOOKUP(Table4[[#This Row],[ConfidentialityP]],'Reference - CVSSv3.0'!$B$15:$C$17,2,FALSE)) * (1 - VLOOKUP(Table4[[#This Row],[IntegrityP]],'Reference - CVSSv3.0'!$B$15:$C$17,2,FALSE)) *  (1 - VLOOKUP(Table4[[#This Row],[AvailabilityP]],'Reference - CVSSv3.0'!$B$15:$C$17,2,FALSE))))</f>
        <v>0.39159999999999995</v>
      </c>
      <c r="AM20" s="155">
        <f>IF(Table4[[#This Row],[ScopeP]]="Unchanged",6.42*Table4[[#This Row],[ISC BaseP]],IF(Table4[[#This Row],[ScopeP]]="Changed",7.52*(Table4[[#This Row],[ISC BaseP]] - 0.029) - 3.25 * POWER(Table4[[#This Row],[ISC BaseP]] - 0.02,15),NA()))</f>
        <v>2.5140719999999996</v>
      </c>
      <c r="AN20" s="155">
        <f>IF(Table4[[#This Row],[Impact Sub ScoreP]]&lt;=0,0,IF(Table4[[#This Row],[ScopeP]]="Unchanged",ROUNDUP(MIN((Table4[[#This Row],[Impact Sub ScoreP]]+Table4[[#This Row],[Exploitability Sub ScoreP]]),10),1),IF(Table4[[#This Row],[ScopeP]]="Changed",ROUNDUP(MIN((1.08*(Table4[[#This Row],[Impact Sub ScoreP]]+Table4[[#This Row],[Exploitability Sub ScoreP]])),10),1),NA())))</f>
        <v>3.1</v>
      </c>
      <c r="AO20"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20"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0" s="199" t="s">
        <v>493</v>
      </c>
      <c r="AR20" s="213"/>
    </row>
    <row r="21" spans="1:44" s="47" customFormat="1" ht="199.5">
      <c r="A21" s="64"/>
      <c r="B21" s="53" t="s">
        <v>236</v>
      </c>
      <c r="C21" s="84" t="str">
        <f>IF(VLOOKUP(Table4[[#This Row],[T ID]],Table5[#All],5,FALSE)="No","Not in scope",VLOOKUP(Table4[[#This Row],[T ID]],Table5[#All],2,FALSE))</f>
        <v>Unauthorized modifications  to Knee Planning Application</v>
      </c>
      <c r="D21" s="53" t="s">
        <v>88</v>
      </c>
      <c r="E21" s="84" t="str">
        <f>IF(VLOOKUP(Table4[[#This Row],[V ID]],Vulnerabilities[#All],3,FALSE)="No","Not in scope",VLOOKUP(Table4[[#This Row],[V ID]],Vulnerabilities[#All],2,FALSE))</f>
        <v>Embed Virus into Binary or Embedded Malicious Code</v>
      </c>
      <c r="F21" s="87" t="s">
        <v>22</v>
      </c>
      <c r="G21" s="84" t="str">
        <f>VLOOKUP(Table4[[#This Row],[A ID]],Assets[#All],3,FALSE)</f>
        <v>THOR Knee Planning Application</v>
      </c>
      <c r="H21" s="199" t="s">
        <v>193</v>
      </c>
      <c r="I21" s="53"/>
      <c r="J21" s="197" t="s">
        <v>183</v>
      </c>
      <c r="K21" s="197" t="s">
        <v>183</v>
      </c>
      <c r="L21" s="197" t="s">
        <v>183</v>
      </c>
      <c r="M21" s="151" t="s">
        <v>213</v>
      </c>
      <c r="N21" s="151" t="s">
        <v>183</v>
      </c>
      <c r="O21" s="151" t="s">
        <v>208</v>
      </c>
      <c r="P21" s="151" t="s">
        <v>209</v>
      </c>
      <c r="Q21" s="151" t="s">
        <v>186</v>
      </c>
      <c r="R21"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21" s="155">
        <f>(1 - ((1 - VLOOKUP(Table4[[#This Row],[Confidentiality]],'Reference - CVSSv3.0'!$B$15:$C$17,2,FALSE)) * (1 - VLOOKUP(Table4[[#This Row],[Integrity]],'Reference - CVSSv3.0'!$B$15:$C$17,2,FALSE)) *  (1 - VLOOKUP(Table4[[#This Row],[Availability]],'Reference - CVSSv3.0'!$B$15:$C$17,2,FALSE))))</f>
        <v>0.52544799999999992</v>
      </c>
      <c r="T21" s="155">
        <f>IF(Table4[[#This Row],[Scope]]="Unchanged",6.42*Table4[[#This Row],[ISC Base]],IF(Table4[[#This Row],[Scope]]="Changed",7.52*(Table4[[#This Row],[ISC Base]] - 0.029) - 3.25 * POWER(Table4[[#This Row],[ISC Base]] - 0.02,15),NA()))</f>
        <v>3.3733761599999994</v>
      </c>
      <c r="U21" s="155">
        <f>IF(Table4[[#This Row],[Impact Sub Score]]&lt;=0,0,IF(Table4[[#This Row],[Scope]]="Unchanged",ROUNDUP(MIN((Table4[[#This Row],[Impact Sub Score]]+Table4[[#This Row],[Exploitability Sub Score]]),10),1),IF(Table4[[#This Row],[Scope]]="Changed",ROUNDUP(MIN((1.08*(Table4[[#This Row],[Impact Sub Score]]+Table4[[#This Row],[Exploitability Sub Score]])),10),1),NA())))</f>
        <v>3.6</v>
      </c>
      <c r="V21" s="195" t="s">
        <v>183</v>
      </c>
      <c r="W21" s="155">
        <f>VLOOKUP(Table4[[#This Row],[Threat Event Initiation]],NIST_Scale_LOAI[],2,FALSE)</f>
        <v>0.2</v>
      </c>
      <c r="X2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9" t="s">
        <v>237</v>
      </c>
      <c r="AA21" s="199" t="s">
        <v>238</v>
      </c>
      <c r="AB21" s="86" t="s">
        <v>239</v>
      </c>
      <c r="AC21" s="209" t="s">
        <v>183</v>
      </c>
      <c r="AD21" s="209" t="s">
        <v>183</v>
      </c>
      <c r="AE21" s="209" t="s">
        <v>183</v>
      </c>
      <c r="AF21" s="208" t="s">
        <v>213</v>
      </c>
      <c r="AG21" s="208" t="s">
        <v>183</v>
      </c>
      <c r="AH21" s="208" t="s">
        <v>208</v>
      </c>
      <c r="AI21" s="208" t="s">
        <v>209</v>
      </c>
      <c r="AJ21" s="208" t="s">
        <v>186</v>
      </c>
      <c r="AK21"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0.21190831200000004</v>
      </c>
      <c r="AL21" s="155">
        <f>(1 - ((1 - VLOOKUP(Table4[[#This Row],[ConfidentialityP]],'Reference - CVSSv3.0'!$B$15:$C$17,2,FALSE)) * (1 - VLOOKUP(Table4[[#This Row],[IntegrityP]],'Reference - CVSSv3.0'!$B$15:$C$17,2,FALSE)) *  (1 - VLOOKUP(Table4[[#This Row],[AvailabilityP]],'Reference - CVSSv3.0'!$B$15:$C$17,2,FALSE))))</f>
        <v>0.52544799999999992</v>
      </c>
      <c r="AM21" s="155">
        <f>IF(Table4[[#This Row],[ScopeP]]="Unchanged",6.42*Table4[[#This Row],[ISC BaseP]],IF(Table4[[#This Row],[ScopeP]]="Changed",7.52*(Table4[[#This Row],[ISC BaseP]] - 0.029) - 3.25 * POWER(Table4[[#This Row],[ISC BaseP]] - 0.02,15),NA()))</f>
        <v>3.3733761599999994</v>
      </c>
      <c r="AN21" s="155">
        <f>IF(Table4[[#This Row],[Impact Sub ScoreP]]&lt;=0,0,IF(Table4[[#This Row],[ScopeP]]="Unchanged",ROUNDUP(MIN((Table4[[#This Row],[Impact Sub ScoreP]]+Table4[[#This Row],[Exploitability Sub ScoreP]]),10),1),IF(Table4[[#This Row],[ScopeP]]="Changed",ROUNDUP(MIN((1.08*(Table4[[#This Row],[Impact Sub ScoreP]]+Table4[[#This Row],[Exploitability Sub ScoreP]])),10),1),NA())))</f>
        <v>3.6</v>
      </c>
      <c r="AO21"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21"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1" s="53"/>
      <c r="AR21" s="213"/>
    </row>
    <row r="22" spans="1:44" s="47" customFormat="1" ht="147.75" customHeight="1">
      <c r="A22" s="64"/>
      <c r="B22" s="53" t="s">
        <v>236</v>
      </c>
      <c r="C22" s="84" t="str">
        <f>IF(VLOOKUP(Table4[[#This Row],[T ID]],Table5[#All],5,FALSE)="No","Not in scope",VLOOKUP(Table4[[#This Row],[T ID]],Table5[#All],2,FALSE))</f>
        <v>Unauthorized modifications  to Knee Planning Application</v>
      </c>
      <c r="D22" s="53" t="s">
        <v>90</v>
      </c>
      <c r="E22" s="84" t="str">
        <f>IF(VLOOKUP(Table4[[#This Row],[V ID]],Vulnerabilities[#All],3,FALSE)="No","Not in scope",VLOOKUP(Table4[[#This Row],[V ID]],Vulnerabilities[#All],2,FALSE))</f>
        <v>Hidden Functionality</v>
      </c>
      <c r="F22" s="87" t="s">
        <v>22</v>
      </c>
      <c r="G22" s="84" t="str">
        <f>VLOOKUP(Table4[[#This Row],[A ID]],Assets[#All],3,FALSE)</f>
        <v>THOR Knee Planning Application</v>
      </c>
      <c r="H22" s="199" t="s">
        <v>193</v>
      </c>
      <c r="I22" s="53"/>
      <c r="J22" s="197" t="s">
        <v>183</v>
      </c>
      <c r="K22" s="197" t="s">
        <v>183</v>
      </c>
      <c r="L22" s="197" t="s">
        <v>183</v>
      </c>
      <c r="M22" s="151" t="s">
        <v>204</v>
      </c>
      <c r="N22" s="151" t="s">
        <v>183</v>
      </c>
      <c r="O22" s="151" t="s">
        <v>208</v>
      </c>
      <c r="P22" s="151" t="s">
        <v>209</v>
      </c>
      <c r="Q22" s="151" t="s">
        <v>186</v>
      </c>
      <c r="R22"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2" s="155">
        <f>(1 - ((1 - VLOOKUP(Table4[[#This Row],[Confidentiality]],'Reference - CVSSv3.0'!$B$15:$C$17,2,FALSE)) * (1 - VLOOKUP(Table4[[#This Row],[Integrity]],'Reference - CVSSv3.0'!$B$15:$C$17,2,FALSE)) *  (1 - VLOOKUP(Table4[[#This Row],[Availability]],'Reference - CVSSv3.0'!$B$15:$C$17,2,FALSE))))</f>
        <v>0.52544799999999992</v>
      </c>
      <c r="T22" s="155">
        <f>IF(Table4[[#This Row],[Scope]]="Unchanged",6.42*Table4[[#This Row],[ISC Base]],IF(Table4[[#This Row],[Scope]]="Changed",7.52*(Table4[[#This Row],[ISC Base]] - 0.029) - 3.25 * POWER(Table4[[#This Row],[ISC Base]] - 0.02,15),NA()))</f>
        <v>3.3733761599999994</v>
      </c>
      <c r="U22"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22" s="195" t="s">
        <v>183</v>
      </c>
      <c r="W22" s="155">
        <f>VLOOKUP(Table4[[#This Row],[Threat Event Initiation]],NIST_Scale_LOAI[],2,FALSE)</f>
        <v>0.2</v>
      </c>
      <c r="X22"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9" t="s">
        <v>240</v>
      </c>
      <c r="AA22" s="199" t="s">
        <v>241</v>
      </c>
      <c r="AB22" s="86" t="s">
        <v>242</v>
      </c>
      <c r="AC22" s="209" t="s">
        <v>183</v>
      </c>
      <c r="AD22" s="209" t="s">
        <v>183</v>
      </c>
      <c r="AE22" s="209" t="s">
        <v>183</v>
      </c>
      <c r="AF22" s="208" t="s">
        <v>204</v>
      </c>
      <c r="AG22" s="208" t="s">
        <v>183</v>
      </c>
      <c r="AH22" s="208" t="s">
        <v>208</v>
      </c>
      <c r="AI22" s="208" t="s">
        <v>209</v>
      </c>
      <c r="AJ22" s="208" t="s">
        <v>186</v>
      </c>
      <c r="AK22"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0.58274785800000017</v>
      </c>
      <c r="AL22" s="155">
        <f>(1 - ((1 - VLOOKUP(Table4[[#This Row],[ConfidentialityP]],'Reference - CVSSv3.0'!$B$15:$C$17,2,FALSE)) * (1 - VLOOKUP(Table4[[#This Row],[IntegrityP]],'Reference - CVSSv3.0'!$B$15:$C$17,2,FALSE)) *  (1 - VLOOKUP(Table4[[#This Row],[AvailabilityP]],'Reference - CVSSv3.0'!$B$15:$C$17,2,FALSE))))</f>
        <v>0.52544799999999992</v>
      </c>
      <c r="AM22" s="155">
        <f>IF(Table4[[#This Row],[ScopeP]]="Unchanged",6.42*Table4[[#This Row],[ISC BaseP]],IF(Table4[[#This Row],[ScopeP]]="Changed",7.52*(Table4[[#This Row],[ISC BaseP]] - 0.029) - 3.25 * POWER(Table4[[#This Row],[ISC BaseP]] - 0.02,15),NA()))</f>
        <v>3.3733761599999994</v>
      </c>
      <c r="AN22" s="155">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O22"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22"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2" s="53"/>
      <c r="AR22" s="213"/>
    </row>
    <row r="23" spans="1:44" s="47" customFormat="1" ht="114">
      <c r="A23" s="64"/>
      <c r="B23" s="53" t="s">
        <v>236</v>
      </c>
      <c r="C23" s="84" t="str">
        <f>IF(VLOOKUP(Table4[[#This Row],[T ID]],Table5[#All],5,FALSE)="No","Not in scope",VLOOKUP(Table4[[#This Row],[T ID]],Table5[#All],2,FALSE))</f>
        <v>Unauthorized modifications  to Knee Planning Application</v>
      </c>
      <c r="D23" s="53" t="s">
        <v>106</v>
      </c>
      <c r="E23" s="84" t="str">
        <f>IF(VLOOKUP(Table4[[#This Row],[V ID]],Vulnerabilities[#All],3,FALSE)="No","Not in scope",VLOOKUP(Table4[[#This Row],[V ID]],Vulnerabilities[#All],2,FALSE))</f>
        <v>Insecure Storage of Sensitive Information</v>
      </c>
      <c r="F23" s="87" t="s">
        <v>49</v>
      </c>
      <c r="G23" s="84" t="str">
        <f>VLOOKUP(Table4[[#This Row],[A ID]],Assets[#All],3,FALSE)</f>
        <v>Translation data</v>
      </c>
      <c r="H23" s="199" t="s">
        <v>243</v>
      </c>
      <c r="I23" s="53"/>
      <c r="J23" s="197" t="s">
        <v>183</v>
      </c>
      <c r="K23" s="197" t="s">
        <v>183</v>
      </c>
      <c r="L23" s="197" t="s">
        <v>183</v>
      </c>
      <c r="M23" s="151" t="s">
        <v>204</v>
      </c>
      <c r="N23" s="151" t="s">
        <v>183</v>
      </c>
      <c r="O23" s="151" t="s">
        <v>208</v>
      </c>
      <c r="P23" s="151" t="s">
        <v>209</v>
      </c>
      <c r="Q23" s="151" t="s">
        <v>186</v>
      </c>
      <c r="R23"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3" s="155">
        <f>(1 - ((1 - VLOOKUP(Table4[[#This Row],[Confidentiality]],'Reference - CVSSv3.0'!$B$15:$C$17,2,FALSE)) * (1 - VLOOKUP(Table4[[#This Row],[Integrity]],'Reference - CVSSv3.0'!$B$15:$C$17,2,FALSE)) *  (1 - VLOOKUP(Table4[[#This Row],[Availability]],'Reference - CVSSv3.0'!$B$15:$C$17,2,FALSE))))</f>
        <v>0.52544799999999992</v>
      </c>
      <c r="T23" s="155">
        <f>IF(Table4[[#This Row],[Scope]]="Unchanged",6.42*Table4[[#This Row],[ISC Base]],IF(Table4[[#This Row],[Scope]]="Changed",7.52*(Table4[[#This Row],[ISC Base]] - 0.029) - 3.25 * POWER(Table4[[#This Row],[ISC Base]] - 0.02,15),NA()))</f>
        <v>3.3733761599999994</v>
      </c>
      <c r="U23"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23" s="195" t="s">
        <v>183</v>
      </c>
      <c r="W23" s="155">
        <f>VLOOKUP(Table4[[#This Row],[Threat Event Initiation]],NIST_Scale_LOAI[],2,FALSE)</f>
        <v>0.2</v>
      </c>
      <c r="X23"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9" t="s">
        <v>244</v>
      </c>
      <c r="AA23" s="199" t="s">
        <v>245</v>
      </c>
      <c r="AB23" s="86" t="s">
        <v>246</v>
      </c>
      <c r="AC23" s="209" t="s">
        <v>183</v>
      </c>
      <c r="AD23" s="209" t="s">
        <v>183</v>
      </c>
      <c r="AE23" s="209" t="s">
        <v>183</v>
      </c>
      <c r="AF23" s="208" t="s">
        <v>204</v>
      </c>
      <c r="AG23" s="208" t="s">
        <v>183</v>
      </c>
      <c r="AH23" s="208" t="s">
        <v>208</v>
      </c>
      <c r="AI23" s="208" t="s">
        <v>209</v>
      </c>
      <c r="AJ23" s="208" t="s">
        <v>186</v>
      </c>
      <c r="AK23"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0.58274785800000017</v>
      </c>
      <c r="AL23" s="155">
        <f>(1 - ((1 - VLOOKUP(Table4[[#This Row],[ConfidentialityP]],'Reference - CVSSv3.0'!$B$15:$C$17,2,FALSE)) * (1 - VLOOKUP(Table4[[#This Row],[IntegrityP]],'Reference - CVSSv3.0'!$B$15:$C$17,2,FALSE)) *  (1 - VLOOKUP(Table4[[#This Row],[AvailabilityP]],'Reference - CVSSv3.0'!$B$15:$C$17,2,FALSE))))</f>
        <v>0.52544799999999992</v>
      </c>
      <c r="AM23" s="155">
        <f>IF(Table4[[#This Row],[ScopeP]]="Unchanged",6.42*Table4[[#This Row],[ISC BaseP]],IF(Table4[[#This Row],[ScopeP]]="Changed",7.52*(Table4[[#This Row],[ISC BaseP]] - 0.029) - 3.25 * POWER(Table4[[#This Row],[ISC BaseP]] - 0.02,15),NA()))</f>
        <v>3.3733761599999994</v>
      </c>
      <c r="AN23" s="155">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O23"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23"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3" s="53"/>
      <c r="AR23" s="213"/>
    </row>
    <row r="24" spans="1:44" s="47" customFormat="1" ht="171">
      <c r="A24" s="64"/>
      <c r="B24" s="53" t="s">
        <v>236</v>
      </c>
      <c r="C24" s="84" t="str">
        <f>IF(VLOOKUP(Table4[[#This Row],[T ID]],Table5[#All],5,FALSE)="No","Not in scope",VLOOKUP(Table4[[#This Row],[T ID]],Table5[#All],2,FALSE))</f>
        <v>Unauthorized modifications  to Knee Planning Application</v>
      </c>
      <c r="D24" s="53" t="s">
        <v>120</v>
      </c>
      <c r="E24" s="84" t="str">
        <f>IF(VLOOKUP(Table4[[#This Row],[V ID]],Vulnerabilities[#All],3,FALSE)="No","Not in scope",VLOOKUP(Table4[[#This Row],[V ID]],Vulnerabilities[#All],2,FALSE))</f>
        <v>Log Files: Audit Log Manipulation, Log Injection-Tampering-Forging</v>
      </c>
      <c r="F24" s="87" t="s">
        <v>44</v>
      </c>
      <c r="G24" s="84" t="str">
        <f>VLOOKUP(Table4[[#This Row],[A ID]],Assets[#All],3,FALSE)</f>
        <v>Log Files</v>
      </c>
      <c r="H24" s="199" t="s">
        <v>243</v>
      </c>
      <c r="I24" s="53"/>
      <c r="J24" s="197" t="s">
        <v>183</v>
      </c>
      <c r="K24" s="197" t="s">
        <v>183</v>
      </c>
      <c r="L24" s="197" t="s">
        <v>183</v>
      </c>
      <c r="M24" s="151" t="s">
        <v>204</v>
      </c>
      <c r="N24" s="151" t="s">
        <v>183</v>
      </c>
      <c r="O24" s="151" t="s">
        <v>208</v>
      </c>
      <c r="P24" s="151" t="s">
        <v>209</v>
      </c>
      <c r="Q24" s="151" t="s">
        <v>186</v>
      </c>
      <c r="R24"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4" s="155">
        <f>(1 - ((1 - VLOOKUP(Table4[[#This Row],[Confidentiality]],'Reference - CVSSv3.0'!$B$15:$C$17,2,FALSE)) * (1 - VLOOKUP(Table4[[#This Row],[Integrity]],'Reference - CVSSv3.0'!$B$15:$C$17,2,FALSE)) *  (1 - VLOOKUP(Table4[[#This Row],[Availability]],'Reference - CVSSv3.0'!$B$15:$C$17,2,FALSE))))</f>
        <v>0.52544799999999992</v>
      </c>
      <c r="T24" s="155">
        <f>IF(Table4[[#This Row],[Scope]]="Unchanged",6.42*Table4[[#This Row],[ISC Base]],IF(Table4[[#This Row],[Scope]]="Changed",7.52*(Table4[[#This Row],[ISC Base]] - 0.029) - 3.25 * POWER(Table4[[#This Row],[ISC Base]] - 0.02,15),NA()))</f>
        <v>3.3733761599999994</v>
      </c>
      <c r="U24"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24" s="195" t="s">
        <v>183</v>
      </c>
      <c r="W24" s="155">
        <f>VLOOKUP(Table4[[#This Row],[Threat Event Initiation]],NIST_Scale_LOAI[],2,FALSE)</f>
        <v>0.2</v>
      </c>
      <c r="X24"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9" t="s">
        <v>247</v>
      </c>
      <c r="AA24" s="200" t="s">
        <v>248</v>
      </c>
      <c r="AB24" s="86" t="s">
        <v>249</v>
      </c>
      <c r="AC24" s="209" t="s">
        <v>183</v>
      </c>
      <c r="AD24" s="209" t="s">
        <v>183</v>
      </c>
      <c r="AE24" s="209" t="s">
        <v>183</v>
      </c>
      <c r="AF24" s="208" t="s">
        <v>204</v>
      </c>
      <c r="AG24" s="208" t="s">
        <v>183</v>
      </c>
      <c r="AH24" s="208" t="s">
        <v>208</v>
      </c>
      <c r="AI24" s="208" t="s">
        <v>209</v>
      </c>
      <c r="AJ24" s="208" t="s">
        <v>186</v>
      </c>
      <c r="AK24"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0.58274785800000017</v>
      </c>
      <c r="AL24" s="155">
        <f>(1 - ((1 - VLOOKUP(Table4[[#This Row],[ConfidentialityP]],'Reference - CVSSv3.0'!$B$15:$C$17,2,FALSE)) * (1 - VLOOKUP(Table4[[#This Row],[IntegrityP]],'Reference - CVSSv3.0'!$B$15:$C$17,2,FALSE)) *  (1 - VLOOKUP(Table4[[#This Row],[AvailabilityP]],'Reference - CVSSv3.0'!$B$15:$C$17,2,FALSE))))</f>
        <v>0.52544799999999992</v>
      </c>
      <c r="AM24" s="155">
        <f>IF(Table4[[#This Row],[ScopeP]]="Unchanged",6.42*Table4[[#This Row],[ISC BaseP]],IF(Table4[[#This Row],[ScopeP]]="Changed",7.52*(Table4[[#This Row],[ISC BaseP]] - 0.029) - 3.25 * POWER(Table4[[#This Row],[ISC BaseP]] - 0.02,15),NA()))</f>
        <v>3.3733761599999994</v>
      </c>
      <c r="AN24" s="155">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O24"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24"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4" s="53"/>
      <c r="AR24" s="213"/>
    </row>
    <row r="25" spans="1:44" s="47" customFormat="1" ht="99.75">
      <c r="A25" s="64"/>
      <c r="B25" s="53" t="s">
        <v>250</v>
      </c>
      <c r="C25" s="84" t="str">
        <f>IF(VLOOKUP(Table4[[#This Row],[T ID]],Table5[#All],5,FALSE)="No","Not in scope",VLOOKUP(Table4[[#This Row],[T ID]],Table5[#All],2,FALSE))</f>
        <v>Unauthorized access to system administration</v>
      </c>
      <c r="D25" s="53" t="s">
        <v>66</v>
      </c>
      <c r="E25" s="84" t="str">
        <f>IF(VLOOKUP(Table4[[#This Row],[V ID]],Vulnerabilities[#All],3,FALSE)="No","Not in scope",VLOOKUP(Table4[[#This Row],[V ID]],Vulnerabilities[#All],2,FALSE))</f>
        <v>Ineffective management of user credentials</v>
      </c>
      <c r="F25" s="87" t="s">
        <v>10</v>
      </c>
      <c r="G25" s="84" t="str">
        <f>VLOOKUP(Table4[[#This Row],[A ID]],Assets[#All],3,FALSE)</f>
        <v>User Laptop</v>
      </c>
      <c r="H25" s="199" t="s">
        <v>193</v>
      </c>
      <c r="I25" s="53"/>
      <c r="J25" s="197" t="s">
        <v>183</v>
      </c>
      <c r="K25" s="197" t="s">
        <v>183</v>
      </c>
      <c r="L25" s="197" t="s">
        <v>183</v>
      </c>
      <c r="M25" s="151" t="s">
        <v>204</v>
      </c>
      <c r="N25" s="151" t="s">
        <v>183</v>
      </c>
      <c r="O25" s="151" t="s">
        <v>208</v>
      </c>
      <c r="P25" s="151" t="s">
        <v>209</v>
      </c>
      <c r="Q25" s="151" t="s">
        <v>186</v>
      </c>
      <c r="R25"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155">
        <f>(1 - ((1 - VLOOKUP(Table4[[#This Row],[Confidentiality]],'Reference - CVSSv3.0'!$B$15:$C$17,2,FALSE)) * (1 - VLOOKUP(Table4[[#This Row],[Integrity]],'Reference - CVSSv3.0'!$B$15:$C$17,2,FALSE)) *  (1 - VLOOKUP(Table4[[#This Row],[Availability]],'Reference - CVSSv3.0'!$B$15:$C$17,2,FALSE))))</f>
        <v>0.52544799999999992</v>
      </c>
      <c r="T25" s="155">
        <f>IF(Table4[[#This Row],[Scope]]="Unchanged",6.42*Table4[[#This Row],[ISC Base]],IF(Table4[[#This Row],[Scope]]="Changed",7.52*(Table4[[#This Row],[ISC Base]] - 0.029) - 3.25 * POWER(Table4[[#This Row],[ISC Base]] - 0.02,15),NA()))</f>
        <v>3.3733761599999994</v>
      </c>
      <c r="U25"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25" s="195" t="s">
        <v>183</v>
      </c>
      <c r="W25" s="155">
        <f>VLOOKUP(Table4[[#This Row],[Threat Event Initiation]],NIST_Scale_LOAI[],2,FALSE)</f>
        <v>0.2</v>
      </c>
      <c r="X2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9" t="s">
        <v>251</v>
      </c>
      <c r="AA25" s="199" t="s">
        <v>245</v>
      </c>
      <c r="AB25" s="86" t="s">
        <v>252</v>
      </c>
      <c r="AC25" s="209" t="s">
        <v>183</v>
      </c>
      <c r="AD25" s="209" t="s">
        <v>183</v>
      </c>
      <c r="AE25" s="209" t="s">
        <v>183</v>
      </c>
      <c r="AF25" s="208" t="s">
        <v>204</v>
      </c>
      <c r="AG25" s="208" t="s">
        <v>183</v>
      </c>
      <c r="AH25" s="208" t="s">
        <v>208</v>
      </c>
      <c r="AI25" s="208" t="s">
        <v>209</v>
      </c>
      <c r="AJ25" s="208" t="s">
        <v>186</v>
      </c>
      <c r="AK25"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0.58274785800000017</v>
      </c>
      <c r="AL25" s="155">
        <f>(1 - ((1 - VLOOKUP(Table4[[#This Row],[ConfidentialityP]],'Reference - CVSSv3.0'!$B$15:$C$17,2,FALSE)) * (1 - VLOOKUP(Table4[[#This Row],[IntegrityP]],'Reference - CVSSv3.0'!$B$15:$C$17,2,FALSE)) *  (1 - VLOOKUP(Table4[[#This Row],[AvailabilityP]],'Reference - CVSSv3.0'!$B$15:$C$17,2,FALSE))))</f>
        <v>0.52544799999999992</v>
      </c>
      <c r="AM25" s="155">
        <f>IF(Table4[[#This Row],[ScopeP]]="Unchanged",6.42*Table4[[#This Row],[ISC BaseP]],IF(Table4[[#This Row],[ScopeP]]="Changed",7.52*(Table4[[#This Row],[ISC BaseP]] - 0.029) - 3.25 * POWER(Table4[[#This Row],[ISC BaseP]] - 0.02,15),NA()))</f>
        <v>3.3733761599999994</v>
      </c>
      <c r="AN25" s="155">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O25"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25"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5" s="53"/>
      <c r="AR25" s="213"/>
    </row>
    <row r="26" spans="1:44" s="47" customFormat="1" ht="85.5">
      <c r="A26" s="64"/>
      <c r="B26" s="53" t="s">
        <v>250</v>
      </c>
      <c r="C26" s="84" t="str">
        <f>IF(VLOOKUP(Table4[[#This Row],[T ID]],Table5[#All],5,FALSE)="No","Not in scope",VLOOKUP(Table4[[#This Row],[T ID]],Table5[#All],2,FALSE))</f>
        <v>Unauthorized access to system administration</v>
      </c>
      <c r="D26" s="53" t="s">
        <v>70</v>
      </c>
      <c r="E26" s="84" t="str">
        <f>IF(VLOOKUP(Table4[[#This Row],[V ID]],Vulnerabilities[#All],3,FALSE)="No","Not in scope",VLOOKUP(Table4[[#This Row],[V ID]],Vulnerabilities[#All],2,FALSE))</f>
        <v>Improper Authentication</v>
      </c>
      <c r="F26" s="87" t="s">
        <v>10</v>
      </c>
      <c r="G26" s="84" t="str">
        <f>VLOOKUP(Table4[[#This Row],[A ID]],Assets[#All],3,FALSE)</f>
        <v>User Laptop</v>
      </c>
      <c r="H26" s="199" t="s">
        <v>193</v>
      </c>
      <c r="I26" s="53"/>
      <c r="J26" s="197" t="s">
        <v>183</v>
      </c>
      <c r="K26" s="197" t="s">
        <v>183</v>
      </c>
      <c r="L26" s="197" t="s">
        <v>183</v>
      </c>
      <c r="M26" s="151" t="s">
        <v>204</v>
      </c>
      <c r="N26" s="151" t="s">
        <v>183</v>
      </c>
      <c r="O26" s="151" t="s">
        <v>183</v>
      </c>
      <c r="P26" s="151" t="s">
        <v>209</v>
      </c>
      <c r="Q26" s="151" t="s">
        <v>186</v>
      </c>
      <c r="R26"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6" s="155">
        <f>(1 - ((1 - VLOOKUP(Table4[[#This Row],[Confidentiality]],'Reference - CVSSv3.0'!$B$15:$C$17,2,FALSE)) * (1 - VLOOKUP(Table4[[#This Row],[Integrity]],'Reference - CVSSv3.0'!$B$15:$C$17,2,FALSE)) *  (1 - VLOOKUP(Table4[[#This Row],[Availability]],'Reference - CVSSv3.0'!$B$15:$C$17,2,FALSE))))</f>
        <v>0.52544799999999992</v>
      </c>
      <c r="T26" s="155">
        <f>IF(Table4[[#This Row],[Scope]]="Unchanged",6.42*Table4[[#This Row],[ISC Base]],IF(Table4[[#This Row],[Scope]]="Changed",7.52*(Table4[[#This Row],[ISC Base]] - 0.029) - 3.25 * POWER(Table4[[#This Row],[ISC Base]] - 0.02,15),NA()))</f>
        <v>3.3733761599999994</v>
      </c>
      <c r="U26" s="155">
        <f>IF(Table4[[#This Row],[Impact Sub Score]]&lt;=0,0,IF(Table4[[#This Row],[Scope]]="Unchanged",ROUNDUP(MIN((Table4[[#This Row],[Impact Sub Score]]+Table4[[#This Row],[Exploitability Sub Score]]),10),1),IF(Table4[[#This Row],[Scope]]="Changed",ROUNDUP(MIN((1.08*(Table4[[#This Row],[Impact Sub Score]]+Table4[[#This Row],[Exploitability Sub Score]])),10),1),NA())))</f>
        <v>4.8</v>
      </c>
      <c r="V26" s="195" t="s">
        <v>253</v>
      </c>
      <c r="W26" s="155">
        <f>VLOOKUP(Table4[[#This Row],[Threat Event Initiation]],NIST_Scale_LOAI[],2,FALSE)</f>
        <v>0.5</v>
      </c>
      <c r="X2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2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199" t="s">
        <v>254</v>
      </c>
      <c r="AA26" s="199" t="s">
        <v>255</v>
      </c>
      <c r="AB26" s="86" t="s">
        <v>256</v>
      </c>
      <c r="AC26" s="209" t="s">
        <v>183</v>
      </c>
      <c r="AD26" s="209" t="s">
        <v>183</v>
      </c>
      <c r="AE26" s="209" t="s">
        <v>208</v>
      </c>
      <c r="AF26" s="208" t="s">
        <v>204</v>
      </c>
      <c r="AG26" s="208" t="s">
        <v>183</v>
      </c>
      <c r="AH26" s="208" t="s">
        <v>183</v>
      </c>
      <c r="AI26" s="208" t="s">
        <v>209</v>
      </c>
      <c r="AJ26" s="208" t="s">
        <v>186</v>
      </c>
      <c r="AK26"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1.3381617480000001</v>
      </c>
      <c r="AL26" s="155">
        <f>(1 - ((1 - VLOOKUP(Table4[[#This Row],[ConfidentialityP]],'Reference - CVSSv3.0'!$B$15:$C$17,2,FALSE)) * (1 - VLOOKUP(Table4[[#This Row],[IntegrityP]],'Reference - CVSSv3.0'!$B$15:$C$17,2,FALSE)) *  (1 - VLOOKUP(Table4[[#This Row],[AvailabilityP]],'Reference - CVSSv3.0'!$B$15:$C$17,2,FALSE))))</f>
        <v>0.73230400000000007</v>
      </c>
      <c r="AM26" s="155">
        <f>IF(Table4[[#This Row],[ScopeP]]="Unchanged",6.42*Table4[[#This Row],[ISC BaseP]],IF(Table4[[#This Row],[ScopeP]]="Changed",7.52*(Table4[[#This Row],[ISC BaseP]] - 0.029) - 3.25 * POWER(Table4[[#This Row],[ISC BaseP]] - 0.02,15),NA()))</f>
        <v>4.7013916800000004</v>
      </c>
      <c r="AN26" s="155">
        <f>IF(Table4[[#This Row],[Impact Sub ScoreP]]&lt;=0,0,IF(Table4[[#This Row],[ScopeP]]="Unchanged",ROUNDUP(MIN((Table4[[#This Row],[Impact Sub ScoreP]]+Table4[[#This Row],[Exploitability Sub ScoreP]]),10),1),IF(Table4[[#This Row],[ScopeP]]="Changed",ROUNDUP(MIN((1.08*(Table4[[#This Row],[Impact Sub ScoreP]]+Table4[[#This Row],[Exploitability Sub ScoreP]])),10),1),NA())))</f>
        <v>6.1</v>
      </c>
      <c r="AO26"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5.3999999999999995</v>
      </c>
      <c r="AP26"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26" s="53"/>
      <c r="AR26" s="213"/>
    </row>
    <row r="27" spans="1:44" s="47" customFormat="1" ht="128.25">
      <c r="A27" s="64"/>
      <c r="B27" s="53" t="s">
        <v>250</v>
      </c>
      <c r="C27" s="84" t="str">
        <f>IF(VLOOKUP(Table4[[#This Row],[T ID]],Table5[#All],5,FALSE)="No","Not in scope",VLOOKUP(Table4[[#This Row],[T ID]],Table5[#All],2,FALSE))</f>
        <v>Unauthorized access to system administration</v>
      </c>
      <c r="D27" s="53" t="s">
        <v>72</v>
      </c>
      <c r="E27" s="84" t="str">
        <f>IF(VLOOKUP(Table4[[#This Row],[V ID]],Vulnerabilities[#All],3,FALSE)="No","Not in scope",VLOOKUP(Table4[[#This Row],[V ID]],Vulnerabilities[#All],2,FALSE))</f>
        <v>Improper Input Validation</v>
      </c>
      <c r="F27" s="87" t="s">
        <v>10</v>
      </c>
      <c r="G27" s="84" t="str">
        <f>VLOOKUP(Table4[[#This Row],[A ID]],Assets[#All],3,FALSE)</f>
        <v>User Laptop</v>
      </c>
      <c r="H27" s="199" t="s">
        <v>193</v>
      </c>
      <c r="I27" s="53"/>
      <c r="J27" s="197" t="s">
        <v>183</v>
      </c>
      <c r="K27" s="197" t="s">
        <v>183</v>
      </c>
      <c r="L27" s="197" t="s">
        <v>183</v>
      </c>
      <c r="M27" s="151" t="s">
        <v>204</v>
      </c>
      <c r="N27" s="151" t="s">
        <v>183</v>
      </c>
      <c r="O27" s="151" t="s">
        <v>183</v>
      </c>
      <c r="P27" s="151" t="s">
        <v>209</v>
      </c>
      <c r="Q27" s="151" t="s">
        <v>186</v>
      </c>
      <c r="R27"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155">
        <f>(1 - ((1 - VLOOKUP(Table4[[#This Row],[Confidentiality]],'Reference - CVSSv3.0'!$B$15:$C$17,2,FALSE)) * (1 - VLOOKUP(Table4[[#This Row],[Integrity]],'Reference - CVSSv3.0'!$B$15:$C$17,2,FALSE)) *  (1 - VLOOKUP(Table4[[#This Row],[Availability]],'Reference - CVSSv3.0'!$B$15:$C$17,2,FALSE))))</f>
        <v>0.52544799999999992</v>
      </c>
      <c r="T27" s="155">
        <f>IF(Table4[[#This Row],[Scope]]="Unchanged",6.42*Table4[[#This Row],[ISC Base]],IF(Table4[[#This Row],[Scope]]="Changed",7.52*(Table4[[#This Row],[ISC Base]] - 0.029) - 3.25 * POWER(Table4[[#This Row],[ISC Base]] - 0.02,15),NA()))</f>
        <v>3.3733761599999994</v>
      </c>
      <c r="U27" s="155">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195" t="s">
        <v>183</v>
      </c>
      <c r="W27" s="155">
        <f>VLOOKUP(Table4[[#This Row],[Threat Event Initiation]],NIST_Scale_LOAI[],2,FALSE)</f>
        <v>0.2</v>
      </c>
      <c r="X2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9" t="s">
        <v>257</v>
      </c>
      <c r="AA27" s="199" t="s">
        <v>258</v>
      </c>
      <c r="AB27" s="86" t="s">
        <v>259</v>
      </c>
      <c r="AC27" s="209" t="s">
        <v>183</v>
      </c>
      <c r="AD27" s="209" t="s">
        <v>183</v>
      </c>
      <c r="AE27" s="209" t="s">
        <v>183</v>
      </c>
      <c r="AF27" s="208" t="s">
        <v>204</v>
      </c>
      <c r="AG27" s="208" t="s">
        <v>183</v>
      </c>
      <c r="AH27" s="208" t="s">
        <v>183</v>
      </c>
      <c r="AI27" s="208" t="s">
        <v>209</v>
      </c>
      <c r="AJ27" s="208" t="s">
        <v>186</v>
      </c>
      <c r="AK27"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1.3381617480000001</v>
      </c>
      <c r="AL27" s="155">
        <f>(1 - ((1 - VLOOKUP(Table4[[#This Row],[ConfidentialityP]],'Reference - CVSSv3.0'!$B$15:$C$17,2,FALSE)) * (1 - VLOOKUP(Table4[[#This Row],[IntegrityP]],'Reference - CVSSv3.0'!$B$15:$C$17,2,FALSE)) *  (1 - VLOOKUP(Table4[[#This Row],[AvailabilityP]],'Reference - CVSSv3.0'!$B$15:$C$17,2,FALSE))))</f>
        <v>0.52544799999999992</v>
      </c>
      <c r="AM27" s="155">
        <f>IF(Table4[[#This Row],[ScopeP]]="Unchanged",6.42*Table4[[#This Row],[ISC BaseP]],IF(Table4[[#This Row],[ScopeP]]="Changed",7.52*(Table4[[#This Row],[ISC BaseP]] - 0.029) - 3.25 * POWER(Table4[[#This Row],[ISC BaseP]] - 0.02,15),NA()))</f>
        <v>3.3733761599999994</v>
      </c>
      <c r="AN27" s="155">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27"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27"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7" s="53"/>
      <c r="AR27" s="213"/>
    </row>
    <row r="28" spans="1:44" s="47" customFormat="1" ht="85.15" customHeight="1">
      <c r="A28" s="64"/>
      <c r="B28" s="53" t="s">
        <v>250</v>
      </c>
      <c r="C28" s="84" t="str">
        <f>IF(VLOOKUP(Table4[[#This Row],[T ID]],Table5[#All],5,FALSE)="No","Not in scope",VLOOKUP(Table4[[#This Row],[T ID]],Table5[#All],2,FALSE))</f>
        <v>Unauthorized access to system administration</v>
      </c>
      <c r="D28" s="53" t="s">
        <v>101</v>
      </c>
      <c r="E28" s="84" t="str">
        <f>IF(VLOOKUP(Table4[[#This Row],[V ID]],Vulnerabilities[#All],3,FALSE)="No","Not in scope",VLOOKUP(Table4[[#This Row],[V ID]],Vulnerabilities[#All],2,FALSE))</f>
        <v>Unprotected public network connections</v>
      </c>
      <c r="F28" s="87" t="s">
        <v>10</v>
      </c>
      <c r="G28" s="84" t="str">
        <f>VLOOKUP(Table4[[#This Row],[A ID]],Assets[#All],3,FALSE)</f>
        <v>User Laptop</v>
      </c>
      <c r="H28" s="199" t="s">
        <v>193</v>
      </c>
      <c r="I28" s="53"/>
      <c r="J28" s="197" t="s">
        <v>183</v>
      </c>
      <c r="K28" s="197" t="s">
        <v>183</v>
      </c>
      <c r="L28" s="197" t="s">
        <v>183</v>
      </c>
      <c r="M28" s="151" t="s">
        <v>184</v>
      </c>
      <c r="N28" s="151" t="s">
        <v>208</v>
      </c>
      <c r="O28" s="151" t="s">
        <v>208</v>
      </c>
      <c r="P28" s="151" t="s">
        <v>209</v>
      </c>
      <c r="Q28" s="151" t="s">
        <v>186</v>
      </c>
      <c r="R28"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0.51463447200000001</v>
      </c>
      <c r="S28" s="155">
        <f>(1 - ((1 - VLOOKUP(Table4[[#This Row],[Confidentiality]],'Reference - CVSSv3.0'!$B$15:$C$17,2,FALSE)) * (1 - VLOOKUP(Table4[[#This Row],[Integrity]],'Reference - CVSSv3.0'!$B$15:$C$17,2,FALSE)) *  (1 - VLOOKUP(Table4[[#This Row],[Availability]],'Reference - CVSSv3.0'!$B$15:$C$17,2,FALSE))))</f>
        <v>0.52544799999999992</v>
      </c>
      <c r="T28" s="155">
        <f>IF(Table4[[#This Row],[Scope]]="Unchanged",6.42*Table4[[#This Row],[ISC Base]],IF(Table4[[#This Row],[Scope]]="Changed",7.52*(Table4[[#This Row],[ISC Base]] - 0.029) - 3.25 * POWER(Table4[[#This Row],[ISC Base]] - 0.02,15),NA()))</f>
        <v>3.3733761599999994</v>
      </c>
      <c r="U28" s="155">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195" t="s">
        <v>183</v>
      </c>
      <c r="W28" s="155">
        <f>VLOOKUP(Table4[[#This Row],[Threat Event Initiation]],NIST_Scale_LOAI[],2,FALSE)</f>
        <v>0.2</v>
      </c>
      <c r="X2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212" t="s">
        <v>260</v>
      </c>
      <c r="AA28" s="199" t="s">
        <v>261</v>
      </c>
      <c r="AB28" s="86" t="s">
        <v>262</v>
      </c>
      <c r="AC28" s="209" t="s">
        <v>183</v>
      </c>
      <c r="AD28" s="209" t="s">
        <v>183</v>
      </c>
      <c r="AE28" s="209" t="s">
        <v>183</v>
      </c>
      <c r="AF28" s="208" t="s">
        <v>184</v>
      </c>
      <c r="AG28" s="208" t="s">
        <v>208</v>
      </c>
      <c r="AH28" s="208" t="s">
        <v>208</v>
      </c>
      <c r="AI28" s="208" t="s">
        <v>209</v>
      </c>
      <c r="AJ28" s="208" t="s">
        <v>186</v>
      </c>
      <c r="AK28"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0.51463447200000001</v>
      </c>
      <c r="AL28" s="155">
        <f>(1 - ((1 - VLOOKUP(Table4[[#This Row],[ConfidentialityP]],'Reference - CVSSv3.0'!$B$15:$C$17,2,FALSE)) * (1 - VLOOKUP(Table4[[#This Row],[IntegrityP]],'Reference - CVSSv3.0'!$B$15:$C$17,2,FALSE)) *  (1 - VLOOKUP(Table4[[#This Row],[AvailabilityP]],'Reference - CVSSv3.0'!$B$15:$C$17,2,FALSE))))</f>
        <v>0.52544799999999992</v>
      </c>
      <c r="AM28" s="155">
        <f>IF(Table4[[#This Row],[ScopeP]]="Unchanged",6.42*Table4[[#This Row],[ISC BaseP]],IF(Table4[[#This Row],[ScopeP]]="Changed",7.52*(Table4[[#This Row],[ISC BaseP]] - 0.029) - 3.25 * POWER(Table4[[#This Row],[ISC BaseP]] - 0.02,15),NA()))</f>
        <v>3.3733761599999994</v>
      </c>
      <c r="AN28" s="155">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28"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28"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28" s="199" t="s">
        <v>493</v>
      </c>
      <c r="AR28" s="213"/>
    </row>
    <row r="29" spans="1:44" s="47" customFormat="1" ht="313.5">
      <c r="A29" s="64"/>
      <c r="B29" s="53" t="s">
        <v>263</v>
      </c>
      <c r="C29" s="84" t="str">
        <f>IF(VLOOKUP(Table4[[#This Row],[T ID]],Table5[#All],5,FALSE)="No","Not in scope",VLOOKUP(Table4[[#This Row],[T ID]],Table5[#All],2,FALSE))</f>
        <v>Unauthorized access to Treatment plan</v>
      </c>
      <c r="D29" s="53" t="s">
        <v>70</v>
      </c>
      <c r="E29" s="84" t="str">
        <f>IF(VLOOKUP(Table4[[#This Row],[V ID]],Vulnerabilities[#All],3,FALSE)="No","Not in scope",VLOOKUP(Table4[[#This Row],[V ID]],Vulnerabilities[#All],2,FALSE))</f>
        <v>Improper Authentication</v>
      </c>
      <c r="F29" s="87" t="s">
        <v>22</v>
      </c>
      <c r="G29" s="84" t="str">
        <f>VLOOKUP(Table4[[#This Row],[A ID]],Assets[#All],3,FALSE)</f>
        <v>THOR Knee Planning Application</v>
      </c>
      <c r="H29" s="199" t="s">
        <v>264</v>
      </c>
      <c r="I29" s="53"/>
      <c r="J29" s="197" t="s">
        <v>208</v>
      </c>
      <c r="K29" s="197" t="s">
        <v>183</v>
      </c>
      <c r="L29" s="197" t="s">
        <v>183</v>
      </c>
      <c r="M29" s="151" t="s">
        <v>213</v>
      </c>
      <c r="N29" s="151" t="s">
        <v>183</v>
      </c>
      <c r="O29" s="151" t="s">
        <v>183</v>
      </c>
      <c r="P29" s="151" t="s">
        <v>209</v>
      </c>
      <c r="Q29" s="151" t="s">
        <v>186</v>
      </c>
      <c r="R29"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155">
        <f>(1 - ((1 - VLOOKUP(Table4[[#This Row],[Confidentiality]],'Reference - CVSSv3.0'!$B$15:$C$17,2,FALSE)) * (1 - VLOOKUP(Table4[[#This Row],[Integrity]],'Reference - CVSSv3.0'!$B$15:$C$17,2,FALSE)) *  (1 - VLOOKUP(Table4[[#This Row],[Availability]],'Reference - CVSSv3.0'!$B$15:$C$17,2,FALSE))))</f>
        <v>0.73230400000000007</v>
      </c>
      <c r="T29" s="155">
        <f>IF(Table4[[#This Row],[Scope]]="Unchanged",6.42*Table4[[#This Row],[ISC Base]],IF(Table4[[#This Row],[Scope]]="Changed",7.52*(Table4[[#This Row],[ISC Base]] - 0.029) - 3.25 * POWER(Table4[[#This Row],[ISC Base]] - 0.02,15),NA()))</f>
        <v>4.7013916800000004</v>
      </c>
      <c r="U29"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29" s="195" t="s">
        <v>253</v>
      </c>
      <c r="W29" s="155">
        <f>VLOOKUP(Table4[[#This Row],[Threat Event Initiation]],NIST_Scale_LOAI[],2,FALSE)</f>
        <v>0.5</v>
      </c>
      <c r="X2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9" s="192" t="s">
        <v>265</v>
      </c>
      <c r="AA29" s="199" t="s">
        <v>266</v>
      </c>
      <c r="AB29" s="86" t="s">
        <v>267</v>
      </c>
      <c r="AC29" s="209" t="s">
        <v>208</v>
      </c>
      <c r="AD29" s="209" t="s">
        <v>183</v>
      </c>
      <c r="AE29" s="209" t="s">
        <v>183</v>
      </c>
      <c r="AF29" s="208" t="s">
        <v>213</v>
      </c>
      <c r="AG29" s="208" t="s">
        <v>183</v>
      </c>
      <c r="AH29" s="208" t="s">
        <v>183</v>
      </c>
      <c r="AI29" s="208" t="s">
        <v>209</v>
      </c>
      <c r="AJ29" s="208" t="s">
        <v>186</v>
      </c>
      <c r="AK29"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0.486604272</v>
      </c>
      <c r="AL29" s="155">
        <f>(1 - ((1 - VLOOKUP(Table4[[#This Row],[ConfidentialityP]],'Reference - CVSSv3.0'!$B$15:$C$17,2,FALSE)) * (1 - VLOOKUP(Table4[[#This Row],[IntegrityP]],'Reference - CVSSv3.0'!$B$15:$C$17,2,FALSE)) *  (1 - VLOOKUP(Table4[[#This Row],[AvailabilityP]],'Reference - CVSSv3.0'!$B$15:$C$17,2,FALSE))))</f>
        <v>0.73230400000000007</v>
      </c>
      <c r="AM29" s="155">
        <f>IF(Table4[[#This Row],[ScopeP]]="Unchanged",6.42*Table4[[#This Row],[ISC BaseP]],IF(Table4[[#This Row],[ScopeP]]="Changed",7.52*(Table4[[#This Row],[ISC BaseP]] - 0.029) - 3.25 * POWER(Table4[[#This Row],[ISC BaseP]] - 0.02,15),NA()))</f>
        <v>4.7013916800000004</v>
      </c>
      <c r="AN29" s="155">
        <f>IF(Table4[[#This Row],[Impact Sub ScoreP]]&lt;=0,0,IF(Table4[[#This Row],[ScopeP]]="Unchanged",ROUNDUP(MIN((Table4[[#This Row],[Impact Sub ScoreP]]+Table4[[#This Row],[Exploitability Sub ScoreP]]),10),1),IF(Table4[[#This Row],[ScopeP]]="Changed",ROUNDUP(MIN((1.08*(Table4[[#This Row],[Impact Sub ScoreP]]+Table4[[#This Row],[Exploitability Sub ScoreP]])),10),1),NA())))</f>
        <v>5.1999999999999993</v>
      </c>
      <c r="AO29"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v>
      </c>
      <c r="AP29"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29" s="53"/>
      <c r="AR29" s="213"/>
    </row>
    <row r="30" spans="1:44" s="47" customFormat="1" ht="99.75">
      <c r="A30" s="64"/>
      <c r="B30" s="53" t="s">
        <v>263</v>
      </c>
      <c r="C30" s="84" t="str">
        <f>IF(VLOOKUP(Table4[[#This Row],[T ID]],Table5[#All],5,FALSE)="No","Not in scope",VLOOKUP(Table4[[#This Row],[T ID]],Table5[#All],2,FALSE))</f>
        <v>Unauthorized access to Treatment plan</v>
      </c>
      <c r="D30" s="53" t="s">
        <v>66</v>
      </c>
      <c r="E30" s="84" t="str">
        <f>IF(VLOOKUP(Table4[[#This Row],[V ID]],Vulnerabilities[#All],3,FALSE)="No","Not in scope",VLOOKUP(Table4[[#This Row],[V ID]],Vulnerabilities[#All],2,FALSE))</f>
        <v>Ineffective management of user credentials</v>
      </c>
      <c r="F30" s="87" t="s">
        <v>22</v>
      </c>
      <c r="G30" s="84" t="str">
        <f>VLOOKUP(Table4[[#This Row],[A ID]],Assets[#All],3,FALSE)</f>
        <v>THOR Knee Planning Application</v>
      </c>
      <c r="H30" s="199" t="s">
        <v>264</v>
      </c>
      <c r="I30" s="53"/>
      <c r="J30" s="197" t="s">
        <v>208</v>
      </c>
      <c r="K30" s="197" t="s">
        <v>183</v>
      </c>
      <c r="L30" s="197" t="s">
        <v>183</v>
      </c>
      <c r="M30" s="151" t="s">
        <v>213</v>
      </c>
      <c r="N30" s="151" t="s">
        <v>183</v>
      </c>
      <c r="O30" s="151" t="s">
        <v>183</v>
      </c>
      <c r="P30" s="151" t="s">
        <v>209</v>
      </c>
      <c r="Q30" s="151" t="s">
        <v>186</v>
      </c>
      <c r="R30"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155">
        <f>(1 - ((1 - VLOOKUP(Table4[[#This Row],[Confidentiality]],'Reference - CVSSv3.0'!$B$15:$C$17,2,FALSE)) * (1 - VLOOKUP(Table4[[#This Row],[Integrity]],'Reference - CVSSv3.0'!$B$15:$C$17,2,FALSE)) *  (1 - VLOOKUP(Table4[[#This Row],[Availability]],'Reference - CVSSv3.0'!$B$15:$C$17,2,FALSE))))</f>
        <v>0.73230400000000007</v>
      </c>
      <c r="T30" s="155">
        <f>IF(Table4[[#This Row],[Scope]]="Unchanged",6.42*Table4[[#This Row],[ISC Base]],IF(Table4[[#This Row],[Scope]]="Changed",7.52*(Table4[[#This Row],[ISC Base]] - 0.029) - 3.25 * POWER(Table4[[#This Row],[ISC Base]] - 0.02,15),NA()))</f>
        <v>4.7013916800000004</v>
      </c>
      <c r="U30"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30" s="195" t="s">
        <v>183</v>
      </c>
      <c r="W30" s="155">
        <f>VLOOKUP(Table4[[#This Row],[Threat Event Initiation]],NIST_Scale_LOAI[],2,FALSE)</f>
        <v>0.2</v>
      </c>
      <c r="X3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199" t="s">
        <v>268</v>
      </c>
      <c r="AA30" s="199" t="s">
        <v>480</v>
      </c>
      <c r="AB30" s="86" t="s">
        <v>269</v>
      </c>
      <c r="AC30" s="209" t="s">
        <v>208</v>
      </c>
      <c r="AD30" s="209" t="s">
        <v>183</v>
      </c>
      <c r="AE30" s="209" t="s">
        <v>183</v>
      </c>
      <c r="AF30" s="208" t="s">
        <v>213</v>
      </c>
      <c r="AG30" s="208" t="s">
        <v>183</v>
      </c>
      <c r="AH30" s="208" t="s">
        <v>183</v>
      </c>
      <c r="AI30" s="208" t="s">
        <v>209</v>
      </c>
      <c r="AJ30" s="208" t="s">
        <v>186</v>
      </c>
      <c r="AK30"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0.486604272</v>
      </c>
      <c r="AL30" s="155">
        <f>(1 - ((1 - VLOOKUP(Table4[[#This Row],[ConfidentialityP]],'Reference - CVSSv3.0'!$B$15:$C$17,2,FALSE)) * (1 - VLOOKUP(Table4[[#This Row],[IntegrityP]],'Reference - CVSSv3.0'!$B$15:$C$17,2,FALSE)) *  (1 - VLOOKUP(Table4[[#This Row],[AvailabilityP]],'Reference - CVSSv3.0'!$B$15:$C$17,2,FALSE))))</f>
        <v>0.73230400000000007</v>
      </c>
      <c r="AM30" s="155">
        <f>IF(Table4[[#This Row],[ScopeP]]="Unchanged",6.42*Table4[[#This Row],[ISC BaseP]],IF(Table4[[#This Row],[ScopeP]]="Changed",7.52*(Table4[[#This Row],[ISC BaseP]] - 0.029) - 3.25 * POWER(Table4[[#This Row],[ISC BaseP]] - 0.02,15),NA()))</f>
        <v>4.7013916800000004</v>
      </c>
      <c r="AN30" s="155">
        <f>IF(Table4[[#This Row],[Impact Sub ScoreP]]&lt;=0,0,IF(Table4[[#This Row],[ScopeP]]="Unchanged",ROUNDUP(MIN((Table4[[#This Row],[Impact Sub ScoreP]]+Table4[[#This Row],[Exploitability Sub ScoreP]]),10),1),IF(Table4[[#This Row],[ScopeP]]="Changed",ROUNDUP(MIN((1.08*(Table4[[#This Row],[Impact Sub ScoreP]]+Table4[[#This Row],[Exploitability Sub ScoreP]])),10),1),NA())))</f>
        <v>5.1999999999999993</v>
      </c>
      <c r="AO30"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4.8</v>
      </c>
      <c r="AP30"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30" s="53"/>
      <c r="AR30" s="213"/>
    </row>
    <row r="31" spans="1:44" s="47" customFormat="1" ht="87" customHeight="1">
      <c r="A31" s="64"/>
      <c r="B31" s="53" t="s">
        <v>263</v>
      </c>
      <c r="C31" s="84" t="str">
        <f>IF(VLOOKUP(Table4[[#This Row],[T ID]],Table5[#All],5,FALSE)="No","Not in scope",VLOOKUP(Table4[[#This Row],[T ID]],Table5[#All],2,FALSE))</f>
        <v>Unauthorized access to Treatment plan</v>
      </c>
      <c r="D31" s="53" t="s">
        <v>106</v>
      </c>
      <c r="E31" s="84" t="str">
        <f>IF(VLOOKUP(Table4[[#This Row],[V ID]],Vulnerabilities[#All],3,FALSE)="No","Not in scope",VLOOKUP(Table4[[#This Row],[V ID]],Vulnerabilities[#All],2,FALSE))</f>
        <v>Insecure Storage of Sensitive Information</v>
      </c>
      <c r="F31" s="87" t="s">
        <v>25</v>
      </c>
      <c r="G31" s="84" t="str">
        <f>VLOOKUP(Table4[[#This Row],[A ID]],Assets[#All],3,FALSE)</f>
        <v>Patient Personal and Health data</v>
      </c>
      <c r="H31" s="199" t="s">
        <v>264</v>
      </c>
      <c r="I31" s="53"/>
      <c r="J31" s="197" t="s">
        <v>208</v>
      </c>
      <c r="K31" s="197" t="s">
        <v>183</v>
      </c>
      <c r="L31" s="197" t="s">
        <v>183</v>
      </c>
      <c r="M31" s="151" t="s">
        <v>213</v>
      </c>
      <c r="N31" s="151" t="s">
        <v>183</v>
      </c>
      <c r="O31" s="151" t="s">
        <v>183</v>
      </c>
      <c r="P31" s="151" t="s">
        <v>209</v>
      </c>
      <c r="Q31" s="151" t="s">
        <v>186</v>
      </c>
      <c r="R31"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1" s="155">
        <f>(1 - ((1 - VLOOKUP(Table4[[#This Row],[Confidentiality]],'Reference - CVSSv3.0'!$B$15:$C$17,2,FALSE)) * (1 - VLOOKUP(Table4[[#This Row],[Integrity]],'Reference - CVSSv3.0'!$B$15:$C$17,2,FALSE)) *  (1 - VLOOKUP(Table4[[#This Row],[Availability]],'Reference - CVSSv3.0'!$B$15:$C$17,2,FALSE))))</f>
        <v>0.73230400000000007</v>
      </c>
      <c r="T31" s="155">
        <f>IF(Table4[[#This Row],[Scope]]="Unchanged",6.42*Table4[[#This Row],[ISC Base]],IF(Table4[[#This Row],[Scope]]="Changed",7.52*(Table4[[#This Row],[ISC Base]] - 0.029) - 3.25 * POWER(Table4[[#This Row],[ISC Base]] - 0.02,15),NA()))</f>
        <v>4.7013916800000004</v>
      </c>
      <c r="U31"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31" s="195" t="s">
        <v>183</v>
      </c>
      <c r="W31" s="155">
        <f>VLOOKUP(Table4[[#This Row],[Threat Event Initiation]],NIST_Scale_LOAI[],2,FALSE)</f>
        <v>0.2</v>
      </c>
      <c r="X3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99" t="s">
        <v>270</v>
      </c>
      <c r="AA31" s="199" t="s">
        <v>271</v>
      </c>
      <c r="AB31" s="86" t="s">
        <v>272</v>
      </c>
      <c r="AC31" s="209" t="s">
        <v>208</v>
      </c>
      <c r="AD31" s="209" t="s">
        <v>183</v>
      </c>
      <c r="AE31" s="209" t="s">
        <v>183</v>
      </c>
      <c r="AF31" s="208" t="s">
        <v>213</v>
      </c>
      <c r="AG31" s="208" t="s">
        <v>183</v>
      </c>
      <c r="AH31" s="208" t="s">
        <v>183</v>
      </c>
      <c r="AI31" s="208" t="s">
        <v>209</v>
      </c>
      <c r="AJ31" s="208" t="s">
        <v>186</v>
      </c>
      <c r="AK31"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0.486604272</v>
      </c>
      <c r="AL31" s="155">
        <f>(1 - ((1 - VLOOKUP(Table4[[#This Row],[ConfidentialityP]],'Reference - CVSSv3.0'!$B$15:$C$17,2,FALSE)) * (1 - VLOOKUP(Table4[[#This Row],[IntegrityP]],'Reference - CVSSv3.0'!$B$15:$C$17,2,FALSE)) *  (1 - VLOOKUP(Table4[[#This Row],[AvailabilityP]],'Reference - CVSSv3.0'!$B$15:$C$17,2,FALSE))))</f>
        <v>0.73230400000000007</v>
      </c>
      <c r="AM31" s="155">
        <f>IF(Table4[[#This Row],[ScopeP]]="Unchanged",6.42*Table4[[#This Row],[ISC BaseP]],IF(Table4[[#This Row],[ScopeP]]="Changed",7.52*(Table4[[#This Row],[ISC BaseP]] - 0.029) - 3.25 * POWER(Table4[[#This Row],[ISC BaseP]] - 0.02,15),NA()))</f>
        <v>4.7013916800000004</v>
      </c>
      <c r="AN31" s="155">
        <f>IF(Table4[[#This Row],[Impact Sub ScoreP]]&lt;=0,0,IF(Table4[[#This Row],[ScopeP]]="Unchanged",ROUNDUP(MIN((Table4[[#This Row],[Impact Sub ScoreP]]+Table4[[#This Row],[Exploitability Sub ScoreP]]),10),1),IF(Table4[[#This Row],[ScopeP]]="Changed",ROUNDUP(MIN((1.08*(Table4[[#This Row],[Impact Sub ScoreP]]+Table4[[#This Row],[Exploitability Sub ScoreP]])),10),1),NA())))</f>
        <v>5.1999999999999993</v>
      </c>
      <c r="AO31"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4.8</v>
      </c>
      <c r="AP31"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31" s="53"/>
      <c r="AR31" s="213"/>
    </row>
    <row r="32" spans="1:44" s="47" customFormat="1" ht="199.5">
      <c r="A32" s="64"/>
      <c r="B32" s="53" t="s">
        <v>263</v>
      </c>
      <c r="C32" s="84" t="str">
        <f>IF(VLOOKUP(Table4[[#This Row],[T ID]],Table5[#All],5,FALSE)="No","Not in scope",VLOOKUP(Table4[[#This Row],[T ID]],Table5[#All],2,FALSE))</f>
        <v>Unauthorized access to Treatment plan</v>
      </c>
      <c r="D32" s="53" t="s">
        <v>112</v>
      </c>
      <c r="E32" s="84" t="str">
        <f>IF(VLOOKUP(Table4[[#This Row],[V ID]],Vulnerabilities[#All],3,FALSE)="No","Not in scope",VLOOKUP(Table4[[#This Row],[V ID]],Vulnerabilities[#All],2,FALSE))</f>
        <v>Use of a Broken or Risky Cryptographic Algorithm or Inadequate encryption strength</v>
      </c>
      <c r="F32" s="87" t="s">
        <v>25</v>
      </c>
      <c r="G32" s="84" t="str">
        <f>VLOOKUP(Table4[[#This Row],[A ID]],Assets[#All],3,FALSE)</f>
        <v>Patient Personal and Health data</v>
      </c>
      <c r="H32" s="199" t="s">
        <v>264</v>
      </c>
      <c r="I32" s="53"/>
      <c r="J32" s="197" t="s">
        <v>208</v>
      </c>
      <c r="K32" s="197" t="s">
        <v>183</v>
      </c>
      <c r="L32" s="197" t="s">
        <v>183</v>
      </c>
      <c r="M32" s="151" t="s">
        <v>213</v>
      </c>
      <c r="N32" s="151" t="s">
        <v>208</v>
      </c>
      <c r="O32" s="151" t="s">
        <v>183</v>
      </c>
      <c r="P32" s="151" t="s">
        <v>209</v>
      </c>
      <c r="Q32" s="151" t="s">
        <v>186</v>
      </c>
      <c r="R32"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32" s="155">
        <f>(1 - ((1 - VLOOKUP(Table4[[#This Row],[Confidentiality]],'Reference - CVSSv3.0'!$B$15:$C$17,2,FALSE)) * (1 - VLOOKUP(Table4[[#This Row],[Integrity]],'Reference - CVSSv3.0'!$B$15:$C$17,2,FALSE)) *  (1 - VLOOKUP(Table4[[#This Row],[Availability]],'Reference - CVSSv3.0'!$B$15:$C$17,2,FALSE))))</f>
        <v>0.73230400000000007</v>
      </c>
      <c r="T32" s="155">
        <f>IF(Table4[[#This Row],[Scope]]="Unchanged",6.42*Table4[[#This Row],[ISC Base]],IF(Table4[[#This Row],[Scope]]="Changed",7.52*(Table4[[#This Row],[ISC Base]] - 0.029) - 3.25 * POWER(Table4[[#This Row],[ISC Base]] - 0.02,15),NA()))</f>
        <v>4.7013916800000004</v>
      </c>
      <c r="U32" s="155">
        <f>IF(Table4[[#This Row],[Impact Sub Score]]&lt;=0,0,IF(Table4[[#This Row],[Scope]]="Unchanged",ROUNDUP(MIN((Table4[[#This Row],[Impact Sub Score]]+Table4[[#This Row],[Exploitability Sub Score]]),10),1),IF(Table4[[#This Row],[Scope]]="Changed",ROUNDUP(MIN((1.08*(Table4[[#This Row],[Impact Sub Score]]+Table4[[#This Row],[Exploitability Sub Score]])),10),1),NA())))</f>
        <v>5</v>
      </c>
      <c r="V32" s="195" t="s">
        <v>183</v>
      </c>
      <c r="W32" s="155">
        <f>VLOOKUP(Table4[[#This Row],[Threat Event Initiation]],NIST_Scale_LOAI[],2,FALSE)</f>
        <v>0.2</v>
      </c>
      <c r="X32"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199" t="s">
        <v>273</v>
      </c>
      <c r="AA32" s="199" t="s">
        <v>490</v>
      </c>
      <c r="AB32" s="86" t="s">
        <v>274</v>
      </c>
      <c r="AC32" s="209" t="s">
        <v>183</v>
      </c>
      <c r="AD32" s="209" t="s">
        <v>183</v>
      </c>
      <c r="AE32" s="209" t="s">
        <v>183</v>
      </c>
      <c r="AF32" s="208" t="s">
        <v>213</v>
      </c>
      <c r="AG32" s="208" t="s">
        <v>208</v>
      </c>
      <c r="AH32" s="208" t="s">
        <v>183</v>
      </c>
      <c r="AI32" s="208" t="s">
        <v>209</v>
      </c>
      <c r="AJ32" s="208" t="s">
        <v>186</v>
      </c>
      <c r="AK32"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0.27805958400000003</v>
      </c>
      <c r="AL32" s="155">
        <f>(1 - ((1 - VLOOKUP(Table4[[#This Row],[ConfidentialityP]],'Reference - CVSSv3.0'!$B$15:$C$17,2,FALSE)) * (1 - VLOOKUP(Table4[[#This Row],[IntegrityP]],'Reference - CVSSv3.0'!$B$15:$C$17,2,FALSE)) *  (1 - VLOOKUP(Table4[[#This Row],[AvailabilityP]],'Reference - CVSSv3.0'!$B$15:$C$17,2,FALSE))))</f>
        <v>0.52544799999999992</v>
      </c>
      <c r="AM32" s="155">
        <f>IF(Table4[[#This Row],[ScopeP]]="Unchanged",6.42*Table4[[#This Row],[ISC BaseP]],IF(Table4[[#This Row],[ScopeP]]="Changed",7.52*(Table4[[#This Row],[ISC BaseP]] - 0.029) - 3.25 * POWER(Table4[[#This Row],[ISC BaseP]] - 0.02,15),NA()))</f>
        <v>3.3733761599999994</v>
      </c>
      <c r="AN32" s="155">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32"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32"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2" s="199" t="s">
        <v>493</v>
      </c>
      <c r="AR32" s="213"/>
    </row>
    <row r="33" spans="1:44" s="47" customFormat="1" ht="156.75">
      <c r="A33" s="64"/>
      <c r="B33" s="53" t="s">
        <v>263</v>
      </c>
      <c r="C33" s="84" t="str">
        <f>IF(VLOOKUP(Table4[[#This Row],[T ID]],Table5[#All],5,FALSE)="No","Not in scope",VLOOKUP(Table4[[#This Row],[T ID]],Table5[#All],2,FALSE))</f>
        <v>Unauthorized access to Treatment plan</v>
      </c>
      <c r="D33" s="53" t="s">
        <v>114</v>
      </c>
      <c r="E33" s="84" t="str">
        <f>IF(VLOOKUP(Table4[[#This Row],[V ID]],Vulnerabilities[#All],3,FALSE)="No","Not in scope",VLOOKUP(Table4[[#This Row],[V ID]],Vulnerabilities[#All],2,FALSE))</f>
        <v>Exposure of Private Information</v>
      </c>
      <c r="F33" s="87" t="s">
        <v>25</v>
      </c>
      <c r="G33" s="84" t="str">
        <f>VLOOKUP(Table4[[#This Row],[A ID]],Assets[#All],3,FALSE)</f>
        <v>Patient Personal and Health data</v>
      </c>
      <c r="H33" s="199" t="s">
        <v>264</v>
      </c>
      <c r="I33" s="53"/>
      <c r="J33" s="197" t="s">
        <v>208</v>
      </c>
      <c r="K33" s="197" t="s">
        <v>183</v>
      </c>
      <c r="L33" s="197" t="s">
        <v>183</v>
      </c>
      <c r="M33" s="151" t="s">
        <v>213</v>
      </c>
      <c r="N33" s="151" t="s">
        <v>183</v>
      </c>
      <c r="O33" s="151" t="s">
        <v>183</v>
      </c>
      <c r="P33" s="151" t="s">
        <v>209</v>
      </c>
      <c r="Q33" s="151" t="s">
        <v>186</v>
      </c>
      <c r="R33"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3" s="155">
        <f>(1 - ((1 - VLOOKUP(Table4[[#This Row],[Confidentiality]],'Reference - CVSSv3.0'!$B$15:$C$17,2,FALSE)) * (1 - VLOOKUP(Table4[[#This Row],[Integrity]],'Reference - CVSSv3.0'!$B$15:$C$17,2,FALSE)) *  (1 - VLOOKUP(Table4[[#This Row],[Availability]],'Reference - CVSSv3.0'!$B$15:$C$17,2,FALSE))))</f>
        <v>0.73230400000000007</v>
      </c>
      <c r="T33" s="155">
        <f>IF(Table4[[#This Row],[Scope]]="Unchanged",6.42*Table4[[#This Row],[ISC Base]],IF(Table4[[#This Row],[Scope]]="Changed",7.52*(Table4[[#This Row],[ISC Base]] - 0.029) - 3.25 * POWER(Table4[[#This Row],[ISC Base]] - 0.02,15),NA()))</f>
        <v>4.7013916800000004</v>
      </c>
      <c r="U33"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33" s="195" t="s">
        <v>183</v>
      </c>
      <c r="W33" s="155">
        <f>VLOOKUP(Table4[[#This Row],[Threat Event Initiation]],NIST_Scale_LOAI[],2,FALSE)</f>
        <v>0.2</v>
      </c>
      <c r="X33"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199" t="s">
        <v>275</v>
      </c>
      <c r="AA33" s="199" t="s">
        <v>483</v>
      </c>
      <c r="AB33" s="86" t="s">
        <v>276</v>
      </c>
      <c r="AC33" s="209" t="s">
        <v>208</v>
      </c>
      <c r="AD33" s="209" t="s">
        <v>183</v>
      </c>
      <c r="AE33" s="209" t="s">
        <v>183</v>
      </c>
      <c r="AF33" s="208" t="s">
        <v>213</v>
      </c>
      <c r="AG33" s="208" t="s">
        <v>183</v>
      </c>
      <c r="AH33" s="208" t="s">
        <v>183</v>
      </c>
      <c r="AI33" s="208" t="s">
        <v>209</v>
      </c>
      <c r="AJ33" s="208" t="s">
        <v>186</v>
      </c>
      <c r="AK33"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0.486604272</v>
      </c>
      <c r="AL33" s="155">
        <f>(1 - ((1 - VLOOKUP(Table4[[#This Row],[ConfidentialityP]],'Reference - CVSSv3.0'!$B$15:$C$17,2,FALSE)) * (1 - VLOOKUP(Table4[[#This Row],[IntegrityP]],'Reference - CVSSv3.0'!$B$15:$C$17,2,FALSE)) *  (1 - VLOOKUP(Table4[[#This Row],[AvailabilityP]],'Reference - CVSSv3.0'!$B$15:$C$17,2,FALSE))))</f>
        <v>0.73230400000000007</v>
      </c>
      <c r="AM33" s="155">
        <f>IF(Table4[[#This Row],[ScopeP]]="Unchanged",6.42*Table4[[#This Row],[ISC BaseP]],IF(Table4[[#This Row],[ScopeP]]="Changed",7.52*(Table4[[#This Row],[ISC BaseP]] - 0.029) - 3.25 * POWER(Table4[[#This Row],[ISC BaseP]] - 0.02,15),NA()))</f>
        <v>4.7013916800000004</v>
      </c>
      <c r="AN33" s="155">
        <f>IF(Table4[[#This Row],[Impact Sub ScoreP]]&lt;=0,0,IF(Table4[[#This Row],[ScopeP]]="Unchanged",ROUNDUP(MIN((Table4[[#This Row],[Impact Sub ScoreP]]+Table4[[#This Row],[Exploitability Sub ScoreP]]),10),1),IF(Table4[[#This Row],[ScopeP]]="Changed",ROUNDUP(MIN((1.08*(Table4[[#This Row],[Impact Sub ScoreP]]+Table4[[#This Row],[Exploitability Sub ScoreP]])),10),1),NA())))</f>
        <v>5.1999999999999993</v>
      </c>
      <c r="AO33"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4.8</v>
      </c>
      <c r="AP33"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33" s="53"/>
      <c r="AR33" s="213"/>
    </row>
    <row r="34" spans="1:44" s="47" customFormat="1" ht="116.25" customHeight="1">
      <c r="A34" s="64"/>
      <c r="B34" s="53" t="s">
        <v>263</v>
      </c>
      <c r="C34" s="84" t="str">
        <f>IF(VLOOKUP(Table4[[#This Row],[T ID]],Table5[#All],5,FALSE)="No","Not in scope",VLOOKUP(Table4[[#This Row],[T ID]],Table5[#All],2,FALSE))</f>
        <v>Unauthorized access to Treatment plan</v>
      </c>
      <c r="D34" s="53" t="s">
        <v>116</v>
      </c>
      <c r="E34" s="84" t="str">
        <f>IF(VLOOKUP(Table4[[#This Row],[V ID]],Vulnerabilities[#All],3,FALSE)="No","Not in scope",VLOOKUP(Table4[[#This Row],[V ID]],Vulnerabilities[#All],2,FALSE))</f>
        <v>Sensitive Data Storage in Improperly Locked Memory</v>
      </c>
      <c r="F34" s="87" t="s">
        <v>25</v>
      </c>
      <c r="G34" s="84" t="str">
        <f>VLOOKUP(Table4[[#This Row],[A ID]],Assets[#All],3,FALSE)</f>
        <v>Patient Personal and Health data</v>
      </c>
      <c r="H34" s="199" t="s">
        <v>264</v>
      </c>
      <c r="I34" s="53"/>
      <c r="J34" s="197" t="s">
        <v>208</v>
      </c>
      <c r="K34" s="197" t="s">
        <v>183</v>
      </c>
      <c r="L34" s="197" t="s">
        <v>183</v>
      </c>
      <c r="M34" s="151" t="s">
        <v>213</v>
      </c>
      <c r="N34" s="151" t="s">
        <v>208</v>
      </c>
      <c r="O34" s="151" t="s">
        <v>183</v>
      </c>
      <c r="P34" s="151" t="s">
        <v>209</v>
      </c>
      <c r="Q34" s="151" t="s">
        <v>186</v>
      </c>
      <c r="R34"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34" s="155">
        <f>(1 - ((1 - VLOOKUP(Table4[[#This Row],[Confidentiality]],'Reference - CVSSv3.0'!$B$15:$C$17,2,FALSE)) * (1 - VLOOKUP(Table4[[#This Row],[Integrity]],'Reference - CVSSv3.0'!$B$15:$C$17,2,FALSE)) *  (1 - VLOOKUP(Table4[[#This Row],[Availability]],'Reference - CVSSv3.0'!$B$15:$C$17,2,FALSE))))</f>
        <v>0.73230400000000007</v>
      </c>
      <c r="T34" s="155">
        <f>IF(Table4[[#This Row],[Scope]]="Unchanged",6.42*Table4[[#This Row],[ISC Base]],IF(Table4[[#This Row],[Scope]]="Changed",7.52*(Table4[[#This Row],[ISC Base]] - 0.029) - 3.25 * POWER(Table4[[#This Row],[ISC Base]] - 0.02,15),NA()))</f>
        <v>4.7013916800000004</v>
      </c>
      <c r="U34" s="155">
        <f>IF(Table4[[#This Row],[Impact Sub Score]]&lt;=0,0,IF(Table4[[#This Row],[Scope]]="Unchanged",ROUNDUP(MIN((Table4[[#This Row],[Impact Sub Score]]+Table4[[#This Row],[Exploitability Sub Score]]),10),1),IF(Table4[[#This Row],[Scope]]="Changed",ROUNDUP(MIN((1.08*(Table4[[#This Row],[Impact Sub Score]]+Table4[[#This Row],[Exploitability Sub Score]])),10),1),NA())))</f>
        <v>5</v>
      </c>
      <c r="V34" s="195" t="s">
        <v>183</v>
      </c>
      <c r="W34" s="155">
        <f>VLOOKUP(Table4[[#This Row],[Threat Event Initiation]],NIST_Scale_LOAI[],2,FALSE)</f>
        <v>0.2</v>
      </c>
      <c r="X34"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199" t="s">
        <v>277</v>
      </c>
      <c r="AA34" s="199" t="s">
        <v>278</v>
      </c>
      <c r="AB34" s="86" t="s">
        <v>279</v>
      </c>
      <c r="AC34" s="209" t="s">
        <v>183</v>
      </c>
      <c r="AD34" s="209" t="s">
        <v>183</v>
      </c>
      <c r="AE34" s="209" t="s">
        <v>183</v>
      </c>
      <c r="AF34" s="208" t="s">
        <v>213</v>
      </c>
      <c r="AG34" s="208" t="s">
        <v>208</v>
      </c>
      <c r="AH34" s="208" t="s">
        <v>183</v>
      </c>
      <c r="AI34" s="208" t="s">
        <v>209</v>
      </c>
      <c r="AJ34" s="208" t="s">
        <v>186</v>
      </c>
      <c r="AK34"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0.27805958400000003</v>
      </c>
      <c r="AL34" s="155">
        <f>(1 - ((1 - VLOOKUP(Table4[[#This Row],[ConfidentialityP]],'Reference - CVSSv3.0'!$B$15:$C$17,2,FALSE)) * (1 - VLOOKUP(Table4[[#This Row],[IntegrityP]],'Reference - CVSSv3.0'!$B$15:$C$17,2,FALSE)) *  (1 - VLOOKUP(Table4[[#This Row],[AvailabilityP]],'Reference - CVSSv3.0'!$B$15:$C$17,2,FALSE))))</f>
        <v>0.52544799999999992</v>
      </c>
      <c r="AM34" s="155">
        <f>IF(Table4[[#This Row],[ScopeP]]="Unchanged",6.42*Table4[[#This Row],[ISC BaseP]],IF(Table4[[#This Row],[ScopeP]]="Changed",7.52*(Table4[[#This Row],[ISC BaseP]] - 0.029) - 3.25 * POWER(Table4[[#This Row],[ISC BaseP]] - 0.02,15),NA()))</f>
        <v>3.3733761599999994</v>
      </c>
      <c r="AN34" s="155">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34"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34"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4" s="199" t="s">
        <v>493</v>
      </c>
      <c r="AR34" s="213"/>
    </row>
    <row r="35" spans="1:44" s="47" customFormat="1" ht="114">
      <c r="A35" s="64"/>
      <c r="B35" s="53" t="s">
        <v>263</v>
      </c>
      <c r="C35" s="84" t="str">
        <f>IF(VLOOKUP(Table4[[#This Row],[T ID]],Table5[#All],5,FALSE)="No","Not in scope",VLOOKUP(Table4[[#This Row],[T ID]],Table5[#All],2,FALSE))</f>
        <v>Unauthorized access to Treatment plan</v>
      </c>
      <c r="D35" s="53" t="s">
        <v>106</v>
      </c>
      <c r="E35" s="84" t="str">
        <f>IF(VLOOKUP(Table4[[#This Row],[V ID]],Vulnerabilities[#All],3,FALSE)="No","Not in scope",VLOOKUP(Table4[[#This Row],[V ID]],Vulnerabilities[#All],2,FALSE))</f>
        <v>Insecure Storage of Sensitive Information</v>
      </c>
      <c r="F35" s="87" t="s">
        <v>15</v>
      </c>
      <c r="G35" s="84" t="str">
        <f>VLOOKUP(Table4[[#This Row],[A ID]],Assets[#All],3,FALSE)</f>
        <v xml:space="preserve">USB Drive </v>
      </c>
      <c r="H35" s="199" t="s">
        <v>264</v>
      </c>
      <c r="I35" s="53"/>
      <c r="J35" s="197" t="s">
        <v>208</v>
      </c>
      <c r="K35" s="197" t="s">
        <v>183</v>
      </c>
      <c r="L35" s="197" t="s">
        <v>183</v>
      </c>
      <c r="M35" s="151" t="s">
        <v>213</v>
      </c>
      <c r="N35" s="151" t="s">
        <v>183</v>
      </c>
      <c r="O35" s="151" t="s">
        <v>183</v>
      </c>
      <c r="P35" s="151" t="s">
        <v>209</v>
      </c>
      <c r="Q35" s="151" t="s">
        <v>186</v>
      </c>
      <c r="R35"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5" s="155">
        <f>(1 - ((1 - VLOOKUP(Table4[[#This Row],[Confidentiality]],'Reference - CVSSv3.0'!$B$15:$C$17,2,FALSE)) * (1 - VLOOKUP(Table4[[#This Row],[Integrity]],'Reference - CVSSv3.0'!$B$15:$C$17,2,FALSE)) *  (1 - VLOOKUP(Table4[[#This Row],[Availability]],'Reference - CVSSv3.0'!$B$15:$C$17,2,FALSE))))</f>
        <v>0.73230400000000007</v>
      </c>
      <c r="T35" s="155">
        <f>IF(Table4[[#This Row],[Scope]]="Unchanged",6.42*Table4[[#This Row],[ISC Base]],IF(Table4[[#This Row],[Scope]]="Changed",7.52*(Table4[[#This Row],[ISC Base]] - 0.029) - 3.25 * POWER(Table4[[#This Row],[ISC Base]] - 0.02,15),NA()))</f>
        <v>4.7013916800000004</v>
      </c>
      <c r="U35"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35" s="195" t="s">
        <v>183</v>
      </c>
      <c r="W35" s="155">
        <f>VLOOKUP(Table4[[#This Row],[Threat Event Initiation]],NIST_Scale_LOAI[],2,FALSE)</f>
        <v>0.2</v>
      </c>
      <c r="X3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99" t="s">
        <v>280</v>
      </c>
      <c r="AA35" s="199" t="s">
        <v>281</v>
      </c>
      <c r="AB35" s="86" t="s">
        <v>274</v>
      </c>
      <c r="AC35" s="209" t="s">
        <v>208</v>
      </c>
      <c r="AD35" s="209" t="s">
        <v>183</v>
      </c>
      <c r="AE35" s="209" t="s">
        <v>183</v>
      </c>
      <c r="AF35" s="208" t="s">
        <v>213</v>
      </c>
      <c r="AG35" s="208" t="s">
        <v>183</v>
      </c>
      <c r="AH35" s="208" t="s">
        <v>183</v>
      </c>
      <c r="AI35" s="208" t="s">
        <v>209</v>
      </c>
      <c r="AJ35" s="208" t="s">
        <v>186</v>
      </c>
      <c r="AK35"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0.486604272</v>
      </c>
      <c r="AL35" s="155">
        <f>(1 - ((1 - VLOOKUP(Table4[[#This Row],[ConfidentialityP]],'Reference - CVSSv3.0'!$B$15:$C$17,2,FALSE)) * (1 - VLOOKUP(Table4[[#This Row],[IntegrityP]],'Reference - CVSSv3.0'!$B$15:$C$17,2,FALSE)) *  (1 - VLOOKUP(Table4[[#This Row],[AvailabilityP]],'Reference - CVSSv3.0'!$B$15:$C$17,2,FALSE))))</f>
        <v>0.73230400000000007</v>
      </c>
      <c r="AM35" s="155">
        <f>IF(Table4[[#This Row],[ScopeP]]="Unchanged",6.42*Table4[[#This Row],[ISC BaseP]],IF(Table4[[#This Row],[ScopeP]]="Changed",7.52*(Table4[[#This Row],[ISC BaseP]] - 0.029) - 3.25 * POWER(Table4[[#This Row],[ISC BaseP]] - 0.02,15),NA()))</f>
        <v>4.7013916800000004</v>
      </c>
      <c r="AN35" s="155">
        <f>IF(Table4[[#This Row],[Impact Sub ScoreP]]&lt;=0,0,IF(Table4[[#This Row],[ScopeP]]="Unchanged",ROUNDUP(MIN((Table4[[#This Row],[Impact Sub ScoreP]]+Table4[[#This Row],[Exploitability Sub ScoreP]]),10),1),IF(Table4[[#This Row],[ScopeP]]="Changed",ROUNDUP(MIN((1.08*(Table4[[#This Row],[Impact Sub ScoreP]]+Table4[[#This Row],[Exploitability Sub ScoreP]])),10),1),NA())))</f>
        <v>5.1999999999999993</v>
      </c>
      <c r="AO35"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4.8</v>
      </c>
      <c r="AP35"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35" s="53"/>
      <c r="AR35" s="213"/>
    </row>
    <row r="36" spans="1:44" s="47" customFormat="1" ht="199.5">
      <c r="A36" s="64"/>
      <c r="B36" s="53" t="s">
        <v>263</v>
      </c>
      <c r="C36" s="84" t="str">
        <f>IF(VLOOKUP(Table4[[#This Row],[T ID]],Table5[#All],5,FALSE)="No","Not in scope",VLOOKUP(Table4[[#This Row],[T ID]],Table5[#All],2,FALSE))</f>
        <v>Unauthorized access to Treatment plan</v>
      </c>
      <c r="D36" s="53" t="s">
        <v>106</v>
      </c>
      <c r="E36" s="84" t="str">
        <f>IF(VLOOKUP(Table4[[#This Row],[V ID]],Vulnerabilities[#All],3,FALSE)="No","Not in scope",VLOOKUP(Table4[[#This Row],[V ID]],Vulnerabilities[#All],2,FALSE))</f>
        <v>Insecure Storage of Sensitive Information</v>
      </c>
      <c r="F36" s="87" t="s">
        <v>34</v>
      </c>
      <c r="G36" s="84" t="str">
        <f>VLOOKUP(Table4[[#This Row],[A ID]],Assets[#All],3,FALSE)</f>
        <v>Network Location</v>
      </c>
      <c r="H36" s="199" t="s">
        <v>264</v>
      </c>
      <c r="I36" s="53"/>
      <c r="J36" s="197" t="s">
        <v>208</v>
      </c>
      <c r="K36" s="197" t="s">
        <v>183</v>
      </c>
      <c r="L36" s="197" t="s">
        <v>183</v>
      </c>
      <c r="M36" s="151" t="s">
        <v>213</v>
      </c>
      <c r="N36" s="151" t="s">
        <v>183</v>
      </c>
      <c r="O36" s="151" t="s">
        <v>183</v>
      </c>
      <c r="P36" s="151" t="s">
        <v>209</v>
      </c>
      <c r="Q36" s="151" t="s">
        <v>186</v>
      </c>
      <c r="R36"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6" s="155">
        <f>(1 - ((1 - VLOOKUP(Table4[[#This Row],[Confidentiality]],'Reference - CVSSv3.0'!$B$15:$C$17,2,FALSE)) * (1 - VLOOKUP(Table4[[#This Row],[Integrity]],'Reference - CVSSv3.0'!$B$15:$C$17,2,FALSE)) *  (1 - VLOOKUP(Table4[[#This Row],[Availability]],'Reference - CVSSv3.0'!$B$15:$C$17,2,FALSE))))</f>
        <v>0.73230400000000007</v>
      </c>
      <c r="T36" s="155">
        <f>IF(Table4[[#This Row],[Scope]]="Unchanged",6.42*Table4[[#This Row],[ISC Base]],IF(Table4[[#This Row],[Scope]]="Changed",7.52*(Table4[[#This Row],[ISC Base]] - 0.029) - 3.25 * POWER(Table4[[#This Row],[ISC Base]] - 0.02,15),NA()))</f>
        <v>4.7013916800000004</v>
      </c>
      <c r="U36"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36" s="195" t="s">
        <v>183</v>
      </c>
      <c r="W36" s="155">
        <f>VLOOKUP(Table4[[#This Row],[Threat Event Initiation]],NIST_Scale_LOAI[],2,FALSE)</f>
        <v>0.2</v>
      </c>
      <c r="X3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199" t="s">
        <v>282</v>
      </c>
      <c r="AA36" s="199" t="s">
        <v>283</v>
      </c>
      <c r="AB36" s="86" t="s">
        <v>284</v>
      </c>
      <c r="AC36" s="209" t="s">
        <v>208</v>
      </c>
      <c r="AD36" s="209" t="s">
        <v>183</v>
      </c>
      <c r="AE36" s="209" t="s">
        <v>183</v>
      </c>
      <c r="AF36" s="208" t="s">
        <v>213</v>
      </c>
      <c r="AG36" s="208" t="s">
        <v>183</v>
      </c>
      <c r="AH36" s="208" t="s">
        <v>183</v>
      </c>
      <c r="AI36" s="208" t="s">
        <v>209</v>
      </c>
      <c r="AJ36" s="208" t="s">
        <v>186</v>
      </c>
      <c r="AK36"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0.486604272</v>
      </c>
      <c r="AL36" s="155">
        <f>(1 - ((1 - VLOOKUP(Table4[[#This Row],[ConfidentialityP]],'Reference - CVSSv3.0'!$B$15:$C$17,2,FALSE)) * (1 - VLOOKUP(Table4[[#This Row],[IntegrityP]],'Reference - CVSSv3.0'!$B$15:$C$17,2,FALSE)) *  (1 - VLOOKUP(Table4[[#This Row],[AvailabilityP]],'Reference - CVSSv3.0'!$B$15:$C$17,2,FALSE))))</f>
        <v>0.73230400000000007</v>
      </c>
      <c r="AM36" s="155">
        <f>IF(Table4[[#This Row],[ScopeP]]="Unchanged",6.42*Table4[[#This Row],[ISC BaseP]],IF(Table4[[#This Row],[ScopeP]]="Changed",7.52*(Table4[[#This Row],[ISC BaseP]] - 0.029) - 3.25 * POWER(Table4[[#This Row],[ISC BaseP]] - 0.02,15),NA()))</f>
        <v>4.7013916800000004</v>
      </c>
      <c r="AN36" s="155">
        <f>IF(Table4[[#This Row],[Impact Sub ScoreP]]&lt;=0,0,IF(Table4[[#This Row],[ScopeP]]="Unchanged",ROUNDUP(MIN((Table4[[#This Row],[Impact Sub ScoreP]]+Table4[[#This Row],[Exploitability Sub ScoreP]]),10),1),IF(Table4[[#This Row],[ScopeP]]="Changed",ROUNDUP(MIN((1.08*(Table4[[#This Row],[Impact Sub ScoreP]]+Table4[[#This Row],[Exploitability Sub ScoreP]])),10),1),NA())))</f>
        <v>5.1999999999999993</v>
      </c>
      <c r="AO36"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4.8</v>
      </c>
      <c r="AP36"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36" s="53"/>
      <c r="AR36" s="213"/>
    </row>
    <row r="37" spans="1:44" s="47" customFormat="1" ht="140.25" customHeight="1">
      <c r="A37" s="64"/>
      <c r="B37" s="53" t="s">
        <v>285</v>
      </c>
      <c r="C37" s="84" t="str">
        <f>IF(VLOOKUP(Table4[[#This Row],[T ID]],Table5[#All],5,FALSE)="No","Not in scope",VLOOKUP(Table4[[#This Row],[T ID]],Table5[#All],2,FALSE))</f>
        <v>Unauthorized access to PHI</v>
      </c>
      <c r="D37" s="53" t="s">
        <v>106</v>
      </c>
      <c r="E37" s="84" t="str">
        <f>IF(VLOOKUP(Table4[[#This Row],[V ID]],Vulnerabilities[#All],3,FALSE)="No","Not in scope",VLOOKUP(Table4[[#This Row],[V ID]],Vulnerabilities[#All],2,FALSE))</f>
        <v>Insecure Storage of Sensitive Information</v>
      </c>
      <c r="F37" s="87" t="s">
        <v>25</v>
      </c>
      <c r="G37" s="84" t="str">
        <f>VLOOKUP(Table4[[#This Row],[A ID]],Assets[#All],3,FALSE)</f>
        <v>Patient Personal and Health data</v>
      </c>
      <c r="H37" s="199" t="s">
        <v>264</v>
      </c>
      <c r="I37" s="53"/>
      <c r="J37" s="197" t="s">
        <v>208</v>
      </c>
      <c r="K37" s="197" t="s">
        <v>183</v>
      </c>
      <c r="L37" s="197" t="s">
        <v>185</v>
      </c>
      <c r="M37" s="151" t="s">
        <v>213</v>
      </c>
      <c r="N37" s="151" t="s">
        <v>183</v>
      </c>
      <c r="O37" s="151" t="s">
        <v>183</v>
      </c>
      <c r="P37" s="151" t="s">
        <v>209</v>
      </c>
      <c r="Q37" s="151" t="s">
        <v>186</v>
      </c>
      <c r="R37"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7" s="155">
        <f>(1 - ((1 - VLOOKUP(Table4[[#This Row],[Confidentiality]],'Reference - CVSSv3.0'!$B$15:$C$17,2,FALSE)) * (1 - VLOOKUP(Table4[[#This Row],[Integrity]],'Reference - CVSSv3.0'!$B$15:$C$17,2,FALSE)) *  (1 - VLOOKUP(Table4[[#This Row],[Availability]],'Reference - CVSSv3.0'!$B$15:$C$17,2,FALSE))))</f>
        <v>0.65680000000000005</v>
      </c>
      <c r="T37" s="155">
        <f>IF(Table4[[#This Row],[Scope]]="Unchanged",6.42*Table4[[#This Row],[ISC Base]],IF(Table4[[#This Row],[Scope]]="Changed",7.52*(Table4[[#This Row],[ISC Base]] - 0.029) - 3.25 * POWER(Table4[[#This Row],[ISC Base]] - 0.02,15),NA()))</f>
        <v>4.2166560000000004</v>
      </c>
      <c r="U37" s="155">
        <f>IF(Table4[[#This Row],[Impact Sub Score]]&lt;=0,0,IF(Table4[[#This Row],[Scope]]="Unchanged",ROUNDUP(MIN((Table4[[#This Row],[Impact Sub Score]]+Table4[[#This Row],[Exploitability Sub Score]]),10),1),IF(Table4[[#This Row],[Scope]]="Changed",ROUNDUP(MIN((1.08*(Table4[[#This Row],[Impact Sub Score]]+Table4[[#This Row],[Exploitability Sub Score]])),10),1),NA())))</f>
        <v>4.8</v>
      </c>
      <c r="V37" s="195" t="s">
        <v>183</v>
      </c>
      <c r="W37" s="155">
        <f>VLOOKUP(Table4[[#This Row],[Threat Event Initiation]],NIST_Scale_LOAI[],2,FALSE)</f>
        <v>0.2</v>
      </c>
      <c r="X3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199" t="s">
        <v>286</v>
      </c>
      <c r="AA37" s="199" t="s">
        <v>287</v>
      </c>
      <c r="AB37" s="86" t="s">
        <v>288</v>
      </c>
      <c r="AC37" s="209" t="s">
        <v>208</v>
      </c>
      <c r="AD37" s="209" t="s">
        <v>183</v>
      </c>
      <c r="AE37" s="209" t="s">
        <v>185</v>
      </c>
      <c r="AF37" s="208" t="s">
        <v>213</v>
      </c>
      <c r="AG37" s="208" t="s">
        <v>183</v>
      </c>
      <c r="AH37" s="208" t="s">
        <v>183</v>
      </c>
      <c r="AI37" s="208" t="s">
        <v>209</v>
      </c>
      <c r="AJ37" s="208" t="s">
        <v>186</v>
      </c>
      <c r="AK37"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0.486604272</v>
      </c>
      <c r="AL37" s="155">
        <f>(1 - ((1 - VLOOKUP(Table4[[#This Row],[ConfidentialityP]],'Reference - CVSSv3.0'!$B$15:$C$17,2,FALSE)) * (1 - VLOOKUP(Table4[[#This Row],[IntegrityP]],'Reference - CVSSv3.0'!$B$15:$C$17,2,FALSE)) *  (1 - VLOOKUP(Table4[[#This Row],[AvailabilityP]],'Reference - CVSSv3.0'!$B$15:$C$17,2,FALSE))))</f>
        <v>0.65680000000000005</v>
      </c>
      <c r="AM37" s="155">
        <f>IF(Table4[[#This Row],[ScopeP]]="Unchanged",6.42*Table4[[#This Row],[ISC BaseP]],IF(Table4[[#This Row],[ScopeP]]="Changed",7.52*(Table4[[#This Row],[ISC BaseP]] - 0.029) - 3.25 * POWER(Table4[[#This Row],[ISC BaseP]] - 0.02,15),NA()))</f>
        <v>4.2166560000000004</v>
      </c>
      <c r="AN37" s="155">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O37"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4.3999999999999995</v>
      </c>
      <c r="AP37"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37" s="53"/>
      <c r="AR37" s="213"/>
    </row>
    <row r="38" spans="1:44" s="47" customFormat="1" ht="199.5">
      <c r="A38" s="64"/>
      <c r="B38" s="53" t="s">
        <v>285</v>
      </c>
      <c r="C38" s="84" t="str">
        <f>IF(VLOOKUP(Table4[[#This Row],[T ID]],Table5[#All],5,FALSE)="No","Not in scope",VLOOKUP(Table4[[#This Row],[T ID]],Table5[#All],2,FALSE))</f>
        <v>Unauthorized access to PHI</v>
      </c>
      <c r="D38" s="53" t="s">
        <v>112</v>
      </c>
      <c r="E38" s="84" t="str">
        <f>IF(VLOOKUP(Table4[[#This Row],[V ID]],Vulnerabilities[#All],3,FALSE)="No","Not in scope",VLOOKUP(Table4[[#This Row],[V ID]],Vulnerabilities[#All],2,FALSE))</f>
        <v>Use of a Broken or Risky Cryptographic Algorithm or Inadequate encryption strength</v>
      </c>
      <c r="F38" s="87" t="s">
        <v>25</v>
      </c>
      <c r="G38" s="84" t="str">
        <f>VLOOKUP(Table4[[#This Row],[A ID]],Assets[#All],3,FALSE)</f>
        <v>Patient Personal and Health data</v>
      </c>
      <c r="H38" s="199" t="s">
        <v>264</v>
      </c>
      <c r="I38" s="53"/>
      <c r="J38" s="197" t="s">
        <v>208</v>
      </c>
      <c r="K38" s="197" t="s">
        <v>183</v>
      </c>
      <c r="L38" s="197" t="s">
        <v>185</v>
      </c>
      <c r="M38" s="151" t="s">
        <v>213</v>
      </c>
      <c r="N38" s="151" t="s">
        <v>208</v>
      </c>
      <c r="O38" s="151" t="s">
        <v>183</v>
      </c>
      <c r="P38" s="151" t="s">
        <v>209</v>
      </c>
      <c r="Q38" s="151" t="s">
        <v>186</v>
      </c>
      <c r="R38"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38" s="155">
        <f>(1 - ((1 - VLOOKUP(Table4[[#This Row],[Confidentiality]],'Reference - CVSSv3.0'!$B$15:$C$17,2,FALSE)) * (1 - VLOOKUP(Table4[[#This Row],[Integrity]],'Reference - CVSSv3.0'!$B$15:$C$17,2,FALSE)) *  (1 - VLOOKUP(Table4[[#This Row],[Availability]],'Reference - CVSSv3.0'!$B$15:$C$17,2,FALSE))))</f>
        <v>0.65680000000000005</v>
      </c>
      <c r="T38" s="155">
        <f>IF(Table4[[#This Row],[Scope]]="Unchanged",6.42*Table4[[#This Row],[ISC Base]],IF(Table4[[#This Row],[Scope]]="Changed",7.52*(Table4[[#This Row],[ISC Base]] - 0.029) - 3.25 * POWER(Table4[[#This Row],[ISC Base]] - 0.02,15),NA()))</f>
        <v>4.2166560000000004</v>
      </c>
      <c r="U38"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38" s="195" t="s">
        <v>183</v>
      </c>
      <c r="W38" s="155">
        <f>VLOOKUP(Table4[[#This Row],[Threat Event Initiation]],NIST_Scale_LOAI[],2,FALSE)</f>
        <v>0.2</v>
      </c>
      <c r="X3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199" t="s">
        <v>289</v>
      </c>
      <c r="AA38" s="199" t="s">
        <v>489</v>
      </c>
      <c r="AB38" s="86" t="s">
        <v>291</v>
      </c>
      <c r="AC38" s="209" t="s">
        <v>183</v>
      </c>
      <c r="AD38" s="209" t="s">
        <v>183</v>
      </c>
      <c r="AE38" s="209" t="s">
        <v>185</v>
      </c>
      <c r="AF38" s="208" t="s">
        <v>213</v>
      </c>
      <c r="AG38" s="208" t="s">
        <v>208</v>
      </c>
      <c r="AH38" s="208" t="s">
        <v>183</v>
      </c>
      <c r="AI38" s="208" t="s">
        <v>209</v>
      </c>
      <c r="AJ38" s="208" t="s">
        <v>186</v>
      </c>
      <c r="AK38"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0.27805958400000003</v>
      </c>
      <c r="AL38" s="155">
        <f>(1 - ((1 - VLOOKUP(Table4[[#This Row],[ConfidentialityP]],'Reference - CVSSv3.0'!$B$15:$C$17,2,FALSE)) * (1 - VLOOKUP(Table4[[#This Row],[IntegrityP]],'Reference - CVSSv3.0'!$B$15:$C$17,2,FALSE)) *  (1 - VLOOKUP(Table4[[#This Row],[AvailabilityP]],'Reference - CVSSv3.0'!$B$15:$C$17,2,FALSE))))</f>
        <v>0.39159999999999995</v>
      </c>
      <c r="AM38" s="155">
        <f>IF(Table4[[#This Row],[ScopeP]]="Unchanged",6.42*Table4[[#This Row],[ISC BaseP]],IF(Table4[[#This Row],[ScopeP]]="Changed",7.52*(Table4[[#This Row],[ISC BaseP]] - 0.029) - 3.25 * POWER(Table4[[#This Row],[ISC BaseP]] - 0.02,15),NA()))</f>
        <v>2.5140719999999996</v>
      </c>
      <c r="AN38" s="155">
        <f>IF(Table4[[#This Row],[Impact Sub ScoreP]]&lt;=0,0,IF(Table4[[#This Row],[ScopeP]]="Unchanged",ROUNDUP(MIN((Table4[[#This Row],[Impact Sub ScoreP]]+Table4[[#This Row],[Exploitability Sub ScoreP]]),10),1),IF(Table4[[#This Row],[ScopeP]]="Changed",ROUNDUP(MIN((1.08*(Table4[[#This Row],[Impact Sub ScoreP]]+Table4[[#This Row],[Exploitability Sub ScoreP]])),10),1),NA())))</f>
        <v>2.8000000000000003</v>
      </c>
      <c r="AO38"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P38"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8" s="199" t="s">
        <v>493</v>
      </c>
      <c r="AR38" s="213"/>
    </row>
    <row r="39" spans="1:44" s="47" customFormat="1" ht="129.75" customHeight="1">
      <c r="A39" s="64"/>
      <c r="B39" s="53" t="s">
        <v>285</v>
      </c>
      <c r="C39" s="84" t="str">
        <f>IF(VLOOKUP(Table4[[#This Row],[T ID]],Table5[#All],5,FALSE)="No","Not in scope",VLOOKUP(Table4[[#This Row],[T ID]],Table5[#All],2,FALSE))</f>
        <v>Unauthorized access to PHI</v>
      </c>
      <c r="D39" s="53" t="s">
        <v>101</v>
      </c>
      <c r="E39" s="84" t="str">
        <f>IF(VLOOKUP(Table4[[#This Row],[V ID]],Vulnerabilities[#All],3,FALSE)="No","Not in scope",VLOOKUP(Table4[[#This Row],[V ID]],Vulnerabilities[#All],2,FALSE))</f>
        <v>Unprotected public network connections</v>
      </c>
      <c r="F39" s="87" t="s">
        <v>25</v>
      </c>
      <c r="G39" s="84" t="str">
        <f>VLOOKUP(Table4[[#This Row],[A ID]],Assets[#All],3,FALSE)</f>
        <v>Patient Personal and Health data</v>
      </c>
      <c r="H39" s="199" t="s">
        <v>264</v>
      </c>
      <c r="I39" s="53"/>
      <c r="J39" s="197" t="s">
        <v>208</v>
      </c>
      <c r="K39" s="197" t="s">
        <v>183</v>
      </c>
      <c r="L39" s="197" t="s">
        <v>185</v>
      </c>
      <c r="M39" s="151" t="s">
        <v>213</v>
      </c>
      <c r="N39" s="151" t="s">
        <v>208</v>
      </c>
      <c r="O39" s="151" t="s">
        <v>183</v>
      </c>
      <c r="P39" s="151" t="s">
        <v>209</v>
      </c>
      <c r="Q39" s="151" t="s">
        <v>186</v>
      </c>
      <c r="R39"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39" s="155">
        <f>(1 - ((1 - VLOOKUP(Table4[[#This Row],[Confidentiality]],'Reference - CVSSv3.0'!$B$15:$C$17,2,FALSE)) * (1 - VLOOKUP(Table4[[#This Row],[Integrity]],'Reference - CVSSv3.0'!$B$15:$C$17,2,FALSE)) *  (1 - VLOOKUP(Table4[[#This Row],[Availability]],'Reference - CVSSv3.0'!$B$15:$C$17,2,FALSE))))</f>
        <v>0.65680000000000005</v>
      </c>
      <c r="T39" s="155">
        <f>IF(Table4[[#This Row],[Scope]]="Unchanged",6.42*Table4[[#This Row],[ISC Base]],IF(Table4[[#This Row],[Scope]]="Changed",7.52*(Table4[[#This Row],[ISC Base]] - 0.029) - 3.25 * POWER(Table4[[#This Row],[ISC Base]] - 0.02,15),NA()))</f>
        <v>4.2166560000000004</v>
      </c>
      <c r="U39"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39" s="195" t="s">
        <v>183</v>
      </c>
      <c r="W39" s="155">
        <f>VLOOKUP(Table4[[#This Row],[Threat Event Initiation]],NIST_Scale_LOAI[],2,FALSE)</f>
        <v>0.2</v>
      </c>
      <c r="X3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199" t="s">
        <v>227</v>
      </c>
      <c r="AA39" s="199" t="s">
        <v>228</v>
      </c>
      <c r="AB39" s="86" t="s">
        <v>292</v>
      </c>
      <c r="AC39" s="209" t="s">
        <v>183</v>
      </c>
      <c r="AD39" s="209" t="s">
        <v>183</v>
      </c>
      <c r="AE39" s="209" t="s">
        <v>185</v>
      </c>
      <c r="AF39" s="208" t="s">
        <v>213</v>
      </c>
      <c r="AG39" s="208" t="s">
        <v>208</v>
      </c>
      <c r="AH39" s="208" t="s">
        <v>183</v>
      </c>
      <c r="AI39" s="208" t="s">
        <v>209</v>
      </c>
      <c r="AJ39" s="208" t="s">
        <v>186</v>
      </c>
      <c r="AK39"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0.27805958400000003</v>
      </c>
      <c r="AL39" s="155">
        <f>(1 - ((1 - VLOOKUP(Table4[[#This Row],[ConfidentialityP]],'Reference - CVSSv3.0'!$B$15:$C$17,2,FALSE)) * (1 - VLOOKUP(Table4[[#This Row],[IntegrityP]],'Reference - CVSSv3.0'!$B$15:$C$17,2,FALSE)) *  (1 - VLOOKUP(Table4[[#This Row],[AvailabilityP]],'Reference - CVSSv3.0'!$B$15:$C$17,2,FALSE))))</f>
        <v>0.39159999999999995</v>
      </c>
      <c r="AM39" s="155">
        <f>IF(Table4[[#This Row],[ScopeP]]="Unchanged",6.42*Table4[[#This Row],[ISC BaseP]],IF(Table4[[#This Row],[ScopeP]]="Changed",7.52*(Table4[[#This Row],[ISC BaseP]] - 0.029) - 3.25 * POWER(Table4[[#This Row],[ISC BaseP]] - 0.02,15),NA()))</f>
        <v>2.5140719999999996</v>
      </c>
      <c r="AN39" s="155">
        <f>IF(Table4[[#This Row],[Impact Sub ScoreP]]&lt;=0,0,IF(Table4[[#This Row],[ScopeP]]="Unchanged",ROUNDUP(MIN((Table4[[#This Row],[Impact Sub ScoreP]]+Table4[[#This Row],[Exploitability Sub ScoreP]]),10),1),IF(Table4[[#This Row],[ScopeP]]="Changed",ROUNDUP(MIN((1.08*(Table4[[#This Row],[Impact Sub ScoreP]]+Table4[[#This Row],[Exploitability Sub ScoreP]])),10),1),NA())))</f>
        <v>2.8000000000000003</v>
      </c>
      <c r="AO39"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P39"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9" s="199" t="s">
        <v>493</v>
      </c>
      <c r="AR39" s="213"/>
    </row>
    <row r="40" spans="1:44" s="47" customFormat="1" ht="156.75">
      <c r="A40" s="64"/>
      <c r="B40" s="51" t="s">
        <v>285</v>
      </c>
      <c r="C40" s="83" t="str">
        <f>IF(VLOOKUP(Table4[[#This Row],[T ID]],Table5[#All],5,FALSE)="No","Not in scope",VLOOKUP(Table4[[#This Row],[T ID]],Table5[#All],2,FALSE))</f>
        <v>Unauthorized access to PHI</v>
      </c>
      <c r="D40" s="53" t="s">
        <v>116</v>
      </c>
      <c r="E40" s="83" t="str">
        <f>IF(VLOOKUP(Table4[[#This Row],[V ID]],Vulnerabilities[#All],3,FALSE)="No","Not in scope",VLOOKUP(Table4[[#This Row],[V ID]],Vulnerabilities[#All],2,FALSE))</f>
        <v>Sensitive Data Storage in Improperly Locked Memory</v>
      </c>
      <c r="F40" s="53" t="s">
        <v>25</v>
      </c>
      <c r="G40" s="84" t="str">
        <f>VLOOKUP(Table4[[#This Row],[A ID]],Assets[#All],3,FALSE)</f>
        <v>Patient Personal and Health data</v>
      </c>
      <c r="H40" s="199" t="s">
        <v>264</v>
      </c>
      <c r="I40" s="53" t="s">
        <v>69</v>
      </c>
      <c r="J40" s="85" t="s">
        <v>208</v>
      </c>
      <c r="K40" s="85" t="s">
        <v>183</v>
      </c>
      <c r="L40" s="85" t="s">
        <v>185</v>
      </c>
      <c r="M40" s="151" t="s">
        <v>213</v>
      </c>
      <c r="N40" s="151" t="s">
        <v>208</v>
      </c>
      <c r="O40" s="151" t="s">
        <v>183</v>
      </c>
      <c r="P40" s="151" t="s">
        <v>209</v>
      </c>
      <c r="Q40" s="151" t="s">
        <v>186</v>
      </c>
      <c r="R40" s="15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40" s="155">
        <f>(1 - ((1 - VLOOKUP(Table4[[#This Row],[Confidentiality]],'Reference - CVSSv3.0'!$B$15:$C$17,2,FALSE)) * (1 - VLOOKUP(Table4[[#This Row],[Integrity]],'Reference - CVSSv3.0'!$B$15:$C$17,2,FALSE)) *  (1 - VLOOKUP(Table4[[#This Row],[Availability]],'Reference - CVSSv3.0'!$B$15:$C$17,2,FALSE))))</f>
        <v>0.65680000000000005</v>
      </c>
      <c r="T40" s="155">
        <f>IF(Table4[[#This Row],[Scope]]="Unchanged",6.42*Table4[[#This Row],[ISC Base]],IF(Table4[[#This Row],[Scope]]="Changed",7.52*(Table4[[#This Row],[ISC Base]] - 0.029) - 3.25 * POWER(Table4[[#This Row],[ISC Base]] - 0.02,15),NA()))</f>
        <v>4.2166560000000004</v>
      </c>
      <c r="U40"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40" s="176" t="s">
        <v>183</v>
      </c>
      <c r="W40" s="177">
        <f>VLOOKUP(Table4[[#This Row],[Threat Event Initiation]],NIST_Scale_LOAI[],2,FALSE)</f>
        <v>0.2</v>
      </c>
      <c r="X4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40"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199" t="s">
        <v>293</v>
      </c>
      <c r="AA40" s="199" t="s">
        <v>488</v>
      </c>
      <c r="AB40" s="86" t="s">
        <v>294</v>
      </c>
      <c r="AC40" s="207" t="s">
        <v>183</v>
      </c>
      <c r="AD40" s="207" t="s">
        <v>183</v>
      </c>
      <c r="AE40" s="207" t="s">
        <v>185</v>
      </c>
      <c r="AF40" s="208" t="s">
        <v>213</v>
      </c>
      <c r="AG40" s="208" t="s">
        <v>208</v>
      </c>
      <c r="AH40" s="208" t="s">
        <v>183</v>
      </c>
      <c r="AI40" s="208" t="s">
        <v>209</v>
      </c>
      <c r="AJ40" s="208" t="s">
        <v>186</v>
      </c>
      <c r="AK40"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0.27805958400000003</v>
      </c>
      <c r="AL40" s="155">
        <f>(1 - ((1 - VLOOKUP(Table4[[#This Row],[ConfidentialityP]],'Reference - CVSSv3.0'!$B$15:$C$17,2,FALSE)) * (1 - VLOOKUP(Table4[[#This Row],[IntegrityP]],'Reference - CVSSv3.0'!$B$15:$C$17,2,FALSE)) *  (1 - VLOOKUP(Table4[[#This Row],[AvailabilityP]],'Reference - CVSSv3.0'!$B$15:$C$17,2,FALSE))))</f>
        <v>0.39159999999999995</v>
      </c>
      <c r="AM40" s="155">
        <f>IF(Table4[[#This Row],[ScopeP]]="Unchanged",6.42*Table4[[#This Row],[ISC BaseP]],IF(Table4[[#This Row],[ScopeP]]="Changed",7.52*(Table4[[#This Row],[ISC BaseP]] - 0.029) - 3.25 * POWER(Table4[[#This Row],[ISC BaseP]] - 0.02,15),NA()))</f>
        <v>2.5140719999999996</v>
      </c>
      <c r="AN40" s="155">
        <f>IF(Table4[[#This Row],[Impact Sub ScoreP]]&lt;=0,0,IF(Table4[[#This Row],[ScopeP]]="Unchanged",ROUNDUP(MIN((Table4[[#This Row],[Impact Sub ScoreP]]+Table4[[#This Row],[Exploitability Sub ScoreP]]),10),1),IF(Table4[[#This Row],[ScopeP]]="Changed",ROUNDUP(MIN((1.08*(Table4[[#This Row],[Impact Sub ScoreP]]+Table4[[#This Row],[Exploitability Sub ScoreP]])),10),1),NA())))</f>
        <v>2.8000000000000003</v>
      </c>
      <c r="AO40"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P40" s="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0" s="199" t="s">
        <v>493</v>
      </c>
      <c r="AR40" s="213"/>
    </row>
    <row r="41" spans="1:44" s="47" customFormat="1" ht="111.75" customHeight="1">
      <c r="A41" s="64"/>
      <c r="B41" s="53" t="s">
        <v>285</v>
      </c>
      <c r="C41" s="84" t="str">
        <f>IF(VLOOKUP(Table4[[#This Row],[T ID]],Table5[#All],5,FALSE)="No","Not in scope",VLOOKUP(Table4[[#This Row],[T ID]],Table5[#All],2,FALSE))</f>
        <v>Unauthorized access to PHI</v>
      </c>
      <c r="D41" s="53" t="s">
        <v>116</v>
      </c>
      <c r="E41" s="84" t="str">
        <f>IF(VLOOKUP(Table4[[#This Row],[V ID]],Vulnerabilities[#All],3,FALSE)="No","Not in scope",VLOOKUP(Table4[[#This Row],[V ID]],Vulnerabilities[#All],2,FALSE))</f>
        <v>Sensitive Data Storage in Improperly Locked Memory</v>
      </c>
      <c r="F41" s="87" t="s">
        <v>15</v>
      </c>
      <c r="G41" s="84" t="str">
        <f>VLOOKUP(Table4[[#This Row],[A ID]],Assets[#All],3,FALSE)</f>
        <v xml:space="preserve">USB Drive </v>
      </c>
      <c r="H41" s="199" t="s">
        <v>295</v>
      </c>
      <c r="I41" s="53"/>
      <c r="J41" s="85" t="s">
        <v>208</v>
      </c>
      <c r="K41" s="85" t="s">
        <v>183</v>
      </c>
      <c r="L41" s="85" t="s">
        <v>185</v>
      </c>
      <c r="M41" s="151" t="s">
        <v>213</v>
      </c>
      <c r="N41" s="151" t="s">
        <v>208</v>
      </c>
      <c r="O41" s="151" t="s">
        <v>183</v>
      </c>
      <c r="P41" s="151" t="s">
        <v>209</v>
      </c>
      <c r="Q41" s="151" t="s">
        <v>186</v>
      </c>
      <c r="R41"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41" s="155">
        <f>(1 - ((1 - VLOOKUP(Table4[[#This Row],[Confidentiality]],'Reference - CVSSv3.0'!$B$15:$C$17,2,FALSE)) * (1 - VLOOKUP(Table4[[#This Row],[Integrity]],'Reference - CVSSv3.0'!$B$15:$C$17,2,FALSE)) *  (1 - VLOOKUP(Table4[[#This Row],[Availability]],'Reference - CVSSv3.0'!$B$15:$C$17,2,FALSE))))</f>
        <v>0.65680000000000005</v>
      </c>
      <c r="T41" s="155">
        <f>IF(Table4[[#This Row],[Scope]]="Unchanged",6.42*Table4[[#This Row],[ISC Base]],IF(Table4[[#This Row],[Scope]]="Changed",7.52*(Table4[[#This Row],[ISC Base]] - 0.029) - 3.25 * POWER(Table4[[#This Row],[ISC Base]] - 0.02,15),NA()))</f>
        <v>4.2166560000000004</v>
      </c>
      <c r="U41"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41" s="195" t="s">
        <v>253</v>
      </c>
      <c r="W41" s="155">
        <f>VLOOKUP(Table4[[#This Row],[Threat Event Initiation]],NIST_Scale_LOAI[],2,FALSE)</f>
        <v>0.5</v>
      </c>
      <c r="X4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199" t="s">
        <v>277</v>
      </c>
      <c r="AA41" s="199" t="s">
        <v>296</v>
      </c>
      <c r="AB41" s="86" t="s">
        <v>297</v>
      </c>
      <c r="AC41" s="207" t="s">
        <v>183</v>
      </c>
      <c r="AD41" s="207" t="s">
        <v>183</v>
      </c>
      <c r="AE41" s="207" t="s">
        <v>185</v>
      </c>
      <c r="AF41" s="208" t="s">
        <v>213</v>
      </c>
      <c r="AG41" s="208" t="s">
        <v>208</v>
      </c>
      <c r="AH41" s="208" t="s">
        <v>183</v>
      </c>
      <c r="AI41" s="208" t="s">
        <v>209</v>
      </c>
      <c r="AJ41" s="208" t="s">
        <v>186</v>
      </c>
      <c r="AK41"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0.27805958400000003</v>
      </c>
      <c r="AL41" s="155">
        <f>(1 - ((1 - VLOOKUP(Table4[[#This Row],[ConfidentialityP]],'Reference - CVSSv3.0'!$B$15:$C$17,2,FALSE)) * (1 - VLOOKUP(Table4[[#This Row],[IntegrityP]],'Reference - CVSSv3.0'!$B$15:$C$17,2,FALSE)) *  (1 - VLOOKUP(Table4[[#This Row],[AvailabilityP]],'Reference - CVSSv3.0'!$B$15:$C$17,2,FALSE))))</f>
        <v>0.39159999999999995</v>
      </c>
      <c r="AM41" s="155">
        <f>IF(Table4[[#This Row],[ScopeP]]="Unchanged",6.42*Table4[[#This Row],[ISC BaseP]],IF(Table4[[#This Row],[ScopeP]]="Changed",7.52*(Table4[[#This Row],[ISC BaseP]] - 0.029) - 3.25 * POWER(Table4[[#This Row],[ISC BaseP]] - 0.02,15),NA()))</f>
        <v>2.5140719999999996</v>
      </c>
      <c r="AN41" s="155">
        <f>IF(Table4[[#This Row],[Impact Sub ScoreP]]&lt;=0,0,IF(Table4[[#This Row],[ScopeP]]="Unchanged",ROUNDUP(MIN((Table4[[#This Row],[Impact Sub ScoreP]]+Table4[[#This Row],[Exploitability Sub ScoreP]]),10),1),IF(Table4[[#This Row],[ScopeP]]="Changed",ROUNDUP(MIN((1.08*(Table4[[#This Row],[Impact Sub ScoreP]]+Table4[[#This Row],[Exploitability Sub ScoreP]])),10),1),NA())))</f>
        <v>2.8000000000000003</v>
      </c>
      <c r="AO41"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41"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1" s="199" t="s">
        <v>493</v>
      </c>
      <c r="AR41" s="213"/>
    </row>
    <row r="42" spans="1:44" s="47" customFormat="1" ht="75.599999999999994" customHeight="1">
      <c r="A42" s="64"/>
      <c r="B42" s="53" t="s">
        <v>298</v>
      </c>
      <c r="C42" s="84" t="str">
        <f>IF(VLOOKUP(Table4[[#This Row],[T ID]],Table5[#All],5,FALSE)="No","Not in scope",VLOOKUP(Table4[[#This Row],[T ID]],Table5[#All],2,FALSE))</f>
        <v>Unauthorized users may steal credentials/device's keys/certificates</v>
      </c>
      <c r="D42" s="53" t="s">
        <v>106</v>
      </c>
      <c r="E42" s="84" t="str">
        <f>IF(VLOOKUP(Table4[[#This Row],[V ID]],Vulnerabilities[#All],3,FALSE)="No","Not in scope",VLOOKUP(Table4[[#This Row],[V ID]],Vulnerabilities[#All],2,FALSE))</f>
        <v>Insecure Storage of Sensitive Information</v>
      </c>
      <c r="F42" s="87" t="s">
        <v>55</v>
      </c>
      <c r="G42" s="84" t="str">
        <f>VLOOKUP(Table4[[#This Row],[A ID]],Assets[#All],3,FALSE)</f>
        <v>Security keys, tokens, certificates</v>
      </c>
      <c r="H42" s="199" t="s">
        <v>233</v>
      </c>
      <c r="I42" s="53"/>
      <c r="J42" s="85" t="s">
        <v>183</v>
      </c>
      <c r="K42" s="85" t="s">
        <v>183</v>
      </c>
      <c r="L42" s="85" t="s">
        <v>185</v>
      </c>
      <c r="M42" s="151" t="s">
        <v>213</v>
      </c>
      <c r="N42" s="151" t="s">
        <v>183</v>
      </c>
      <c r="O42" s="151" t="s">
        <v>208</v>
      </c>
      <c r="P42" s="151" t="s">
        <v>209</v>
      </c>
      <c r="Q42" s="151" t="s">
        <v>186</v>
      </c>
      <c r="R42"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42" s="155">
        <f>(1 - ((1 - VLOOKUP(Table4[[#This Row],[Confidentiality]],'Reference - CVSSv3.0'!$B$15:$C$17,2,FALSE)) * (1 - VLOOKUP(Table4[[#This Row],[Integrity]],'Reference - CVSSv3.0'!$B$15:$C$17,2,FALSE)) *  (1 - VLOOKUP(Table4[[#This Row],[Availability]],'Reference - CVSSv3.0'!$B$15:$C$17,2,FALSE))))</f>
        <v>0.39159999999999995</v>
      </c>
      <c r="T42" s="155">
        <f>IF(Table4[[#This Row],[Scope]]="Unchanged",6.42*Table4[[#This Row],[ISC Base]],IF(Table4[[#This Row],[Scope]]="Changed",7.52*(Table4[[#This Row],[ISC Base]] - 0.029) - 3.25 * POWER(Table4[[#This Row],[ISC Base]] - 0.02,15),NA()))</f>
        <v>2.5140719999999996</v>
      </c>
      <c r="U42" s="155">
        <f>IF(Table4[[#This Row],[Impact Sub Score]]&lt;=0,0,IF(Table4[[#This Row],[Scope]]="Unchanged",ROUNDUP(MIN((Table4[[#This Row],[Impact Sub Score]]+Table4[[#This Row],[Exploitability Sub Score]]),10),1),IF(Table4[[#This Row],[Scope]]="Changed",ROUNDUP(MIN((1.08*(Table4[[#This Row],[Impact Sub Score]]+Table4[[#This Row],[Exploitability Sub Score]])),10),1),NA())))</f>
        <v>2.8000000000000003</v>
      </c>
      <c r="V42" s="195" t="s">
        <v>183</v>
      </c>
      <c r="W42" s="155">
        <f>VLOOKUP(Table4[[#This Row],[Threat Event Initiation]],NIST_Scale_LOAI[],2,FALSE)</f>
        <v>0.2</v>
      </c>
      <c r="X42"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4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9" t="s">
        <v>299</v>
      </c>
      <c r="AA42" s="199" t="s">
        <v>300</v>
      </c>
      <c r="AB42" s="86" t="s">
        <v>301</v>
      </c>
      <c r="AC42" s="207" t="s">
        <v>183</v>
      </c>
      <c r="AD42" s="207" t="s">
        <v>183</v>
      </c>
      <c r="AE42" s="207" t="s">
        <v>185</v>
      </c>
      <c r="AF42" s="208" t="s">
        <v>213</v>
      </c>
      <c r="AG42" s="208" t="s">
        <v>183</v>
      </c>
      <c r="AH42" s="208" t="s">
        <v>208</v>
      </c>
      <c r="AI42" s="208" t="s">
        <v>209</v>
      </c>
      <c r="AJ42" s="208" t="s">
        <v>186</v>
      </c>
      <c r="AK42"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0.21190831200000004</v>
      </c>
      <c r="AL42" s="155">
        <f>(1 - ((1 - VLOOKUP(Table4[[#This Row],[ConfidentialityP]],'Reference - CVSSv3.0'!$B$15:$C$17,2,FALSE)) * (1 - VLOOKUP(Table4[[#This Row],[IntegrityP]],'Reference - CVSSv3.0'!$B$15:$C$17,2,FALSE)) *  (1 - VLOOKUP(Table4[[#This Row],[AvailabilityP]],'Reference - CVSSv3.0'!$B$15:$C$17,2,FALSE))))</f>
        <v>0.39159999999999995</v>
      </c>
      <c r="AM42" s="155">
        <f>IF(Table4[[#This Row],[ScopeP]]="Unchanged",6.42*Table4[[#This Row],[ISC BaseP]],IF(Table4[[#This Row],[ScopeP]]="Changed",7.52*(Table4[[#This Row],[ISC BaseP]] - 0.029) - 3.25 * POWER(Table4[[#This Row],[ISC BaseP]] - 0.02,15),NA()))</f>
        <v>2.5140719999999996</v>
      </c>
      <c r="AN42" s="155">
        <f>IF(Table4[[#This Row],[Impact Sub ScoreP]]&lt;=0,0,IF(Table4[[#This Row],[ScopeP]]="Unchanged",ROUNDUP(MIN((Table4[[#This Row],[Impact Sub ScoreP]]+Table4[[#This Row],[Exploitability Sub ScoreP]]),10),1),IF(Table4[[#This Row],[ScopeP]]="Changed",ROUNDUP(MIN((1.08*(Table4[[#This Row],[Impact Sub ScoreP]]+Table4[[#This Row],[Exploitability Sub ScoreP]])),10),1),NA())))</f>
        <v>2.8000000000000003</v>
      </c>
      <c r="AO42"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P42"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2" s="53"/>
      <c r="AR42" s="213"/>
    </row>
    <row r="43" spans="1:44" s="47" customFormat="1" ht="199.5">
      <c r="A43" s="64"/>
      <c r="B43" s="53" t="s">
        <v>298</v>
      </c>
      <c r="C43" s="84" t="str">
        <f>IF(VLOOKUP(Table4[[#This Row],[T ID]],Table5[#All],5,FALSE)="No","Not in scope",VLOOKUP(Table4[[#This Row],[T ID]],Table5[#All],2,FALSE))</f>
        <v>Unauthorized users may steal credentials/device's keys/certificates</v>
      </c>
      <c r="D43" s="53" t="s">
        <v>112</v>
      </c>
      <c r="E43" s="84" t="str">
        <f>IF(VLOOKUP(Table4[[#This Row],[V ID]],Vulnerabilities[#All],3,FALSE)="No","Not in scope",VLOOKUP(Table4[[#This Row],[V ID]],Vulnerabilities[#All],2,FALSE))</f>
        <v>Use of a Broken or Risky Cryptographic Algorithm or Inadequate encryption strength</v>
      </c>
      <c r="F43" s="87" t="s">
        <v>55</v>
      </c>
      <c r="G43" s="84" t="str">
        <f>VLOOKUP(Table4[[#This Row],[A ID]],Assets[#All],3,FALSE)</f>
        <v>Security keys, tokens, certificates</v>
      </c>
      <c r="H43" s="199" t="s">
        <v>233</v>
      </c>
      <c r="I43" s="53"/>
      <c r="J43" s="85" t="s">
        <v>183</v>
      </c>
      <c r="K43" s="85" t="s">
        <v>183</v>
      </c>
      <c r="L43" s="85" t="s">
        <v>185</v>
      </c>
      <c r="M43" s="151" t="s">
        <v>213</v>
      </c>
      <c r="N43" s="151" t="s">
        <v>183</v>
      </c>
      <c r="O43" s="151" t="s">
        <v>208</v>
      </c>
      <c r="P43" s="151" t="s">
        <v>209</v>
      </c>
      <c r="Q43" s="151" t="s">
        <v>186</v>
      </c>
      <c r="R43"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43" s="155">
        <f>(1 - ((1 - VLOOKUP(Table4[[#This Row],[Confidentiality]],'Reference - CVSSv3.0'!$B$15:$C$17,2,FALSE)) * (1 - VLOOKUP(Table4[[#This Row],[Integrity]],'Reference - CVSSv3.0'!$B$15:$C$17,2,FALSE)) *  (1 - VLOOKUP(Table4[[#This Row],[Availability]],'Reference - CVSSv3.0'!$B$15:$C$17,2,FALSE))))</f>
        <v>0.39159999999999995</v>
      </c>
      <c r="T43" s="155">
        <f>IF(Table4[[#This Row],[Scope]]="Unchanged",6.42*Table4[[#This Row],[ISC Base]],IF(Table4[[#This Row],[Scope]]="Changed",7.52*(Table4[[#This Row],[ISC Base]] - 0.029) - 3.25 * POWER(Table4[[#This Row],[ISC Base]] - 0.02,15),NA()))</f>
        <v>2.5140719999999996</v>
      </c>
      <c r="U43" s="155">
        <f>IF(Table4[[#This Row],[Impact Sub Score]]&lt;=0,0,IF(Table4[[#This Row],[Scope]]="Unchanged",ROUNDUP(MIN((Table4[[#This Row],[Impact Sub Score]]+Table4[[#This Row],[Exploitability Sub Score]]),10),1),IF(Table4[[#This Row],[Scope]]="Changed",ROUNDUP(MIN((1.08*(Table4[[#This Row],[Impact Sub Score]]+Table4[[#This Row],[Exploitability Sub Score]])),10),1),NA())))</f>
        <v>2.8000000000000003</v>
      </c>
      <c r="V43" s="195" t="s">
        <v>183</v>
      </c>
      <c r="W43" s="155">
        <f>VLOOKUP(Table4[[#This Row],[Threat Event Initiation]],NIST_Scale_LOAI[],2,FALSE)</f>
        <v>0.2</v>
      </c>
      <c r="X43"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4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3" s="199" t="s">
        <v>302</v>
      </c>
      <c r="AA43" s="199" t="s">
        <v>290</v>
      </c>
      <c r="AB43" s="86" t="s">
        <v>303</v>
      </c>
      <c r="AC43" s="207" t="s">
        <v>183</v>
      </c>
      <c r="AD43" s="207" t="s">
        <v>183</v>
      </c>
      <c r="AE43" s="207" t="s">
        <v>185</v>
      </c>
      <c r="AF43" s="208" t="s">
        <v>213</v>
      </c>
      <c r="AG43" s="208" t="s">
        <v>183</v>
      </c>
      <c r="AH43" s="208" t="s">
        <v>208</v>
      </c>
      <c r="AI43" s="208" t="s">
        <v>209</v>
      </c>
      <c r="AJ43" s="208" t="s">
        <v>186</v>
      </c>
      <c r="AK43"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0.21190831200000004</v>
      </c>
      <c r="AL43" s="155">
        <f>(1 - ((1 - VLOOKUP(Table4[[#This Row],[ConfidentialityP]],'Reference - CVSSv3.0'!$B$15:$C$17,2,FALSE)) * (1 - VLOOKUP(Table4[[#This Row],[IntegrityP]],'Reference - CVSSv3.0'!$B$15:$C$17,2,FALSE)) *  (1 - VLOOKUP(Table4[[#This Row],[AvailabilityP]],'Reference - CVSSv3.0'!$B$15:$C$17,2,FALSE))))</f>
        <v>0.39159999999999995</v>
      </c>
      <c r="AM43" s="155">
        <f>IF(Table4[[#This Row],[ScopeP]]="Unchanged",6.42*Table4[[#This Row],[ISC BaseP]],IF(Table4[[#This Row],[ScopeP]]="Changed",7.52*(Table4[[#This Row],[ISC BaseP]] - 0.029) - 3.25 * POWER(Table4[[#This Row],[ISC BaseP]] - 0.02,15),NA()))</f>
        <v>2.5140719999999996</v>
      </c>
      <c r="AN43" s="155">
        <f>IF(Table4[[#This Row],[Impact Sub ScoreP]]&lt;=0,0,IF(Table4[[#This Row],[ScopeP]]="Unchanged",ROUNDUP(MIN((Table4[[#This Row],[Impact Sub ScoreP]]+Table4[[#This Row],[Exploitability Sub ScoreP]]),10),1),IF(Table4[[#This Row],[ScopeP]]="Changed",ROUNDUP(MIN((1.08*(Table4[[#This Row],[Impact Sub ScoreP]]+Table4[[#This Row],[Exploitability Sub ScoreP]])),10),1),NA())))</f>
        <v>2.8000000000000003</v>
      </c>
      <c r="AO43"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P43"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3" s="53"/>
      <c r="AR43" s="213"/>
    </row>
    <row r="44" spans="1:44" s="47" customFormat="1" ht="114">
      <c r="A44" s="64"/>
      <c r="B44" s="53" t="s">
        <v>298</v>
      </c>
      <c r="C44" s="84" t="str">
        <f>IF(VLOOKUP(Table4[[#This Row],[T ID]],Table5[#All],5,FALSE)="No","Not in scope",VLOOKUP(Table4[[#This Row],[T ID]],Table5[#All],2,FALSE))</f>
        <v>Unauthorized users may steal credentials/device's keys/certificates</v>
      </c>
      <c r="D44" s="53" t="s">
        <v>74</v>
      </c>
      <c r="E44" s="84" t="str">
        <f>IF(VLOOKUP(Table4[[#This Row],[V ID]],Vulnerabilities[#All],3,FALSE)="No","Not in scope",VLOOKUP(Table4[[#This Row],[V ID]],Vulnerabilities[#All],2,FALSE))</f>
        <v>Unprotected Storage of Credential</v>
      </c>
      <c r="F44" s="87" t="s">
        <v>55</v>
      </c>
      <c r="G44" s="84" t="str">
        <f>VLOOKUP(Table4[[#This Row],[A ID]],Assets[#All],3,FALSE)</f>
        <v>Security keys, tokens, certificates</v>
      </c>
      <c r="H44" s="199" t="s">
        <v>233</v>
      </c>
      <c r="I44" s="53"/>
      <c r="J44" s="85" t="s">
        <v>183</v>
      </c>
      <c r="K44" s="85" t="s">
        <v>183</v>
      </c>
      <c r="L44" s="85" t="s">
        <v>185</v>
      </c>
      <c r="M44" s="151" t="s">
        <v>213</v>
      </c>
      <c r="N44" s="151" t="s">
        <v>183</v>
      </c>
      <c r="O44" s="151" t="s">
        <v>208</v>
      </c>
      <c r="P44" s="151" t="s">
        <v>209</v>
      </c>
      <c r="Q44" s="151" t="s">
        <v>186</v>
      </c>
      <c r="R44"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44" s="155">
        <f>(1 - ((1 - VLOOKUP(Table4[[#This Row],[Confidentiality]],'Reference - CVSSv3.0'!$B$15:$C$17,2,FALSE)) * (1 - VLOOKUP(Table4[[#This Row],[Integrity]],'Reference - CVSSv3.0'!$B$15:$C$17,2,FALSE)) *  (1 - VLOOKUP(Table4[[#This Row],[Availability]],'Reference - CVSSv3.0'!$B$15:$C$17,2,FALSE))))</f>
        <v>0.39159999999999995</v>
      </c>
      <c r="T44" s="155">
        <f>IF(Table4[[#This Row],[Scope]]="Unchanged",6.42*Table4[[#This Row],[ISC Base]],IF(Table4[[#This Row],[Scope]]="Changed",7.52*(Table4[[#This Row],[ISC Base]] - 0.029) - 3.25 * POWER(Table4[[#This Row],[ISC Base]] - 0.02,15),NA()))</f>
        <v>2.5140719999999996</v>
      </c>
      <c r="U44" s="155">
        <f>IF(Table4[[#This Row],[Impact Sub Score]]&lt;=0,0,IF(Table4[[#This Row],[Scope]]="Unchanged",ROUNDUP(MIN((Table4[[#This Row],[Impact Sub Score]]+Table4[[#This Row],[Exploitability Sub Score]]),10),1),IF(Table4[[#This Row],[Scope]]="Changed",ROUNDUP(MIN((1.08*(Table4[[#This Row],[Impact Sub Score]]+Table4[[#This Row],[Exploitability Sub Score]])),10),1),NA())))</f>
        <v>2.8000000000000003</v>
      </c>
      <c r="V44" s="195" t="s">
        <v>183</v>
      </c>
      <c r="W44" s="155">
        <f>VLOOKUP(Table4[[#This Row],[Threat Event Initiation]],NIST_Scale_LOAI[],2,FALSE)</f>
        <v>0.2</v>
      </c>
      <c r="X44"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4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9" t="s">
        <v>299</v>
      </c>
      <c r="AA44" s="199" t="s">
        <v>304</v>
      </c>
      <c r="AB44" s="86" t="s">
        <v>305</v>
      </c>
      <c r="AC44" s="207" t="s">
        <v>183</v>
      </c>
      <c r="AD44" s="207" t="s">
        <v>183</v>
      </c>
      <c r="AE44" s="207" t="s">
        <v>185</v>
      </c>
      <c r="AF44" s="208" t="s">
        <v>213</v>
      </c>
      <c r="AG44" s="208" t="s">
        <v>183</v>
      </c>
      <c r="AH44" s="208" t="s">
        <v>208</v>
      </c>
      <c r="AI44" s="208" t="s">
        <v>209</v>
      </c>
      <c r="AJ44" s="208" t="s">
        <v>186</v>
      </c>
      <c r="AK44"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0.21190831200000004</v>
      </c>
      <c r="AL44" s="155">
        <f>(1 - ((1 - VLOOKUP(Table4[[#This Row],[ConfidentialityP]],'Reference - CVSSv3.0'!$B$15:$C$17,2,FALSE)) * (1 - VLOOKUP(Table4[[#This Row],[IntegrityP]],'Reference - CVSSv3.0'!$B$15:$C$17,2,FALSE)) *  (1 - VLOOKUP(Table4[[#This Row],[AvailabilityP]],'Reference - CVSSv3.0'!$B$15:$C$17,2,FALSE))))</f>
        <v>0.39159999999999995</v>
      </c>
      <c r="AM44" s="155">
        <f>IF(Table4[[#This Row],[ScopeP]]="Unchanged",6.42*Table4[[#This Row],[ISC BaseP]],IF(Table4[[#This Row],[ScopeP]]="Changed",7.52*(Table4[[#This Row],[ISC BaseP]] - 0.029) - 3.25 * POWER(Table4[[#This Row],[ISC BaseP]] - 0.02,15),NA()))</f>
        <v>2.5140719999999996</v>
      </c>
      <c r="AN44" s="155">
        <f>IF(Table4[[#This Row],[Impact Sub ScoreP]]&lt;=0,0,IF(Table4[[#This Row],[ScopeP]]="Unchanged",ROUNDUP(MIN((Table4[[#This Row],[Impact Sub ScoreP]]+Table4[[#This Row],[Exploitability Sub ScoreP]]),10),1),IF(Table4[[#This Row],[ScopeP]]="Changed",ROUNDUP(MIN((1.08*(Table4[[#This Row],[Impact Sub ScoreP]]+Table4[[#This Row],[Exploitability Sub ScoreP]])),10),1),NA())))</f>
        <v>2.8000000000000003</v>
      </c>
      <c r="AO44"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P44"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4" s="53"/>
      <c r="AR44" s="213"/>
    </row>
    <row r="45" spans="1:44" s="47" customFormat="1" ht="228">
      <c r="A45" s="64"/>
      <c r="B45" s="53" t="s">
        <v>298</v>
      </c>
      <c r="C45" s="84" t="str">
        <f>IF(VLOOKUP(Table4[[#This Row],[T ID]],Table5[#All],5,FALSE)="No","Not in scope",VLOOKUP(Table4[[#This Row],[T ID]],Table5[#All],2,FALSE))</f>
        <v>Unauthorized users may steal credentials/device's keys/certificates</v>
      </c>
      <c r="D45" s="53" t="s">
        <v>106</v>
      </c>
      <c r="E45" s="84" t="str">
        <f>IF(VLOOKUP(Table4[[#This Row],[V ID]],Vulnerabilities[#All],3,FALSE)="No","Not in scope",VLOOKUP(Table4[[#This Row],[V ID]],Vulnerabilities[#All],2,FALSE))</f>
        <v>Insecure Storage of Sensitive Information</v>
      </c>
      <c r="F45" s="87" t="s">
        <v>52</v>
      </c>
      <c r="G45" s="84" t="str">
        <f>VLOOKUP(Table4[[#This Row],[A ID]],Assets[#All],3,FALSE)</f>
        <v>User License data</v>
      </c>
      <c r="H45" s="199" t="s">
        <v>233</v>
      </c>
      <c r="I45" s="53"/>
      <c r="J45" s="85" t="s">
        <v>208</v>
      </c>
      <c r="K45" s="85" t="s">
        <v>183</v>
      </c>
      <c r="L45" s="85" t="s">
        <v>185</v>
      </c>
      <c r="M45" s="151" t="s">
        <v>213</v>
      </c>
      <c r="N45" s="151" t="s">
        <v>183</v>
      </c>
      <c r="O45" s="151" t="s">
        <v>208</v>
      </c>
      <c r="P45" s="151" t="s">
        <v>209</v>
      </c>
      <c r="Q45" s="151" t="s">
        <v>186</v>
      </c>
      <c r="R45"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45" s="155">
        <f>(1 - ((1 - VLOOKUP(Table4[[#This Row],[Confidentiality]],'Reference - CVSSv3.0'!$B$15:$C$17,2,FALSE)) * (1 - VLOOKUP(Table4[[#This Row],[Integrity]],'Reference - CVSSv3.0'!$B$15:$C$17,2,FALSE)) *  (1 - VLOOKUP(Table4[[#This Row],[Availability]],'Reference - CVSSv3.0'!$B$15:$C$17,2,FALSE))))</f>
        <v>0.65680000000000005</v>
      </c>
      <c r="T45" s="155">
        <f>IF(Table4[[#This Row],[Scope]]="Unchanged",6.42*Table4[[#This Row],[ISC Base]],IF(Table4[[#This Row],[Scope]]="Changed",7.52*(Table4[[#This Row],[ISC Base]] - 0.029) - 3.25 * POWER(Table4[[#This Row],[ISC Base]] - 0.02,15),NA()))</f>
        <v>4.2166560000000004</v>
      </c>
      <c r="U45"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45" s="195" t="s">
        <v>253</v>
      </c>
      <c r="W45" s="155">
        <f>VLOOKUP(Table4[[#This Row],[Threat Event Initiation]],NIST_Scale_LOAI[],2,FALSE)</f>
        <v>0.5</v>
      </c>
      <c r="X4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9" t="s">
        <v>306</v>
      </c>
      <c r="AA45" s="199" t="s">
        <v>484</v>
      </c>
      <c r="AB45" s="86" t="s">
        <v>307</v>
      </c>
      <c r="AC45" s="207" t="s">
        <v>208</v>
      </c>
      <c r="AD45" s="207" t="s">
        <v>183</v>
      </c>
      <c r="AE45" s="207" t="s">
        <v>185</v>
      </c>
      <c r="AF45" s="208" t="s">
        <v>213</v>
      </c>
      <c r="AG45" s="208" t="s">
        <v>183</v>
      </c>
      <c r="AH45" s="208" t="s">
        <v>208</v>
      </c>
      <c r="AI45" s="208" t="s">
        <v>209</v>
      </c>
      <c r="AJ45" s="208" t="s">
        <v>186</v>
      </c>
      <c r="AK45"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0.21190831200000004</v>
      </c>
      <c r="AL45" s="155">
        <f>(1 - ((1 - VLOOKUP(Table4[[#This Row],[ConfidentialityP]],'Reference - CVSSv3.0'!$B$15:$C$17,2,FALSE)) * (1 - VLOOKUP(Table4[[#This Row],[IntegrityP]],'Reference - CVSSv3.0'!$B$15:$C$17,2,FALSE)) *  (1 - VLOOKUP(Table4[[#This Row],[AvailabilityP]],'Reference - CVSSv3.0'!$B$15:$C$17,2,FALSE))))</f>
        <v>0.65680000000000005</v>
      </c>
      <c r="AM45" s="155">
        <f>IF(Table4[[#This Row],[ScopeP]]="Unchanged",6.42*Table4[[#This Row],[ISC BaseP]],IF(Table4[[#This Row],[ScopeP]]="Changed",7.52*(Table4[[#This Row],[ISC BaseP]] - 0.029) - 3.25 * POWER(Table4[[#This Row],[ISC BaseP]] - 0.02,15),NA()))</f>
        <v>4.2166560000000004</v>
      </c>
      <c r="AN45" s="155">
        <f>IF(Table4[[#This Row],[Impact Sub ScoreP]]&lt;=0,0,IF(Table4[[#This Row],[ScopeP]]="Unchanged",ROUNDUP(MIN((Table4[[#This Row],[Impact Sub ScoreP]]+Table4[[#This Row],[Exploitability Sub ScoreP]]),10),1),IF(Table4[[#This Row],[ScopeP]]="Changed",ROUNDUP(MIN((1.08*(Table4[[#This Row],[Impact Sub ScoreP]]+Table4[[#This Row],[Exploitability Sub ScoreP]])),10),1),NA())))</f>
        <v>4.5</v>
      </c>
      <c r="AO45"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4.3999999999999995</v>
      </c>
      <c r="AP45"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45" s="53"/>
      <c r="AR45" s="213"/>
    </row>
    <row r="46" spans="1:44" s="47" customFormat="1" ht="199.5">
      <c r="A46" s="64"/>
      <c r="B46" s="53" t="s">
        <v>298</v>
      </c>
      <c r="C46" s="84" t="str">
        <f>IF(VLOOKUP(Table4[[#This Row],[T ID]],Table5[#All],5,FALSE)="No","Not in scope",VLOOKUP(Table4[[#This Row],[T ID]],Table5[#All],2,FALSE))</f>
        <v>Unauthorized users may steal credentials/device's keys/certificates</v>
      </c>
      <c r="D46" s="53" t="s">
        <v>112</v>
      </c>
      <c r="E46" s="84" t="str">
        <f>IF(VLOOKUP(Table4[[#This Row],[V ID]],Vulnerabilities[#All],3,FALSE)="No","Not in scope",VLOOKUP(Table4[[#This Row],[V ID]],Vulnerabilities[#All],2,FALSE))</f>
        <v>Use of a Broken or Risky Cryptographic Algorithm or Inadequate encryption strength</v>
      </c>
      <c r="F46" s="87" t="s">
        <v>52</v>
      </c>
      <c r="G46" s="84" t="str">
        <f>VLOOKUP(Table4[[#This Row],[A ID]],Assets[#All],3,FALSE)</f>
        <v>User License data</v>
      </c>
      <c r="H46" s="199" t="s">
        <v>233</v>
      </c>
      <c r="I46" s="53"/>
      <c r="J46" s="85" t="s">
        <v>208</v>
      </c>
      <c r="K46" s="85" t="s">
        <v>183</v>
      </c>
      <c r="L46" s="85" t="s">
        <v>185</v>
      </c>
      <c r="M46" s="151" t="s">
        <v>213</v>
      </c>
      <c r="N46" s="151" t="s">
        <v>208</v>
      </c>
      <c r="O46" s="151" t="s">
        <v>208</v>
      </c>
      <c r="P46" s="151" t="s">
        <v>209</v>
      </c>
      <c r="Q46" s="151" t="s">
        <v>186</v>
      </c>
      <c r="R46"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0.12109046400000002</v>
      </c>
      <c r="S46" s="155">
        <f>(1 - ((1 - VLOOKUP(Table4[[#This Row],[Confidentiality]],'Reference - CVSSv3.0'!$B$15:$C$17,2,FALSE)) * (1 - VLOOKUP(Table4[[#This Row],[Integrity]],'Reference - CVSSv3.0'!$B$15:$C$17,2,FALSE)) *  (1 - VLOOKUP(Table4[[#This Row],[Availability]],'Reference - CVSSv3.0'!$B$15:$C$17,2,FALSE))))</f>
        <v>0.65680000000000005</v>
      </c>
      <c r="T46" s="155">
        <f>IF(Table4[[#This Row],[Scope]]="Unchanged",6.42*Table4[[#This Row],[ISC Base]],IF(Table4[[#This Row],[Scope]]="Changed",7.52*(Table4[[#This Row],[ISC Base]] - 0.029) - 3.25 * POWER(Table4[[#This Row],[ISC Base]] - 0.02,15),NA()))</f>
        <v>4.2166560000000004</v>
      </c>
      <c r="U46" s="15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46" s="195" t="s">
        <v>253</v>
      </c>
      <c r="W46" s="155">
        <f>VLOOKUP(Table4[[#This Row],[Threat Event Initiation]],NIST_Scale_LOAI[],2,FALSE)</f>
        <v>0.5</v>
      </c>
      <c r="X4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4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199" t="s">
        <v>308</v>
      </c>
      <c r="AA46" s="199" t="s">
        <v>479</v>
      </c>
      <c r="AB46" s="86" t="s">
        <v>309</v>
      </c>
      <c r="AC46" s="207" t="s">
        <v>183</v>
      </c>
      <c r="AD46" s="207" t="s">
        <v>183</v>
      </c>
      <c r="AE46" s="207" t="s">
        <v>185</v>
      </c>
      <c r="AF46" s="208" t="s">
        <v>213</v>
      </c>
      <c r="AG46" s="208" t="s">
        <v>208</v>
      </c>
      <c r="AH46" s="208" t="s">
        <v>208</v>
      </c>
      <c r="AI46" s="208" t="s">
        <v>209</v>
      </c>
      <c r="AJ46" s="208" t="s">
        <v>186</v>
      </c>
      <c r="AK46"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0.12109046400000002</v>
      </c>
      <c r="AL46" s="155">
        <f>(1 - ((1 - VLOOKUP(Table4[[#This Row],[ConfidentialityP]],'Reference - CVSSv3.0'!$B$15:$C$17,2,FALSE)) * (1 - VLOOKUP(Table4[[#This Row],[IntegrityP]],'Reference - CVSSv3.0'!$B$15:$C$17,2,FALSE)) *  (1 - VLOOKUP(Table4[[#This Row],[AvailabilityP]],'Reference - CVSSv3.0'!$B$15:$C$17,2,FALSE))))</f>
        <v>0.39159999999999995</v>
      </c>
      <c r="AM46" s="155">
        <f>IF(Table4[[#This Row],[ScopeP]]="Unchanged",6.42*Table4[[#This Row],[ISC BaseP]],IF(Table4[[#This Row],[ScopeP]]="Changed",7.52*(Table4[[#This Row],[ISC BaseP]] - 0.029) - 3.25 * POWER(Table4[[#This Row],[ISC BaseP]] - 0.02,15),NA()))</f>
        <v>2.5140719999999996</v>
      </c>
      <c r="AN46" s="155">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O46"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P46"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6" s="199" t="s">
        <v>493</v>
      </c>
      <c r="AR46" s="213"/>
    </row>
    <row r="47" spans="1:44" s="47" customFormat="1" ht="48.75" customHeight="1">
      <c r="A47" s="64"/>
      <c r="B47" s="53" t="s">
        <v>298</v>
      </c>
      <c r="C47" s="84" t="str">
        <f>IF(VLOOKUP(Table4[[#This Row],[T ID]],Table5[#All],5,FALSE)="No","Not in scope",VLOOKUP(Table4[[#This Row],[T ID]],Table5[#All],2,FALSE))</f>
        <v>Unauthorized users may steal credentials/device's keys/certificates</v>
      </c>
      <c r="D47" s="53" t="s">
        <v>106</v>
      </c>
      <c r="E47" s="84" t="str">
        <f>IF(VLOOKUP(Table4[[#This Row],[V ID]],Vulnerabilities[#All],3,FALSE)="No","Not in scope",VLOOKUP(Table4[[#This Row],[V ID]],Vulnerabilities[#All],2,FALSE))</f>
        <v>Insecure Storage of Sensitive Information</v>
      </c>
      <c r="F47" s="87" t="s">
        <v>18</v>
      </c>
      <c r="G47" s="84" t="str">
        <f>VLOOKUP(Table4[[#This Row],[A ID]],Assets[#All],3,FALSE)</f>
        <v>User Password / Credentials</v>
      </c>
      <c r="H47" s="199" t="s">
        <v>233</v>
      </c>
      <c r="I47" s="53"/>
      <c r="J47" s="85" t="s">
        <v>208</v>
      </c>
      <c r="K47" s="85" t="s">
        <v>183</v>
      </c>
      <c r="L47" s="85" t="s">
        <v>185</v>
      </c>
      <c r="M47" s="151" t="s">
        <v>213</v>
      </c>
      <c r="N47" s="151" t="s">
        <v>183</v>
      </c>
      <c r="O47" s="151" t="s">
        <v>208</v>
      </c>
      <c r="P47" s="151" t="s">
        <v>209</v>
      </c>
      <c r="Q47" s="151" t="s">
        <v>186</v>
      </c>
      <c r="R47"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47" s="155">
        <f>(1 - ((1 - VLOOKUP(Table4[[#This Row],[Confidentiality]],'Reference - CVSSv3.0'!$B$15:$C$17,2,FALSE)) * (1 - VLOOKUP(Table4[[#This Row],[Integrity]],'Reference - CVSSv3.0'!$B$15:$C$17,2,FALSE)) *  (1 - VLOOKUP(Table4[[#This Row],[Availability]],'Reference - CVSSv3.0'!$B$15:$C$17,2,FALSE))))</f>
        <v>0.65680000000000005</v>
      </c>
      <c r="T47" s="155">
        <f>IF(Table4[[#This Row],[Scope]]="Unchanged",6.42*Table4[[#This Row],[ISC Base]],IF(Table4[[#This Row],[Scope]]="Changed",7.52*(Table4[[#This Row],[ISC Base]] - 0.029) - 3.25 * POWER(Table4[[#This Row],[ISC Base]] - 0.02,15),NA()))</f>
        <v>4.2166560000000004</v>
      </c>
      <c r="U47"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47" s="195" t="s">
        <v>183</v>
      </c>
      <c r="W47" s="155">
        <f>VLOOKUP(Table4[[#This Row],[Threat Event Initiation]],NIST_Scale_LOAI[],2,FALSE)</f>
        <v>0.2</v>
      </c>
      <c r="X4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4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9" t="s">
        <v>310</v>
      </c>
      <c r="AA47" s="199" t="s">
        <v>481</v>
      </c>
      <c r="AB47" s="86" t="s">
        <v>307</v>
      </c>
      <c r="AC47" s="207" t="s">
        <v>208</v>
      </c>
      <c r="AD47" s="207" t="s">
        <v>183</v>
      </c>
      <c r="AE47" s="207" t="s">
        <v>185</v>
      </c>
      <c r="AF47" s="208" t="s">
        <v>213</v>
      </c>
      <c r="AG47" s="208" t="s">
        <v>183</v>
      </c>
      <c r="AH47" s="208" t="s">
        <v>208</v>
      </c>
      <c r="AI47" s="208" t="s">
        <v>209</v>
      </c>
      <c r="AJ47" s="208" t="s">
        <v>186</v>
      </c>
      <c r="AK47"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0.21190831200000004</v>
      </c>
      <c r="AL47" s="155">
        <f>(1 - ((1 - VLOOKUP(Table4[[#This Row],[ConfidentialityP]],'Reference - CVSSv3.0'!$B$15:$C$17,2,FALSE)) * (1 - VLOOKUP(Table4[[#This Row],[IntegrityP]],'Reference - CVSSv3.0'!$B$15:$C$17,2,FALSE)) *  (1 - VLOOKUP(Table4[[#This Row],[AvailabilityP]],'Reference - CVSSv3.0'!$B$15:$C$17,2,FALSE))))</f>
        <v>0.65680000000000005</v>
      </c>
      <c r="AM47" s="155">
        <f>IF(Table4[[#This Row],[ScopeP]]="Unchanged",6.42*Table4[[#This Row],[ISC BaseP]],IF(Table4[[#This Row],[ScopeP]]="Changed",7.52*(Table4[[#This Row],[ISC BaseP]] - 0.029) - 3.25 * POWER(Table4[[#This Row],[ISC BaseP]] - 0.02,15),NA()))</f>
        <v>4.2166560000000004</v>
      </c>
      <c r="AN47" s="155">
        <f>IF(Table4[[#This Row],[Impact Sub ScoreP]]&lt;=0,0,IF(Table4[[#This Row],[ScopeP]]="Unchanged",ROUNDUP(MIN((Table4[[#This Row],[Impact Sub ScoreP]]+Table4[[#This Row],[Exploitability Sub ScoreP]]),10),1),IF(Table4[[#This Row],[ScopeP]]="Changed",ROUNDUP(MIN((1.08*(Table4[[#This Row],[Impact Sub ScoreP]]+Table4[[#This Row],[Exploitability Sub ScoreP]])),10),1),NA())))</f>
        <v>4.5</v>
      </c>
      <c r="AO47"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4.3</v>
      </c>
      <c r="AP47"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47" s="53"/>
      <c r="AR47" s="213"/>
    </row>
    <row r="48" spans="1:44" s="47" customFormat="1" ht="271.14999999999998" customHeight="1">
      <c r="A48" s="64"/>
      <c r="B48" s="53" t="s">
        <v>311</v>
      </c>
      <c r="C48" s="84" t="str">
        <f>IF(VLOOKUP(Table4[[#This Row],[T ID]],Table5[#All],5,FALSE)="No","Not in scope",VLOOKUP(Table4[[#This Row],[T ID]],Table5[#All],2,FALSE))</f>
        <v>Brute force login attempts/password guessing attacks</v>
      </c>
      <c r="D48" s="53" t="s">
        <v>70</v>
      </c>
      <c r="E48" s="84" t="str">
        <f>IF(VLOOKUP(Table4[[#This Row],[V ID]],Vulnerabilities[#All],3,FALSE)="No","Not in scope",VLOOKUP(Table4[[#This Row],[V ID]],Vulnerabilities[#All],2,FALSE))</f>
        <v>Improper Authentication</v>
      </c>
      <c r="F48" s="87" t="s">
        <v>22</v>
      </c>
      <c r="G48" s="84" t="str">
        <f>VLOOKUP(Table4[[#This Row],[A ID]],Assets[#All],3,FALSE)</f>
        <v>THOR Knee Planning Application</v>
      </c>
      <c r="H48" s="199" t="s">
        <v>295</v>
      </c>
      <c r="I48" s="53"/>
      <c r="J48" s="197" t="s">
        <v>183</v>
      </c>
      <c r="K48" s="197" t="s">
        <v>183</v>
      </c>
      <c r="L48" s="197" t="s">
        <v>183</v>
      </c>
      <c r="M48" s="151" t="s">
        <v>213</v>
      </c>
      <c r="N48" s="151" t="s">
        <v>183</v>
      </c>
      <c r="O48" s="151" t="s">
        <v>183</v>
      </c>
      <c r="P48" s="151" t="s">
        <v>209</v>
      </c>
      <c r="Q48" s="151" t="s">
        <v>186</v>
      </c>
      <c r="R48"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48" s="155">
        <f>(1 - ((1 - VLOOKUP(Table4[[#This Row],[Confidentiality]],'Reference - CVSSv3.0'!$B$15:$C$17,2,FALSE)) * (1 - VLOOKUP(Table4[[#This Row],[Integrity]],'Reference - CVSSv3.0'!$B$15:$C$17,2,FALSE)) *  (1 - VLOOKUP(Table4[[#This Row],[Availability]],'Reference - CVSSv3.0'!$B$15:$C$17,2,FALSE))))</f>
        <v>0.52544799999999992</v>
      </c>
      <c r="T48" s="155">
        <f>IF(Table4[[#This Row],[Scope]]="Unchanged",6.42*Table4[[#This Row],[ISC Base]],IF(Table4[[#This Row],[Scope]]="Changed",7.52*(Table4[[#This Row],[ISC Base]] - 0.029) - 3.25 * POWER(Table4[[#This Row],[ISC Base]] - 0.02,15),NA()))</f>
        <v>3.3733761599999994</v>
      </c>
      <c r="U48" s="155">
        <f>IF(Table4[[#This Row],[Impact Sub Score]]&lt;=0,0,IF(Table4[[#This Row],[Scope]]="Unchanged",ROUNDUP(MIN((Table4[[#This Row],[Impact Sub Score]]+Table4[[#This Row],[Exploitability Sub Score]]),10),1),IF(Table4[[#This Row],[Scope]]="Changed",ROUNDUP(MIN((1.08*(Table4[[#This Row],[Impact Sub Score]]+Table4[[#This Row],[Exploitability Sub Score]])),10),1),NA())))</f>
        <v>3.9</v>
      </c>
      <c r="V48" s="195" t="s">
        <v>183</v>
      </c>
      <c r="W48" s="155">
        <f>VLOOKUP(Table4[[#This Row],[Threat Event Initiation]],NIST_Scale_LOAI[],2,FALSE)</f>
        <v>0.2</v>
      </c>
      <c r="X4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4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9" t="s">
        <v>312</v>
      </c>
      <c r="AA48" s="199" t="s">
        <v>313</v>
      </c>
      <c r="AB48" s="86" t="s">
        <v>314</v>
      </c>
      <c r="AC48" s="209" t="s">
        <v>183</v>
      </c>
      <c r="AD48" s="209" t="s">
        <v>183</v>
      </c>
      <c r="AE48" s="209" t="s">
        <v>183</v>
      </c>
      <c r="AF48" s="208" t="s">
        <v>213</v>
      </c>
      <c r="AG48" s="208" t="s">
        <v>183</v>
      </c>
      <c r="AH48" s="208" t="s">
        <v>183</v>
      </c>
      <c r="AI48" s="208" t="s">
        <v>209</v>
      </c>
      <c r="AJ48" s="208" t="s">
        <v>186</v>
      </c>
      <c r="AK48"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0.486604272</v>
      </c>
      <c r="AL48" s="155">
        <f>(1 - ((1 - VLOOKUP(Table4[[#This Row],[ConfidentialityP]],'Reference - CVSSv3.0'!$B$15:$C$17,2,FALSE)) * (1 - VLOOKUP(Table4[[#This Row],[IntegrityP]],'Reference - CVSSv3.0'!$B$15:$C$17,2,FALSE)) *  (1 - VLOOKUP(Table4[[#This Row],[AvailabilityP]],'Reference - CVSSv3.0'!$B$15:$C$17,2,FALSE))))</f>
        <v>0.52544799999999992</v>
      </c>
      <c r="AM48" s="155">
        <f>IF(Table4[[#This Row],[ScopeP]]="Unchanged",6.42*Table4[[#This Row],[ISC BaseP]],IF(Table4[[#This Row],[ScopeP]]="Changed",7.52*(Table4[[#This Row],[ISC BaseP]] - 0.029) - 3.25 * POWER(Table4[[#This Row],[ISC BaseP]] - 0.02,15),NA()))</f>
        <v>3.3733761599999994</v>
      </c>
      <c r="AN48" s="155">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48"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48"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8" s="53"/>
      <c r="AR48" s="213"/>
    </row>
    <row r="49" spans="1:44" s="47" customFormat="1" ht="156.75">
      <c r="A49" s="64"/>
      <c r="B49" s="53" t="s">
        <v>311</v>
      </c>
      <c r="C49" s="84" t="str">
        <f>IF(VLOOKUP(Table4[[#This Row],[T ID]],Table5[#All],5,FALSE)="No","Not in scope",VLOOKUP(Table4[[#This Row],[T ID]],Table5[#All],2,FALSE))</f>
        <v>Brute force login attempts/password guessing attacks</v>
      </c>
      <c r="D49" s="53" t="s">
        <v>70</v>
      </c>
      <c r="E49" s="84" t="str">
        <f>IF(VLOOKUP(Table4[[#This Row],[V ID]],Vulnerabilities[#All],3,FALSE)="No","Not in scope",VLOOKUP(Table4[[#This Row],[V ID]],Vulnerabilities[#All],2,FALSE))</f>
        <v>Improper Authentication</v>
      </c>
      <c r="F49" s="87" t="s">
        <v>28</v>
      </c>
      <c r="G49" s="84" t="str">
        <f>VLOOKUP(Table4[[#This Row],[A ID]],Assets[#All],3,FALSE)</f>
        <v>Laptop Operating System</v>
      </c>
      <c r="H49" s="199" t="s">
        <v>295</v>
      </c>
      <c r="I49" s="53"/>
      <c r="J49" s="197" t="s">
        <v>183</v>
      </c>
      <c r="K49" s="197" t="s">
        <v>183</v>
      </c>
      <c r="L49" s="197" t="s">
        <v>183</v>
      </c>
      <c r="M49" s="151" t="s">
        <v>213</v>
      </c>
      <c r="N49" s="151" t="s">
        <v>183</v>
      </c>
      <c r="O49" s="151" t="s">
        <v>183</v>
      </c>
      <c r="P49" s="151" t="s">
        <v>209</v>
      </c>
      <c r="Q49" s="151" t="s">
        <v>186</v>
      </c>
      <c r="R49"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49" s="155">
        <f>(1 - ((1 - VLOOKUP(Table4[[#This Row],[Confidentiality]],'Reference - CVSSv3.0'!$B$15:$C$17,2,FALSE)) * (1 - VLOOKUP(Table4[[#This Row],[Integrity]],'Reference - CVSSv3.0'!$B$15:$C$17,2,FALSE)) *  (1 - VLOOKUP(Table4[[#This Row],[Availability]],'Reference - CVSSv3.0'!$B$15:$C$17,2,FALSE))))</f>
        <v>0.52544799999999992</v>
      </c>
      <c r="T49" s="155">
        <f>IF(Table4[[#This Row],[Scope]]="Unchanged",6.42*Table4[[#This Row],[ISC Base]],IF(Table4[[#This Row],[Scope]]="Changed",7.52*(Table4[[#This Row],[ISC Base]] - 0.029) - 3.25 * POWER(Table4[[#This Row],[ISC Base]] - 0.02,15),NA()))</f>
        <v>3.3733761599999994</v>
      </c>
      <c r="U49" s="155">
        <f>IF(Table4[[#This Row],[Impact Sub Score]]&lt;=0,0,IF(Table4[[#This Row],[Scope]]="Unchanged",ROUNDUP(MIN((Table4[[#This Row],[Impact Sub Score]]+Table4[[#This Row],[Exploitability Sub Score]]),10),1),IF(Table4[[#This Row],[Scope]]="Changed",ROUNDUP(MIN((1.08*(Table4[[#This Row],[Impact Sub Score]]+Table4[[#This Row],[Exploitability Sub Score]])),10),1),NA())))</f>
        <v>3.9</v>
      </c>
      <c r="V49" s="195" t="s">
        <v>183</v>
      </c>
      <c r="W49" s="155">
        <f>VLOOKUP(Table4[[#This Row],[Threat Event Initiation]],NIST_Scale_LOAI[],2,FALSE)</f>
        <v>0.2</v>
      </c>
      <c r="X4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4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9" t="s">
        <v>315</v>
      </c>
      <c r="AA49" s="199" t="s">
        <v>316</v>
      </c>
      <c r="AB49" s="86" t="s">
        <v>317</v>
      </c>
      <c r="AC49" s="209" t="s">
        <v>183</v>
      </c>
      <c r="AD49" s="209" t="s">
        <v>183</v>
      </c>
      <c r="AE49" s="209" t="s">
        <v>183</v>
      </c>
      <c r="AF49" s="208" t="s">
        <v>213</v>
      </c>
      <c r="AG49" s="208" t="s">
        <v>183</v>
      </c>
      <c r="AH49" s="208" t="s">
        <v>183</v>
      </c>
      <c r="AI49" s="208" t="s">
        <v>209</v>
      </c>
      <c r="AJ49" s="208" t="s">
        <v>186</v>
      </c>
      <c r="AK49"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0.486604272</v>
      </c>
      <c r="AL49" s="155">
        <f>(1 - ((1 - VLOOKUP(Table4[[#This Row],[ConfidentialityP]],'Reference - CVSSv3.0'!$B$15:$C$17,2,FALSE)) * (1 - VLOOKUP(Table4[[#This Row],[IntegrityP]],'Reference - CVSSv3.0'!$B$15:$C$17,2,FALSE)) *  (1 - VLOOKUP(Table4[[#This Row],[AvailabilityP]],'Reference - CVSSv3.0'!$B$15:$C$17,2,FALSE))))</f>
        <v>0.52544799999999992</v>
      </c>
      <c r="AM49" s="155">
        <f>IF(Table4[[#This Row],[ScopeP]]="Unchanged",6.42*Table4[[#This Row],[ISC BaseP]],IF(Table4[[#This Row],[ScopeP]]="Changed",7.52*(Table4[[#This Row],[ISC BaseP]] - 0.029) - 3.25 * POWER(Table4[[#This Row],[ISC BaseP]] - 0.02,15),NA()))</f>
        <v>3.3733761599999994</v>
      </c>
      <c r="AN49" s="155">
        <f>IF(Table4[[#This Row],[Impact Sub ScoreP]]&lt;=0,0,IF(Table4[[#This Row],[ScopeP]]="Unchanged",ROUNDUP(MIN((Table4[[#This Row],[Impact Sub ScoreP]]+Table4[[#This Row],[Exploitability Sub ScoreP]]),10),1),IF(Table4[[#This Row],[ScopeP]]="Changed",ROUNDUP(MIN((1.08*(Table4[[#This Row],[Impact Sub ScoreP]]+Table4[[#This Row],[Exploitability Sub ScoreP]])),10),1),NA())))</f>
        <v>3.9</v>
      </c>
      <c r="AO49"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49"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9" s="53"/>
      <c r="AR49" s="213"/>
    </row>
    <row r="50" spans="1:44" s="47" customFormat="1" ht="174.75" customHeight="1">
      <c r="A50" s="64"/>
      <c r="B50" s="53" t="s">
        <v>318</v>
      </c>
      <c r="C50" s="84" t="str">
        <f>IF(VLOOKUP(Table4[[#This Row],[T ID]],Table5[#All],5,FALSE)="No","Not in scope",VLOOKUP(Table4[[#This Row],[T ID]],Table5[#All],2,FALSE))</f>
        <v>Compromised Config Files, causing the system to become inaccurate</v>
      </c>
      <c r="D50" s="53" t="s">
        <v>106</v>
      </c>
      <c r="E50" s="84" t="str">
        <f>IF(VLOOKUP(Table4[[#This Row],[V ID]],Vulnerabilities[#All],3,FALSE)="No","Not in scope",VLOOKUP(Table4[[#This Row],[V ID]],Vulnerabilities[#All],2,FALSE))</f>
        <v>Insecure Storage of Sensitive Information</v>
      </c>
      <c r="F50" s="87" t="s">
        <v>37</v>
      </c>
      <c r="G50" s="84" t="str">
        <f>VLOOKUP(Table4[[#This Row],[A ID]],Assets[#All],3,FALSE)</f>
        <v>Application Settings</v>
      </c>
      <c r="H50" s="199" t="s">
        <v>243</v>
      </c>
      <c r="I50" s="53"/>
      <c r="J50" s="197" t="s">
        <v>183</v>
      </c>
      <c r="K50" s="197" t="s">
        <v>183</v>
      </c>
      <c r="L50" s="197" t="s">
        <v>183</v>
      </c>
      <c r="M50" s="151" t="s">
        <v>213</v>
      </c>
      <c r="N50" s="151" t="s">
        <v>183</v>
      </c>
      <c r="O50" s="151" t="s">
        <v>208</v>
      </c>
      <c r="P50" s="151" t="s">
        <v>209</v>
      </c>
      <c r="Q50" s="151" t="s">
        <v>186</v>
      </c>
      <c r="R50"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50" s="155">
        <f>(1 - ((1 - VLOOKUP(Table4[[#This Row],[Confidentiality]],'Reference - CVSSv3.0'!$B$15:$C$17,2,FALSE)) * (1 - VLOOKUP(Table4[[#This Row],[Integrity]],'Reference - CVSSv3.0'!$B$15:$C$17,2,FALSE)) *  (1 - VLOOKUP(Table4[[#This Row],[Availability]],'Reference - CVSSv3.0'!$B$15:$C$17,2,FALSE))))</f>
        <v>0.52544799999999992</v>
      </c>
      <c r="T50" s="155">
        <f>IF(Table4[[#This Row],[Scope]]="Unchanged",6.42*Table4[[#This Row],[ISC Base]],IF(Table4[[#This Row],[Scope]]="Changed",7.52*(Table4[[#This Row],[ISC Base]] - 0.029) - 3.25 * POWER(Table4[[#This Row],[ISC Base]] - 0.02,15),NA()))</f>
        <v>3.3733761599999994</v>
      </c>
      <c r="U50" s="155">
        <f>IF(Table4[[#This Row],[Impact Sub Score]]&lt;=0,0,IF(Table4[[#This Row],[Scope]]="Unchanged",ROUNDUP(MIN((Table4[[#This Row],[Impact Sub Score]]+Table4[[#This Row],[Exploitability Sub Score]]),10),1),IF(Table4[[#This Row],[Scope]]="Changed",ROUNDUP(MIN((1.08*(Table4[[#This Row],[Impact Sub Score]]+Table4[[#This Row],[Exploitability Sub Score]])),10),1),NA())))</f>
        <v>3.6</v>
      </c>
      <c r="V50" s="195" t="s">
        <v>183</v>
      </c>
      <c r="W50" s="155">
        <f>VLOOKUP(Table4[[#This Row],[Threat Event Initiation]],NIST_Scale_LOAI[],2,FALSE)</f>
        <v>0.2</v>
      </c>
      <c r="X5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9" t="s">
        <v>319</v>
      </c>
      <c r="AA50" s="199" t="s">
        <v>320</v>
      </c>
      <c r="AB50" s="86" t="s">
        <v>321</v>
      </c>
      <c r="AC50" s="209" t="s">
        <v>183</v>
      </c>
      <c r="AD50" s="209" t="s">
        <v>183</v>
      </c>
      <c r="AE50" s="209" t="s">
        <v>183</v>
      </c>
      <c r="AF50" s="208" t="s">
        <v>213</v>
      </c>
      <c r="AG50" s="208" t="s">
        <v>183</v>
      </c>
      <c r="AH50" s="208" t="s">
        <v>208</v>
      </c>
      <c r="AI50" s="208" t="s">
        <v>209</v>
      </c>
      <c r="AJ50" s="208" t="s">
        <v>186</v>
      </c>
      <c r="AK50"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0.21190831200000004</v>
      </c>
      <c r="AL50" s="155">
        <f>(1 - ((1 - VLOOKUP(Table4[[#This Row],[ConfidentialityP]],'Reference - CVSSv3.0'!$B$15:$C$17,2,FALSE)) * (1 - VLOOKUP(Table4[[#This Row],[IntegrityP]],'Reference - CVSSv3.0'!$B$15:$C$17,2,FALSE)) *  (1 - VLOOKUP(Table4[[#This Row],[AvailabilityP]],'Reference - CVSSv3.0'!$B$15:$C$17,2,FALSE))))</f>
        <v>0.52544799999999992</v>
      </c>
      <c r="AM50" s="155">
        <f>IF(Table4[[#This Row],[ScopeP]]="Unchanged",6.42*Table4[[#This Row],[ISC BaseP]],IF(Table4[[#This Row],[ScopeP]]="Changed",7.52*(Table4[[#This Row],[ISC BaseP]] - 0.029) - 3.25 * POWER(Table4[[#This Row],[ISC BaseP]] - 0.02,15),NA()))</f>
        <v>3.3733761599999994</v>
      </c>
      <c r="AN50" s="155">
        <f>IF(Table4[[#This Row],[Impact Sub ScoreP]]&lt;=0,0,IF(Table4[[#This Row],[ScopeP]]="Unchanged",ROUNDUP(MIN((Table4[[#This Row],[Impact Sub ScoreP]]+Table4[[#This Row],[Exploitability Sub ScoreP]]),10),1),IF(Table4[[#This Row],[ScopeP]]="Changed",ROUNDUP(MIN((1.08*(Table4[[#This Row],[Impact Sub ScoreP]]+Table4[[#This Row],[Exploitability Sub ScoreP]])),10),1),NA())))</f>
        <v>3.6</v>
      </c>
      <c r="AO50"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0"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0" s="53"/>
      <c r="AR50" s="213"/>
    </row>
    <row r="51" spans="1:44" s="47" customFormat="1" ht="72" customHeight="1">
      <c r="A51" s="64"/>
      <c r="B51" s="53" t="s">
        <v>318</v>
      </c>
      <c r="C51" s="84" t="str">
        <f>IF(VLOOKUP(Table4[[#This Row],[T ID]],Table5[#All],5,FALSE)="No","Not in scope",VLOOKUP(Table4[[#This Row],[T ID]],Table5[#All],2,FALSE))</f>
        <v>Compromised Config Files, causing the system to become inaccurate</v>
      </c>
      <c r="D51" s="53" t="s">
        <v>112</v>
      </c>
      <c r="E51" s="84" t="str">
        <f>IF(VLOOKUP(Table4[[#This Row],[V ID]],Vulnerabilities[#All],3,FALSE)="No","Not in scope",VLOOKUP(Table4[[#This Row],[V ID]],Vulnerabilities[#All],2,FALSE))</f>
        <v>Use of a Broken or Risky Cryptographic Algorithm or Inadequate encryption strength</v>
      </c>
      <c r="F51" s="87" t="s">
        <v>37</v>
      </c>
      <c r="G51" s="84" t="str">
        <f>VLOOKUP(Table4[[#This Row],[A ID]],Assets[#All],3,FALSE)</f>
        <v>Application Settings</v>
      </c>
      <c r="H51" s="199" t="s">
        <v>243</v>
      </c>
      <c r="I51" s="53"/>
      <c r="J51" s="197" t="s">
        <v>183</v>
      </c>
      <c r="K51" s="197" t="s">
        <v>183</v>
      </c>
      <c r="L51" s="197" t="s">
        <v>183</v>
      </c>
      <c r="M51" s="151" t="s">
        <v>204</v>
      </c>
      <c r="N51" s="151" t="s">
        <v>183</v>
      </c>
      <c r="O51" s="151" t="s">
        <v>208</v>
      </c>
      <c r="P51" s="151" t="s">
        <v>209</v>
      </c>
      <c r="Q51" s="151" t="s">
        <v>186</v>
      </c>
      <c r="R51"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1" s="155">
        <f>(1 - ((1 - VLOOKUP(Table4[[#This Row],[Confidentiality]],'Reference - CVSSv3.0'!$B$15:$C$17,2,FALSE)) * (1 - VLOOKUP(Table4[[#This Row],[Integrity]],'Reference - CVSSv3.0'!$B$15:$C$17,2,FALSE)) *  (1 - VLOOKUP(Table4[[#This Row],[Availability]],'Reference - CVSSv3.0'!$B$15:$C$17,2,FALSE))))</f>
        <v>0.52544799999999992</v>
      </c>
      <c r="T51" s="155">
        <f>IF(Table4[[#This Row],[Scope]]="Unchanged",6.42*Table4[[#This Row],[ISC Base]],IF(Table4[[#This Row],[Scope]]="Changed",7.52*(Table4[[#This Row],[ISC Base]] - 0.029) - 3.25 * POWER(Table4[[#This Row],[ISC Base]] - 0.02,15),NA()))</f>
        <v>3.3733761599999994</v>
      </c>
      <c r="U51"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1" s="195" t="s">
        <v>183</v>
      </c>
      <c r="W51" s="155">
        <f>VLOOKUP(Table4[[#This Row],[Threat Event Initiation]],NIST_Scale_LOAI[],2,FALSE)</f>
        <v>0.2</v>
      </c>
      <c r="X5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9" t="s">
        <v>322</v>
      </c>
      <c r="AA51" s="199" t="s">
        <v>323</v>
      </c>
      <c r="AB51" s="86" t="s">
        <v>324</v>
      </c>
      <c r="AC51" s="209" t="s">
        <v>183</v>
      </c>
      <c r="AD51" s="209" t="s">
        <v>183</v>
      </c>
      <c r="AE51" s="209" t="s">
        <v>183</v>
      </c>
      <c r="AF51" s="208" t="s">
        <v>204</v>
      </c>
      <c r="AG51" s="208" t="s">
        <v>183</v>
      </c>
      <c r="AH51" s="208" t="s">
        <v>208</v>
      </c>
      <c r="AI51" s="208" t="s">
        <v>209</v>
      </c>
      <c r="AJ51" s="208" t="s">
        <v>186</v>
      </c>
      <c r="AK51"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0.58274785800000017</v>
      </c>
      <c r="AL51" s="155">
        <f>(1 - ((1 - VLOOKUP(Table4[[#This Row],[ConfidentialityP]],'Reference - CVSSv3.0'!$B$15:$C$17,2,FALSE)) * (1 - VLOOKUP(Table4[[#This Row],[IntegrityP]],'Reference - CVSSv3.0'!$B$15:$C$17,2,FALSE)) *  (1 - VLOOKUP(Table4[[#This Row],[AvailabilityP]],'Reference - CVSSv3.0'!$B$15:$C$17,2,FALSE))))</f>
        <v>0.52544799999999992</v>
      </c>
      <c r="AM51" s="155">
        <f>IF(Table4[[#This Row],[ScopeP]]="Unchanged",6.42*Table4[[#This Row],[ISC BaseP]],IF(Table4[[#This Row],[ScopeP]]="Changed",7.52*(Table4[[#This Row],[ISC BaseP]] - 0.029) - 3.25 * POWER(Table4[[#This Row],[ISC BaseP]] - 0.02,15),NA()))</f>
        <v>3.3733761599999994</v>
      </c>
      <c r="AN51" s="155">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O51"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1"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1" s="53"/>
      <c r="AR51" s="213"/>
    </row>
    <row r="52" spans="1:44" s="47" customFormat="1" ht="156.75">
      <c r="A52" s="64"/>
      <c r="B52" s="53" t="s">
        <v>318</v>
      </c>
      <c r="C52" s="84" t="str">
        <f>IF(VLOOKUP(Table4[[#This Row],[T ID]],Table5[#All],5,FALSE)="No","Not in scope",VLOOKUP(Table4[[#This Row],[T ID]],Table5[#All],2,FALSE))</f>
        <v>Compromised Config Files, causing the system to become inaccurate</v>
      </c>
      <c r="D52" s="53" t="s">
        <v>106</v>
      </c>
      <c r="E52" s="84" t="str">
        <f>IF(VLOOKUP(Table4[[#This Row],[V ID]],Vulnerabilities[#All],3,FALSE)="No","Not in scope",VLOOKUP(Table4[[#This Row],[V ID]],Vulnerabilities[#All],2,FALSE))</f>
        <v>Insecure Storage of Sensitive Information</v>
      </c>
      <c r="F52" s="87" t="s">
        <v>41</v>
      </c>
      <c r="G52" s="84" t="str">
        <f>VLOOKUP(Table4[[#This Row],[A ID]],Assets[#All],3,FALSE)</f>
        <v>User Settings</v>
      </c>
      <c r="H52" s="199" t="s">
        <v>243</v>
      </c>
      <c r="I52" s="53"/>
      <c r="J52" s="197" t="s">
        <v>183</v>
      </c>
      <c r="K52" s="197" t="s">
        <v>183</v>
      </c>
      <c r="L52" s="197" t="s">
        <v>183</v>
      </c>
      <c r="M52" s="151" t="s">
        <v>204</v>
      </c>
      <c r="N52" s="151" t="s">
        <v>183</v>
      </c>
      <c r="O52" s="151" t="s">
        <v>208</v>
      </c>
      <c r="P52" s="151" t="s">
        <v>209</v>
      </c>
      <c r="Q52" s="151" t="s">
        <v>186</v>
      </c>
      <c r="R52"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2" s="155">
        <f>(1 - ((1 - VLOOKUP(Table4[[#This Row],[Confidentiality]],'Reference - CVSSv3.0'!$B$15:$C$17,2,FALSE)) * (1 - VLOOKUP(Table4[[#This Row],[Integrity]],'Reference - CVSSv3.0'!$B$15:$C$17,2,FALSE)) *  (1 - VLOOKUP(Table4[[#This Row],[Availability]],'Reference - CVSSv3.0'!$B$15:$C$17,2,FALSE))))</f>
        <v>0.52544799999999992</v>
      </c>
      <c r="T52" s="155">
        <f>IF(Table4[[#This Row],[Scope]]="Unchanged",6.42*Table4[[#This Row],[ISC Base]],IF(Table4[[#This Row],[Scope]]="Changed",7.52*(Table4[[#This Row],[ISC Base]] - 0.029) - 3.25 * POWER(Table4[[#This Row],[ISC Base]] - 0.02,15),NA()))</f>
        <v>3.3733761599999994</v>
      </c>
      <c r="U52"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2" s="195" t="s">
        <v>183</v>
      </c>
      <c r="W52" s="155">
        <f>VLOOKUP(Table4[[#This Row],[Threat Event Initiation]],NIST_Scale_LOAI[],2,FALSE)</f>
        <v>0.2</v>
      </c>
      <c r="X52"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199" t="s">
        <v>325</v>
      </c>
      <c r="AA52" s="199" t="s">
        <v>326</v>
      </c>
      <c r="AB52" s="86" t="s">
        <v>327</v>
      </c>
      <c r="AC52" s="209" t="s">
        <v>183</v>
      </c>
      <c r="AD52" s="209" t="s">
        <v>183</v>
      </c>
      <c r="AE52" s="209" t="s">
        <v>183</v>
      </c>
      <c r="AF52" s="208" t="s">
        <v>204</v>
      </c>
      <c r="AG52" s="208" t="s">
        <v>183</v>
      </c>
      <c r="AH52" s="208" t="s">
        <v>208</v>
      </c>
      <c r="AI52" s="208" t="s">
        <v>209</v>
      </c>
      <c r="AJ52" s="208" t="s">
        <v>186</v>
      </c>
      <c r="AK52"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0.58274785800000017</v>
      </c>
      <c r="AL52" s="155">
        <f>(1 - ((1 - VLOOKUP(Table4[[#This Row],[ConfidentialityP]],'Reference - CVSSv3.0'!$B$15:$C$17,2,FALSE)) * (1 - VLOOKUP(Table4[[#This Row],[IntegrityP]],'Reference - CVSSv3.0'!$B$15:$C$17,2,FALSE)) *  (1 - VLOOKUP(Table4[[#This Row],[AvailabilityP]],'Reference - CVSSv3.0'!$B$15:$C$17,2,FALSE))))</f>
        <v>0.52544799999999992</v>
      </c>
      <c r="AM52" s="155">
        <f>IF(Table4[[#This Row],[ScopeP]]="Unchanged",6.42*Table4[[#This Row],[ISC BaseP]],IF(Table4[[#This Row],[ScopeP]]="Changed",7.52*(Table4[[#This Row],[ISC BaseP]] - 0.029) - 3.25 * POWER(Table4[[#This Row],[ISC BaseP]] - 0.02,15),NA()))</f>
        <v>3.3733761599999994</v>
      </c>
      <c r="AN52" s="155">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O52"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2"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2" s="53"/>
      <c r="AR52" s="213"/>
    </row>
    <row r="53" spans="1:44" s="47" customFormat="1" ht="228">
      <c r="A53" s="64"/>
      <c r="B53" s="53" t="s">
        <v>318</v>
      </c>
      <c r="C53" s="84" t="str">
        <f>IF(VLOOKUP(Table4[[#This Row],[T ID]],Table5[#All],5,FALSE)="No","Not in scope",VLOOKUP(Table4[[#This Row],[T ID]],Table5[#All],2,FALSE))</f>
        <v>Compromised Config Files, causing the system to become inaccurate</v>
      </c>
      <c r="D53" s="53" t="s">
        <v>118</v>
      </c>
      <c r="E53" s="84" t="str">
        <f>IF(VLOOKUP(Table4[[#This Row],[V ID]],Vulnerabilities[#All],3,FALSE)="No","Not in scope",VLOOKUP(Table4[[#This Row],[V ID]],Vulnerabilities[#All],2,FALSE))</f>
        <v>Lack of fault reports recorded in administrator and operator logs</v>
      </c>
      <c r="F53" s="87" t="s">
        <v>44</v>
      </c>
      <c r="G53" s="84" t="str">
        <f>VLOOKUP(Table4[[#This Row],[A ID]],Assets[#All],3,FALSE)</f>
        <v>Log Files</v>
      </c>
      <c r="H53" s="199" t="s">
        <v>243</v>
      </c>
      <c r="I53" s="53"/>
      <c r="J53" s="197" t="s">
        <v>183</v>
      </c>
      <c r="K53" s="197" t="s">
        <v>183</v>
      </c>
      <c r="L53" s="197" t="s">
        <v>183</v>
      </c>
      <c r="M53" s="151" t="s">
        <v>204</v>
      </c>
      <c r="N53" s="151" t="s">
        <v>183</v>
      </c>
      <c r="O53" s="151" t="s">
        <v>208</v>
      </c>
      <c r="P53" s="151" t="s">
        <v>209</v>
      </c>
      <c r="Q53" s="151" t="s">
        <v>186</v>
      </c>
      <c r="R53"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3" s="155">
        <f>(1 - ((1 - VLOOKUP(Table4[[#This Row],[Confidentiality]],'Reference - CVSSv3.0'!$B$15:$C$17,2,FALSE)) * (1 - VLOOKUP(Table4[[#This Row],[Integrity]],'Reference - CVSSv3.0'!$B$15:$C$17,2,FALSE)) *  (1 - VLOOKUP(Table4[[#This Row],[Availability]],'Reference - CVSSv3.0'!$B$15:$C$17,2,FALSE))))</f>
        <v>0.52544799999999992</v>
      </c>
      <c r="T53" s="155">
        <f>IF(Table4[[#This Row],[Scope]]="Unchanged",6.42*Table4[[#This Row],[ISC Base]],IF(Table4[[#This Row],[Scope]]="Changed",7.52*(Table4[[#This Row],[ISC Base]] - 0.029) - 3.25 * POWER(Table4[[#This Row],[ISC Base]] - 0.02,15),NA()))</f>
        <v>3.3733761599999994</v>
      </c>
      <c r="U53"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3" s="195" t="s">
        <v>183</v>
      </c>
      <c r="W53" s="155">
        <f>VLOOKUP(Table4[[#This Row],[Threat Event Initiation]],NIST_Scale_LOAI[],2,FALSE)</f>
        <v>0.2</v>
      </c>
      <c r="X53"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199" t="s">
        <v>328</v>
      </c>
      <c r="AA53" s="199" t="s">
        <v>329</v>
      </c>
      <c r="AB53" s="86" t="s">
        <v>330</v>
      </c>
      <c r="AC53" s="209" t="s">
        <v>183</v>
      </c>
      <c r="AD53" s="209" t="s">
        <v>183</v>
      </c>
      <c r="AE53" s="209" t="s">
        <v>183</v>
      </c>
      <c r="AF53" s="208" t="s">
        <v>204</v>
      </c>
      <c r="AG53" s="208" t="s">
        <v>183</v>
      </c>
      <c r="AH53" s="208" t="s">
        <v>208</v>
      </c>
      <c r="AI53" s="208" t="s">
        <v>209</v>
      </c>
      <c r="AJ53" s="208" t="s">
        <v>186</v>
      </c>
      <c r="AK53"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0.58274785800000017</v>
      </c>
      <c r="AL53" s="155">
        <f>(1 - ((1 - VLOOKUP(Table4[[#This Row],[ConfidentialityP]],'Reference - CVSSv3.0'!$B$15:$C$17,2,FALSE)) * (1 - VLOOKUP(Table4[[#This Row],[IntegrityP]],'Reference - CVSSv3.0'!$B$15:$C$17,2,FALSE)) *  (1 - VLOOKUP(Table4[[#This Row],[AvailabilityP]],'Reference - CVSSv3.0'!$B$15:$C$17,2,FALSE))))</f>
        <v>0.52544799999999992</v>
      </c>
      <c r="AM53" s="155">
        <f>IF(Table4[[#This Row],[ScopeP]]="Unchanged",6.42*Table4[[#This Row],[ISC BaseP]],IF(Table4[[#This Row],[ScopeP]]="Changed",7.52*(Table4[[#This Row],[ISC BaseP]] - 0.029) - 3.25 * POWER(Table4[[#This Row],[ISC BaseP]] - 0.02,15),NA()))</f>
        <v>3.3733761599999994</v>
      </c>
      <c r="AN53" s="155">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O53"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3"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3" s="53"/>
      <c r="AR53" s="213"/>
    </row>
    <row r="54" spans="1:44" s="47" customFormat="1" ht="118.15" customHeight="1">
      <c r="A54" s="64"/>
      <c r="B54" s="53" t="s">
        <v>318</v>
      </c>
      <c r="C54" s="84" t="str">
        <f>IF(VLOOKUP(Table4[[#This Row],[T ID]],Table5[#All],5,FALSE)="No","Not in scope",VLOOKUP(Table4[[#This Row],[T ID]],Table5[#All],2,FALSE))</f>
        <v>Compromised Config Files, causing the system to become inaccurate</v>
      </c>
      <c r="D54" s="53" t="s">
        <v>112</v>
      </c>
      <c r="E54" s="84" t="str">
        <f>IF(VLOOKUP(Table4[[#This Row],[V ID]],Vulnerabilities[#All],3,FALSE)="No","Not in scope",VLOOKUP(Table4[[#This Row],[V ID]],Vulnerabilities[#All],2,FALSE))</f>
        <v>Use of a Broken or Risky Cryptographic Algorithm or Inadequate encryption strength</v>
      </c>
      <c r="F54" s="87" t="s">
        <v>41</v>
      </c>
      <c r="G54" s="84" t="str">
        <f>VLOOKUP(Table4[[#This Row],[A ID]],Assets[#All],3,FALSE)</f>
        <v>User Settings</v>
      </c>
      <c r="H54" s="199" t="s">
        <v>243</v>
      </c>
      <c r="I54" s="53"/>
      <c r="J54" s="197" t="s">
        <v>183</v>
      </c>
      <c r="K54" s="197" t="s">
        <v>183</v>
      </c>
      <c r="L54" s="197" t="s">
        <v>183</v>
      </c>
      <c r="M54" s="151" t="s">
        <v>204</v>
      </c>
      <c r="N54" s="151" t="s">
        <v>183</v>
      </c>
      <c r="O54" s="151" t="s">
        <v>208</v>
      </c>
      <c r="P54" s="151" t="s">
        <v>209</v>
      </c>
      <c r="Q54" s="151" t="s">
        <v>186</v>
      </c>
      <c r="R54"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4" s="155">
        <f>(1 - ((1 - VLOOKUP(Table4[[#This Row],[Confidentiality]],'Reference - CVSSv3.0'!$B$15:$C$17,2,FALSE)) * (1 - VLOOKUP(Table4[[#This Row],[Integrity]],'Reference - CVSSv3.0'!$B$15:$C$17,2,FALSE)) *  (1 - VLOOKUP(Table4[[#This Row],[Availability]],'Reference - CVSSv3.0'!$B$15:$C$17,2,FALSE))))</f>
        <v>0.52544799999999992</v>
      </c>
      <c r="T54" s="155">
        <f>IF(Table4[[#This Row],[Scope]]="Unchanged",6.42*Table4[[#This Row],[ISC Base]],IF(Table4[[#This Row],[Scope]]="Changed",7.52*(Table4[[#This Row],[ISC Base]] - 0.029) - 3.25 * POWER(Table4[[#This Row],[ISC Base]] - 0.02,15),NA()))</f>
        <v>3.3733761599999994</v>
      </c>
      <c r="U54"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4" s="195" t="s">
        <v>183</v>
      </c>
      <c r="W54" s="155">
        <f>VLOOKUP(Table4[[#This Row],[Threat Event Initiation]],NIST_Scale_LOAI[],2,FALSE)</f>
        <v>0.2</v>
      </c>
      <c r="X54"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9" t="s">
        <v>331</v>
      </c>
      <c r="AA54" s="199" t="s">
        <v>332</v>
      </c>
      <c r="AB54" s="86" t="s">
        <v>333</v>
      </c>
      <c r="AC54" s="209" t="s">
        <v>183</v>
      </c>
      <c r="AD54" s="209" t="s">
        <v>183</v>
      </c>
      <c r="AE54" s="209" t="s">
        <v>183</v>
      </c>
      <c r="AF54" s="208" t="s">
        <v>204</v>
      </c>
      <c r="AG54" s="208" t="s">
        <v>183</v>
      </c>
      <c r="AH54" s="208" t="s">
        <v>208</v>
      </c>
      <c r="AI54" s="208" t="s">
        <v>209</v>
      </c>
      <c r="AJ54" s="208" t="s">
        <v>186</v>
      </c>
      <c r="AK54"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0.58274785800000017</v>
      </c>
      <c r="AL54" s="155">
        <f>(1 - ((1 - VLOOKUP(Table4[[#This Row],[ConfidentialityP]],'Reference - CVSSv3.0'!$B$15:$C$17,2,FALSE)) * (1 - VLOOKUP(Table4[[#This Row],[IntegrityP]],'Reference - CVSSv3.0'!$B$15:$C$17,2,FALSE)) *  (1 - VLOOKUP(Table4[[#This Row],[AvailabilityP]],'Reference - CVSSv3.0'!$B$15:$C$17,2,FALSE))))</f>
        <v>0.52544799999999992</v>
      </c>
      <c r="AM54" s="155">
        <f>IF(Table4[[#This Row],[ScopeP]]="Unchanged",6.42*Table4[[#This Row],[ISC BaseP]],IF(Table4[[#This Row],[ScopeP]]="Changed",7.52*(Table4[[#This Row],[ISC BaseP]] - 0.029) - 3.25 * POWER(Table4[[#This Row],[ISC BaseP]] - 0.02,15),NA()))</f>
        <v>3.3733761599999994</v>
      </c>
      <c r="AN54" s="155">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O54"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4"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4" s="53"/>
      <c r="AR54" s="213"/>
    </row>
    <row r="55" spans="1:44" s="47" customFormat="1" ht="121.9" customHeight="1">
      <c r="A55" s="64"/>
      <c r="B55" s="53" t="s">
        <v>334</v>
      </c>
      <c r="C55" s="84" t="str">
        <f>IF(VLOOKUP(Table4[[#This Row],[T ID]],Table5[#All],5,FALSE)="No","Not in scope",VLOOKUP(Table4[[#This Row],[T ID]],Table5[#All],2,FALSE))</f>
        <v>Theft of  Stryker's IP</v>
      </c>
      <c r="D55" s="53" t="s">
        <v>88</v>
      </c>
      <c r="E55" s="84" t="str">
        <f>IF(VLOOKUP(Table4[[#This Row],[V ID]],Vulnerabilities[#All],3,FALSE)="No","Not in scope",VLOOKUP(Table4[[#This Row],[V ID]],Vulnerabilities[#All],2,FALSE))</f>
        <v>Embed Virus into Binary or Embedded Malicious Code</v>
      </c>
      <c r="F55" s="87" t="s">
        <v>22</v>
      </c>
      <c r="G55" s="84" t="str">
        <f>VLOOKUP(Table4[[#This Row],[A ID]],Assets[#All],3,FALSE)</f>
        <v>THOR Knee Planning Application</v>
      </c>
      <c r="H55" s="199" t="s">
        <v>335</v>
      </c>
      <c r="I55" s="53"/>
      <c r="J55" s="197" t="s">
        <v>183</v>
      </c>
      <c r="K55" s="197" t="s">
        <v>183</v>
      </c>
      <c r="L55" s="197" t="s">
        <v>183</v>
      </c>
      <c r="M55" s="151" t="s">
        <v>213</v>
      </c>
      <c r="N55" s="151" t="s">
        <v>183</v>
      </c>
      <c r="O55" s="151" t="s">
        <v>208</v>
      </c>
      <c r="P55" s="151" t="s">
        <v>209</v>
      </c>
      <c r="Q55" s="151" t="s">
        <v>186</v>
      </c>
      <c r="R55"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55" s="155">
        <f>(1 - ((1 - VLOOKUP(Table4[[#This Row],[Confidentiality]],'Reference - CVSSv3.0'!$B$15:$C$17,2,FALSE)) * (1 - VLOOKUP(Table4[[#This Row],[Integrity]],'Reference - CVSSv3.0'!$B$15:$C$17,2,FALSE)) *  (1 - VLOOKUP(Table4[[#This Row],[Availability]],'Reference - CVSSv3.0'!$B$15:$C$17,2,FALSE))))</f>
        <v>0.52544799999999992</v>
      </c>
      <c r="T55" s="155">
        <f>IF(Table4[[#This Row],[Scope]]="Unchanged",6.42*Table4[[#This Row],[ISC Base]],IF(Table4[[#This Row],[Scope]]="Changed",7.52*(Table4[[#This Row],[ISC Base]] - 0.029) - 3.25 * POWER(Table4[[#This Row],[ISC Base]] - 0.02,15),NA()))</f>
        <v>3.3733761599999994</v>
      </c>
      <c r="U55" s="155">
        <f>IF(Table4[[#This Row],[Impact Sub Score]]&lt;=0,0,IF(Table4[[#This Row],[Scope]]="Unchanged",ROUNDUP(MIN((Table4[[#This Row],[Impact Sub Score]]+Table4[[#This Row],[Exploitability Sub Score]]),10),1),IF(Table4[[#This Row],[Scope]]="Changed",ROUNDUP(MIN((1.08*(Table4[[#This Row],[Impact Sub Score]]+Table4[[#This Row],[Exploitability Sub Score]])),10),1),NA())))</f>
        <v>3.6</v>
      </c>
      <c r="V55" s="195" t="s">
        <v>183</v>
      </c>
      <c r="W55" s="155">
        <f>VLOOKUP(Table4[[#This Row],[Threat Event Initiation]],NIST_Scale_LOAI[],2,FALSE)</f>
        <v>0.2</v>
      </c>
      <c r="X5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9" t="s">
        <v>336</v>
      </c>
      <c r="AA55" s="199" t="s">
        <v>337</v>
      </c>
      <c r="AB55" s="86" t="s">
        <v>338</v>
      </c>
      <c r="AC55" s="209" t="s">
        <v>183</v>
      </c>
      <c r="AD55" s="209" t="s">
        <v>183</v>
      </c>
      <c r="AE55" s="209" t="s">
        <v>183</v>
      </c>
      <c r="AF55" s="208" t="s">
        <v>213</v>
      </c>
      <c r="AG55" s="208" t="s">
        <v>183</v>
      </c>
      <c r="AH55" s="208" t="s">
        <v>208</v>
      </c>
      <c r="AI55" s="208" t="s">
        <v>209</v>
      </c>
      <c r="AJ55" s="208" t="s">
        <v>186</v>
      </c>
      <c r="AK55"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0.21190831200000004</v>
      </c>
      <c r="AL55" s="155">
        <f>(1 - ((1 - VLOOKUP(Table4[[#This Row],[ConfidentialityP]],'Reference - CVSSv3.0'!$B$15:$C$17,2,FALSE)) * (1 - VLOOKUP(Table4[[#This Row],[IntegrityP]],'Reference - CVSSv3.0'!$B$15:$C$17,2,FALSE)) *  (1 - VLOOKUP(Table4[[#This Row],[AvailabilityP]],'Reference - CVSSv3.0'!$B$15:$C$17,2,FALSE))))</f>
        <v>0.52544799999999992</v>
      </c>
      <c r="AM55" s="155">
        <f>IF(Table4[[#This Row],[ScopeP]]="Unchanged",6.42*Table4[[#This Row],[ISC BaseP]],IF(Table4[[#This Row],[ScopeP]]="Changed",7.52*(Table4[[#This Row],[ISC BaseP]] - 0.029) - 3.25 * POWER(Table4[[#This Row],[ISC BaseP]] - 0.02,15),NA()))</f>
        <v>3.3733761599999994</v>
      </c>
      <c r="AN55" s="155">
        <f>IF(Table4[[#This Row],[Impact Sub ScoreP]]&lt;=0,0,IF(Table4[[#This Row],[ScopeP]]="Unchanged",ROUNDUP(MIN((Table4[[#This Row],[Impact Sub ScoreP]]+Table4[[#This Row],[Exploitability Sub ScoreP]]),10),1),IF(Table4[[#This Row],[ScopeP]]="Changed",ROUNDUP(MIN((1.08*(Table4[[#This Row],[Impact Sub ScoreP]]+Table4[[#This Row],[Exploitability Sub ScoreP]])),10),1),NA())))</f>
        <v>3.6</v>
      </c>
      <c r="AO55"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5"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5" s="53"/>
      <c r="AR55" s="213"/>
    </row>
    <row r="56" spans="1:44" s="47" customFormat="1" ht="100.9" customHeight="1">
      <c r="A56" s="64"/>
      <c r="B56" s="53" t="s">
        <v>334</v>
      </c>
      <c r="C56" s="84" t="str">
        <f>IF(VLOOKUP(Table4[[#This Row],[T ID]],Table5[#All],5,FALSE)="No","Not in scope",VLOOKUP(Table4[[#This Row],[T ID]],Table5[#All],2,FALSE))</f>
        <v>Theft of  Stryker's IP</v>
      </c>
      <c r="D56" s="53" t="s">
        <v>79</v>
      </c>
      <c r="E56" s="84" t="str">
        <f>IF(VLOOKUP(Table4[[#This Row],[V ID]],Vulnerabilities[#All],3,FALSE)="No","Not in scope",VLOOKUP(Table4[[#This Row],[V ID]],Vulnerabilities[#All],2,FALSE))</f>
        <v>UnProtected Application Binaries</v>
      </c>
      <c r="F56" s="87" t="s">
        <v>22</v>
      </c>
      <c r="G56" s="84" t="str">
        <f>VLOOKUP(Table4[[#This Row],[A ID]],Assets[#All],3,FALSE)</f>
        <v>THOR Knee Planning Application</v>
      </c>
      <c r="H56" s="199" t="s">
        <v>335</v>
      </c>
      <c r="I56" s="53"/>
      <c r="J56" s="197" t="s">
        <v>183</v>
      </c>
      <c r="K56" s="197" t="s">
        <v>183</v>
      </c>
      <c r="L56" s="197" t="s">
        <v>183</v>
      </c>
      <c r="M56" s="151" t="s">
        <v>204</v>
      </c>
      <c r="N56" s="151" t="s">
        <v>208</v>
      </c>
      <c r="O56" s="151" t="s">
        <v>208</v>
      </c>
      <c r="P56" s="151" t="s">
        <v>209</v>
      </c>
      <c r="Q56" s="151" t="s">
        <v>186</v>
      </c>
      <c r="R56"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56" s="155">
        <f>(1 - ((1 - VLOOKUP(Table4[[#This Row],[Confidentiality]],'Reference - CVSSv3.0'!$B$15:$C$17,2,FALSE)) * (1 - VLOOKUP(Table4[[#This Row],[Integrity]],'Reference - CVSSv3.0'!$B$15:$C$17,2,FALSE)) *  (1 - VLOOKUP(Table4[[#This Row],[Availability]],'Reference - CVSSv3.0'!$B$15:$C$17,2,FALSE))))</f>
        <v>0.52544799999999992</v>
      </c>
      <c r="T56" s="155">
        <f>IF(Table4[[#This Row],[Scope]]="Unchanged",6.42*Table4[[#This Row],[ISC Base]],IF(Table4[[#This Row],[Scope]]="Changed",7.52*(Table4[[#This Row],[ISC Base]] - 0.029) - 3.25 * POWER(Table4[[#This Row],[ISC Base]] - 0.02,15),NA()))</f>
        <v>3.3733761599999994</v>
      </c>
      <c r="U56" s="155">
        <f>IF(Table4[[#This Row],[Impact Sub Score]]&lt;=0,0,IF(Table4[[#This Row],[Scope]]="Unchanged",ROUNDUP(MIN((Table4[[#This Row],[Impact Sub Score]]+Table4[[#This Row],[Exploitability Sub Score]]),10),1),IF(Table4[[#This Row],[Scope]]="Changed",ROUNDUP(MIN((1.08*(Table4[[#This Row],[Impact Sub Score]]+Table4[[#This Row],[Exploitability Sub Score]])),10),1),NA())))</f>
        <v>3.8000000000000003</v>
      </c>
      <c r="V56" s="195" t="s">
        <v>183</v>
      </c>
      <c r="W56" s="155">
        <f>VLOOKUP(Table4[[#This Row],[Threat Event Initiation]],NIST_Scale_LOAI[],2,FALSE)</f>
        <v>0.2</v>
      </c>
      <c r="X5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9" t="s">
        <v>202</v>
      </c>
      <c r="AA56" s="199" t="s">
        <v>339</v>
      </c>
      <c r="AB56" s="86" t="s">
        <v>340</v>
      </c>
      <c r="AC56" s="209" t="s">
        <v>183</v>
      </c>
      <c r="AD56" s="209" t="s">
        <v>183</v>
      </c>
      <c r="AE56" s="209" t="s">
        <v>183</v>
      </c>
      <c r="AF56" s="208" t="s">
        <v>204</v>
      </c>
      <c r="AG56" s="208" t="s">
        <v>208</v>
      </c>
      <c r="AH56" s="208" t="s">
        <v>208</v>
      </c>
      <c r="AI56" s="208" t="s">
        <v>209</v>
      </c>
      <c r="AJ56" s="208" t="s">
        <v>186</v>
      </c>
      <c r="AK56"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0.33299877600000005</v>
      </c>
      <c r="AL56" s="155">
        <f>(1 - ((1 - VLOOKUP(Table4[[#This Row],[ConfidentialityP]],'Reference - CVSSv3.0'!$B$15:$C$17,2,FALSE)) * (1 - VLOOKUP(Table4[[#This Row],[IntegrityP]],'Reference - CVSSv3.0'!$B$15:$C$17,2,FALSE)) *  (1 - VLOOKUP(Table4[[#This Row],[AvailabilityP]],'Reference - CVSSv3.0'!$B$15:$C$17,2,FALSE))))</f>
        <v>0.52544799999999992</v>
      </c>
      <c r="AM56" s="155">
        <f>IF(Table4[[#This Row],[ScopeP]]="Unchanged",6.42*Table4[[#This Row],[ISC BaseP]],IF(Table4[[#This Row],[ScopeP]]="Changed",7.52*(Table4[[#This Row],[ISC BaseP]] - 0.029) - 3.25 * POWER(Table4[[#This Row],[ISC BaseP]] - 0.02,15),NA()))</f>
        <v>3.3733761599999994</v>
      </c>
      <c r="AN56" s="155">
        <f>IF(Table4[[#This Row],[Impact Sub ScoreP]]&lt;=0,0,IF(Table4[[#This Row],[ScopeP]]="Unchanged",ROUNDUP(MIN((Table4[[#This Row],[Impact Sub ScoreP]]+Table4[[#This Row],[Exploitability Sub ScoreP]]),10),1),IF(Table4[[#This Row],[ScopeP]]="Changed",ROUNDUP(MIN((1.08*(Table4[[#This Row],[Impact Sub ScoreP]]+Table4[[#This Row],[Exploitability Sub ScoreP]])),10),1),NA())))</f>
        <v>3.8000000000000003</v>
      </c>
      <c r="AO56"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6"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6" s="199" t="s">
        <v>493</v>
      </c>
      <c r="AR56" s="213"/>
    </row>
    <row r="57" spans="1:44" s="47" customFormat="1" ht="114">
      <c r="A57" s="64"/>
      <c r="B57" s="53" t="s">
        <v>334</v>
      </c>
      <c r="C57" s="84" t="str">
        <f>IF(VLOOKUP(Table4[[#This Row],[T ID]],Table5[#All],5,FALSE)="No","Not in scope",VLOOKUP(Table4[[#This Row],[T ID]],Table5[#All],2,FALSE))</f>
        <v>Theft of  Stryker's IP</v>
      </c>
      <c r="D57" s="53" t="s">
        <v>90</v>
      </c>
      <c r="E57" s="84" t="str">
        <f>IF(VLOOKUP(Table4[[#This Row],[V ID]],Vulnerabilities[#All],3,FALSE)="No","Not in scope",VLOOKUP(Table4[[#This Row],[V ID]],Vulnerabilities[#All],2,FALSE))</f>
        <v>Hidden Functionality</v>
      </c>
      <c r="F57" s="87" t="s">
        <v>22</v>
      </c>
      <c r="G57" s="84" t="str">
        <f>VLOOKUP(Table4[[#This Row],[A ID]],Assets[#All],3,FALSE)</f>
        <v>THOR Knee Planning Application</v>
      </c>
      <c r="H57" s="199" t="s">
        <v>335</v>
      </c>
      <c r="I57" s="53"/>
      <c r="J57" s="197" t="s">
        <v>183</v>
      </c>
      <c r="K57" s="197" t="s">
        <v>183</v>
      </c>
      <c r="L57" s="197" t="s">
        <v>183</v>
      </c>
      <c r="M57" s="151" t="s">
        <v>204</v>
      </c>
      <c r="N57" s="151" t="s">
        <v>183</v>
      </c>
      <c r="O57" s="151" t="s">
        <v>208</v>
      </c>
      <c r="P57" s="151" t="s">
        <v>209</v>
      </c>
      <c r="Q57" s="151" t="s">
        <v>186</v>
      </c>
      <c r="R57"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7" s="155">
        <f>(1 - ((1 - VLOOKUP(Table4[[#This Row],[Confidentiality]],'Reference - CVSSv3.0'!$B$15:$C$17,2,FALSE)) * (1 - VLOOKUP(Table4[[#This Row],[Integrity]],'Reference - CVSSv3.0'!$B$15:$C$17,2,FALSE)) *  (1 - VLOOKUP(Table4[[#This Row],[Availability]],'Reference - CVSSv3.0'!$B$15:$C$17,2,FALSE))))</f>
        <v>0.52544799999999992</v>
      </c>
      <c r="T57" s="155">
        <f>IF(Table4[[#This Row],[Scope]]="Unchanged",6.42*Table4[[#This Row],[ISC Base]],IF(Table4[[#This Row],[Scope]]="Changed",7.52*(Table4[[#This Row],[ISC Base]] - 0.029) - 3.25 * POWER(Table4[[#This Row],[ISC Base]] - 0.02,15),NA()))</f>
        <v>3.3733761599999994</v>
      </c>
      <c r="U57"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7" s="195" t="s">
        <v>183</v>
      </c>
      <c r="W57" s="155">
        <f>VLOOKUP(Table4[[#This Row],[Threat Event Initiation]],NIST_Scale_LOAI[],2,FALSE)</f>
        <v>0.2</v>
      </c>
      <c r="X5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9" t="s">
        <v>341</v>
      </c>
      <c r="AA57" s="199" t="s">
        <v>342</v>
      </c>
      <c r="AB57" s="199" t="s">
        <v>343</v>
      </c>
      <c r="AC57" s="209" t="s">
        <v>183</v>
      </c>
      <c r="AD57" s="209" t="s">
        <v>183</v>
      </c>
      <c r="AE57" s="209" t="s">
        <v>183</v>
      </c>
      <c r="AF57" s="208" t="s">
        <v>204</v>
      </c>
      <c r="AG57" s="208" t="s">
        <v>183</v>
      </c>
      <c r="AH57" s="208" t="s">
        <v>208</v>
      </c>
      <c r="AI57" s="208" t="s">
        <v>209</v>
      </c>
      <c r="AJ57" s="208" t="s">
        <v>186</v>
      </c>
      <c r="AK57"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0.58274785800000017</v>
      </c>
      <c r="AL57" s="155">
        <f>(1 - ((1 - VLOOKUP(Table4[[#This Row],[ConfidentialityP]],'Reference - CVSSv3.0'!$B$15:$C$17,2,FALSE)) * (1 - VLOOKUP(Table4[[#This Row],[IntegrityP]],'Reference - CVSSv3.0'!$B$15:$C$17,2,FALSE)) *  (1 - VLOOKUP(Table4[[#This Row],[AvailabilityP]],'Reference - CVSSv3.0'!$B$15:$C$17,2,FALSE))))</f>
        <v>0.52544799999999992</v>
      </c>
      <c r="AM57" s="155">
        <f>IF(Table4[[#This Row],[ScopeP]]="Unchanged",6.42*Table4[[#This Row],[ISC BaseP]],IF(Table4[[#This Row],[ScopeP]]="Changed",7.52*(Table4[[#This Row],[ISC BaseP]] - 0.029) - 3.25 * POWER(Table4[[#This Row],[ISC BaseP]] - 0.02,15),NA()))</f>
        <v>3.3733761599999994</v>
      </c>
      <c r="AN57" s="155">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O57"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7"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7" s="53"/>
      <c r="AR57" s="213"/>
    </row>
    <row r="58" spans="1:44" s="47" customFormat="1" ht="156.75">
      <c r="A58" s="64"/>
      <c r="B58" s="53" t="s">
        <v>334</v>
      </c>
      <c r="C58" s="84" t="str">
        <f>IF(VLOOKUP(Table4[[#This Row],[T ID]],Table5[#All],5,FALSE)="No","Not in scope",VLOOKUP(Table4[[#This Row],[T ID]],Table5[#All],2,FALSE))</f>
        <v>Theft of  Stryker's IP</v>
      </c>
      <c r="D58" s="53" t="s">
        <v>86</v>
      </c>
      <c r="E58" s="84" t="str">
        <f>IF(VLOOKUP(Table4[[#This Row],[V ID]],Vulnerabilities[#All],3,FALSE)="No","Not in scope",VLOOKUP(Table4[[#This Row],[V ID]],Vulnerabilities[#All],2,FALSE))</f>
        <v xml:space="preserve"> 3rd Party Component Dependency</v>
      </c>
      <c r="F58" s="87" t="s">
        <v>22</v>
      </c>
      <c r="G58" s="84" t="str">
        <f>VLOOKUP(Table4[[#This Row],[A ID]],Assets[#All],3,FALSE)</f>
        <v>THOR Knee Planning Application</v>
      </c>
      <c r="H58" s="199" t="s">
        <v>344</v>
      </c>
      <c r="I58" s="53"/>
      <c r="J58" s="197" t="s">
        <v>183</v>
      </c>
      <c r="K58" s="197" t="s">
        <v>183</v>
      </c>
      <c r="L58" s="197" t="s">
        <v>183</v>
      </c>
      <c r="M58" s="151" t="s">
        <v>204</v>
      </c>
      <c r="N58" s="151" t="s">
        <v>183</v>
      </c>
      <c r="O58" s="151" t="s">
        <v>208</v>
      </c>
      <c r="P58" s="151" t="s">
        <v>209</v>
      </c>
      <c r="Q58" s="151" t="s">
        <v>186</v>
      </c>
      <c r="R58"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8" s="155">
        <f>(1 - ((1 - VLOOKUP(Table4[[#This Row],[Confidentiality]],'Reference - CVSSv3.0'!$B$15:$C$17,2,FALSE)) * (1 - VLOOKUP(Table4[[#This Row],[Integrity]],'Reference - CVSSv3.0'!$B$15:$C$17,2,FALSE)) *  (1 - VLOOKUP(Table4[[#This Row],[Availability]],'Reference - CVSSv3.0'!$B$15:$C$17,2,FALSE))))</f>
        <v>0.52544799999999992</v>
      </c>
      <c r="T58" s="155">
        <f>IF(Table4[[#This Row],[Scope]]="Unchanged",6.42*Table4[[#This Row],[ISC Base]],IF(Table4[[#This Row],[Scope]]="Changed",7.52*(Table4[[#This Row],[ISC Base]] - 0.029) - 3.25 * POWER(Table4[[#This Row],[ISC Base]] - 0.02,15),NA()))</f>
        <v>3.3733761599999994</v>
      </c>
      <c r="U58"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8" s="195" t="s">
        <v>183</v>
      </c>
      <c r="W58" s="155">
        <f>VLOOKUP(Table4[[#This Row],[Threat Event Initiation]],NIST_Scale_LOAI[],2,FALSE)</f>
        <v>0.2</v>
      </c>
      <c r="X5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9" t="s">
        <v>345</v>
      </c>
      <c r="AA58" s="199" t="s">
        <v>346</v>
      </c>
      <c r="AB58" s="86" t="s">
        <v>347</v>
      </c>
      <c r="AC58" s="209" t="s">
        <v>183</v>
      </c>
      <c r="AD58" s="209" t="s">
        <v>183</v>
      </c>
      <c r="AE58" s="209" t="s">
        <v>183</v>
      </c>
      <c r="AF58" s="208" t="s">
        <v>204</v>
      </c>
      <c r="AG58" s="208" t="s">
        <v>183</v>
      </c>
      <c r="AH58" s="208" t="s">
        <v>208</v>
      </c>
      <c r="AI58" s="208" t="s">
        <v>209</v>
      </c>
      <c r="AJ58" s="208" t="s">
        <v>186</v>
      </c>
      <c r="AK58"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0.58274785800000017</v>
      </c>
      <c r="AL58" s="155">
        <f>(1 - ((1 - VLOOKUP(Table4[[#This Row],[ConfidentialityP]],'Reference - CVSSv3.0'!$B$15:$C$17,2,FALSE)) * (1 - VLOOKUP(Table4[[#This Row],[IntegrityP]],'Reference - CVSSv3.0'!$B$15:$C$17,2,FALSE)) *  (1 - VLOOKUP(Table4[[#This Row],[AvailabilityP]],'Reference - CVSSv3.0'!$B$15:$C$17,2,FALSE))))</f>
        <v>0.52544799999999992</v>
      </c>
      <c r="AM58" s="155">
        <f>IF(Table4[[#This Row],[ScopeP]]="Unchanged",6.42*Table4[[#This Row],[ISC BaseP]],IF(Table4[[#This Row],[ScopeP]]="Changed",7.52*(Table4[[#This Row],[ISC BaseP]] - 0.029) - 3.25 * POWER(Table4[[#This Row],[ISC BaseP]] - 0.02,15),NA()))</f>
        <v>3.3733761599999994</v>
      </c>
      <c r="AN58" s="155">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O58"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8"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8" s="53"/>
      <c r="AR58" s="213"/>
    </row>
    <row r="59" spans="1:44" s="47" customFormat="1" ht="156.75">
      <c r="A59" s="64"/>
      <c r="B59" s="53" t="s">
        <v>334</v>
      </c>
      <c r="C59" s="84" t="str">
        <f>IF(VLOOKUP(Table4[[#This Row],[T ID]],Table5[#All],5,FALSE)="No","Not in scope",VLOOKUP(Table4[[#This Row],[T ID]],Table5[#All],2,FALSE))</f>
        <v>Theft of  Stryker's IP</v>
      </c>
      <c r="D59" s="53" t="s">
        <v>122</v>
      </c>
      <c r="E59" s="84" t="str">
        <f>IF(VLOOKUP(Table4[[#This Row],[V ID]],Vulnerabilities[#All],3,FALSE)="No","Not in scope",VLOOKUP(Table4[[#This Row],[V ID]],Vulnerabilities[#All],2,FALSE))</f>
        <v>Information Exposure Through Log Files</v>
      </c>
      <c r="F59" s="87" t="s">
        <v>22</v>
      </c>
      <c r="G59" s="84" t="str">
        <f>VLOOKUP(Table4[[#This Row],[A ID]],Assets[#All],3,FALSE)</f>
        <v>THOR Knee Planning Application</v>
      </c>
      <c r="H59" s="199" t="s">
        <v>335</v>
      </c>
      <c r="I59" s="53"/>
      <c r="J59" s="197" t="s">
        <v>183</v>
      </c>
      <c r="K59" s="197" t="s">
        <v>183</v>
      </c>
      <c r="L59" s="197" t="s">
        <v>183</v>
      </c>
      <c r="M59" s="151" t="s">
        <v>204</v>
      </c>
      <c r="N59" s="151" t="s">
        <v>208</v>
      </c>
      <c r="O59" s="151" t="s">
        <v>208</v>
      </c>
      <c r="P59" s="151" t="s">
        <v>209</v>
      </c>
      <c r="Q59" s="151" t="s">
        <v>186</v>
      </c>
      <c r="R59"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59" s="155">
        <f>(1 - ((1 - VLOOKUP(Table4[[#This Row],[Confidentiality]],'Reference - CVSSv3.0'!$B$15:$C$17,2,FALSE)) * (1 - VLOOKUP(Table4[[#This Row],[Integrity]],'Reference - CVSSv3.0'!$B$15:$C$17,2,FALSE)) *  (1 - VLOOKUP(Table4[[#This Row],[Availability]],'Reference - CVSSv3.0'!$B$15:$C$17,2,FALSE))))</f>
        <v>0.52544799999999992</v>
      </c>
      <c r="T59" s="155">
        <f>IF(Table4[[#This Row],[Scope]]="Unchanged",6.42*Table4[[#This Row],[ISC Base]],IF(Table4[[#This Row],[Scope]]="Changed",7.52*(Table4[[#This Row],[ISC Base]] - 0.029) - 3.25 * POWER(Table4[[#This Row],[ISC Base]] - 0.02,15),NA()))</f>
        <v>3.3733761599999994</v>
      </c>
      <c r="U59" s="155">
        <f>IF(Table4[[#This Row],[Impact Sub Score]]&lt;=0,0,IF(Table4[[#This Row],[Scope]]="Unchanged",ROUNDUP(MIN((Table4[[#This Row],[Impact Sub Score]]+Table4[[#This Row],[Exploitability Sub Score]]),10),1),IF(Table4[[#This Row],[Scope]]="Changed",ROUNDUP(MIN((1.08*(Table4[[#This Row],[Impact Sub Score]]+Table4[[#This Row],[Exploitability Sub Score]])),10),1),NA())))</f>
        <v>3.8000000000000003</v>
      </c>
      <c r="V59" s="195" t="s">
        <v>183</v>
      </c>
      <c r="W59" s="155">
        <f>VLOOKUP(Table4[[#This Row],[Threat Event Initiation]],NIST_Scale_LOAI[],2,FALSE)</f>
        <v>0.2</v>
      </c>
      <c r="X5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9" t="s">
        <v>348</v>
      </c>
      <c r="AA59" s="199" t="s">
        <v>349</v>
      </c>
      <c r="AB59" s="86" t="s">
        <v>350</v>
      </c>
      <c r="AC59" s="209" t="s">
        <v>183</v>
      </c>
      <c r="AD59" s="209" t="s">
        <v>183</v>
      </c>
      <c r="AE59" s="209" t="s">
        <v>183</v>
      </c>
      <c r="AF59" s="208" t="s">
        <v>204</v>
      </c>
      <c r="AG59" s="208" t="s">
        <v>208</v>
      </c>
      <c r="AH59" s="208" t="s">
        <v>208</v>
      </c>
      <c r="AI59" s="208" t="s">
        <v>209</v>
      </c>
      <c r="AJ59" s="208" t="s">
        <v>186</v>
      </c>
      <c r="AK59"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0.33299877600000005</v>
      </c>
      <c r="AL59" s="155">
        <f>(1 - ((1 - VLOOKUP(Table4[[#This Row],[ConfidentialityP]],'Reference - CVSSv3.0'!$B$15:$C$17,2,FALSE)) * (1 - VLOOKUP(Table4[[#This Row],[IntegrityP]],'Reference - CVSSv3.0'!$B$15:$C$17,2,FALSE)) *  (1 - VLOOKUP(Table4[[#This Row],[AvailabilityP]],'Reference - CVSSv3.0'!$B$15:$C$17,2,FALSE))))</f>
        <v>0.52544799999999992</v>
      </c>
      <c r="AM59" s="155">
        <f>IF(Table4[[#This Row],[ScopeP]]="Unchanged",6.42*Table4[[#This Row],[ISC BaseP]],IF(Table4[[#This Row],[ScopeP]]="Changed",7.52*(Table4[[#This Row],[ISC BaseP]] - 0.029) - 3.25 * POWER(Table4[[#This Row],[ISC BaseP]] - 0.02,15),NA()))</f>
        <v>3.3733761599999994</v>
      </c>
      <c r="AN59" s="155">
        <f>IF(Table4[[#This Row],[Impact Sub ScoreP]]&lt;=0,0,IF(Table4[[#This Row],[ScopeP]]="Unchanged",ROUNDUP(MIN((Table4[[#This Row],[Impact Sub ScoreP]]+Table4[[#This Row],[Exploitability Sub ScoreP]]),10),1),IF(Table4[[#This Row],[ScopeP]]="Changed",ROUNDUP(MIN((1.08*(Table4[[#This Row],[Impact Sub ScoreP]]+Table4[[#This Row],[Exploitability Sub ScoreP]])),10),1),NA())))</f>
        <v>3.8000000000000003</v>
      </c>
      <c r="AO59"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P59"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9" s="199" t="s">
        <v>493</v>
      </c>
      <c r="AR59" s="213"/>
    </row>
    <row r="60" spans="1:44" s="47" customFormat="1" ht="142.5">
      <c r="A60" s="64"/>
      <c r="B60" s="53" t="s">
        <v>351</v>
      </c>
      <c r="C60" s="84" t="str">
        <f>IF(VLOOKUP(Table4[[#This Row],[T ID]],Table5[#All],5,FALSE)="No","Not in scope",VLOOKUP(Table4[[#This Row],[T ID]],Table5[#All],2,FALSE))</f>
        <v>Distributed Denial of Service ('DDoS') attack</v>
      </c>
      <c r="D60" s="53" t="s">
        <v>103</v>
      </c>
      <c r="E60" s="84" t="str">
        <f>IF(VLOOKUP(Table4[[#This Row],[V ID]],Vulnerabilities[#All],3,FALSE)="No","Not in scope",VLOOKUP(Table4[[#This Row],[V ID]],Vulnerabilities[#All],2,FALSE))</f>
        <v>Lack of monitoring mechanisms</v>
      </c>
      <c r="F60" s="87" t="s">
        <v>22</v>
      </c>
      <c r="G60" s="84" t="str">
        <f>VLOOKUP(Table4[[#This Row],[A ID]],Assets[#All],3,FALSE)</f>
        <v>THOR Knee Planning Application</v>
      </c>
      <c r="H60" s="199" t="s">
        <v>352</v>
      </c>
      <c r="I60" s="53"/>
      <c r="J60" s="197" t="s">
        <v>183</v>
      </c>
      <c r="K60" s="197" t="s">
        <v>183</v>
      </c>
      <c r="L60" s="197" t="s">
        <v>183</v>
      </c>
      <c r="M60" s="151" t="s">
        <v>204</v>
      </c>
      <c r="N60" s="151" t="s">
        <v>208</v>
      </c>
      <c r="O60" s="151" t="s">
        <v>183</v>
      </c>
      <c r="P60" s="151" t="s">
        <v>185</v>
      </c>
      <c r="Q60" s="151" t="s">
        <v>186</v>
      </c>
      <c r="R60"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60" s="155">
        <f>(1 - ((1 - VLOOKUP(Table4[[#This Row],[Confidentiality]],'Reference - CVSSv3.0'!$B$15:$C$17,2,FALSE)) * (1 - VLOOKUP(Table4[[#This Row],[Integrity]],'Reference - CVSSv3.0'!$B$15:$C$17,2,FALSE)) *  (1 - VLOOKUP(Table4[[#This Row],[Availability]],'Reference - CVSSv3.0'!$B$15:$C$17,2,FALSE))))</f>
        <v>0.52544799999999992</v>
      </c>
      <c r="T60" s="155">
        <f>IF(Table4[[#This Row],[Scope]]="Unchanged",6.42*Table4[[#This Row],[ISC Base]],IF(Table4[[#This Row],[Scope]]="Changed",7.52*(Table4[[#This Row],[ISC Base]] - 0.029) - 3.25 * POWER(Table4[[#This Row],[ISC Base]] - 0.02,15),NA()))</f>
        <v>3.3733761599999994</v>
      </c>
      <c r="U60"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60" s="195" t="s">
        <v>183</v>
      </c>
      <c r="W60" s="155">
        <f>VLOOKUP(Table4[[#This Row],[Threat Event Initiation]],NIST_Scale_LOAI[],2,FALSE)</f>
        <v>0.2</v>
      </c>
      <c r="X6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6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9" t="s">
        <v>353</v>
      </c>
      <c r="AA60" s="199" t="s">
        <v>354</v>
      </c>
      <c r="AB60" s="86" t="s">
        <v>355</v>
      </c>
      <c r="AC60" s="209" t="s">
        <v>183</v>
      </c>
      <c r="AD60" s="209" t="s">
        <v>183</v>
      </c>
      <c r="AE60" s="209" t="s">
        <v>183</v>
      </c>
      <c r="AF60" s="208" t="s">
        <v>204</v>
      </c>
      <c r="AG60" s="208" t="s">
        <v>208</v>
      </c>
      <c r="AH60" s="208" t="s">
        <v>183</v>
      </c>
      <c r="AI60" s="208" t="s">
        <v>185</v>
      </c>
      <c r="AJ60" s="208" t="s">
        <v>186</v>
      </c>
      <c r="AK60"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1.0483294800000003</v>
      </c>
      <c r="AL60" s="155">
        <f>(1 - ((1 - VLOOKUP(Table4[[#This Row],[ConfidentialityP]],'Reference - CVSSv3.0'!$B$15:$C$17,2,FALSE)) * (1 - VLOOKUP(Table4[[#This Row],[IntegrityP]],'Reference - CVSSv3.0'!$B$15:$C$17,2,FALSE)) *  (1 - VLOOKUP(Table4[[#This Row],[AvailabilityP]],'Reference - CVSSv3.0'!$B$15:$C$17,2,FALSE))))</f>
        <v>0.52544799999999992</v>
      </c>
      <c r="AM60" s="155">
        <f>IF(Table4[[#This Row],[ScopeP]]="Unchanged",6.42*Table4[[#This Row],[ISC BaseP]],IF(Table4[[#This Row],[ScopeP]]="Changed",7.52*(Table4[[#This Row],[ISC BaseP]] - 0.029) - 3.25 * POWER(Table4[[#This Row],[ISC BaseP]] - 0.02,15),NA()))</f>
        <v>3.3733761599999994</v>
      </c>
      <c r="AN60" s="155">
        <f>IF(Table4[[#This Row],[Impact Sub ScoreP]]&lt;=0,0,IF(Table4[[#This Row],[ScopeP]]="Unchanged",ROUNDUP(MIN((Table4[[#This Row],[Impact Sub ScoreP]]+Table4[[#This Row],[Exploitability Sub ScoreP]]),10),1),IF(Table4[[#This Row],[ScopeP]]="Changed",ROUNDUP(MIN((1.08*(Table4[[#This Row],[Impact Sub ScoreP]]+Table4[[#This Row],[Exploitability Sub ScoreP]])),10),1),NA())))</f>
        <v>4.5</v>
      </c>
      <c r="AO60"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60"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0" s="199" t="s">
        <v>493</v>
      </c>
      <c r="AR60" s="213"/>
    </row>
    <row r="61" spans="1:44" s="47" customFormat="1" ht="123" customHeight="1">
      <c r="A61" s="64"/>
      <c r="B61" s="53" t="s">
        <v>351</v>
      </c>
      <c r="C61" s="84" t="str">
        <f>IF(VLOOKUP(Table4[[#This Row],[T ID]],Table5[#All],5,FALSE)="No","Not in scope",VLOOKUP(Table4[[#This Row],[T ID]],Table5[#All],2,FALSE))</f>
        <v>Distributed Denial of Service ('DDoS') attack</v>
      </c>
      <c r="D61" s="53" t="s">
        <v>103</v>
      </c>
      <c r="E61" s="84" t="str">
        <f>IF(VLOOKUP(Table4[[#This Row],[V ID]],Vulnerabilities[#All],3,FALSE)="No","Not in scope",VLOOKUP(Table4[[#This Row],[V ID]],Vulnerabilities[#All],2,FALSE))</f>
        <v>Lack of monitoring mechanisms</v>
      </c>
      <c r="F61" s="87" t="s">
        <v>10</v>
      </c>
      <c r="G61" s="84" t="str">
        <f>VLOOKUP(Table4[[#This Row],[A ID]],Assets[#All],3,FALSE)</f>
        <v>User Laptop</v>
      </c>
      <c r="H61" s="199" t="s">
        <v>352</v>
      </c>
      <c r="I61" s="53"/>
      <c r="J61" s="197" t="s">
        <v>183</v>
      </c>
      <c r="K61" s="197" t="s">
        <v>183</v>
      </c>
      <c r="L61" s="197" t="s">
        <v>183</v>
      </c>
      <c r="M61" s="151" t="s">
        <v>204</v>
      </c>
      <c r="N61" s="151" t="s">
        <v>208</v>
      </c>
      <c r="O61" s="151" t="s">
        <v>183</v>
      </c>
      <c r="P61" s="151" t="s">
        <v>185</v>
      </c>
      <c r="Q61" s="151" t="s">
        <v>186</v>
      </c>
      <c r="R61" s="19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61" s="155">
        <f>(1 - ((1 - VLOOKUP(Table4[[#This Row],[Confidentiality]],'Reference - CVSSv3.0'!$B$15:$C$17,2,FALSE)) * (1 - VLOOKUP(Table4[[#This Row],[Integrity]],'Reference - CVSSv3.0'!$B$15:$C$17,2,FALSE)) *  (1 - VLOOKUP(Table4[[#This Row],[Availability]],'Reference - CVSSv3.0'!$B$15:$C$17,2,FALSE))))</f>
        <v>0.52544799999999992</v>
      </c>
      <c r="T61" s="155">
        <f>IF(Table4[[#This Row],[Scope]]="Unchanged",6.42*Table4[[#This Row],[ISC Base]],IF(Table4[[#This Row],[Scope]]="Changed",7.52*(Table4[[#This Row],[ISC Base]] - 0.029) - 3.25 * POWER(Table4[[#This Row],[ISC Base]] - 0.02,15),NA()))</f>
        <v>3.3733761599999994</v>
      </c>
      <c r="U61"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61" s="195" t="s">
        <v>183</v>
      </c>
      <c r="W61" s="155">
        <f>VLOOKUP(Table4[[#This Row],[Threat Event Initiation]],NIST_Scale_LOAI[],2,FALSE)</f>
        <v>0.2</v>
      </c>
      <c r="X6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6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9" t="s">
        <v>356</v>
      </c>
      <c r="AA61" s="199" t="s">
        <v>357</v>
      </c>
      <c r="AB61" s="86" t="s">
        <v>358</v>
      </c>
      <c r="AC61" s="209" t="s">
        <v>183</v>
      </c>
      <c r="AD61" s="209" t="s">
        <v>183</v>
      </c>
      <c r="AE61" s="209" t="s">
        <v>183</v>
      </c>
      <c r="AF61" s="208" t="s">
        <v>204</v>
      </c>
      <c r="AG61" s="208" t="s">
        <v>208</v>
      </c>
      <c r="AH61" s="208" t="s">
        <v>183</v>
      </c>
      <c r="AI61" s="208" t="s">
        <v>185</v>
      </c>
      <c r="AJ61" s="208" t="s">
        <v>186</v>
      </c>
      <c r="AK61"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1.0483294800000003</v>
      </c>
      <c r="AL61" s="155">
        <f>(1 - ((1 - VLOOKUP(Table4[[#This Row],[ConfidentialityP]],'Reference - CVSSv3.0'!$B$15:$C$17,2,FALSE)) * (1 - VLOOKUP(Table4[[#This Row],[IntegrityP]],'Reference - CVSSv3.0'!$B$15:$C$17,2,FALSE)) *  (1 - VLOOKUP(Table4[[#This Row],[AvailabilityP]],'Reference - CVSSv3.0'!$B$15:$C$17,2,FALSE))))</f>
        <v>0.52544799999999992</v>
      </c>
      <c r="AM61" s="155">
        <f>IF(Table4[[#This Row],[ScopeP]]="Unchanged",6.42*Table4[[#This Row],[ISC BaseP]],IF(Table4[[#This Row],[ScopeP]]="Changed",7.52*(Table4[[#This Row],[ISC BaseP]] - 0.029) - 3.25 * POWER(Table4[[#This Row],[ISC BaseP]] - 0.02,15),NA()))</f>
        <v>3.3733761599999994</v>
      </c>
      <c r="AN61" s="155">
        <f>IF(Table4[[#This Row],[Impact Sub ScoreP]]&lt;=0,0,IF(Table4[[#This Row],[ScopeP]]="Unchanged",ROUNDUP(MIN((Table4[[#This Row],[Impact Sub ScoreP]]+Table4[[#This Row],[Exploitability Sub ScoreP]]),10),1),IF(Table4[[#This Row],[ScopeP]]="Changed",ROUNDUP(MIN((1.08*(Table4[[#This Row],[Impact Sub ScoreP]]+Table4[[#This Row],[Exploitability Sub ScoreP]])),10),1),NA())))</f>
        <v>4.5</v>
      </c>
      <c r="AO61"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P61"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61" s="199" t="s">
        <v>493</v>
      </c>
      <c r="AR61" s="213"/>
    </row>
    <row r="62" spans="1:44" s="47" customFormat="1" ht="39" customHeight="1">
      <c r="A62" s="64"/>
      <c r="B62" s="53"/>
      <c r="C62" s="84" t="e">
        <f>IF(VLOOKUP(Table4[[#This Row],[T ID]],Table5[#All],5,FALSE)="No","Not in scope",VLOOKUP(Table4[[#This Row],[T ID]],Table5[#All],2,FALSE))</f>
        <v>#N/A</v>
      </c>
      <c r="D62" s="53"/>
      <c r="E62" s="84" t="e">
        <f>IF(VLOOKUP(Table4[[#This Row],[V ID]],Vulnerabilities[#All],3,FALSE)="No","Not in scope",VLOOKUP(Table4[[#This Row],[V ID]],Vulnerabilities[#All],2,FALSE))</f>
        <v>#N/A</v>
      </c>
      <c r="F62" s="87"/>
      <c r="G62" s="84" t="e">
        <f>VLOOKUP(Table4[[#This Row],[A ID]],Assets[#All],3,FALSE)</f>
        <v>#N/A</v>
      </c>
      <c r="H62" s="199"/>
      <c r="I62" s="53"/>
      <c r="J62" s="197"/>
      <c r="K62" s="197"/>
      <c r="L62" s="197"/>
      <c r="M62" s="151"/>
      <c r="N62" s="151"/>
      <c r="O62" s="151"/>
      <c r="P62" s="151"/>
      <c r="Q62" s="151"/>
      <c r="R62" s="194"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62" s="155" t="e">
        <f>(1 - ((1 - VLOOKUP(Table4[[#This Row],[Confidentiality]],'Reference - CVSSv3.0'!$B$15:$C$17,2,FALSE)) * (1 - VLOOKUP(Table4[[#This Row],[Integrity]],'Reference - CVSSv3.0'!$B$15:$C$17,2,FALSE)) *  (1 - VLOOKUP(Table4[[#This Row],[Availability]],'Reference - CVSSv3.0'!$B$15:$C$17,2,FALSE))))</f>
        <v>#N/A</v>
      </c>
      <c r="T62" s="155" t="e">
        <f>IF(Table4[[#This Row],[Scope]]="Unchanged",6.42*Table4[[#This Row],[ISC Base]],IF(Table4[[#This Row],[Scope]]="Changed",7.52*(Table4[[#This Row],[ISC Base]] - 0.029) - 3.25 * POWER(Table4[[#This Row],[ISC Base]] - 0.02,15),NA()))</f>
        <v>#N/A</v>
      </c>
      <c r="U62" s="155" t="e">
        <f>IF(Table4[[#This Row],[Impact Sub Score]]&lt;=0,0,IF(Table4[[#This Row],[Scope]]="Unchanged",ROUNDUP(MIN((Table4[[#This Row],[Impact Sub Score]]+Table4[[#This Row],[Exploitability Sub Score]]),10),1),IF(Table4[[#This Row],[Scope]]="Changed",ROUNDUP(MIN((1.08*(Table4[[#This Row],[Impact Sub Score]]+Table4[[#This Row],[Exploitability Sub Score]])),10),1),NA())))</f>
        <v>#N/A</v>
      </c>
      <c r="V62" s="195"/>
      <c r="W62" s="155" t="e">
        <f>VLOOKUP(Table4[[#This Row],[Threat Event Initiation]],NIST_Scale_LOAI[],2,FALSE)</f>
        <v>#N/A</v>
      </c>
      <c r="X62" s="155"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6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62" s="53"/>
      <c r="AA62" s="199"/>
      <c r="AB62" s="86"/>
      <c r="AC62" s="53"/>
      <c r="AD62" s="53"/>
      <c r="AE62" s="53"/>
      <c r="AF62" s="151"/>
      <c r="AG62" s="151"/>
      <c r="AH62" s="151"/>
      <c r="AI62" s="151"/>
      <c r="AJ62" s="151"/>
      <c r="AK62"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155" t="e">
        <f>(1 - ((1 - VLOOKUP(Table4[[#This Row],[ConfidentialityP]],'Reference - CVSSv3.0'!$B$15:$C$17,2,FALSE)) * (1 - VLOOKUP(Table4[[#This Row],[IntegrityP]],'Reference - CVSSv3.0'!$B$15:$C$17,2,FALSE)) *  (1 - VLOOKUP(Table4[[#This Row],[AvailabilityP]],'Reference - CVSSv3.0'!$B$15:$C$17,2,FALSE))))</f>
        <v>#N/A</v>
      </c>
      <c r="AM62" s="155" t="e">
        <f>IF(Table4[[#This Row],[ScopeP]]="Unchanged",6.42*Table4[[#This Row],[ISC BaseP]],IF(Table4[[#This Row],[ScopeP]]="Changed",7.52*(Table4[[#This Row],[ISC BaseP]] - 0.029) - 3.25 * POWER(Table4[[#This Row],[ISC BaseP]] - 0.02,15),NA()))</f>
        <v>#N/A</v>
      </c>
      <c r="AN62"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19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53"/>
      <c r="AR62" s="213"/>
    </row>
    <row r="63" spans="1:44" s="47" customFormat="1" ht="66" customHeight="1">
      <c r="A63" s="64"/>
      <c r="B63" s="51"/>
      <c r="C63" s="83"/>
      <c r="D63" s="53"/>
      <c r="E63" s="83"/>
      <c r="F63" s="53"/>
      <c r="G63" s="84"/>
      <c r="H63" s="199"/>
      <c r="I63" s="53"/>
      <c r="J63" s="85"/>
      <c r="K63" s="85"/>
      <c r="L63" s="85"/>
      <c r="M63" s="151"/>
      <c r="N63" s="151"/>
      <c r="O63" s="151"/>
      <c r="P63" s="151"/>
      <c r="Q63" s="151"/>
      <c r="R63" s="155"/>
      <c r="S63" s="155"/>
      <c r="T63" s="155"/>
      <c r="U63" s="155"/>
      <c r="V63" s="176"/>
      <c r="W63" s="177"/>
      <c r="X63" s="155"/>
      <c r="Y63" s="85"/>
      <c r="Z63" s="53"/>
      <c r="AA63" s="53"/>
      <c r="AB63" s="88"/>
      <c r="AC63" s="85"/>
      <c r="AD63" s="85"/>
      <c r="AE63" s="85"/>
      <c r="AF63" s="151"/>
      <c r="AG63" s="151"/>
      <c r="AH63" s="151"/>
      <c r="AI63" s="151"/>
      <c r="AJ63" s="151"/>
      <c r="AK63" s="155"/>
      <c r="AL63" s="155"/>
      <c r="AM63" s="155"/>
      <c r="AN63" s="155"/>
      <c r="AO63" s="155"/>
      <c r="AP63" s="156"/>
      <c r="AQ63" s="53"/>
      <c r="AR63" s="215"/>
    </row>
    <row r="76" spans="7:26">
      <c r="G76" t="s">
        <v>359</v>
      </c>
      <c r="Z76" s="202" t="s">
        <v>360</v>
      </c>
    </row>
    <row r="77" spans="7:26" ht="65.25" customHeight="1">
      <c r="Z77" s="202" t="s">
        <v>361</v>
      </c>
    </row>
    <row r="78" spans="7:26" ht="30">
      <c r="Z78" s="203" t="s">
        <v>362</v>
      </c>
    </row>
    <row r="79" spans="7:26">
      <c r="Z79" t="s">
        <v>363</v>
      </c>
    </row>
  </sheetData>
  <mergeCells count="4">
    <mergeCell ref="AC3:AQ3"/>
    <mergeCell ref="Z3:AB3"/>
    <mergeCell ref="F3:I3"/>
    <mergeCell ref="J3:Y3"/>
  </mergeCells>
  <conditionalFormatting sqref="Y5:Y63 AP5:AP63">
    <cfRule type="cellIs" dxfId="165" priority="26" operator="equal">
      <formula>"Critical"</formula>
    </cfRule>
    <cfRule type="cellIs" dxfId="164" priority="27" operator="equal">
      <formula>"HIGH"</formula>
    </cfRule>
    <cfRule type="cellIs" dxfId="163" priority="28" operator="equal">
      <formula>"Medium"</formula>
    </cfRule>
    <cfRule type="cellIs" dxfId="162" priority="29" operator="equal">
      <formula>"None"</formula>
    </cfRule>
    <cfRule type="cellIs" dxfId="161"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300-000000000000}"/>
    <dataValidation allowBlank="1" showInputMessage="1" showErrorMessage="1" prompt="This metric measures the impact to integrity of a successfully exploited vulnerability. Integrity refers to the trustworthiness and veracity of information." sqref="K4 AD4" xr:uid="{00000000-0002-0000-03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dataValidation allowBlank="1" showInputMessage="1" showErrorMessage="1" prompt="A scope change is the ability for a vulnerability in one software component to impact resources beyond its means, or privilege." sqref="Q4 AJ4" xr:uid="{00000000-0002-0000-0300-000007000000}"/>
    <dataValidation allowBlank="1" showInputMessage="1" showErrorMessage="1" prompt="Threat event initiation is assessed by taking into consideration the characteristics of the threat sources of concern including capability, intent, and targeting." sqref="V4" xr:uid="{00000000-0002-0000-0300-000008000000}"/>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 r:id="rId2"/>
  <legacyDrawingHF r:id="rId3"/>
  <tableParts count="1">
    <tablePart r:id="rId4"/>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300-000009000000}">
          <x14:formula1>
            <xm:f>'Reference - CVSSv3.0'!$B$21:$B$23</xm:f>
          </x14:formula1>
          <xm:sqref>Q5:Q63 AJ62:AJ63</xm:sqref>
        </x14:dataValidation>
        <x14:dataValidation type="list" allowBlank="1" showInputMessage="1" showErrorMessage="1" xr:uid="{00000000-0002-0000-0300-00000A000000}">
          <x14:formula1>
            <xm:f>'Reference - CVSSv3.0'!$B$15:$B$18</xm:f>
          </x14:formula1>
          <xm:sqref>J5:L63 AC62:AE63</xm:sqref>
        </x14:dataValidation>
        <x14:dataValidation type="list" allowBlank="1" showInputMessage="1" showErrorMessage="1" xr:uid="{00000000-0002-0000-0300-00000B000000}">
          <x14:formula1>
            <xm:f>'Reference - CVSSv3.0'!$B$6:$B$10</xm:f>
          </x14:formula1>
          <xm:sqref>M5:M63 AF62:AF63</xm:sqref>
        </x14:dataValidation>
        <x14:dataValidation type="list" allowBlank="1" showInputMessage="1" showErrorMessage="1" xr:uid="{00000000-0002-0000-0300-00000C000000}">
          <x14:formula1>
            <xm:f>'Reference - CVSSv3.0'!$E$6:$E$8</xm:f>
          </x14:formula1>
          <xm:sqref>N5:N63 AG62:AG63</xm:sqref>
        </x14:dataValidation>
        <x14:dataValidation type="list" allowBlank="1" showInputMessage="1" showErrorMessage="1" xr:uid="{00000000-0002-0000-0300-00000D000000}">
          <x14:formula1>
            <xm:f>'Reference - CVSSv3.0'!$H$6:$H$9</xm:f>
          </x14:formula1>
          <xm:sqref>O5:O63 AH62:AH63</xm:sqref>
        </x14:dataValidation>
        <x14:dataValidation type="list" allowBlank="1" showInputMessage="1" showErrorMessage="1" xr:uid="{00000000-0002-0000-0300-00000E000000}">
          <x14:formula1>
            <xm:f>'Reference - CVSSv3.0'!$L$6:$L$8</xm:f>
          </x14:formula1>
          <xm:sqref>P5:P63 AI62:AI63</xm:sqref>
        </x14:dataValidation>
        <x14:dataValidation type="list" allowBlank="1" showInputMessage="1" showErrorMessage="1" xr:uid="{00000000-0002-0000-0300-00000F000000}">
          <x14:formula1>
            <xm:f>'Reference - CVSSv3.0'!$Q$5:$Q$10</xm:f>
          </x14:formula1>
          <xm:sqref>V5:V63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65"/>
  <sheetViews>
    <sheetView topLeftCell="A10" zoomScaleNormal="100" workbookViewId="0">
      <selection activeCell="C36" sqref="C36:C41"/>
    </sheetView>
  </sheetViews>
  <sheetFormatPr defaultColWidth="9.140625" defaultRowHeight="15"/>
  <cols>
    <col min="1" max="1" width="6.140625" style="23" customWidth="1"/>
    <col min="2" max="2" width="61" style="23" bestFit="1" customWidth="1"/>
    <col min="3" max="3" width="49.42578125" style="23" customWidth="1"/>
    <col min="4" max="4" width="27.85546875" style="23" customWidth="1"/>
    <col min="5" max="5" width="15.140625" style="24" customWidth="1"/>
    <col min="6" max="6" width="24.7109375" style="23" customWidth="1"/>
    <col min="7" max="16384" width="9.140625" style="23"/>
  </cols>
  <sheetData>
    <row r="1" spans="1:6" s="47" customFormat="1" ht="14.25">
      <c r="A1" s="27" t="s">
        <v>364</v>
      </c>
      <c r="E1" s="58"/>
    </row>
    <row r="2" spans="1:6" s="47" customFormat="1" ht="14.25">
      <c r="E2" s="58"/>
    </row>
    <row r="3" spans="1:6" s="47" customFormat="1" ht="28.5">
      <c r="A3" s="59" t="s">
        <v>365</v>
      </c>
      <c r="B3" s="59" t="s">
        <v>366</v>
      </c>
      <c r="C3" s="59" t="s">
        <v>367</v>
      </c>
      <c r="D3" s="59" t="s">
        <v>368</v>
      </c>
      <c r="E3" s="59" t="s">
        <v>369</v>
      </c>
      <c r="F3" s="60" t="s">
        <v>370</v>
      </c>
    </row>
    <row r="4" spans="1:6" s="67" customFormat="1" ht="14.25">
      <c r="A4" s="189" t="s">
        <v>181</v>
      </c>
      <c r="B4" s="61" t="s">
        <v>371</v>
      </c>
      <c r="C4" s="62" t="s">
        <v>372</v>
      </c>
      <c r="D4" s="63" t="s">
        <v>373</v>
      </c>
      <c r="E4" s="64" t="s">
        <v>68</v>
      </c>
      <c r="F4" s="66" t="s">
        <v>69</v>
      </c>
    </row>
    <row r="5" spans="1:6" s="47" customFormat="1" ht="57">
      <c r="A5" s="189" t="s">
        <v>207</v>
      </c>
      <c r="B5" s="61" t="s">
        <v>374</v>
      </c>
      <c r="C5" s="62" t="s">
        <v>375</v>
      </c>
      <c r="D5" s="63" t="s">
        <v>376</v>
      </c>
      <c r="E5" s="64" t="s">
        <v>68</v>
      </c>
      <c r="F5" s="66" t="s">
        <v>69</v>
      </c>
    </row>
    <row r="6" spans="1:6" s="47" customFormat="1" ht="71.25">
      <c r="A6" s="189" t="s">
        <v>225</v>
      </c>
      <c r="B6" s="61" t="s">
        <v>377</v>
      </c>
      <c r="C6" s="61" t="s">
        <v>378</v>
      </c>
      <c r="D6" s="63" t="s">
        <v>373</v>
      </c>
      <c r="E6" s="64" t="s">
        <v>68</v>
      </c>
      <c r="F6" s="66" t="s">
        <v>69</v>
      </c>
    </row>
    <row r="7" spans="1:6" s="47" customFormat="1" ht="42.75">
      <c r="A7" s="190" t="s">
        <v>379</v>
      </c>
      <c r="B7" s="68" t="s">
        <v>380</v>
      </c>
      <c r="C7" s="68" t="s">
        <v>381</v>
      </c>
      <c r="D7" s="63" t="s">
        <v>382</v>
      </c>
      <c r="E7" s="64" t="s">
        <v>110</v>
      </c>
      <c r="F7" s="42" t="s">
        <v>383</v>
      </c>
    </row>
    <row r="8" spans="1:6" s="47" customFormat="1" ht="57">
      <c r="A8" s="189" t="s">
        <v>236</v>
      </c>
      <c r="B8" s="199" t="s">
        <v>384</v>
      </c>
      <c r="C8" s="68" t="s">
        <v>385</v>
      </c>
      <c r="D8" s="191" t="s">
        <v>386</v>
      </c>
      <c r="E8" s="64" t="s">
        <v>68</v>
      </c>
      <c r="F8" s="66" t="s">
        <v>69</v>
      </c>
    </row>
    <row r="9" spans="1:6" s="47" customFormat="1" ht="42.75">
      <c r="A9" s="57" t="s">
        <v>250</v>
      </c>
      <c r="B9" s="57" t="s">
        <v>387</v>
      </c>
      <c r="C9" s="45" t="s">
        <v>388</v>
      </c>
      <c r="D9" s="45" t="s">
        <v>373</v>
      </c>
      <c r="E9" s="187" t="s">
        <v>68</v>
      </c>
      <c r="F9" s="188"/>
    </row>
    <row r="10" spans="1:6" s="47" customFormat="1" ht="57">
      <c r="A10" s="57" t="s">
        <v>263</v>
      </c>
      <c r="B10" s="57" t="s">
        <v>389</v>
      </c>
      <c r="C10" s="45" t="s">
        <v>390</v>
      </c>
      <c r="D10" s="45" t="s">
        <v>386</v>
      </c>
      <c r="E10" s="187" t="s">
        <v>68</v>
      </c>
      <c r="F10" s="188"/>
    </row>
    <row r="11" spans="1:6" s="47" customFormat="1" ht="28.5">
      <c r="A11" s="53" t="s">
        <v>285</v>
      </c>
      <c r="B11" s="57" t="s">
        <v>391</v>
      </c>
      <c r="C11" s="199" t="s">
        <v>392</v>
      </c>
      <c r="D11" s="53" t="s">
        <v>393</v>
      </c>
      <c r="E11" s="64" t="s">
        <v>68</v>
      </c>
      <c r="F11" s="66"/>
    </row>
    <row r="12" spans="1:6" s="47" customFormat="1" ht="28.5">
      <c r="A12" s="53" t="s">
        <v>298</v>
      </c>
      <c r="B12" s="53" t="s">
        <v>394</v>
      </c>
      <c r="C12" s="199" t="s">
        <v>395</v>
      </c>
      <c r="D12" s="53" t="s">
        <v>373</v>
      </c>
      <c r="E12" s="64" t="s">
        <v>68</v>
      </c>
      <c r="F12" s="66"/>
    </row>
    <row r="13" spans="1:6" s="47" customFormat="1" ht="14.25">
      <c r="A13" s="53" t="s">
        <v>311</v>
      </c>
      <c r="B13" s="53" t="s">
        <v>396</v>
      </c>
      <c r="C13" s="53" t="s">
        <v>397</v>
      </c>
      <c r="D13" s="53" t="s">
        <v>373</v>
      </c>
      <c r="E13" s="64" t="s">
        <v>68</v>
      </c>
      <c r="F13" s="66"/>
    </row>
    <row r="14" spans="1:6" s="47" customFormat="1" ht="57">
      <c r="A14" s="53" t="s">
        <v>318</v>
      </c>
      <c r="B14" s="53" t="s">
        <v>398</v>
      </c>
      <c r="C14" s="199" t="s">
        <v>399</v>
      </c>
      <c r="D14" s="199" t="s">
        <v>386</v>
      </c>
      <c r="E14" s="64" t="s">
        <v>68</v>
      </c>
      <c r="F14" s="66"/>
    </row>
    <row r="15" spans="1:6" s="47" customFormat="1" ht="57">
      <c r="A15" s="53" t="s">
        <v>334</v>
      </c>
      <c r="B15" s="53" t="s">
        <v>400</v>
      </c>
      <c r="C15" s="199" t="s">
        <v>344</v>
      </c>
      <c r="D15" s="199" t="s">
        <v>386</v>
      </c>
      <c r="E15" s="64" t="s">
        <v>68</v>
      </c>
      <c r="F15" s="66"/>
    </row>
    <row r="16" spans="1:6" s="47" customFormat="1" ht="28.5">
      <c r="A16" s="53" t="s">
        <v>351</v>
      </c>
      <c r="B16" s="53" t="s">
        <v>401</v>
      </c>
      <c r="C16" s="199" t="s">
        <v>402</v>
      </c>
      <c r="D16" s="53" t="s">
        <v>373</v>
      </c>
      <c r="E16" s="64" t="s">
        <v>68</v>
      </c>
      <c r="F16" s="66"/>
    </row>
    <row r="17" spans="1:7" s="47" customFormat="1" ht="13.15" customHeight="1">
      <c r="A17" s="57"/>
      <c r="B17" s="57"/>
      <c r="C17" s="57"/>
      <c r="D17" s="57"/>
      <c r="E17" s="187"/>
      <c r="F17" s="188"/>
    </row>
    <row r="18" spans="1:7" s="47" customFormat="1" ht="14.25">
      <c r="A18" s="26" t="s">
        <v>58</v>
      </c>
      <c r="E18" s="58"/>
    </row>
    <row r="19" spans="1:7" s="47" customFormat="1" ht="30" customHeight="1">
      <c r="B19" s="219" t="s">
        <v>59</v>
      </c>
      <c r="C19" s="219"/>
      <c r="D19" s="219"/>
      <c r="E19" s="201"/>
      <c r="F19" s="201"/>
      <c r="G19" s="201"/>
    </row>
    <row r="20" spans="1:7" s="47" customFormat="1" ht="14.25">
      <c r="E20" s="58"/>
    </row>
    <row r="21" spans="1:7" s="47" customFormat="1" ht="14.25">
      <c r="E21" s="58"/>
    </row>
    <row r="22" spans="1:7" s="47" customFormat="1" ht="14.25">
      <c r="E22" s="58"/>
    </row>
    <row r="23" spans="1:7" s="47" customFormat="1" ht="14.25">
      <c r="E23" s="58"/>
    </row>
    <row r="24" spans="1:7" s="47" customFormat="1" ht="14.25">
      <c r="E24" s="58"/>
    </row>
    <row r="25" spans="1:7" s="47" customFormat="1" ht="14.25">
      <c r="E25" s="58"/>
    </row>
    <row r="26" spans="1:7" s="47" customFormat="1" ht="14.25">
      <c r="E26" s="58"/>
    </row>
    <row r="27" spans="1:7" s="47" customFormat="1" ht="14.25">
      <c r="E27" s="58"/>
    </row>
    <row r="28" spans="1:7" s="47" customFormat="1" ht="14.25">
      <c r="E28" s="58"/>
    </row>
    <row r="29" spans="1:7" s="47" customFormat="1" ht="14.25">
      <c r="E29" s="58"/>
    </row>
    <row r="30" spans="1:7" s="47" customFormat="1" ht="14.25">
      <c r="E30" s="58"/>
    </row>
    <row r="31" spans="1:7" s="47" customFormat="1" ht="14.25">
      <c r="E31" s="58"/>
    </row>
    <row r="32" spans="1:7" s="47" customFormat="1" ht="14.25">
      <c r="E32" s="58"/>
    </row>
    <row r="33" spans="5:5" s="47" customFormat="1" ht="14.25">
      <c r="E33" s="58"/>
    </row>
    <row r="34" spans="5:5" s="47" customFormat="1" ht="14.25">
      <c r="E34" s="58"/>
    </row>
    <row r="35" spans="5:5" s="47" customFormat="1" ht="14.25">
      <c r="E35" s="58"/>
    </row>
    <row r="36" spans="5:5" s="47" customFormat="1" ht="14.25">
      <c r="E36" s="58"/>
    </row>
    <row r="37" spans="5:5" s="47" customFormat="1" ht="14.25">
      <c r="E37" s="58"/>
    </row>
    <row r="38" spans="5:5" s="47" customFormat="1" ht="14.25">
      <c r="E38" s="58"/>
    </row>
    <row r="39" spans="5:5" s="47" customFormat="1" ht="14.25">
      <c r="E39" s="58"/>
    </row>
    <row r="40" spans="5:5" s="47" customFormat="1" ht="14.25">
      <c r="E40" s="58"/>
    </row>
    <row r="41" spans="5:5" s="47" customFormat="1" ht="14.25">
      <c r="E41" s="58"/>
    </row>
    <row r="42" spans="5:5" s="47" customFormat="1" ht="14.25">
      <c r="E42" s="58"/>
    </row>
    <row r="43" spans="5:5" s="47" customFormat="1" ht="14.25">
      <c r="E43" s="58"/>
    </row>
    <row r="44" spans="5:5" s="47" customFormat="1" ht="14.25">
      <c r="E44" s="58"/>
    </row>
    <row r="45" spans="5:5" s="47" customFormat="1" ht="14.25">
      <c r="E45" s="58"/>
    </row>
    <row r="46" spans="5:5" s="47" customFormat="1" ht="14.25">
      <c r="E46" s="58"/>
    </row>
    <row r="47" spans="5:5" s="47" customFormat="1" ht="14.25">
      <c r="E47" s="58"/>
    </row>
    <row r="48" spans="5:5" s="47" customFormat="1" ht="14.25">
      <c r="E48" s="58"/>
    </row>
    <row r="49" spans="5:5" s="47" customFormat="1" ht="14.25">
      <c r="E49" s="58"/>
    </row>
    <row r="50" spans="5:5" s="47" customFormat="1" ht="14.25">
      <c r="E50" s="58"/>
    </row>
    <row r="51" spans="5:5" s="47" customFormat="1" ht="14.25">
      <c r="E51" s="58"/>
    </row>
    <row r="52" spans="5:5" s="47" customFormat="1" ht="14.25">
      <c r="E52" s="58"/>
    </row>
    <row r="53" spans="5:5" s="47" customFormat="1" ht="14.25">
      <c r="E53" s="58"/>
    </row>
    <row r="54" spans="5:5" s="47" customFormat="1" ht="14.25">
      <c r="E54" s="58"/>
    </row>
    <row r="55" spans="5:5" s="47" customFormat="1" ht="14.25">
      <c r="E55" s="58"/>
    </row>
    <row r="56" spans="5:5" s="47" customFormat="1" ht="14.25">
      <c r="E56" s="58"/>
    </row>
    <row r="57" spans="5:5" s="47" customFormat="1" ht="14.25">
      <c r="E57" s="58"/>
    </row>
    <row r="58" spans="5:5" s="47" customFormat="1" ht="14.25">
      <c r="E58" s="58"/>
    </row>
    <row r="59" spans="5:5" s="47" customFormat="1" ht="14.25">
      <c r="E59" s="58"/>
    </row>
    <row r="60" spans="5:5" s="47" customFormat="1" ht="14.25">
      <c r="E60" s="58"/>
    </row>
    <row r="61" spans="5:5" s="47" customFormat="1" ht="14.25">
      <c r="E61" s="58"/>
    </row>
    <row r="62" spans="5:5" s="47" customFormat="1" ht="14.25">
      <c r="E62" s="58"/>
    </row>
    <row r="63" spans="5:5" s="47" customFormat="1" ht="14.25">
      <c r="E63" s="58"/>
    </row>
    <row r="64" spans="5:5" s="47" customFormat="1" ht="14.25">
      <c r="E64" s="58"/>
    </row>
    <row r="65" spans="5:5" s="47" customFormat="1" ht="14.25">
      <c r="E65" s="58"/>
    </row>
  </sheetData>
  <mergeCells count="1">
    <mergeCell ref="B19:D19"/>
  </mergeCells>
  <pageMargins left="0.7" right="0.7" top="1.2537499999999999" bottom="0.75" header="0.3" footer="0.3"/>
  <pageSetup scale="6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E4:E17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7"/>
  <sheetViews>
    <sheetView zoomScaleNormal="100" workbookViewId="0">
      <selection activeCell="A5" sqref="A5:L10"/>
    </sheetView>
  </sheetViews>
  <sheetFormatPr defaultColWidth="9.140625" defaultRowHeight="15"/>
  <cols>
    <col min="1" max="1" width="9.140625" style="23" customWidth="1"/>
    <col min="2" max="2" width="4.85546875" style="23" customWidth="1"/>
    <col min="3" max="3" width="25.5703125" style="24" customWidth="1"/>
    <col min="4" max="4" width="5" style="23" customWidth="1"/>
    <col min="5" max="5" width="22" style="23" customWidth="1"/>
    <col min="6" max="6" width="6.28515625" style="23" customWidth="1"/>
    <col min="7" max="7" width="28.7109375" style="23" customWidth="1"/>
    <col min="8" max="8" width="38" style="23" customWidth="1"/>
    <col min="9" max="9" width="25.42578125" style="23" customWidth="1"/>
    <col min="10" max="10" width="15" style="23" customWidth="1"/>
    <col min="11" max="11" width="35.7109375" style="23" customWidth="1"/>
    <col min="12" max="12" width="15" style="23" customWidth="1"/>
    <col min="13" max="13" width="36.85546875" style="23" customWidth="1"/>
    <col min="14" max="16384" width="9.140625" style="23"/>
  </cols>
  <sheetData>
    <row r="1" spans="1:14" s="47" customFormat="1">
      <c r="A1" s="27" t="s">
        <v>403</v>
      </c>
      <c r="B1" s="69"/>
      <c r="C1" s="69"/>
      <c r="D1" s="69"/>
      <c r="E1" s="69"/>
      <c r="F1" s="69"/>
      <c r="G1" s="69"/>
      <c r="H1" s="69"/>
      <c r="I1" s="69"/>
      <c r="J1" s="69"/>
      <c r="K1" s="69"/>
      <c r="L1" s="69"/>
      <c r="M1" s="69"/>
      <c r="N1"/>
    </row>
    <row r="2" spans="1:14" s="47" customFormat="1">
      <c r="A2" s="27"/>
      <c r="B2" s="69"/>
      <c r="C2" s="69"/>
      <c r="D2" s="69"/>
      <c r="E2" s="69"/>
      <c r="F2" s="69"/>
      <c r="G2" s="69"/>
      <c r="H2" s="69"/>
      <c r="I2" s="69"/>
      <c r="J2" s="69"/>
      <c r="K2" s="69"/>
      <c r="L2" s="69"/>
      <c r="M2" s="69"/>
      <c r="N2"/>
    </row>
    <row r="3" spans="1:14" s="47" customFormat="1">
      <c r="A3" s="69" t="s">
        <v>134</v>
      </c>
      <c r="B3" s="69"/>
      <c r="C3" s="69"/>
      <c r="D3" s="69"/>
      <c r="E3" s="69"/>
      <c r="F3" s="69"/>
      <c r="G3" s="69"/>
      <c r="H3" s="69"/>
      <c r="I3" s="69"/>
      <c r="J3" s="69"/>
      <c r="K3" s="69"/>
      <c r="L3" s="69"/>
      <c r="M3" s="69"/>
      <c r="N3"/>
    </row>
    <row r="4" spans="1:14" s="47" customFormat="1" ht="28.5">
      <c r="A4" s="163" t="s">
        <v>139</v>
      </c>
      <c r="B4" s="164" t="s">
        <v>140</v>
      </c>
      <c r="C4" s="165" t="s">
        <v>141</v>
      </c>
      <c r="D4" s="166" t="s">
        <v>142</v>
      </c>
      <c r="E4" s="167" t="s">
        <v>143</v>
      </c>
      <c r="F4" s="168" t="s">
        <v>144</v>
      </c>
      <c r="G4" s="169" t="s">
        <v>404</v>
      </c>
      <c r="H4" s="169" t="s">
        <v>145</v>
      </c>
      <c r="I4" s="170" t="s">
        <v>146</v>
      </c>
      <c r="J4" s="171" t="s">
        <v>405</v>
      </c>
      <c r="K4" s="172" t="s">
        <v>163</v>
      </c>
      <c r="L4" s="173" t="s">
        <v>406</v>
      </c>
      <c r="M4" s="174" t="s">
        <v>180</v>
      </c>
      <c r="N4"/>
    </row>
    <row r="5" spans="1:14" s="47" customFormat="1" ht="85.5">
      <c r="A5" s="65">
        <f>Table4[[#This Row],[
ID '#]]</f>
        <v>1</v>
      </c>
      <c r="B5" s="51" t="str">
        <f>IF(Table4[[#This Row],[A ID]]&gt;0,Table4[[#This Row],[T ID]],"")</f>
        <v>T01</v>
      </c>
      <c r="C5" s="199" t="str">
        <f>Table4[[#This Row],[Threat Event(s)]]</f>
        <v>Deliver undirected malware</v>
      </c>
      <c r="D5" s="51" t="str">
        <f>IF(Table4[[#This Row],[V ID]]&gt;0,Table4[[#This Row],[V ID]],"")</f>
        <v>V11</v>
      </c>
      <c r="E5" s="199" t="str">
        <f>Table4[[#This Row],[Vulnerabilities]]</f>
        <v>Unpatched COTS operating system</v>
      </c>
      <c r="F5" s="53" t="str">
        <f>IF(Table4[[#This Row],[A ID]]&gt;0,Table4[[#This Row],[A ID]],"")</f>
        <v>A06</v>
      </c>
      <c r="G5" s="199" t="str">
        <f>Table4[[#This Row],[Asset]]</f>
        <v>Laptop Operating System</v>
      </c>
      <c r="H5" s="199" t="str">
        <f>IF(Table4[[#This Row],[Impact Description]]&gt;0,Table4[[#This Row],[Impact Description]],"")</f>
        <v xml:space="preserve">Access to Thor knee Planning application impacted due to system being down or functional degradation </v>
      </c>
      <c r="I5" s="53" t="str">
        <f>IF(Table4[[#This Row],[Safety Impact 
(Risk ID'# or N/A)]]&gt;0,Table4[[#This Row],[Safety Impact 
(Risk ID'# or N/A)]],"")</f>
        <v/>
      </c>
      <c r="J5" s="85" t="str">
        <f>Table4[[#This Row],[Security 
Risk 
Level]]</f>
        <v>MEDIUM</v>
      </c>
      <c r="K5" s="199" t="str">
        <f>IF(Table4[[#This Row],[Security Risk Control Measures]]&gt;0,Table4[[#This Row],[Security Risk Control Measures]],"")</f>
        <v xml:space="preserve">1.Application Whitelisting
2.Firewall
3.Virus Scan
4.User authentication
5.Proper crash logs of application should be maintained </v>
      </c>
      <c r="L5" s="85" t="str">
        <f>Table4[[#This Row],[Security Risk LevelP]]</f>
        <v>LOW</v>
      </c>
      <c r="M5" s="53" t="str">
        <f>IF(Table4[[#This Row],[Residual Security Risk Acceptability Justification]]&gt;0,Table4[[#This Row],[Residual Security Risk Acceptability Justification]],"")</f>
        <v xml:space="preserve"> </v>
      </c>
      <c r="N5"/>
    </row>
    <row r="6" spans="1:14" s="47" customFormat="1" ht="71.25">
      <c r="A6" s="64">
        <f>Table4[[#This Row],[
ID '#]]</f>
        <v>2</v>
      </c>
      <c r="B6" s="51" t="str">
        <f>IF(Table4[[#This Row],[A ID]]&gt;0,Table4[[#This Row],[T ID]],"")</f>
        <v>T01</v>
      </c>
      <c r="C6" s="199" t="str">
        <f>Table4[[#This Row],[Threat Event(s)]]</f>
        <v>Deliver undirected malware</v>
      </c>
      <c r="D6" s="53" t="str">
        <f>IF(Table4[[#This Row],[V ID]]&gt;0,Table4[[#This Row],[V ID]],"")</f>
        <v>V13</v>
      </c>
      <c r="E6" s="199" t="str">
        <f>Table4[[#This Row],[Vulnerabilities]]</f>
        <v>Ineffective patch management</v>
      </c>
      <c r="F6" s="53" t="str">
        <f>IF(Table4[[#This Row],[A ID]]&gt;0,Table4[[#This Row],[A ID]],"")</f>
        <v>A06</v>
      </c>
      <c r="G6" s="199" t="str">
        <f>Table4[[#This Row],[Asset]]</f>
        <v>Laptop Operating System</v>
      </c>
      <c r="H6" s="199" t="str">
        <f>IF(Table4[[#This Row],[Impact Description]]&gt;0,Table4[[#This Row],[Impact Description]],"")</f>
        <v xml:space="preserve">Access to Thor knee Planning application impacted due to system being down or functional degradation </v>
      </c>
      <c r="I6" s="53" t="str">
        <f>IF(Table4[[#This Row],[Safety Impact 
(Risk ID'# or N/A)]]&gt;0,Table4[[#This Row],[Safety Impact 
(Risk ID'# or N/A)]],"")</f>
        <v/>
      </c>
      <c r="J6" s="85" t="str">
        <f>Table4[[#This Row],[Security 
Risk 
Level]]</f>
        <v>MEDIUM</v>
      </c>
      <c r="K6" s="199" t="str">
        <f>IF(Table4[[#This Row],[Security Risk Control Measures]]&gt;0,Table4[[#This Row],[Security Risk Control Measures]],"")</f>
        <v>1. Virus Scan
2. Firewall
3. Windows security update install
4. Application should be updated with the latest version of dependencies.</v>
      </c>
      <c r="L6" s="85" t="str">
        <f>Table4[[#This Row],[Security Risk LevelP]]</f>
        <v>LOW</v>
      </c>
      <c r="M6" s="53" t="str">
        <f>IF(Table4[[#This Row],[Residual Security Risk Acceptability Justification]]&gt;0,Table4[[#This Row],[Residual Security Risk Acceptability Justification]],"")</f>
        <v/>
      </c>
      <c r="N6"/>
    </row>
    <row r="7" spans="1:14" s="47" customFormat="1" ht="42.75">
      <c r="A7" s="64">
        <f>Table4[[#This Row],[
ID '#]]</f>
        <v>4</v>
      </c>
      <c r="B7" s="51" t="str">
        <f>IF(Table4[[#This Row],[A ID]]&gt;0,Table4[[#This Row],[T ID]],"")</f>
        <v>T01</v>
      </c>
      <c r="C7" s="199" t="str">
        <f>Table4[[#This Row],[Threat Event(s)]]</f>
        <v>Deliver undirected malware</v>
      </c>
      <c r="D7" s="53" t="str">
        <f>IF(Table4[[#This Row],[V ID]]&gt;0,Table4[[#This Row],[V ID]],"")</f>
        <v>V14</v>
      </c>
      <c r="E7" s="199" t="str">
        <f>Table4[[#This Row],[Vulnerabilities]]</f>
        <v>Lack of software vulnerability management</v>
      </c>
      <c r="F7" s="53" t="str">
        <f>IF(Table4[[#This Row],[A ID]]&gt;0,Table4[[#This Row],[A ID]],"")</f>
        <v>A04</v>
      </c>
      <c r="G7" s="199" t="str">
        <f>Table4[[#This Row],[Asset]]</f>
        <v>THOR Knee Planning Application</v>
      </c>
      <c r="H7" s="199" t="str">
        <f>IF(Table4[[#This Row],[Impact Description]]&gt;0,Table4[[#This Row],[Impact Description]],"")</f>
        <v>Application behaves in an unpredictable manner.</v>
      </c>
      <c r="I7" s="53" t="str">
        <f>IF(Table4[[#This Row],[Safety Impact 
(Risk ID'# or N/A)]]&gt;0,Table4[[#This Row],[Safety Impact 
(Risk ID'# or N/A)]],"")</f>
        <v/>
      </c>
      <c r="J7" s="85" t="str">
        <f>Table4[[#This Row],[Security 
Risk 
Level]]</f>
        <v>MEDIUM</v>
      </c>
      <c r="K7" s="53" t="str">
        <f>IF(Table4[[#This Row],[Security Risk Control Measures]]&gt;0,Table4[[#This Row],[Security Risk Control Measures]],"")</f>
        <v>1. Update drivers
2. Virus Scan
3. Input validation and proper access management in application
4. Application should not be allowed to get installed in shared directory/path.</v>
      </c>
      <c r="L7" s="85" t="str">
        <f>Table4[[#This Row],[Security Risk LevelP]]</f>
        <v>LOW</v>
      </c>
      <c r="M7" s="53" t="str">
        <f>IF(Table4[[#This Row],[Residual Security Risk Acceptability Justification]]&gt;0,Table4[[#This Row],[Residual Security Risk Acceptability Justification]],"")</f>
        <v>Post the implementation of Security Control measures the security risk level is low, so residual risk is acceptable.</v>
      </c>
      <c r="N7"/>
    </row>
    <row r="8" spans="1:14" s="47" customFormat="1" ht="28.5">
      <c r="A8" s="64">
        <f>Table4[[#This Row],[
ID '#]]</f>
        <v>5</v>
      </c>
      <c r="B8" s="51" t="str">
        <f>IF(Table4[[#This Row],[A ID]]&gt;0,Table4[[#This Row],[T ID]],"")</f>
        <v>T01</v>
      </c>
      <c r="C8" s="199" t="str">
        <f>Table4[[#This Row],[Threat Event(s)]]</f>
        <v>Deliver undirected malware</v>
      </c>
      <c r="D8" s="53" t="str">
        <f>IF(Table4[[#This Row],[V ID]]&gt;0,Table4[[#This Row],[V ID]],"")</f>
        <v>V15</v>
      </c>
      <c r="E8" s="199" t="str">
        <f>Table4[[#This Row],[Vulnerabilities]]</f>
        <v xml:space="preserve"> 3rd Party Component Dependency</v>
      </c>
      <c r="F8" s="53" t="str">
        <f>IF(Table4[[#This Row],[A ID]]&gt;0,Table4[[#This Row],[A ID]],"")</f>
        <v>A04</v>
      </c>
      <c r="G8" s="199" t="str">
        <f>Table4[[#This Row],[Asset]]</f>
        <v>THOR Knee Planning Application</v>
      </c>
      <c r="H8" s="199" t="str">
        <f>IF(Table4[[#This Row],[Impact Description]]&gt;0,Table4[[#This Row],[Impact Description]],"")</f>
        <v>Application behaves in an unpredictable manner.</v>
      </c>
      <c r="I8" s="53" t="str">
        <f>IF(Table4[[#This Row],[Safety Impact 
(Risk ID'# or N/A)]]&gt;0,Table4[[#This Row],[Safety Impact 
(Risk ID'# or N/A)]],"")</f>
        <v/>
      </c>
      <c r="J8" s="85" t="str">
        <f>Table4[[#This Row],[Security 
Risk 
Level]]</f>
        <v>MEDIUM</v>
      </c>
      <c r="K8" s="53" t="str">
        <f>IF(Table4[[#This Row],[Security Risk Control Measures]]&gt;0,Table4[[#This Row],[Security Risk Control Measures]],"")</f>
        <v xml:space="preserve">1. The 3rd party modules and dependencies should be updated with latest versions.
2. Application upgrade should verify if all required dependencies are updated in system.
3. Application upgrade should detect any upgrade or change in dependecies on user system and show dependency issue message to application user.
</v>
      </c>
      <c r="L8" s="85" t="str">
        <f>Table4[[#This Row],[Security Risk LevelP]]</f>
        <v>LOW</v>
      </c>
      <c r="M8" s="53" t="str">
        <f>IF(Table4[[#This Row],[Residual Security Risk Acceptability Justification]]&gt;0,Table4[[#This Row],[Residual Security Risk Acceptability Justification]],"")</f>
        <v/>
      </c>
      <c r="N8"/>
    </row>
    <row r="9" spans="1:14" s="47" customFormat="1" ht="42.75">
      <c r="A9" s="64">
        <f>Table4[[#This Row],[
ID '#]]</f>
        <v>0</v>
      </c>
      <c r="B9" s="51" t="str">
        <f>IF(Table4[[#This Row],[A ID]]&gt;0,Table4[[#This Row],[T ID]],"")</f>
        <v>T01</v>
      </c>
      <c r="C9" s="199" t="str">
        <f>Table4[[#This Row],[Threat Event(s)]]</f>
        <v>Deliver undirected malware</v>
      </c>
      <c r="D9" s="53" t="str">
        <f>IF(Table4[[#This Row],[V ID]]&gt;0,Table4[[#This Row],[V ID]],"")</f>
        <v>V25</v>
      </c>
      <c r="E9" s="199" t="str">
        <f>Table4[[#This Row],[Vulnerabilities]]</f>
        <v>Unprotected public network connections</v>
      </c>
      <c r="F9" s="53" t="str">
        <f>IF(Table4[[#This Row],[A ID]]&gt;0,Table4[[#This Row],[A ID]],"")</f>
        <v>A06</v>
      </c>
      <c r="G9" s="199" t="str">
        <f>Table4[[#This Row],[Asset]]</f>
        <v>Laptop Operating System</v>
      </c>
      <c r="H9" s="199" t="str">
        <f>IF(Table4[[#This Row],[Impact Description]]&gt;0,Table4[[#This Row],[Impact Description]],"")</f>
        <v xml:space="preserve">Access to Thor knee Planning application impacted due to system being down or functional degradation </v>
      </c>
      <c r="I9" s="53" t="str">
        <f>IF(Table4[[#This Row],[Safety Impact 
(Risk ID'# or N/A)]]&gt;0,Table4[[#This Row],[Safety Impact 
(Risk ID'# or N/A)]],"")</f>
        <v/>
      </c>
      <c r="J9" s="85" t="str">
        <f>Table4[[#This Row],[Security 
Risk 
Level]]</f>
        <v>MEDIUM</v>
      </c>
      <c r="K9" s="53" t="str">
        <f>IF(Table4[[#This Row],[Security Risk Control Measures]]&gt;0,Table4[[#This Row],[Security Risk Control Measures]],"")</f>
        <v>1. Firewall
2. Virus Scan
3. The internet communication of Thor application should be secured using SSL or other secure protocols.
4. The application should not trust the system installed Trust certificates instead the application should verify SSL communication.</v>
      </c>
      <c r="L9" s="151" t="str">
        <f>Table4[[#This Row],[Security Risk LevelP]]</f>
        <v>MEDIUM</v>
      </c>
      <c r="M9" s="53" t="str">
        <f>IF(Table4[[#This Row],[Residual Security Risk Acceptability Justification]]&gt;0,Table4[[#This Row],[Residual Security Risk Acceptability Justification]],"")</f>
        <v/>
      </c>
      <c r="N9"/>
    </row>
    <row r="10" spans="1:14" s="47" customFormat="1">
      <c r="A10"/>
      <c r="B10"/>
      <c r="C10"/>
      <c r="D10"/>
      <c r="E10"/>
      <c r="F10"/>
      <c r="G10"/>
      <c r="H10"/>
      <c r="I10"/>
      <c r="J10"/>
      <c r="K10"/>
      <c r="L10"/>
      <c r="M10"/>
      <c r="N10"/>
    </row>
    <row r="11" spans="1:14" s="47" customFormat="1">
      <c r="A11" s="23"/>
      <c r="B11" s="23"/>
      <c r="C11" s="24"/>
      <c r="D11" s="23"/>
      <c r="E11" s="23"/>
      <c r="F11" s="23"/>
      <c r="G11" s="23"/>
    </row>
    <row r="12" spans="1:14" s="47" customFormat="1" ht="14.25">
      <c r="A12" s="26" t="s">
        <v>58</v>
      </c>
      <c r="C12" s="58"/>
    </row>
    <row r="13" spans="1:14" s="47" customFormat="1" ht="32.25" customHeight="1">
      <c r="B13" s="219" t="s">
        <v>59</v>
      </c>
      <c r="C13" s="219"/>
      <c r="D13" s="219"/>
      <c r="E13" s="219"/>
      <c r="F13" s="219"/>
      <c r="G13" s="219"/>
      <c r="H13" s="219"/>
    </row>
    <row r="14" spans="1:14" s="47" customFormat="1">
      <c r="A14" s="23"/>
      <c r="B14" s="23"/>
      <c r="C14" s="24"/>
      <c r="D14" s="23"/>
      <c r="E14" s="23"/>
      <c r="F14" s="23"/>
      <c r="G14" s="23"/>
    </row>
    <row r="15" spans="1:14" s="47" customFormat="1">
      <c r="A15" s="23"/>
      <c r="B15" s="23"/>
      <c r="C15" s="24"/>
      <c r="D15" s="23"/>
      <c r="E15" s="23"/>
      <c r="F15" s="23"/>
      <c r="G15" s="23"/>
    </row>
    <row r="16" spans="1:14" s="47" customFormat="1">
      <c r="A16" s="23"/>
      <c r="B16" s="23"/>
      <c r="C16" s="24"/>
      <c r="D16" s="23"/>
      <c r="E16" s="23"/>
      <c r="F16" s="23"/>
      <c r="G16" s="23"/>
    </row>
    <row r="17" spans="1:8" s="47" customFormat="1" ht="32.25" customHeight="1">
      <c r="A17" s="23"/>
      <c r="B17" s="23"/>
      <c r="C17" s="24"/>
      <c r="D17" s="23"/>
      <c r="E17" s="23"/>
      <c r="F17" s="23"/>
      <c r="G17" s="23"/>
      <c r="H17" s="201"/>
    </row>
  </sheetData>
  <mergeCells count="1">
    <mergeCell ref="B13:H13"/>
  </mergeCells>
  <conditionalFormatting sqref="L6:L9">
    <cfRule type="cellIs" dxfId="60" priority="1" operator="equal">
      <formula>"Critical"</formula>
    </cfRule>
    <cfRule type="cellIs" dxfId="59" priority="2" operator="equal">
      <formula>"HIGH"</formula>
    </cfRule>
    <cfRule type="cellIs" dxfId="58" priority="3" operator="equal">
      <formula>"Medium"</formula>
    </cfRule>
    <cfRule type="cellIs" dxfId="57" priority="4" operator="equal">
      <formula>"None"</formula>
    </cfRule>
    <cfRule type="cellIs" dxfId="56" priority="5" operator="equal">
      <formula>"Low"</formula>
    </cfRule>
  </conditionalFormatting>
  <conditionalFormatting sqref="J5:J9">
    <cfRule type="cellIs" dxfId="55" priority="11" operator="equal">
      <formula>"Critical"</formula>
    </cfRule>
    <cfRule type="cellIs" dxfId="54" priority="12" operator="equal">
      <formula>"HIGH"</formula>
    </cfRule>
    <cfRule type="cellIs" dxfId="53" priority="13" operator="equal">
      <formula>"Medium"</formula>
    </cfRule>
    <cfRule type="cellIs" dxfId="52" priority="14" operator="equal">
      <formula>"None"</formula>
    </cfRule>
    <cfRule type="cellIs" dxfId="51" priority="15" operator="equal">
      <formula>"Low"</formula>
    </cfRule>
  </conditionalFormatting>
  <conditionalFormatting sqref="L5">
    <cfRule type="cellIs" dxfId="50" priority="6" operator="equal">
      <formula>"Critical"</formula>
    </cfRule>
    <cfRule type="cellIs" dxfId="49" priority="7" operator="equal">
      <formula>"HIGH"</formula>
    </cfRule>
    <cfRule type="cellIs" dxfId="48" priority="8" operator="equal">
      <formula>"Medium"</formula>
    </cfRule>
    <cfRule type="cellIs" dxfId="47" priority="9" operator="equal">
      <formula>"None"</formula>
    </cfRule>
    <cfRule type="cellIs" dxfId="46" priority="10" operator="equal">
      <formula>"Low"</formula>
    </cfRule>
  </conditionalFormatting>
  <pageMargins left="0.7" right="0.7" top="0.75" bottom="0.75" header="0.3" footer="0.3"/>
  <pageSetup scale="3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topLeftCell="C1" zoomScaleNormal="100" workbookViewId="0">
      <selection activeCell="D8" sqref="D8"/>
    </sheetView>
  </sheetViews>
  <sheetFormatPr defaultColWidth="9.140625" defaultRowHeight="15"/>
  <cols>
    <col min="1" max="1" width="2.28515625" customWidth="1"/>
    <col min="2" max="2" width="15.28515625" customWidth="1"/>
    <col min="4" max="4" width="5.28515625" customWidth="1"/>
    <col min="7" max="7" width="5.42578125" customWidth="1"/>
    <col min="11" max="11" width="5.28515625" customWidth="1"/>
    <col min="14" max="14" width="5.140625" customWidth="1"/>
    <col min="16" max="16" width="13.85546875" customWidth="1"/>
    <col min="17" max="17" width="11" customWidth="1"/>
    <col min="18" max="18" width="17" customWidth="1"/>
  </cols>
  <sheetData>
    <row r="1" spans="2:18" s="69" customFormat="1" ht="27.75" customHeight="1">
      <c r="B1" s="89" t="s">
        <v>407</v>
      </c>
    </row>
    <row r="2" spans="2:18" s="69" customFormat="1" thickBot="1"/>
    <row r="3" spans="2:18" s="69" customFormat="1" ht="18.75" thickBot="1">
      <c r="B3" s="230" t="s">
        <v>408</v>
      </c>
      <c r="C3" s="231"/>
      <c r="D3" s="231"/>
      <c r="E3" s="231"/>
      <c r="F3" s="231"/>
      <c r="G3" s="231"/>
      <c r="H3" s="231"/>
      <c r="I3" s="231"/>
      <c r="J3" s="231"/>
      <c r="K3" s="231"/>
      <c r="L3" s="231"/>
      <c r="M3" s="231"/>
      <c r="N3" s="232"/>
      <c r="P3" s="230" t="s">
        <v>409</v>
      </c>
      <c r="Q3" s="231"/>
      <c r="R3" s="232"/>
    </row>
    <row r="4" spans="2:18" s="69" customFormat="1" ht="16.5" thickBot="1">
      <c r="B4" s="237" t="s">
        <v>150</v>
      </c>
      <c r="C4" s="238"/>
      <c r="D4" s="239"/>
      <c r="E4" s="237" t="s">
        <v>151</v>
      </c>
      <c r="F4" s="238"/>
      <c r="G4" s="239"/>
      <c r="H4" s="237" t="s">
        <v>410</v>
      </c>
      <c r="I4" s="238"/>
      <c r="J4" s="238"/>
      <c r="K4" s="239"/>
      <c r="L4" s="240" t="s">
        <v>153</v>
      </c>
      <c r="M4" s="241"/>
      <c r="N4" s="242"/>
      <c r="P4" s="90"/>
      <c r="Q4" s="91" t="s">
        <v>411</v>
      </c>
      <c r="R4" s="92" t="s">
        <v>412</v>
      </c>
    </row>
    <row r="5" spans="2:18" s="69" customFormat="1" ht="16.5" thickBot="1">
      <c r="B5" s="93" t="s">
        <v>413</v>
      </c>
      <c r="C5" s="93" t="s">
        <v>414</v>
      </c>
      <c r="D5" s="93" t="s">
        <v>415</v>
      </c>
      <c r="E5" s="93" t="s">
        <v>416</v>
      </c>
      <c r="F5" s="93" t="s">
        <v>414</v>
      </c>
      <c r="G5" s="93" t="s">
        <v>415</v>
      </c>
      <c r="H5" s="93" t="s">
        <v>413</v>
      </c>
      <c r="I5" s="244" t="s">
        <v>414</v>
      </c>
      <c r="J5" s="245"/>
      <c r="K5" s="93" t="s">
        <v>415</v>
      </c>
      <c r="L5" s="93" t="s">
        <v>413</v>
      </c>
      <c r="M5" s="93" t="s">
        <v>414</v>
      </c>
      <c r="N5" s="93" t="s">
        <v>415</v>
      </c>
      <c r="P5" s="94"/>
      <c r="Q5" s="95" t="s">
        <v>417</v>
      </c>
      <c r="R5" s="96">
        <v>0.04</v>
      </c>
    </row>
    <row r="6" spans="2:18" s="69" customFormat="1" ht="15.75">
      <c r="B6" s="97" t="s">
        <v>184</v>
      </c>
      <c r="C6" s="98">
        <v>0.85</v>
      </c>
      <c r="D6" s="99" t="s">
        <v>418</v>
      </c>
      <c r="E6" s="97" t="s">
        <v>183</v>
      </c>
      <c r="F6" s="98">
        <v>0.77</v>
      </c>
      <c r="G6" s="99" t="s">
        <v>419</v>
      </c>
      <c r="H6" s="97" t="s">
        <v>185</v>
      </c>
      <c r="I6" s="100">
        <v>0.85</v>
      </c>
      <c r="J6" s="101">
        <v>0.85</v>
      </c>
      <c r="K6" s="99" t="s">
        <v>418</v>
      </c>
      <c r="L6" s="97" t="s">
        <v>185</v>
      </c>
      <c r="M6" s="102">
        <v>0.85</v>
      </c>
      <c r="N6" s="103" t="s">
        <v>418</v>
      </c>
      <c r="P6" s="94"/>
      <c r="Q6" s="104" t="s">
        <v>183</v>
      </c>
      <c r="R6" s="105">
        <v>0.2</v>
      </c>
    </row>
    <row r="7" spans="2:18" s="69" customFormat="1" ht="15.75">
      <c r="B7" s="97" t="s">
        <v>420</v>
      </c>
      <c r="C7" s="106">
        <v>0.62</v>
      </c>
      <c r="D7" s="99" t="s">
        <v>421</v>
      </c>
      <c r="E7" s="97" t="s">
        <v>208</v>
      </c>
      <c r="F7" s="106">
        <v>0.44</v>
      </c>
      <c r="G7" s="99" t="s">
        <v>422</v>
      </c>
      <c r="H7" s="97" t="s">
        <v>183</v>
      </c>
      <c r="I7" s="107">
        <v>0.62</v>
      </c>
      <c r="J7" s="101">
        <v>0.68</v>
      </c>
      <c r="K7" s="99" t="s">
        <v>419</v>
      </c>
      <c r="L7" s="97" t="s">
        <v>209</v>
      </c>
      <c r="M7" s="108">
        <v>0.62</v>
      </c>
      <c r="N7" s="103" t="s">
        <v>423</v>
      </c>
      <c r="P7" s="94"/>
      <c r="Q7" s="109" t="s">
        <v>253</v>
      </c>
      <c r="R7" s="105">
        <v>0.5</v>
      </c>
    </row>
    <row r="8" spans="2:18" s="69" customFormat="1" ht="15.75">
      <c r="B8" s="97" t="s">
        <v>204</v>
      </c>
      <c r="C8" s="106">
        <v>0.55000000000000004</v>
      </c>
      <c r="D8" s="99" t="s">
        <v>419</v>
      </c>
      <c r="E8" s="97"/>
      <c r="F8" s="106"/>
      <c r="G8" s="99"/>
      <c r="H8" s="97" t="s">
        <v>208</v>
      </c>
      <c r="I8" s="107">
        <v>0.27</v>
      </c>
      <c r="J8" s="101">
        <v>0.5</v>
      </c>
      <c r="K8" s="99" t="s">
        <v>422</v>
      </c>
      <c r="L8" s="97"/>
      <c r="M8" s="101"/>
      <c r="N8" s="103"/>
      <c r="P8" s="94"/>
      <c r="Q8" s="110" t="s">
        <v>208</v>
      </c>
      <c r="R8" s="105">
        <v>0.8</v>
      </c>
    </row>
    <row r="9" spans="2:18" s="69" customFormat="1" ht="15.75">
      <c r="B9" s="97" t="s">
        <v>213</v>
      </c>
      <c r="C9" s="106">
        <v>0.2</v>
      </c>
      <c r="D9" s="103" t="s">
        <v>424</v>
      </c>
      <c r="E9" s="126"/>
      <c r="G9" s="178"/>
      <c r="H9" s="97"/>
      <c r="I9" s="107"/>
      <c r="J9" s="101"/>
      <c r="K9" s="103"/>
      <c r="L9" s="97"/>
      <c r="M9" s="101"/>
      <c r="N9" s="103"/>
      <c r="P9" s="94"/>
      <c r="Q9" s="120" t="s">
        <v>425</v>
      </c>
      <c r="R9" s="105">
        <v>1</v>
      </c>
    </row>
    <row r="10" spans="2:18" s="69" customFormat="1" ht="16.5" thickBot="1">
      <c r="B10" s="111"/>
      <c r="C10" s="112"/>
      <c r="D10" s="113"/>
      <c r="E10" s="114"/>
      <c r="F10" s="115"/>
      <c r="G10" s="116"/>
      <c r="H10" s="111"/>
      <c r="I10" s="117"/>
      <c r="J10" s="118"/>
      <c r="K10" s="113"/>
      <c r="L10" s="111"/>
      <c r="M10" s="118"/>
      <c r="N10" s="113"/>
      <c r="P10" s="119"/>
      <c r="R10" s="105"/>
    </row>
    <row r="11" spans="2:18" s="69" customFormat="1" thickBot="1"/>
    <row r="12" spans="2:18" s="69" customFormat="1" ht="18.75" thickBot="1">
      <c r="B12" s="230" t="s">
        <v>426</v>
      </c>
      <c r="C12" s="231"/>
      <c r="D12" s="231"/>
      <c r="E12" s="231"/>
      <c r="F12" s="231"/>
      <c r="G12" s="231"/>
      <c r="H12" s="231"/>
      <c r="I12" s="231"/>
      <c r="J12" s="231"/>
      <c r="K12" s="231"/>
      <c r="L12" s="231"/>
      <c r="M12" s="231"/>
      <c r="N12" s="232"/>
      <c r="P12" s="154" t="s">
        <v>427</v>
      </c>
      <c r="Q12" s="122" t="s">
        <v>68</v>
      </c>
    </row>
    <row r="13" spans="2:18" s="69" customFormat="1" ht="16.5" thickBot="1">
      <c r="B13" s="233" t="s">
        <v>428</v>
      </c>
      <c r="C13" s="234"/>
      <c r="D13" s="234"/>
      <c r="E13" s="234"/>
      <c r="F13" s="234"/>
      <c r="G13" s="235"/>
      <c r="H13" s="234"/>
      <c r="I13" s="234"/>
      <c r="J13" s="234"/>
      <c r="K13" s="234"/>
      <c r="L13" s="234"/>
      <c r="M13" s="234"/>
      <c r="N13" s="236"/>
      <c r="P13" s="97"/>
      <c r="Q13" s="101" t="s">
        <v>110</v>
      </c>
    </row>
    <row r="14" spans="2:18" s="69" customFormat="1" thickBot="1">
      <c r="B14" s="93" t="s">
        <v>413</v>
      </c>
      <c r="C14" s="93" t="s">
        <v>414</v>
      </c>
      <c r="D14" s="93" t="s">
        <v>415</v>
      </c>
      <c r="E14" s="121"/>
      <c r="F14" s="121"/>
      <c r="G14" s="121"/>
      <c r="H14" s="121"/>
      <c r="I14" s="121"/>
      <c r="J14" s="121"/>
      <c r="K14" s="121"/>
      <c r="L14" s="121"/>
      <c r="M14" s="121"/>
      <c r="N14" s="122"/>
      <c r="P14" s="111"/>
      <c r="Q14" s="118"/>
    </row>
    <row r="15" spans="2:18" s="69" customFormat="1" ht="17.25">
      <c r="B15" s="123" t="s">
        <v>185</v>
      </c>
      <c r="C15" s="98">
        <v>0</v>
      </c>
      <c r="D15" s="124" t="s">
        <v>418</v>
      </c>
      <c r="E15" s="125" t="s">
        <v>429</v>
      </c>
      <c r="N15" s="101"/>
    </row>
    <row r="16" spans="2:18" s="69" customFormat="1" ht="14.25">
      <c r="B16" s="126" t="s">
        <v>183</v>
      </c>
      <c r="C16" s="106">
        <v>0.22</v>
      </c>
      <c r="D16" s="127" t="s">
        <v>419</v>
      </c>
      <c r="N16" s="101"/>
    </row>
    <row r="17" spans="2:17" s="69" customFormat="1" ht="14.25">
      <c r="B17" s="126" t="s">
        <v>208</v>
      </c>
      <c r="C17" s="106">
        <v>0.56000000000000005</v>
      </c>
      <c r="D17" s="127" t="s">
        <v>422</v>
      </c>
      <c r="N17" s="101"/>
    </row>
    <row r="18" spans="2:17" s="69" customFormat="1" thickBot="1">
      <c r="B18" s="114"/>
      <c r="C18" s="112"/>
      <c r="D18" s="128"/>
      <c r="E18" s="115"/>
      <c r="F18" s="115"/>
      <c r="G18" s="115"/>
      <c r="H18" s="115"/>
      <c r="I18" s="115"/>
      <c r="J18" s="115"/>
      <c r="K18" s="115"/>
      <c r="L18" s="115"/>
      <c r="M18" s="115"/>
      <c r="N18" s="118"/>
    </row>
    <row r="19" spans="2:17" s="69" customFormat="1" thickBot="1"/>
    <row r="20" spans="2:17" s="69" customFormat="1" ht="18.75" thickBot="1">
      <c r="B20" s="230" t="s">
        <v>154</v>
      </c>
      <c r="C20" s="231"/>
      <c r="D20" s="231"/>
      <c r="E20" s="231"/>
      <c r="F20" s="231"/>
      <c r="G20" s="231"/>
      <c r="H20" s="231"/>
      <c r="I20" s="231"/>
      <c r="J20" s="231"/>
      <c r="K20" s="231"/>
      <c r="L20" s="231"/>
      <c r="M20" s="231"/>
      <c r="N20" s="232"/>
    </row>
    <row r="21" spans="2:17" s="69" customFormat="1" ht="42.6" customHeight="1" thickBot="1">
      <c r="B21" s="129" t="s">
        <v>186</v>
      </c>
      <c r="C21" s="246" t="s">
        <v>430</v>
      </c>
      <c r="D21" s="247"/>
      <c r="E21" s="247"/>
      <c r="F21" s="247"/>
      <c r="G21" s="247"/>
      <c r="H21" s="247"/>
      <c r="I21" s="247"/>
      <c r="J21" s="247"/>
      <c r="K21" s="247"/>
      <c r="L21" s="247"/>
      <c r="M21" s="248"/>
      <c r="N21" s="130" t="s">
        <v>431</v>
      </c>
    </row>
    <row r="22" spans="2:17" s="69" customFormat="1" ht="43.9" customHeight="1" thickBot="1">
      <c r="B22" s="131" t="s">
        <v>190</v>
      </c>
      <c r="C22" s="249" t="s">
        <v>432</v>
      </c>
      <c r="D22" s="247"/>
      <c r="E22" s="247"/>
      <c r="F22" s="247"/>
      <c r="G22" s="247"/>
      <c r="H22" s="247"/>
      <c r="I22" s="247"/>
      <c r="J22" s="247"/>
      <c r="K22" s="247"/>
      <c r="L22" s="247"/>
      <c r="M22" s="248"/>
      <c r="N22" s="132" t="s">
        <v>433</v>
      </c>
      <c r="O22" s="133"/>
      <c r="P22" s="133"/>
      <c r="Q22" s="133"/>
    </row>
    <row r="23" spans="2:17" s="69" customFormat="1" ht="16.5" thickBot="1">
      <c r="B23" s="131"/>
      <c r="C23" s="249"/>
      <c r="D23" s="247"/>
      <c r="E23" s="247"/>
      <c r="F23" s="247"/>
      <c r="G23" s="247"/>
      <c r="H23" s="247"/>
      <c r="I23" s="247"/>
      <c r="J23" s="247"/>
      <c r="K23" s="247"/>
      <c r="L23" s="247"/>
      <c r="M23" s="248"/>
      <c r="N23" s="132"/>
    </row>
    <row r="24" spans="2:17" s="69" customFormat="1" ht="14.25"/>
    <row r="25" spans="2:17" s="69" customFormat="1" ht="14.25">
      <c r="B25" s="69" t="s">
        <v>434</v>
      </c>
    </row>
    <row r="26" spans="2:17" s="69" customFormat="1" ht="262.5" customHeight="1">
      <c r="B26" s="47" t="s">
        <v>435</v>
      </c>
      <c r="C26" s="243" t="s">
        <v>436</v>
      </c>
      <c r="D26" s="243"/>
      <c r="E26" s="243"/>
      <c r="F26" s="243"/>
      <c r="G26" s="243"/>
      <c r="H26" s="243"/>
      <c r="I26" s="243"/>
      <c r="J26" s="243"/>
    </row>
    <row r="29" spans="2:17">
      <c r="B29" s="26" t="s">
        <v>58</v>
      </c>
    </row>
    <row r="30" spans="2:17" ht="48" customHeight="1">
      <c r="C30" s="219" t="s">
        <v>59</v>
      </c>
      <c r="D30" s="219"/>
      <c r="E30" s="219"/>
      <c r="F30" s="219"/>
      <c r="G30" s="219"/>
      <c r="H30" s="219"/>
      <c r="I30" s="219"/>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5"/>
  <sheetViews>
    <sheetView zoomScaleNormal="100" workbookViewId="0">
      <selection activeCell="B7" sqref="B7"/>
    </sheetView>
  </sheetViews>
  <sheetFormatPr defaultColWidth="9.140625" defaultRowHeight="15"/>
  <cols>
    <col min="1" max="1" width="7.140625" style="23" customWidth="1"/>
    <col min="2" max="2" width="34.85546875" style="23" customWidth="1"/>
    <col min="3" max="3" width="15.85546875" style="24" customWidth="1"/>
    <col min="4" max="4" width="2.85546875" style="23" customWidth="1"/>
    <col min="5" max="5" width="9.140625" style="23"/>
    <col min="6" max="6" width="44.85546875" style="23" customWidth="1"/>
    <col min="7" max="7" width="15.85546875" style="23" customWidth="1"/>
    <col min="8" max="16384" width="9.140625" style="23"/>
  </cols>
  <sheetData>
    <row r="1" spans="1:8" s="47" customFormat="1" ht="14.25">
      <c r="A1" s="89" t="s">
        <v>437</v>
      </c>
      <c r="C1" s="58"/>
    </row>
    <row r="2" spans="1:8" s="47" customFormat="1" thickBot="1">
      <c r="C2" s="58"/>
    </row>
    <row r="3" spans="1:8" s="47" customFormat="1" thickBot="1">
      <c r="A3" s="250" t="s">
        <v>438</v>
      </c>
      <c r="B3" s="251"/>
      <c r="C3" s="251"/>
      <c r="E3" s="252" t="s">
        <v>439</v>
      </c>
      <c r="F3" s="253"/>
      <c r="G3" s="253"/>
    </row>
    <row r="4" spans="1:8" s="47" customFormat="1" ht="14.25">
      <c r="A4" s="134" t="s">
        <v>440</v>
      </c>
      <c r="B4" s="135" t="s">
        <v>368</v>
      </c>
      <c r="C4" s="136" t="s">
        <v>441</v>
      </c>
      <c r="E4" s="137" t="s">
        <v>440</v>
      </c>
      <c r="F4" s="138" t="s">
        <v>442</v>
      </c>
      <c r="G4" s="139" t="s">
        <v>441</v>
      </c>
    </row>
    <row r="5" spans="1:8" s="47" customFormat="1" ht="57">
      <c r="A5" s="140" t="s">
        <v>443</v>
      </c>
      <c r="B5" s="145" t="s">
        <v>444</v>
      </c>
      <c r="C5" s="141" t="s">
        <v>445</v>
      </c>
      <c r="E5" s="140" t="s">
        <v>446</v>
      </c>
      <c r="F5" s="142" t="s">
        <v>447</v>
      </c>
      <c r="G5" s="143" t="s">
        <v>445</v>
      </c>
    </row>
    <row r="6" spans="1:8" s="47" customFormat="1" ht="28.5">
      <c r="A6" s="38" t="s">
        <v>448</v>
      </c>
      <c r="B6" s="145" t="s">
        <v>449</v>
      </c>
      <c r="C6" s="141" t="s">
        <v>445</v>
      </c>
      <c r="E6" s="38" t="s">
        <v>450</v>
      </c>
      <c r="F6" s="142" t="s">
        <v>451</v>
      </c>
      <c r="G6" s="144" t="s">
        <v>445</v>
      </c>
    </row>
    <row r="7" spans="1:8" s="47" customFormat="1" ht="42.75">
      <c r="A7" s="38" t="s">
        <v>452</v>
      </c>
      <c r="B7" s="145" t="s">
        <v>453</v>
      </c>
      <c r="C7" s="141" t="s">
        <v>445</v>
      </c>
      <c r="E7" s="38" t="s">
        <v>454</v>
      </c>
      <c r="F7" s="142" t="s">
        <v>455</v>
      </c>
      <c r="G7" s="144" t="s">
        <v>445</v>
      </c>
    </row>
    <row r="8" spans="1:8" s="47" customFormat="1" ht="28.5">
      <c r="A8" s="38" t="s">
        <v>456</v>
      </c>
      <c r="B8" s="145" t="s">
        <v>457</v>
      </c>
      <c r="C8" s="141" t="s">
        <v>418</v>
      </c>
      <c r="E8" s="38" t="s">
        <v>458</v>
      </c>
      <c r="F8" s="142" t="s">
        <v>459</v>
      </c>
      <c r="G8" s="144" t="s">
        <v>445</v>
      </c>
    </row>
    <row r="9" spans="1:8" s="47" customFormat="1" ht="42.75">
      <c r="A9" s="38" t="s">
        <v>460</v>
      </c>
      <c r="B9" s="145" t="s">
        <v>461</v>
      </c>
      <c r="C9" s="141" t="s">
        <v>418</v>
      </c>
      <c r="E9" s="38" t="s">
        <v>462</v>
      </c>
      <c r="F9" s="142" t="s">
        <v>463</v>
      </c>
      <c r="G9" s="144" t="s">
        <v>445</v>
      </c>
    </row>
    <row r="10" spans="1:8" s="47" customFormat="1" ht="57">
      <c r="A10" s="146" t="s">
        <v>464</v>
      </c>
      <c r="B10" s="147" t="s">
        <v>465</v>
      </c>
      <c r="C10" s="148" t="s">
        <v>418</v>
      </c>
      <c r="E10" s="146" t="s">
        <v>466</v>
      </c>
      <c r="F10" s="149" t="s">
        <v>467</v>
      </c>
      <c r="G10" s="150" t="s">
        <v>418</v>
      </c>
    </row>
    <row r="11" spans="1:8" s="47" customFormat="1" ht="14.25">
      <c r="C11" s="58"/>
    </row>
    <row r="12" spans="1:8" s="47" customFormat="1" ht="14.25">
      <c r="C12" s="58"/>
    </row>
    <row r="13" spans="1:8" s="47" customFormat="1" ht="14.25">
      <c r="C13" s="58"/>
    </row>
    <row r="14" spans="1:8" s="47" customFormat="1" ht="14.25">
      <c r="A14" s="26" t="s">
        <v>58</v>
      </c>
      <c r="C14" s="58"/>
    </row>
    <row r="15" spans="1:8" s="47" customFormat="1" ht="32.25" customHeight="1">
      <c r="B15" s="219" t="s">
        <v>59</v>
      </c>
      <c r="C15" s="219"/>
      <c r="D15" s="219"/>
      <c r="E15" s="219"/>
      <c r="F15" s="219"/>
      <c r="G15" s="219"/>
      <c r="H15" s="219"/>
    </row>
  </sheetData>
  <mergeCells count="3">
    <mergeCell ref="A3:C3"/>
    <mergeCell ref="E3:G3"/>
    <mergeCell ref="B15:H15"/>
  </mergeCells>
  <pageMargins left="0.7" right="0.7" top="1.29375" bottom="0.75" header="0.3" footer="0.3"/>
  <pageSetup scale="64"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85" zoomScaleNormal="85" workbookViewId="0">
      <selection activeCell="H13" sqref="H13"/>
    </sheetView>
  </sheetViews>
  <sheetFormatPr defaultColWidth="9.140625" defaultRowHeight="15"/>
  <cols>
    <col min="1" max="1" width="6.140625" customWidth="1"/>
    <col min="2" max="2" width="38.140625" customWidth="1"/>
    <col min="3" max="3" width="49.42578125" customWidth="1"/>
    <col min="4" max="4" width="27.85546875" customWidth="1"/>
    <col min="5" max="5" width="14.7109375" customWidth="1"/>
    <col min="6" max="6" width="16.28515625" customWidth="1"/>
    <col min="7" max="7" width="20.140625" customWidth="1"/>
    <col min="8" max="8" width="20.28515625" customWidth="1"/>
  </cols>
  <sheetData>
    <row r="1" spans="1:8">
      <c r="A1" s="254" t="s">
        <v>468</v>
      </c>
      <c r="B1" s="254"/>
      <c r="C1" s="254"/>
      <c r="D1" s="254"/>
      <c r="E1" s="254"/>
      <c r="F1" s="254"/>
      <c r="G1" s="254"/>
      <c r="H1" s="254"/>
    </row>
    <row r="2" spans="1:8" ht="60">
      <c r="A2" s="11" t="s">
        <v>365</v>
      </c>
      <c r="B2" s="11" t="s">
        <v>366</v>
      </c>
      <c r="C2" s="11" t="s">
        <v>367</v>
      </c>
      <c r="D2" s="12" t="s">
        <v>368</v>
      </c>
      <c r="E2" s="20" t="s">
        <v>469</v>
      </c>
      <c r="F2" s="13" t="s">
        <v>470</v>
      </c>
      <c r="G2" s="13" t="s">
        <v>471</v>
      </c>
      <c r="H2" s="13" t="s">
        <v>472</v>
      </c>
    </row>
    <row r="3" spans="1:8" s="18" customFormat="1" ht="48">
      <c r="A3" s="14" t="s">
        <v>473</v>
      </c>
      <c r="B3" s="15" t="s">
        <v>377</v>
      </c>
      <c r="C3" s="15" t="s">
        <v>378</v>
      </c>
      <c r="D3" s="16" t="s">
        <v>443</v>
      </c>
      <c r="E3" s="21" t="s">
        <v>474</v>
      </c>
      <c r="F3" s="17" t="s">
        <v>417</v>
      </c>
      <c r="G3" s="17" t="s">
        <v>417</v>
      </c>
      <c r="H3" s="19" t="s">
        <v>417</v>
      </c>
    </row>
    <row r="4" spans="1:8">
      <c r="A4" s="1"/>
      <c r="B4" s="1"/>
      <c r="C4" s="1"/>
      <c r="D4" s="1"/>
      <c r="E4" s="22"/>
      <c r="F4" s="1"/>
      <c r="G4" s="1"/>
      <c r="H4" s="1"/>
    </row>
    <row r="5" spans="1:8">
      <c r="A5" s="1"/>
      <c r="B5" s="1"/>
      <c r="C5" s="1"/>
      <c r="D5" s="1"/>
      <c r="E5" s="22"/>
      <c r="F5" s="1"/>
      <c r="G5" s="1"/>
      <c r="H5" s="1"/>
    </row>
    <row r="6" spans="1:8">
      <c r="A6" s="1"/>
      <c r="B6" s="1"/>
      <c r="C6" s="1"/>
      <c r="D6" s="1"/>
      <c r="E6" s="22"/>
      <c r="F6" s="1"/>
      <c r="G6" s="1"/>
      <c r="H6" s="1"/>
    </row>
    <row r="7" spans="1:8">
      <c r="A7" s="1"/>
      <c r="B7" s="1"/>
      <c r="C7" s="1"/>
      <c r="D7" s="1"/>
      <c r="E7" s="22"/>
      <c r="F7" s="1"/>
      <c r="G7" s="1"/>
      <c r="H7" s="1"/>
    </row>
    <row r="8" spans="1:8">
      <c r="A8" s="1"/>
      <c r="B8" s="1"/>
      <c r="C8" s="1"/>
      <c r="D8" s="1"/>
      <c r="E8" s="22"/>
      <c r="F8" s="1"/>
      <c r="G8" s="1"/>
      <c r="H8" s="1"/>
    </row>
    <row r="9" spans="1:8">
      <c r="A9" s="1"/>
      <c r="B9" s="1"/>
      <c r="C9" s="1"/>
      <c r="D9" s="1"/>
      <c r="E9" s="22"/>
      <c r="F9" s="1"/>
      <c r="G9" s="1"/>
      <c r="H9" s="1"/>
    </row>
    <row r="10" spans="1:8">
      <c r="A10" s="1"/>
      <c r="B10" s="1"/>
      <c r="C10" s="1"/>
      <c r="D10" s="1"/>
      <c r="E10" s="22"/>
      <c r="F10" s="1"/>
      <c r="G10" s="1"/>
      <c r="H10" s="1"/>
    </row>
  </sheetData>
  <mergeCells count="1">
    <mergeCell ref="A1:H1"/>
  </mergeCells>
  <dataValidations count="2">
    <dataValidation type="list" allowBlank="1" showInputMessage="1" showErrorMessage="1" sqref="F3:H3" xr:uid="{00000000-0002-0000-0700-000000000000}">
      <formula1>"Very High, High, Moderate, Low, Very Low"</formula1>
    </dataValidation>
    <dataValidation type="list" allowBlank="1" showInputMessage="1" showErrorMessage="1" sqref="E3" xr:uid="{00000000-0002-0000-0700-000001000000}">
      <formula1>"Confirmed, Expected, Anticipated, Predicted, Possible, N/A"</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workbookViewId="0">
      <selection activeCell="H13" sqref="H13"/>
    </sheetView>
  </sheetViews>
  <sheetFormatPr defaultColWidth="9.140625" defaultRowHeight="15"/>
  <cols>
    <col min="1" max="1" width="27.7109375" customWidth="1"/>
    <col min="2" max="2" width="102.140625" customWidth="1"/>
  </cols>
  <sheetData>
    <row r="1" spans="1:2" ht="19.5" thickBot="1">
      <c r="A1" s="2"/>
      <c r="B1" s="3"/>
    </row>
    <row r="2" spans="1:2" ht="19.5" thickBot="1">
      <c r="A2" s="4" t="s">
        <v>475</v>
      </c>
      <c r="B2" s="5" t="s">
        <v>476</v>
      </c>
    </row>
    <row r="3" spans="1:2" ht="19.5" thickBot="1">
      <c r="A3" s="6"/>
      <c r="B3" s="7"/>
    </row>
    <row r="4" spans="1:2">
      <c r="A4" s="255"/>
      <c r="B4" s="8"/>
    </row>
    <row r="5" spans="1:2">
      <c r="A5" s="256"/>
      <c r="B5" s="9"/>
    </row>
    <row r="6" spans="1:2">
      <c r="A6" s="256"/>
      <c r="B6" s="9"/>
    </row>
    <row r="7" spans="1:2" ht="15.75" thickBot="1">
      <c r="A7" s="257"/>
      <c r="B7" s="10"/>
    </row>
    <row r="8" spans="1:2" ht="19.5" thickBot="1">
      <c r="A8" s="2"/>
      <c r="B8" s="3"/>
    </row>
    <row r="9" spans="1:2">
      <c r="A9" s="255"/>
      <c r="B9" s="8"/>
    </row>
    <row r="10" spans="1:2">
      <c r="A10" s="256"/>
      <c r="B10" s="9"/>
    </row>
    <row r="11" spans="1:2">
      <c r="A11" s="256"/>
      <c r="B11" s="9"/>
    </row>
    <row r="12" spans="1:2">
      <c r="A12" s="256"/>
      <c r="B12" s="9"/>
    </row>
    <row r="13" spans="1:2" ht="15.75" thickBot="1">
      <c r="A13" s="257"/>
      <c r="B13" s="10"/>
    </row>
  </sheetData>
  <mergeCells count="2">
    <mergeCell ref="A4:A7"/>
    <mergeCell ref="A9:A1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33AF7F02-150C-44AA-ACFE-3054112CF8E2}">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www.w3.org/XML/1998/namespace"/>
    <ds:schemaRef ds:uri="http://schemas.microsoft.com/office/infopath/2007/PartnerControls"/>
    <ds:schemaRef ds:uri="ad534ff2-402b-4ecc-9fa1-8491d4c692dd"/>
    <ds:schemaRef ds:uri="http://purl.org/dc/dcmitype/"/>
  </ds:schemaRefs>
</ds:datastoreItem>
</file>

<file path=customXml/itemProps3.xml><?xml version="1.0" encoding="utf-8"?>
<ds:datastoreItem xmlns:ds="http://schemas.openxmlformats.org/officeDocument/2006/customXml" ds:itemID="{69F4DEE9-2AF1-45AF-87F7-ECF090034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Security Risk Assess</vt:lpstr>
      <vt:lpstr>Threat Assessment</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
  <cp:lastPrinted>2022-01-04T05:52:31Z</cp:lastPrinted>
  <dcterms:created xsi:type="dcterms:W3CDTF">2017-03-06T20:58:36Z</dcterms:created>
  <dcterms:modified xsi:type="dcterms:W3CDTF">2022-08-01T05:41:52Z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y fmtid="{D5CDD505-2E9C-101B-9397-08002B2CF9AE}" pid="3" name="MSIP_Label_40993bd6-1ede-4830-9dba-3224251d6855_Enabled">
    <vt:lpwstr>true</vt:lpwstr>
  </property>
  <property fmtid="{D5CDD505-2E9C-101B-9397-08002B2CF9AE}" pid="4" name="MSIP_Label_40993bd6-1ede-4830-9dba-3224251d6855_SetDate">
    <vt:lpwstr>2022-08-01T05:41:51Z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e4f199da-3441-447d-9254-0bc6126ee9a1</vt:lpwstr>
  </property>
  <property fmtid="{D5CDD505-2E9C-101B-9397-08002B2CF9AE}" pid="9" name="MSIP_Label_40993bd6-1ede-4830-9dba-3224251d6855_ContentBits">
    <vt:lpwstr>0</vt:lpwstr>
  </property>
</Properties>
</file>