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4-8-22_PSRT master copies\DR 5-7\"/>
    </mc:Choice>
  </mc:AlternateContent>
  <xr:revisionPtr revIDLastSave="0" documentId="13_ncr:1_{FF24DE1A-BC66-423B-A95F-15BF7E80F2DB}" xr6:coauthVersionLast="47" xr6:coauthVersionMax="47" xr10:uidLastSave="{00000000-0000-0000-0000-000000000000}"/>
  <bookViews>
    <workbookView xWindow="-120" yWindow="-120" windowWidth="20730" windowHeight="1116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Assess'!$A$1:$AQ$80</definedName>
    <definedName name="_xlnm.Print_Area" localSheetId="1">'System &amp; Asset Identification'!$A$1:$I$40</definedName>
    <definedName name="_xlnm.Print_Area" localSheetId="3">'Threat Assessment'!$A$1:$O$72</definedName>
    <definedName name="_xlnm.Print_Area" localSheetId="2">'Vulnerability Identification'!$A$1:$I$83</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E7" i="12"/>
  <c r="G7" i="12"/>
  <c r="R7" i="12"/>
  <c r="S7" i="12"/>
  <c r="T7" i="12" s="1"/>
  <c r="W7" i="12"/>
  <c r="AK7" i="12"/>
  <c r="AL7" i="12"/>
  <c r="AM7" i="12"/>
  <c r="AN7" i="12" s="1"/>
  <c r="AO7" i="12" l="1"/>
  <c r="AP7" i="12" s="1"/>
  <c r="U7" i="12"/>
  <c r="X7" i="12"/>
  <c r="Y7" i="12" s="1"/>
  <c r="C76" i="12"/>
  <c r="E76" i="12"/>
  <c r="G76" i="12"/>
  <c r="R76" i="12"/>
  <c r="S76" i="12"/>
  <c r="T76" i="12" s="1"/>
  <c r="W76" i="12"/>
  <c r="AK76" i="12"/>
  <c r="AL76" i="12"/>
  <c r="AM76" i="12"/>
  <c r="AO76" i="12" s="1"/>
  <c r="AP76" i="12" s="1"/>
  <c r="X76" i="12" l="1"/>
  <c r="Y76" i="12" s="1"/>
  <c r="AN76" i="12"/>
  <c r="U76" i="12"/>
  <c r="C68" i="12"/>
  <c r="C69" i="12"/>
  <c r="C70" i="12"/>
  <c r="C71" i="12"/>
  <c r="C72" i="12"/>
  <c r="C73" i="12"/>
  <c r="C74" i="12"/>
  <c r="C75" i="12"/>
  <c r="E68" i="12"/>
  <c r="E69" i="12"/>
  <c r="E70" i="12"/>
  <c r="E71" i="12"/>
  <c r="E72" i="12"/>
  <c r="E73" i="12"/>
  <c r="E74" i="12"/>
  <c r="E75" i="12"/>
  <c r="G68" i="12"/>
  <c r="G69" i="12"/>
  <c r="G70" i="12"/>
  <c r="G71" i="12"/>
  <c r="G72" i="12"/>
  <c r="G73" i="12"/>
  <c r="G74" i="12"/>
  <c r="G75" i="12"/>
  <c r="R68" i="12"/>
  <c r="R69" i="12"/>
  <c r="R70" i="12"/>
  <c r="R71" i="12"/>
  <c r="R72" i="12"/>
  <c r="R73" i="12"/>
  <c r="R74" i="12"/>
  <c r="R75" i="12"/>
  <c r="S68" i="12"/>
  <c r="T68" i="12" s="1"/>
  <c r="S69" i="12"/>
  <c r="T69" i="12" s="1"/>
  <c r="S70" i="12"/>
  <c r="T70" i="12" s="1"/>
  <c r="S71" i="12"/>
  <c r="T71" i="12" s="1"/>
  <c r="S72" i="12"/>
  <c r="T72" i="12" s="1"/>
  <c r="S73" i="12"/>
  <c r="T73" i="12" s="1"/>
  <c r="S74" i="12"/>
  <c r="T74" i="12" s="1"/>
  <c r="U74" i="12" s="1"/>
  <c r="S75" i="12"/>
  <c r="T75" i="12" s="1"/>
  <c r="U75" i="12" s="1"/>
  <c r="W68" i="12"/>
  <c r="W69" i="12"/>
  <c r="W70" i="12"/>
  <c r="W71" i="12"/>
  <c r="W72" i="12"/>
  <c r="W73" i="12"/>
  <c r="W74" i="12"/>
  <c r="W75" i="12"/>
  <c r="AK68" i="12"/>
  <c r="AK69" i="12"/>
  <c r="AK70" i="12"/>
  <c r="AK71" i="12"/>
  <c r="AK72" i="12"/>
  <c r="AK73" i="12"/>
  <c r="AK74" i="12"/>
  <c r="AK75" i="12"/>
  <c r="AL68" i="12"/>
  <c r="AL69" i="12"/>
  <c r="AL70" i="12"/>
  <c r="AL71" i="12"/>
  <c r="AL72" i="12"/>
  <c r="AL73" i="12"/>
  <c r="AL74" i="12"/>
  <c r="AL75" i="12"/>
  <c r="AM68" i="12"/>
  <c r="AN68" i="12" s="1"/>
  <c r="AM69" i="12"/>
  <c r="AO69" i="12" s="1"/>
  <c r="AP69" i="12" s="1"/>
  <c r="AM70" i="12"/>
  <c r="AN70" i="12" s="1"/>
  <c r="AM71" i="12"/>
  <c r="AO71" i="12" s="1"/>
  <c r="AP71" i="12" s="1"/>
  <c r="AM72" i="12"/>
  <c r="AN72" i="12" s="1"/>
  <c r="AM73" i="12"/>
  <c r="AN73" i="12" s="1"/>
  <c r="AM74" i="12"/>
  <c r="AN74" i="12" s="1"/>
  <c r="AM75" i="12"/>
  <c r="AO75" i="12" s="1"/>
  <c r="AP75" i="12" s="1"/>
  <c r="C67" i="12"/>
  <c r="E67" i="12"/>
  <c r="G67" i="12"/>
  <c r="R67" i="12"/>
  <c r="S67" i="12"/>
  <c r="T67" i="12" s="1"/>
  <c r="W67" i="12"/>
  <c r="AK67" i="12"/>
  <c r="AL67" i="12"/>
  <c r="AM67" i="12"/>
  <c r="AN67"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59" i="12"/>
  <c r="C60" i="12"/>
  <c r="C61" i="12"/>
  <c r="C62" i="12"/>
  <c r="C63" i="12"/>
  <c r="E59" i="12"/>
  <c r="E60" i="12"/>
  <c r="E61" i="12"/>
  <c r="E62" i="12"/>
  <c r="E63" i="12"/>
  <c r="G59" i="12"/>
  <c r="G60" i="12"/>
  <c r="G61" i="12"/>
  <c r="G62" i="12"/>
  <c r="G63" i="12"/>
  <c r="R59" i="12"/>
  <c r="R60" i="12"/>
  <c r="R61" i="12"/>
  <c r="R62" i="12"/>
  <c r="R63" i="12"/>
  <c r="S59" i="12"/>
  <c r="T59" i="12" s="1"/>
  <c r="S60" i="12"/>
  <c r="T60" i="12" s="1"/>
  <c r="S61" i="12"/>
  <c r="T61" i="12" s="1"/>
  <c r="S62" i="12"/>
  <c r="T62" i="12" s="1"/>
  <c r="S63" i="12"/>
  <c r="T63" i="12" s="1"/>
  <c r="W59" i="12"/>
  <c r="W60" i="12"/>
  <c r="W61" i="12"/>
  <c r="W62" i="12"/>
  <c r="W63" i="12"/>
  <c r="AK59" i="12"/>
  <c r="AK60" i="12"/>
  <c r="AK61" i="12"/>
  <c r="AK62" i="12"/>
  <c r="AK63" i="12"/>
  <c r="AL59" i="12"/>
  <c r="AL60" i="12"/>
  <c r="AL61" i="12"/>
  <c r="AL62" i="12"/>
  <c r="AL63" i="12"/>
  <c r="AM59" i="12"/>
  <c r="AN59" i="12" s="1"/>
  <c r="AM60" i="12"/>
  <c r="AO60" i="12" s="1"/>
  <c r="AP60" i="12" s="1"/>
  <c r="AM61" i="12"/>
  <c r="AO61" i="12" s="1"/>
  <c r="AP61" i="12" s="1"/>
  <c r="AM62" i="12"/>
  <c r="AO62" i="12" s="1"/>
  <c r="AP62" i="12" s="1"/>
  <c r="AM63" i="12"/>
  <c r="AN63" i="12" s="1"/>
  <c r="C58" i="12"/>
  <c r="E58" i="12"/>
  <c r="G58" i="12"/>
  <c r="R58" i="12"/>
  <c r="S58" i="12"/>
  <c r="T58" i="12" s="1"/>
  <c r="W58" i="12"/>
  <c r="AK58" i="12"/>
  <c r="AL58" i="12"/>
  <c r="AM58" i="12"/>
  <c r="AN58"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N44" i="12" s="1"/>
  <c r="C43" i="12"/>
  <c r="E43" i="12"/>
  <c r="G43" i="12"/>
  <c r="R43" i="12"/>
  <c r="S43" i="12"/>
  <c r="T43" i="12" s="1"/>
  <c r="W43" i="12"/>
  <c r="AK43" i="12"/>
  <c r="AL43" i="12"/>
  <c r="AM43" i="12"/>
  <c r="AN43" i="12" s="1"/>
  <c r="C42" i="12"/>
  <c r="E42" i="12"/>
  <c r="G42" i="12"/>
  <c r="R42" i="12"/>
  <c r="S42" i="12"/>
  <c r="T42" i="12" s="1"/>
  <c r="W42" i="12"/>
  <c r="AK42" i="12"/>
  <c r="AL42" i="12"/>
  <c r="AM42" i="12"/>
  <c r="AO42" i="12" s="1"/>
  <c r="AP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N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N27" i="12" s="1"/>
  <c r="U71" i="12" l="1"/>
  <c r="U72" i="12"/>
  <c r="U68" i="12"/>
  <c r="AN69" i="12"/>
  <c r="X73" i="12"/>
  <c r="Y73" i="12" s="1"/>
  <c r="X70" i="12"/>
  <c r="Y70" i="12" s="1"/>
  <c r="X69" i="12"/>
  <c r="Y69" i="12" s="1"/>
  <c r="X68" i="12"/>
  <c r="Y68" i="12" s="1"/>
  <c r="AO74" i="12"/>
  <c r="AP74" i="12" s="1"/>
  <c r="AO73" i="12"/>
  <c r="AP73" i="12" s="1"/>
  <c r="U70" i="12"/>
  <c r="X67" i="12"/>
  <c r="Y67" i="12" s="1"/>
  <c r="X75" i="12"/>
  <c r="Y75" i="12" s="1"/>
  <c r="X74" i="12"/>
  <c r="Y74" i="12" s="1"/>
  <c r="AN71" i="12"/>
  <c r="X72" i="12"/>
  <c r="Y72" i="12" s="1"/>
  <c r="U73" i="12"/>
  <c r="AO70" i="12"/>
  <c r="AP70" i="12" s="1"/>
  <c r="AO68" i="12"/>
  <c r="AP68" i="12" s="1"/>
  <c r="AN75" i="12"/>
  <c r="U69" i="12"/>
  <c r="X71" i="12"/>
  <c r="Y71" i="12" s="1"/>
  <c r="AO72" i="12"/>
  <c r="AP72" i="12" s="1"/>
  <c r="U30" i="12"/>
  <c r="AO67" i="12"/>
  <c r="AP67" i="12" s="1"/>
  <c r="U67" i="12"/>
  <c r="AO66" i="12"/>
  <c r="AP66" i="12" s="1"/>
  <c r="X66" i="12"/>
  <c r="Y66" i="12" s="1"/>
  <c r="U66" i="12"/>
  <c r="U61" i="12"/>
  <c r="X65" i="12"/>
  <c r="Y65" i="12" s="1"/>
  <c r="X64" i="12"/>
  <c r="Y64" i="12" s="1"/>
  <c r="X60" i="12"/>
  <c r="Y60" i="12" s="1"/>
  <c r="X59" i="12"/>
  <c r="Y59" i="12" s="1"/>
  <c r="U65" i="12"/>
  <c r="U63" i="12"/>
  <c r="U62" i="12"/>
  <c r="U58" i="12"/>
  <c r="X63" i="12"/>
  <c r="Y63" i="12" s="1"/>
  <c r="U60" i="12"/>
  <c r="AO64" i="12"/>
  <c r="AP64" i="12" s="1"/>
  <c r="AN60" i="12"/>
  <c r="AO65" i="12"/>
  <c r="AP65" i="12" s="1"/>
  <c r="U59" i="12"/>
  <c r="U64" i="12"/>
  <c r="X58" i="12"/>
  <c r="Y58" i="12" s="1"/>
  <c r="AN62" i="12"/>
  <c r="U50" i="12"/>
  <c r="U44" i="12"/>
  <c r="AO63" i="12"/>
  <c r="AP63" i="12" s="1"/>
  <c r="U54" i="12"/>
  <c r="U34" i="12"/>
  <c r="U48" i="12"/>
  <c r="AN61" i="12"/>
  <c r="AO59" i="12"/>
  <c r="AP59" i="12" s="1"/>
  <c r="U46" i="12"/>
  <c r="U52" i="12"/>
  <c r="X62" i="12"/>
  <c r="Y62" i="12" s="1"/>
  <c r="X61" i="12"/>
  <c r="Y61" i="12" s="1"/>
  <c r="U56" i="12"/>
  <c r="U38" i="12"/>
  <c r="AO58" i="12"/>
  <c r="AP58" i="12" s="1"/>
  <c r="X33" i="12"/>
  <c r="Y33" i="12" s="1"/>
  <c r="X31" i="12"/>
  <c r="Y31" i="12" s="1"/>
  <c r="X42" i="12"/>
  <c r="Y42" i="12" s="1"/>
  <c r="X40" i="12"/>
  <c r="Y40" i="12" s="1"/>
  <c r="X36" i="12"/>
  <c r="Y36" i="12" s="1"/>
  <c r="X37" i="12"/>
  <c r="Y37" i="12" s="1"/>
  <c r="U41" i="12"/>
  <c r="U45" i="12"/>
  <c r="U49" i="12"/>
  <c r="U53" i="12"/>
  <c r="U57" i="12"/>
  <c r="X35" i="12"/>
  <c r="Y35" i="12" s="1"/>
  <c r="U32" i="12"/>
  <c r="U39" i="12"/>
  <c r="U43" i="12"/>
  <c r="U47" i="12"/>
  <c r="X51" i="12"/>
  <c r="Y51" i="12" s="1"/>
  <c r="U55" i="12"/>
  <c r="X28" i="12"/>
  <c r="Y28" i="12" s="1"/>
  <c r="U27" i="12"/>
  <c r="U29" i="12"/>
  <c r="AN53" i="12"/>
  <c r="X54" i="12"/>
  <c r="Y54" i="12" s="1"/>
  <c r="X57" i="12"/>
  <c r="Y57" i="12" s="1"/>
  <c r="U51" i="12"/>
  <c r="X55" i="12"/>
  <c r="Y55" i="12" s="1"/>
  <c r="AN55" i="12"/>
  <c r="AO57" i="12"/>
  <c r="AP57" i="12" s="1"/>
  <c r="AO56" i="12"/>
  <c r="AP56" i="12" s="1"/>
  <c r="X56" i="12"/>
  <c r="Y56" i="12" s="1"/>
  <c r="AN48" i="12"/>
  <c r="AN51" i="12"/>
  <c r="AN52" i="12"/>
  <c r="AN54" i="12"/>
  <c r="AN49" i="12"/>
  <c r="X53" i="12"/>
  <c r="Y53" i="12" s="1"/>
  <c r="X52" i="12"/>
  <c r="Y52" i="12" s="1"/>
  <c r="X48" i="12"/>
  <c r="Y48" i="12" s="1"/>
  <c r="AN50" i="12"/>
  <c r="U40" i="12"/>
  <c r="X50" i="12"/>
  <c r="Y50" i="12" s="1"/>
  <c r="U42" i="12"/>
  <c r="X45" i="12"/>
  <c r="Y45" i="12" s="1"/>
  <c r="X49" i="12"/>
  <c r="Y49" i="12" s="1"/>
  <c r="AO47" i="12"/>
  <c r="AP47" i="12" s="1"/>
  <c r="X47" i="12"/>
  <c r="Y47" i="12" s="1"/>
  <c r="X43" i="12"/>
  <c r="Y43" i="12" s="1"/>
  <c r="AN40" i="12"/>
  <c r="AO43" i="12"/>
  <c r="AP43" i="12" s="1"/>
  <c r="AN45" i="12"/>
  <c r="AO46" i="12"/>
  <c r="AP46" i="12" s="1"/>
  <c r="X46" i="12"/>
  <c r="Y46" i="12" s="1"/>
  <c r="AN42" i="12"/>
  <c r="AO44" i="12"/>
  <c r="AP44" i="12" s="1"/>
  <c r="X44" i="12"/>
  <c r="Y44" i="12" s="1"/>
  <c r="AN35" i="12"/>
  <c r="AN36" i="12"/>
  <c r="U36" i="12"/>
  <c r="AN41" i="12"/>
  <c r="U33" i="12"/>
  <c r="AN34" i="12"/>
  <c r="X38" i="12"/>
  <c r="Y38" i="12" s="1"/>
  <c r="X41" i="12"/>
  <c r="Y41" i="12" s="1"/>
  <c r="AN38" i="12"/>
  <c r="X34" i="12"/>
  <c r="Y34" i="12" s="1"/>
  <c r="AO39" i="12"/>
  <c r="AP39" i="12" s="1"/>
  <c r="X39" i="12"/>
  <c r="Y39" i="12" s="1"/>
  <c r="U35" i="12"/>
  <c r="U37" i="12"/>
  <c r="AN37" i="12"/>
  <c r="AO33" i="12"/>
  <c r="AP33" i="12" s="1"/>
  <c r="U31" i="12"/>
  <c r="AO32" i="12"/>
  <c r="AP32" i="12" s="1"/>
  <c r="X32" i="12"/>
  <c r="Y32" i="12" s="1"/>
  <c r="AO29" i="12"/>
  <c r="AP29" i="12" s="1"/>
  <c r="X27" i="12"/>
  <c r="Y27" i="12" s="1"/>
  <c r="U28" i="12"/>
  <c r="X29" i="12"/>
  <c r="Y29" i="12" s="1"/>
  <c r="AO31" i="12"/>
  <c r="AP31" i="12" s="1"/>
  <c r="AO30" i="12"/>
  <c r="AP30" i="12" s="1"/>
  <c r="X30" i="12"/>
  <c r="Y30" i="12" s="1"/>
  <c r="AN28" i="12"/>
  <c r="AO27" i="12"/>
  <c r="AP27" i="12" s="1"/>
  <c r="C13" i="12" l="1"/>
  <c r="R5" i="12" l="1"/>
  <c r="S5" i="12"/>
  <c r="T5" i="12" s="1"/>
  <c r="W5" i="12"/>
  <c r="R8" i="12"/>
  <c r="S8" i="12"/>
  <c r="T8" i="12" s="1"/>
  <c r="W8" i="12"/>
  <c r="R16" i="12"/>
  <c r="S16" i="12"/>
  <c r="T16" i="12" s="1"/>
  <c r="W16" i="12"/>
  <c r="R10" i="12"/>
  <c r="S10" i="12"/>
  <c r="T10" i="12" s="1"/>
  <c r="W10" i="12"/>
  <c r="R11" i="12"/>
  <c r="S11" i="12"/>
  <c r="T11" i="12" s="1"/>
  <c r="W11" i="12"/>
  <c r="R9" i="12"/>
  <c r="S9" i="12"/>
  <c r="T9" i="12" s="1"/>
  <c r="W9" i="12"/>
  <c r="R21" i="12"/>
  <c r="S21" i="12"/>
  <c r="T21" i="12" s="1"/>
  <c r="W21" i="12"/>
  <c r="R15" i="12"/>
  <c r="S15" i="12"/>
  <c r="T15" i="12" s="1"/>
  <c r="W15" i="12"/>
  <c r="R17" i="12"/>
  <c r="S17" i="12"/>
  <c r="T17" i="12" s="1"/>
  <c r="W17" i="12"/>
  <c r="R18" i="12"/>
  <c r="S18" i="12"/>
  <c r="T18" i="12" s="1"/>
  <c r="W18" i="12"/>
  <c r="R19" i="12"/>
  <c r="S19" i="12"/>
  <c r="T19" i="12" s="1"/>
  <c r="W19" i="12"/>
  <c r="R20" i="12"/>
  <c r="S20" i="12"/>
  <c r="T20" i="12" s="1"/>
  <c r="W20" i="12"/>
  <c r="R13" i="12"/>
  <c r="S13" i="12"/>
  <c r="T13" i="12" s="1"/>
  <c r="W13" i="12"/>
  <c r="R14" i="12"/>
  <c r="S14" i="12"/>
  <c r="T14" i="12" s="1"/>
  <c r="W14" i="12"/>
  <c r="R22" i="12"/>
  <c r="S22" i="12"/>
  <c r="T22" i="12" s="1"/>
  <c r="W22" i="12"/>
  <c r="R25" i="12"/>
  <c r="S25" i="12"/>
  <c r="T25" i="12" s="1"/>
  <c r="W25" i="12"/>
  <c r="R24" i="12"/>
  <c r="S24" i="12"/>
  <c r="T24" i="12" s="1"/>
  <c r="W24" i="12"/>
  <c r="R6" i="12"/>
  <c r="S6" i="12"/>
  <c r="T6" i="12" s="1"/>
  <c r="W6" i="12"/>
  <c r="R12" i="12"/>
  <c r="S12" i="12"/>
  <c r="T12" i="12" s="1"/>
  <c r="W12" i="12"/>
  <c r="R26" i="12"/>
  <c r="S26" i="12"/>
  <c r="T26" i="12" s="1"/>
  <c r="W26" i="12"/>
  <c r="R23" i="12"/>
  <c r="S23" i="12"/>
  <c r="T23" i="12" s="1"/>
  <c r="W23" i="12"/>
  <c r="C23" i="12"/>
  <c r="E23" i="12"/>
  <c r="G23" i="12"/>
  <c r="AK23" i="12"/>
  <c r="AL23" i="12"/>
  <c r="AM23" i="12"/>
  <c r="AN23" i="12" s="1"/>
  <c r="C26" i="12"/>
  <c r="E26" i="12"/>
  <c r="G26" i="12"/>
  <c r="AK26" i="12"/>
  <c r="AL26" i="12"/>
  <c r="AM26" i="12"/>
  <c r="AN26" i="12" s="1"/>
  <c r="C21" i="12"/>
  <c r="E21" i="12"/>
  <c r="G21" i="12"/>
  <c r="AK21" i="12"/>
  <c r="AL21" i="12"/>
  <c r="AM21" i="12"/>
  <c r="AO21" i="12" s="1"/>
  <c r="AP21" i="12" s="1"/>
  <c r="C10" i="12"/>
  <c r="E10" i="12"/>
  <c r="G10" i="12"/>
  <c r="AK10" i="12"/>
  <c r="AL10" i="12"/>
  <c r="AM10" i="12"/>
  <c r="AN10" i="12" s="1"/>
  <c r="C8" i="12"/>
  <c r="E8" i="12"/>
  <c r="G8" i="12"/>
  <c r="AK8" i="12"/>
  <c r="AL8" i="12"/>
  <c r="AM8" i="12"/>
  <c r="AO8" i="12" s="1"/>
  <c r="AP8" i="12" s="1"/>
  <c r="C14" i="12"/>
  <c r="E14" i="12"/>
  <c r="G14" i="12"/>
  <c r="AK14" i="12"/>
  <c r="AL14" i="12"/>
  <c r="AM14" i="12"/>
  <c r="AN14" i="12" s="1"/>
  <c r="C22" i="12"/>
  <c r="E22" i="12"/>
  <c r="G22" i="12"/>
  <c r="AK22" i="12"/>
  <c r="AL22" i="12"/>
  <c r="AM22" i="12"/>
  <c r="AN22" i="12" s="1"/>
  <c r="C25" i="12"/>
  <c r="E25" i="12"/>
  <c r="G25" i="12"/>
  <c r="AK25" i="12"/>
  <c r="AL25" i="12"/>
  <c r="AM25" i="12"/>
  <c r="AN25" i="12" s="1"/>
  <c r="C24" i="12"/>
  <c r="E24" i="12"/>
  <c r="G24" i="12"/>
  <c r="AK24" i="12"/>
  <c r="AL24" i="12"/>
  <c r="AM24" i="12"/>
  <c r="AN24" i="12" s="1"/>
  <c r="C6" i="12"/>
  <c r="E6" i="12"/>
  <c r="G6" i="12"/>
  <c r="AK6" i="12"/>
  <c r="AL6" i="12"/>
  <c r="AM6" i="12"/>
  <c r="AN6" i="12" s="1"/>
  <c r="C12" i="12"/>
  <c r="E12" i="12"/>
  <c r="G12" i="12"/>
  <c r="AK12" i="12"/>
  <c r="AL12" i="12"/>
  <c r="AM12" i="12"/>
  <c r="AN12" i="12" s="1"/>
  <c r="C9" i="12"/>
  <c r="E9" i="12"/>
  <c r="G9" i="12"/>
  <c r="AK9" i="12"/>
  <c r="AL9" i="12"/>
  <c r="AM9" i="12"/>
  <c r="AO9" i="12" s="1"/>
  <c r="AP9" i="12" s="1"/>
  <c r="C15" i="12"/>
  <c r="E15" i="12"/>
  <c r="G15" i="12"/>
  <c r="AK15" i="12"/>
  <c r="AL15" i="12"/>
  <c r="AM15" i="12"/>
  <c r="AN15" i="12" s="1"/>
  <c r="C17" i="12"/>
  <c r="E17" i="12"/>
  <c r="G17" i="12"/>
  <c r="AK17" i="12"/>
  <c r="AL17" i="12"/>
  <c r="AM17" i="12"/>
  <c r="AN17" i="12" s="1"/>
  <c r="C18" i="12"/>
  <c r="E18" i="12"/>
  <c r="G18" i="12"/>
  <c r="AK18" i="12"/>
  <c r="AL18" i="12"/>
  <c r="AM18" i="12"/>
  <c r="AN18" i="12" s="1"/>
  <c r="C19" i="12"/>
  <c r="E19" i="12"/>
  <c r="G19" i="12"/>
  <c r="AK19" i="12"/>
  <c r="AL19" i="12"/>
  <c r="AM19" i="12"/>
  <c r="AO19" i="12" s="1"/>
  <c r="AP19" i="12" s="1"/>
  <c r="C20" i="12"/>
  <c r="E20" i="12"/>
  <c r="G20" i="12"/>
  <c r="AK20" i="12"/>
  <c r="AL20" i="12"/>
  <c r="AM20" i="12"/>
  <c r="AN20" i="12" s="1"/>
  <c r="C11" i="12"/>
  <c r="E11" i="12"/>
  <c r="G11" i="12"/>
  <c r="AK11" i="12"/>
  <c r="AL11" i="12"/>
  <c r="AM11" i="12"/>
  <c r="AN11" i="12" s="1"/>
  <c r="U10" i="12" l="1"/>
  <c r="U14" i="12"/>
  <c r="U18" i="12"/>
  <c r="U22" i="12"/>
  <c r="U19" i="12"/>
  <c r="U23" i="12"/>
  <c r="U6" i="12"/>
  <c r="X17" i="12"/>
  <c r="Y17" i="12" s="1"/>
  <c r="X21" i="12"/>
  <c r="Y21" i="12" s="1"/>
  <c r="U25" i="12"/>
  <c r="U20" i="12"/>
  <c r="U9" i="12"/>
  <c r="X12" i="12"/>
  <c r="Y12" i="12" s="1"/>
  <c r="U15" i="12"/>
  <c r="U11" i="12"/>
  <c r="U21" i="12"/>
  <c r="U17" i="12"/>
  <c r="U26" i="12"/>
  <c r="X26" i="12"/>
  <c r="Y26" i="12" s="1"/>
  <c r="U24" i="12"/>
  <c r="X24" i="12"/>
  <c r="Y24" i="12" s="1"/>
  <c r="U12" i="12"/>
  <c r="X25" i="12"/>
  <c r="Y25" i="12" s="1"/>
  <c r="X13" i="12"/>
  <c r="Y13" i="12" s="1"/>
  <c r="U8" i="12"/>
  <c r="X8" i="12"/>
  <c r="Y8" i="12" s="1"/>
  <c r="X11" i="12"/>
  <c r="Y11" i="12" s="1"/>
  <c r="X19" i="12"/>
  <c r="Y19" i="12" s="1"/>
  <c r="X6" i="12"/>
  <c r="Y6" i="12" s="1"/>
  <c r="X15" i="12"/>
  <c r="Y15" i="12" s="1"/>
  <c r="X9" i="12"/>
  <c r="Y9" i="12" s="1"/>
  <c r="U16" i="12"/>
  <c r="X16" i="12"/>
  <c r="Y16" i="12" s="1"/>
  <c r="U5" i="12"/>
  <c r="X5" i="12"/>
  <c r="Y5" i="12" s="1"/>
  <c r="U13" i="12"/>
  <c r="X14" i="12"/>
  <c r="Y14" i="12" s="1"/>
  <c r="X20" i="12"/>
  <c r="Y20" i="12" s="1"/>
  <c r="X23" i="12"/>
  <c r="Y23" i="12" s="1"/>
  <c r="X18" i="12"/>
  <c r="Y18" i="12" s="1"/>
  <c r="X22" i="12"/>
  <c r="Y22" i="12" s="1"/>
  <c r="X10" i="12"/>
  <c r="Y10" i="12" s="1"/>
  <c r="AO23" i="12"/>
  <c r="AP23" i="12" s="1"/>
  <c r="AO26" i="12"/>
  <c r="AP26" i="12" s="1"/>
  <c r="AN21" i="12"/>
  <c r="AN8" i="12"/>
  <c r="AO10" i="12"/>
  <c r="AP10" i="12" s="1"/>
  <c r="AN9" i="12"/>
  <c r="AO12" i="12"/>
  <c r="AP12" i="12" s="1"/>
  <c r="AO24" i="12"/>
  <c r="AP24" i="12" s="1"/>
  <c r="AO15" i="12"/>
  <c r="AP15" i="12" s="1"/>
  <c r="AN19" i="12"/>
  <c r="AO18" i="12"/>
  <c r="AP18" i="12" s="1"/>
  <c r="AO6" i="12"/>
  <c r="AP6" i="12" s="1"/>
  <c r="AO25" i="12"/>
  <c r="AP25" i="12" s="1"/>
  <c r="AO22" i="12"/>
  <c r="AP22" i="12" s="1"/>
  <c r="AO14" i="12"/>
  <c r="AP14" i="12" s="1"/>
  <c r="AO17" i="12"/>
  <c r="AP17" i="12" s="1"/>
  <c r="AO20" i="12"/>
  <c r="AP20" i="12" s="1"/>
  <c r="AO11" i="12"/>
  <c r="AP11"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6" i="12"/>
  <c r="E13" i="12"/>
  <c r="E8" i="21" s="1"/>
  <c r="C5" i="12"/>
  <c r="C5" i="21" s="1"/>
  <c r="C16" i="12"/>
  <c r="C8" i="21" s="1"/>
  <c r="C7" i="21" l="1"/>
  <c r="C9" i="21"/>
  <c r="E9" i="21"/>
  <c r="E7" i="21"/>
  <c r="C6" i="21"/>
  <c r="E6" i="21"/>
  <c r="AL13" i="12" l="1"/>
  <c r="AL16" i="12"/>
  <c r="AK13" i="12"/>
  <c r="AK16" i="12"/>
  <c r="AK5" i="12" l="1"/>
  <c r="AM13" i="12" l="1"/>
  <c r="AM16" i="12"/>
  <c r="AL5" i="12"/>
  <c r="AM5" i="12" s="1"/>
  <c r="AN5" i="12" s="1"/>
  <c r="AN16" i="12" l="1"/>
  <c r="AN13" i="12"/>
  <c r="G13" i="12"/>
  <c r="G16" i="12"/>
  <c r="G7" i="21" l="1"/>
  <c r="G8" i="21"/>
  <c r="G9" i="21"/>
  <c r="AO13" i="12"/>
  <c r="AP13" i="12" s="1"/>
  <c r="AO16" i="12"/>
  <c r="AP16"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<sst xmlns="http://schemas.openxmlformats.org/spreadsheetml/2006/main" count="1905" uniqueCount="645">
  <si>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</si>
  <si>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</si>
  <si>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</si>
  <si>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</si>
  <si>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</si>
  <si>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</si>
  <si>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</si>
  <si>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</si>
  <si>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</si>
  <si>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</si>
  <si>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</si>
  <si>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</si>
  <si>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</si>
  <si>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</si>
  <si>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</si>
  <si>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</si>
  <si>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</si>
  <si>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</si>
  <si>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</si>
  <si>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</si>
  <si>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</si>
  <si>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</si>
  <si>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</si>
  <si>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</si>
  <si>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</si>
  <si>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</si>
  <si>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</si>
  <si>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</si>
  <si>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</si>
  <si>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</si>
  <si>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</si>
  <si>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</si>
  <si>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</si>
  <si>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</si>
  <si>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</si>
  <si>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</si>
  <si>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</si>
  <si>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</si>
  <si>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</si>
  <si>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</si>
  <si>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</si>
  <si>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</si>
  <si>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</si>
  <si>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</si>
  <si>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</si>
  <si>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</si>
  <si>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</si>
  <si>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</si>
  <si>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</si>
  <si>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</si>
  <si>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</si>
  <si>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</si>
  <si>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</si>
  <si>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</si>
  <si>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</si>
  <si>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</si>
  <si>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</si>
  <si>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</si>
  <si>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</si>
  <si>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</si>
  <si>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</si>
  <si>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</si>
  <si>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</si>
  <si>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</si>
  <si>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</si>
  <si>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</si>
  <si>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</si>
  <si>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</si>
  <si>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</si>
  <si>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</si>
  <si>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</si>
  <si>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</si>
  <si>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</si>
  <si>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</si>
  <si>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</si>
  <si>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</si>
  <si>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</si>
  <si>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</si>
  <si>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</si>
  <si>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</si>
  <si>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</si>
  <si>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</si>
  <si>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</si>
  <si>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</si>
  <si>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</si>
  <si>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</si>
  <si>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</si>
  <si>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</si>
  <si>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</si>
  <si>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</si>
  <si>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</si>
  <si>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</si>
  <si>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</si>
  <si>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</si>
  <si>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</si>
  <si>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</si>
  <si>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</si>
  <si>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</si>
  <si>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</si>
  <si>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</si>
  <si>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</si>
  <si>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</si>
  <si>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</si>
  <si>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</si>
  <si>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</si>
  <si>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</si>
  <si>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</si>
  <si>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</si>
  <si>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</si>
  <si>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</si>
  <si>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</si>
  <si>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</si>
  <si>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</si>
  <si>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</si>
  <si>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</si>
  <si>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</si>
  <si>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</si>
  <si>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</si>
  <si>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</si>
  <si>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</si>
  <si>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</si>
  <si>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</si>
  <si>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</si>
  <si>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</si>
  <si>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</si>
  <si>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</si>
  <si>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</si>
  <si>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</si>
  <si>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</si>
  <si>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</si>
  <si>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</si>
  <si>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</si>
  <si>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</si>
  <si>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</si>
  <si>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</si>
  <si>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</si>
  <si>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</si>
  <si>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</si>
  <si>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</si>
  <si>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</si>
  <si>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</si>
  <si>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</si>
  <si>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</si>
  <si>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</si>
  <si>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</si>
  <si>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</si>
  <si>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</si>
  <si>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</si>
  <si>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</si>
  <si>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</si>
  <si>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</si>
  <si>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</si>
  <si>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</si>
  <si>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</si>
  <si>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</si>
  <si>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</si>
  <si>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</si>
  <si>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</si>
  <si>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</si>
  <si>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</si>
  <si>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</si>
  <si>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</si>
  <si>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</si>
  <si>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</si>
  <si>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</si>
  <si>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</si>
  <si>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</si>
  <si>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</si>
  <si>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</si>
  <si>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</si>
  <si>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</si>
  <si>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</si>
  <si>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</si>
  <si>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</si>
  <si>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</si>
  <si>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</si>
  <si>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</si>
  <si>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</si>
  <si>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</si>
  <si>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</si>
  <si>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</si>
  <si>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</si>
  <si>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</si>
  <si>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</si>
  <si>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</si>
  <si>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</si>
  <si>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</si>
  <si>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</si>
  <si>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</si>
  <si>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</si>
  <si>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</si>
  <si>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</si>
  <si>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</si>
  <si>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</si>
  <si>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</si>
  <si>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</si>
  <si>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</si>
  <si>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</si>
  <si>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</si>
  <si>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</si>
  <si>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</si>
  <si>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</si>
  <si>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</si>
  <si>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</si>
  <si>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</si>
  <si>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</si>
  <si>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</si>
  <si>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</si>
  <si>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</si>
  <si>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</si>
  <si>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</si>
  <si>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</si>
  <si>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</si>
  <si>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</si>
  <si>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</si>
  <si>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</si>
  <si>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</si>
  <si>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</si>
  <si>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</si>
  <si>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</si>
  <si>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</si>
  <si>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</si>
  <si>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</si>
  <si>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</si>
  <si>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</si>
  <si>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</si>
  <si>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</si>
  <si>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</si>
  <si>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</si>
  <si>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</si>
  <si>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</si>
  <si>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</si>
  <si>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</si>
  <si>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</si>
  <si>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</si>
  <si>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</si>
  <si>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</si>
  <si>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</si>
  <si>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</si>
  <si>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</si>
  <si>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</si>
  <si>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</si>
  <si>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</si>
  <si>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</si>
  <si>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</si>
  <si>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</si>
  <si>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</si>
  <si>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</si>
  <si>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</si>
  <si>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</si>
  <si>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</si>
  <si>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</si>
  <si>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</si>
  <si>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</si>
  <si>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</si>
  <si>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</si>
  <si>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</si>
  <si>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</si>
  <si>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</si>
  <si>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</si>
  <si>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</si>
  <si>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</si>
  <si>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</si>
  <si>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</si>
  <si>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</si>
  <si>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</si>
  <si>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</si>
  <si>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</si>
  <si>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</si>
  <si>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</si>
  <si>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</si>
  <si>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</si>
  <si>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</si>
  <si>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</si>
  <si>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</si>
  <si>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</si>
  <si>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</si>
  <si>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</si>
  <si>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</si>
  <si>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</si>
  <si>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</si>
  <si>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</si>
  <si>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</si>
  <si>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</si>
  <si>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</si>
  <si>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</si>
  <si>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</si>
  <si>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</si>
  <si>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</si>
  <si>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</si>
  <si>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</si>
  <si>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</si>
  <si>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</si>
  <si>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</si>
  <si>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</si>
  <si>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</si>
  <si>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</si>
  <si>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</si>
  <si>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</si>
  <si>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</si>
  <si>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</si>
  <si>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</si>
  <si>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</si>
  <si>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</si>
  <si>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</si>
  <si>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</si>
  <si>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</si>
  <si>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</si>
  <si>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</si>
  <si>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</si>
  <si>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</si>
  <si>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</si>
  <si>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</si>
  <si>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</si>
  <si>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</si>
  <si>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</si>
  <si>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</si>
  <si>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</si>
  <si>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</si>
  <si>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</si>
  <si>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</si>
  <si>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</si>
  <si>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</si>
  <si>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</si>
  <si>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</si>
  <si>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</si>
  <si>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</si>
  <si>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</si>
  <si>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</si>
  <si>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</si>
  <si>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</si>
  <si>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</si>
  <si>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</si>
  <si>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</si>
  <si>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</si>
  <si>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</si>
  <si>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</si>
  <si>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</si>
  <si>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</si>
  <si>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</si>
  <si>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</si>
  <si>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</si>
  <si>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</si>
  <si>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</si>
  <si>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</si>
  <si>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</si>
  <si>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</si>
  <si>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</si>
  <si>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</si>
  <si>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</si>
  <si>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</si>
  <si>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</si>
  <si>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</si>
  <si>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</si>
  <si>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</si>
  <si>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</si>
  <si>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</si>
  <si>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</si>
  <si>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</si>
  <si>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</si>
  <si>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</si>
  <si>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</si>
  <si>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</si>
  <si>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</si>
  <si>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</si>
  <si>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</si>
  <si>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</si>
  <si>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</si>
  <si>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</si>
  <si>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</si>
  <si>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</si>
  <si>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</si>
  <si>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</si>
  <si>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</si>
  <si>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</si>
  <si>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</si>
  <si>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</si>
  <si>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</si>
  <si>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</si>
  <si>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</si>
  <si>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</si>
  <si>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</si>
  <si>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</si>
  <si>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</si>
  <si>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</si>
  <si>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</si>
  <si>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</si>
  <si>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</si>
  <si>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</si>
  <si>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</si>
  <si>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</si>
  <si>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</si>
  <si>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</si>
  <si>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</si>
  <si>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</si>
  <si>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</si>
  <si>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</si>
  <si>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</si>
  <si>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</si>
  <si>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</si>
  <si>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</si>
  <si>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</si>
  <si>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</si>
  <si>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</si>
  <si>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</si>
  <si>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</si>
  <si>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</si>
  <si>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</si>
  <si>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</si>
  <si>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</si>
  <si>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</si>
  <si>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</si>
  <si>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</si>
  <si>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</si>
  <si>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</si>
  <si>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</si>
  <si>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</si>
  <si>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</si>
  <si>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</si>
  <si>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</si>
  <si>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</si>
  <si>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</si>
  <si>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</si>
  <si>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</si>
  <si>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</si>
  <si>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</si>
  <si>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</si>
  <si>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</si>
  <si>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</si>
  <si>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</si>
  <si>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</si>
  <si>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</si>
  <si>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</si>
  <si>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</si>
  <si>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</si>
  <si>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</si>
  <si>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</si>
  <si>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</si>
  <si>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</si>
  <si>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</si>
  <si>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</si>
  <si>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</si>
  <si>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</si>
  <si>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</si>
  <si>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</si>
  <si>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</si>
  <si>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</si>
  <si>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</si>
  <si>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</si>
  <si>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</si>
  <si>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</si>
  <si>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</si>
  <si>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</si>
  <si>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</si>
  <si>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</si>
  <si>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</si>
  <si>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</si>
  <si>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</si>
  <si>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</si>
  <si>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</si>
  <si>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</si>
  <si>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</si>
  <si>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</si>
  <si>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</si>
  <si>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</si>
  <si>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</si>
  <si>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</si>
  <si>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</si>
  <si>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</si>
  <si>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</si>
  <si>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</si>
  <si>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</si>
  <si>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</si>
  <si>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</si>
  <si>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</si>
  <si>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Knee Intra-Op Software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</si>
  <si>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</si>
  <si>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</si>
  <si>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</si>
  <si>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</si>
  <si>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</si>
  <si>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</si>
  <si>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</si>
  <si>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</si>
  <si>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</si>
  <si>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</si>
  <si>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</si>
  <si>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</si>
  <si>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</si>
  <si>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</si>
  <si>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</si>
  <si>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</si>
  <si>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</si>
  <si>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</si>
  <si>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</si>
  <si>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</si>
  <si>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</si>
  <si>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</si>
  <si>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</si>
  <si>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</si>
  <si>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</si>
  <si>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</si>
  <si>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</si>
  <si>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</si>
  <si>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</si>
  <si>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</si>
  <si>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</si>
  <si>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</si>
  <si>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</si>
  <si>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</si>
  <si>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</si>
  <si>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</si>
  <si>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</si>
  <si>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</si>
  <si>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</si>
  <si>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</si>
  <si>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</si>
  <si>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</si>
  <si>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</si>
  <si>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</si>
  <si>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</si>
  <si>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</si>
  <si>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</si>
  <si>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</si>
  <si>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</si>
  <si>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</si>
  <si>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Remote exploitation of the system through network</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</si>
  <si>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</si>
  <si>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</si>
  <si>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</si>
  <si>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</si>
  <si>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</si>
  <si>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</si>
  <si>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</si>
  <si>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</si>
  <si>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</si>
  <si>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</si>
  <si>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</si>
  <si>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</si>
  <si>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</si>
  <si>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</si>
  <si>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</si>
  <si>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</si>
  <si>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</si>
  <si>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</si>
  <si>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</si>
  <si>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</si>
  <si>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</si>
  <si>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</si>
  <si>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</si>
  <si>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</si>
  <si>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</si>
  <si>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</si>
  <si>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</si>
  <si>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</si>
  <si>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</si>
  <si>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</si>
  <si>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</si>
  <si>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</si>
  <si>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</si>
  <si>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</si>
  <si>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</si>
  <si>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</si>
  <si>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</si>
  <si>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</si>
  <si>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</si>
  <si>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</si>
  <si>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</si>
  <si>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</si>
  <si>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</si>
  <si>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</si>
  <si>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</si>
  <si>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</si>
  <si>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V18</t>
  </si>
  <si>
    <t>Unpatched COTS operating system</t>
  </si>
  <si>
    <t>Patient health information at rest (PHI)</t>
  </si>
  <si>
    <t>SSH credentials for system admin remote access</t>
  </si>
  <si>
    <t>Patient related details</t>
  </si>
  <si>
    <t>Patient Health Information in transit (PHI)</t>
  </si>
  <si>
    <t>Nav3,3i device configurable information (for eg: bios, etc.,)</t>
  </si>
  <si>
    <t>Nav3,3i cart/ System running with windows 8.1</t>
  </si>
  <si>
    <r>
      <t>User Passwords/Credentials provide access to ePHI, Software Binaries, read access to config files,</t>
    </r>
    <r>
      <rPr>
        <sz val="11"/>
        <rFont val="Calibri"/>
        <family val="2"/>
      </rPr>
      <t xml:space="preserve"> log files.</t>
    </r>
  </si>
  <si>
    <t>Data stored on hard disk after import. Contains patient identity, DOB, Age/Gender, image data</t>
  </si>
  <si>
    <t>Extended arm of Nav3, 3i cart contains multiple sensors &amp; navigation cameras. The data collected &amp; provided to the Intra-OP application has to be accurate</t>
  </si>
  <si>
    <t>Remarks (architecture)</t>
  </si>
  <si>
    <t>A04</t>
  </si>
  <si>
    <t>A06</t>
  </si>
  <si>
    <t xml:space="preserve">C1: Only Stryker approved applications can be executed by the "Navigation User"
C2: A firewall shall be installed and activated. Unused ports and services disabled
C5: It shall not be possible to manipulate system files or install malicious software in these sections
</t>
  </si>
  <si>
    <t xml:space="preserve">C1: Only Stryker approved applications can be executed by the "Navigation User"
C2: A firewall shall be installed and activated. Unused ports and services disabled
C8: Only ‘view-only’ remote access to the navigation system when a “Navigation User” is logged in
C23: No automatic software update of the Navigation System 
</t>
  </si>
  <si>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</si>
  <si>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 xml:space="preserve">C2: A firewall shall be installed and activated. Unused ports and services disabled
C8: Only ‘view-only’ remote access to the navigation system when a “Navigation User” is logged in
C9: Protect FP8000 camera from being accessed from the hospital network
</t>
  </si>
  <si>
    <t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t>
  </si>
  <si>
    <t xml:space="preserve">C3: Boot menu is protected by password
C5: It shall not be possible to manipulate system files or install malicious software in these sections
</t>
  </si>
  <si>
    <t xml:space="preserve">C18: Physical lock of Navigation System service backdoor.
C19: Navigation camera can be opened only with special tools.
</t>
  </si>
  <si>
    <t>C12: Use of  data Encryption while storing data
C15: Disposing temporary files
C14: The system ensures that data in logfile is masked with all available patient information</t>
  </si>
  <si>
    <t>C2: A firewall shall be installed and activated. Unused ports and services disabled
C8: Only ‘view-only’ remote access to the navigation system when a “Navigation User” is logged in</t>
  </si>
  <si>
    <t>C6: Password protection for user log in
C7: Standard user has read only rights on config files
C12: Use of  data Encryption while storing data
C35: Separate login account for user, where system files can not be manipulated (write protected).</t>
  </si>
  <si>
    <t>C2: A firewall shall be installed and activated. Unused ports and services disabled
C8: Only ‘view-only’ remote access to the navigation system when a “Navigation User” is logged in
C9: Protect FP8000 camera from being accessed from the hospital network</t>
  </si>
  <si>
    <t xml:space="preserve">C2: A firewall shall be installed and activated. Unused ports and services disabled
C8: Only ‘view-only’ remote access to the navigation system when a “Navigation User” is logged in
</t>
  </si>
  <si>
    <t>C18: Physical lock of Navigation System service backdoor
C12: Use of  data Encryption while storing data
C15: Disposing temporary files
C14: The system ensures that data in logfile is masked with all available patient information</t>
  </si>
  <si>
    <t>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t>
  </si>
  <si>
    <t xml:space="preserve">C18: Physical lock of Navigation System service backdoor
C19: Navigation camera can be opened only with special tools
C21: Integrity of tool geometry and plausibility of localization data is checked
C27: Firmware and hardware version is stored on navigation camera.
</t>
  </si>
  <si>
    <t>C25: Powersafe Unit shall be part of the system such that in a power failure user can shift to alternate power or save the existing data and have a secured exit from the application</t>
  </si>
  <si>
    <t>1. Critical/Sensitive data should be protected.
2. System security elements such as firewall, antivirus etc.. should be properly identified</t>
  </si>
  <si>
    <t>1. Set strong password policy for all users.
2. Anti-virus with updated virus definitions</t>
  </si>
  <si>
    <t xml:space="preserve">1. OS updates should be properly planned.
2. Automatic/Manual pulling of the patches for OS should be planned. </t>
  </si>
  <si>
    <t xml:space="preserve">1. Monitor the vulnerability database to look for the high severity issues.
2. Check for any patches available &amp; their compatibility to the OS.
3. If no patches available, inhouse patch development needs to be checked. </t>
  </si>
  <si>
    <t>1. Audit &amp; prepare a list of 3rd party tools currently being used.
2. Remove the unused 3rd party tools.
3. Prepare an alternate plan (same tool/new tool) for the tools needed.
4. Based on the plan prepare the approach (by contacting the vendor).</t>
  </si>
  <si>
    <t>1. Audit &amp; prepare a list of microsoft tools currently being used.
2. Remove the unused microsoft tools.
3. Prepare an alternate plan (same tool/new tool) for the tools needed.
4. Based on the plan prepare the approach (by contacting the vendor).</t>
  </si>
  <si>
    <t>1. Customised &amp; hardened OS needs to be taken a backup.
2. Incase of a corrupted OS, the above mentioned OS can be reinstalled. 
3. No need of periodic backup plan with applications.</t>
  </si>
  <si>
    <t>1. Customised &amp; hardened OS needs to be taken a backup.
2. Incase of a corrupted OS, the above mentioned OS can be reinstalled. 
3. No need of periodic backup.</t>
  </si>
  <si>
    <t>1. Uninstall/remove all the networking support software (ex: drivers).
2. Harden/disable the network interfaces of the cart.</t>
  </si>
  <si>
    <t xml:space="preserve">1. Periodically monitor the audit logs to identify any abnormal logged behaviour in the system.
2. Based on the analysis, observation needs to be reported to the proper team. </t>
  </si>
  <si>
    <t>1. Steps involved in hardening the OS needs to be identified &amp; documented.  
2. Uninstall/remove all the networking support software (ex: drivers).
3. Harden/disable the network interfaces of the cart.</t>
  </si>
  <si>
    <t>Application should adapt the data backup policy. Data has to be encrypted and stored in a secure location at periodic timeline intervals.</t>
  </si>
  <si>
    <t>1. Standard authentication practise (including both the user id and password) should be mandated.
2. Set strong password policy for all users.</t>
  </si>
  <si>
    <t xml:space="preserve">1. Restrict the complete file system access/availability based on the user &amp; role.
2. User should only be able to browse his/her particular application case data path. </t>
  </si>
  <si>
    <t xml:space="preserve">1. Admin should only able to install any application on Nav3,3i.
2. Application whitelisting should be enforced.
</t>
  </si>
  <si>
    <t>1. An automated periodic scan execution should be scheduled as a good practise.
2. AV definitions/signatures requires to be continuously updated so that new virus can be identified.</t>
  </si>
  <si>
    <t>1. Identify the critical OS features (different kinds of settings such as registry editor, control panel, etc.,) during running &amp; restrict access.
2. Restrict access to system bios during bootup.
3. Implement the authentication for the above said components.</t>
  </si>
  <si>
    <t>1. Restrict the complete file system access/availability based on the user &amp; role.
2. User should only be able to browse his/her particular application case data path. 
3. Application resources should not be visible (or) accessible directly.</t>
  </si>
  <si>
    <t>1. Restrict the direct daemons access/usage in the system by user.
2. Proprietary applications should only be allowed to access the OS/system services and the user should not be allowed directly.</t>
  </si>
  <si>
    <t>1. Admin should be notified about the outdated/not updated AV definitions.
2. AV requires to be continuously updated from the admin so that new signatures can be included.</t>
  </si>
  <si>
    <t xml:space="preserve">Whenever a removable device is connected, immediate "on access" scanning should be performed to identify the risk associated with the device. </t>
  </si>
  <si>
    <t>1. Only sanitized devices needs to be connected.
2. Secure communication between the Nav3, 3i &amp; external devices needs to be incorporated.
3. Any connected devices (such as FP8000, etc.,) providing input to the Nav3, 3i system should be monitored.</t>
  </si>
  <si>
    <t>1. All the removable devices should not be allowed to connect with the systsem
2. Validation of input device should be mandate.</t>
  </si>
  <si>
    <t xml:space="preserve">Performing static code analysis (such as sonarqube) for identification of deviation from the coding standards and vulnerabilities on developed code.
</t>
  </si>
  <si>
    <r>
      <rPr>
        <sz val="11"/>
        <color rgb="FFFF0000"/>
        <rFont val="Cambria"/>
        <family val="1"/>
      </rPr>
      <t>1. If any sensitive data present, encrypt it. 
2. Restrict the sensitive information access/availability to particular user.</t>
    </r>
    <r>
      <rPr>
        <sz val="11"/>
        <color theme="1"/>
        <rFont val="Cambria"/>
        <family val="1"/>
      </rPr>
      <t xml:space="preserve">
3. User should only able to browse his/her own particular case data path. </t>
    </r>
  </si>
  <si>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</si>
  <si>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</si>
  <si>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</si>
  <si>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</si>
  <si>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All the removable devices should not be allowed to connect with the systsem
2. Authentication/Validation of input device should be mandatory</t>
  </si>
  <si>
    <t>1. Require multi-factor authentication
2. Limit authentication attempts (rate Limiting)
3. Maintain Access Logs
4. Stronger authentication methods</t>
  </si>
  <si>
    <t xml:space="preserve">1. OS updates should be properly planned for running the Intra-op application
2. Automatic/Manual pulling of the patches for severe vulnerabilities should be planned. </t>
  </si>
  <si>
    <t xml:space="preserve">1. The 3rd party components (SOUP items) and dependencies should be identified and listed in the design document.
2. SCA tools (such as blackduck) should be used for evaluating the risk from 3rd party components with security testing.
</t>
  </si>
  <si>
    <t>1. All the provided physical network components should be identified and unused should be identified
2. Unused componens should be properly disabled/limited 
3. System security elements such as firewall, antivirus etc.. should be properly identified</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</si>
  <si>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</si>
  <si>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</si>
  <si>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All the physical network components should be listed and unused should be identified
2. Unused ports &amp; services should be properly disabled/limited 
3. System security elements such as firewall, antivirus etc.. should be properly maintained.</t>
  </si>
  <si>
    <t>1. Require multi-factor authentication
2. Limit login attempts (rate Limiting)
3. Maintain Access Logs
4. Stronger authentication methods</t>
  </si>
  <si>
    <t xml:space="preserve"> Crytpo data should be stored encrypted
</t>
  </si>
  <si>
    <t>1. Weak algorithms such as DES, RC4, etc.. should be avoided and usage of  strong algorithms such as AES, RSA, etc.. are recomended
2. Use strong encryption algorithm
3. The application should use  secure cryptographic algorithms to encrypt data files</t>
  </si>
  <si>
    <t>1. Weak algorithms such as DES, RC4, etc.. should be avoided and usage of  strong algorithms such as AES, RSA, etc.. are recomended
2. Use strong encryption algorithm
3. Encrypt the sensitive data (if present)
4. The application should use  secure cryptographic algorithms to encrypt PHI data</t>
  </si>
  <si>
    <t>1. Crytpo data should be stored encrypted
2. The keys, certificates , token etc. should stored using windows credential manager.
3. The certificates and token should be stored encrypted .
4. The application should use  secure cryptographic algorithms to encrypt security keys, tokens and certificates.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</si>
</sst>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rgb="FF0000FF"/>
      <name val="Cambria"/>
    </font>
    <font>
      <sz val="11"/>
      <name val="Cambria"/>
    </font>
    <font>
      <sz val="11"/>
      <color theme="1"/>
      <name val="Calibri"/>
      <family val="2"/>
    </font>
    <font>
      <b/>
      <sz val="11"/>
      <name val="Calibri"/>
      <family val="2"/>
      <scheme val="minor"/>
    </font>
    <font>
      <sz val="11"/>
      <name val="Calibri"/>
      <family val="2"/>
    </font>
    <font>
      <sz val="11"/>
      <color rgb="FFFF0000"/>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9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4"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5"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4"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4" fillId="15" borderId="5" xfId="0" applyNumberFormat="1" applyFont="1" applyFill="1" applyBorder="1" applyAlignment="1">
      <alignment horizontal="center" vertical="center" wrapText="1"/>
    </xf>
    <xf numFmtId="164" fontId="54"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5"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4"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3" fillId="18" borderId="1" xfId="0" applyFont="1" applyFill="1" applyBorder="1" applyAlignment="1">
      <alignment vertical="top" wrapText="1"/>
    </xf>
    <xf numFmtId="164" fontId="54" fillId="19" borderId="1" xfId="0" applyNumberFormat="1" applyFont="1" applyFill="1" applyBorder="1" applyAlignment="1">
      <alignment horizontal="center" vertical="center" wrapText="1"/>
    </xf>
    <xf numFmtId="0" fontId="55" fillId="0" borderId="1" xfId="0" applyFont="1" applyBorder="1" applyAlignment="1">
      <alignment vertical="top" wrapText="1"/>
    </xf>
    <xf numFmtId="0" fontId="0" fillId="0" borderId="5" xfId="0" applyFont="1" applyFill="1" applyBorder="1" applyAlignment="1">
      <alignment vertical="top" wrapText="1"/>
    </xf>
    <xf numFmtId="0" fontId="0" fillId="0" borderId="5" xfId="0" applyFont="1" applyFill="1" applyBorder="1" applyAlignment="1">
      <alignment vertical="top" wrapText="1"/>
    </xf>
    <xf numFmtId="0" fontId="0"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Fill="1" applyBorder="1" applyAlignment="1">
      <alignment vertical="top" wrapText="1"/>
    </xf>
    <xf numFmtId="0" fontId="5" fillId="0" borderId="1" xfId="0" applyFont="1" applyBorder="1" applyAlignment="1">
      <alignment vertical="top" wrapText="1"/>
    </xf>
    <xf numFmtId="0" fontId="56" fillId="0" borderId="1" xfId="0" applyFont="1" applyBorder="1" applyAlignment="1">
      <alignmen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15" fillId="0" borderId="1" xfId="0" applyFont="1" applyBorder="1" applyAlignment="1">
      <alignment vertical="top" wrapText="1"/>
    </xf>
    <xf numFmtId="0" fontId="23" fillId="0" borderId="1" xfId="0" applyFont="1" applyBorder="1" applyAlignment="1">
      <alignment vertical="top" wrapText="1"/>
    </xf>
    <xf numFmtId="0" fontId="15" fillId="18" borderId="1" xfId="0" applyFont="1" applyFill="1" applyBorder="1" applyAlignment="1">
      <alignment vertical="top" wrapText="1"/>
    </xf>
    <xf numFmtId="0" fontId="15" fillId="18" borderId="5" xfId="0" applyFont="1" applyFill="1" applyBorder="1" applyAlignment="1">
      <alignment vertical="top"/>
    </xf>
    <xf numFmtId="0" fontId="56" fillId="0" borderId="1" xfId="0" applyFont="1" applyBorder="1" applyAlignment="1">
      <alignment vertical="top" wrapText="1"/>
    </xf>
    <xf numFmtId="0" fontId="57" fillId="5" borderId="6" xfId="0" applyFont="1" applyFill="1" applyBorder="1" applyAlignment="1">
      <alignment horizontal="center" vertical="top" wrapText="1"/>
    </xf>
    <xf numFmtId="0" fontId="15" fillId="10" borderId="6" xfId="0" applyFont="1" applyFill="1" applyBorder="1" applyAlignment="1">
      <alignment horizontal="center" vertical="top"/>
    </xf>
    <xf numFmtId="0" fontId="15" fillId="10" borderId="5" xfId="0" applyFont="1" applyFill="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0">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9"/>
      <tableStyleElement type="headerRow" dxfId="188"/>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7" dataDxfId="185" headerRowBorderDxfId="186" tableBorderDxfId="184" totalsRowBorderDxfId="183">
  <autoFilter ref="A9:E22" xr:uid="{00000000-0009-0000-0100-000003000000}"/>
  <tableColumns count="5">
    <tableColumn id="1" xr3:uid="{00000000-0010-0000-0000-000001000000}" name="ID #" dataDxfId="182"/>
    <tableColumn id="2" xr3:uid="{00000000-0010-0000-0000-000002000000}" name="Asset Type_x000a_(Information/Physical)" dataDxfId="181"/>
    <tableColumn id="3" xr3:uid="{00000000-0010-0000-0000-000003000000}" name="Asset" dataDxfId="180"/>
    <tableColumn id="4" xr3:uid="{00000000-0010-0000-0000-000004000000}" name="Asset Description" dataDxfId="179"/>
    <tableColumn id="5" xr3:uid="{1A85D4FB-4713-4B06-98D6-D4956E6A35EA}" name="Remarks (architecture)"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24">
  <autoFilter ref="A8:D14" xr:uid="{00000000-0009-0000-0100-000009000000}"/>
  <tableColumns count="4">
    <tableColumn id="1" xr3:uid="{00000000-0010-0000-0900-000001000000}" name="ID" dataDxfId="23"/>
    <tableColumn id="2" xr3:uid="{00000000-0010-0000-0900-000002000000}" name="Title" dataDxfId="22"/>
    <tableColumn id="3" xr3:uid="{00000000-0010-0000-0900-000003000000}" name="Rev.*" dataDxfId="21"/>
    <tableColumn id="4" xr3:uid="{00000000-0010-0000-0900-000004000000}" name="Doc. No." dataDxfId="2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8" totalsRowShown="0" headerRowDxfId="177" dataDxfId="175" headerRowBorderDxfId="176" tableBorderDxfId="174" totalsRowBorderDxfId="173">
  <autoFilter ref="A4:D78"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68" dataDxfId="166" headerRowBorderDxfId="167" tableBorderDxfId="165" totalsRowBorderDxfId="164">
  <autoFilter ref="A3:F5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6" totalsRowShown="0" headerRowDxfId="157" dataDxfId="156" tableBorderDxfId="155">
  <autoFilter ref="A4:AQ76" xr:uid="{00000000-0009-0000-0100-000004000000}"/>
  <tableColumns count="43">
    <tableColumn id="1" xr3:uid="{00000000-0010-0000-0300-000001000000}" name="_x000a_ID #" dataDxfId="154" totalsRowDxfId="153"/>
    <tableColumn id="23" xr3:uid="{00000000-0010-0000-0300-000017000000}" name="T ID" dataDxfId="152" totalsRowDxfId="151"/>
    <tableColumn id="2" xr3:uid="{00000000-0010-0000-0300-000002000000}" name="Threat Event(s)" dataDxfId="150" totalsRowDxfId="149">
      <calculatedColumnFormula>IF(VLOOKUP(Table4[[#This Row],[T ID]],Table5[#All],5,FALSE)="No","Not in scope",VLOOKUP(Table4[[#This Row],[T ID]],Table5[#All],2,FALSE))</calculatedColumnFormula>
    </tableColumn>
    <tableColumn id="22" xr3:uid="{00000000-0010-0000-0300-000016000000}" name="V ID" dataDxfId="148" totalsRowDxfId="147"/>
    <tableColumn id="3" xr3:uid="{00000000-0010-0000-0300-000003000000}" name="Vulnerabilities" dataDxfId="146" totalsRowDxfId="145">
      <calculatedColumnFormula>IF(VLOOKUP(Table4[[#This Row],[V ID]],Vulnerabilities[#All],3,FALSE)="No","Not in scope",VLOOKUP(Table4[[#This Row],[V ID]],Vulnerabilities[#All],2,FALSE))</calculatedColumnFormula>
    </tableColumn>
    <tableColumn id="24" xr3:uid="{00000000-0010-0000-0300-000018000000}" name="A ID" dataDxfId="144" totalsRowDxfId="143"/>
    <tableColumn id="4" xr3:uid="{00000000-0010-0000-0300-000004000000}" name="Asset" dataDxfId="142" totalsRowDxfId="141">
      <calculatedColumnFormula>VLOOKUP(Table4[[#This Row],[A ID]],Assets[#All],3,FALSE)</calculatedColumnFormula>
    </tableColumn>
    <tableColumn id="5" xr3:uid="{00000000-0010-0000-0300-000005000000}" name="Impact Description" dataDxfId="140" totalsRowDxfId="139"/>
    <tableColumn id="7" xr3:uid="{00000000-0010-0000-0300-000007000000}" name="Safety Impact _x000a_(Risk ID# or N/A)" dataDxfId="138" totalsRowDxfId="137"/>
    <tableColumn id="26" xr3:uid="{00000000-0010-0000-0300-00001A000000}" name="Confidentiality" dataDxfId="136" totalsRowDxfId="135"/>
    <tableColumn id="25" xr3:uid="{00000000-0010-0000-0300-000019000000}" name="Integrity" dataDxfId="134" totalsRowDxfId="133"/>
    <tableColumn id="21" xr3:uid="{00000000-0010-0000-0300-000015000000}" name="Availability" dataDxfId="132" totalsRowDxfId="131"/>
    <tableColumn id="44" xr3:uid="{00000000-0010-0000-0300-00002C000000}" name="Attack Vector" dataDxfId="130" totalsRowDxfId="129"/>
    <tableColumn id="45" xr3:uid="{00000000-0010-0000-0300-00002D000000}" name="Attack Complexity" dataDxfId="128" totalsRowDxfId="127"/>
    <tableColumn id="46" xr3:uid="{00000000-0010-0000-0300-00002E000000}" name="Privileges Required" dataDxfId="126" totalsRowDxfId="125"/>
    <tableColumn id="47" xr3:uid="{00000000-0010-0000-0300-00002F000000}" name="User Interaction" dataDxfId="124" totalsRowDxfId="123"/>
    <tableColumn id="43" xr3:uid="{00000000-0010-0000-0300-00002B000000}" name="Scope" dataDxfId="122" totalsRowDxfId="121"/>
    <tableColumn id="48" xr3:uid="{00000000-0010-0000-0300-000030000000}" name="Exploitability Sub Score" dataDxfId="120" totalsRowDxfId="11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8" totalsRowDxfId="11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6" totalsRowDxfId="11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4" totalsRowDxfId="11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12"/>
    <tableColumn id="33" xr3:uid="{00000000-0010-0000-0300-000021000000}" name="Threat Event Initiation_x000a_Score" dataDxfId="111" totalsRowDxfId="110">
      <calculatedColumnFormula>VLOOKUP(Table4[[#This Row],[Threat Event Initiation]],NIST_Scale_LOAI[],2,FALSE)</calculatedColumnFormula>
    </tableColumn>
    <tableColumn id="10" xr3:uid="{00000000-0010-0000-0300-00000A000000}" name="Overall Risk Score" dataDxfId="109" totalsRowDxfId="10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7" totalsRowDxfId="10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5" totalsRowDxfId="104"/>
    <tableColumn id="14" xr3:uid="{00000000-0010-0000-0300-00000E000000}" name="Implementation of Risk Control Measures " dataDxfId="103" totalsRowDxfId="102"/>
    <tableColumn id="15" xr3:uid="{00000000-0010-0000-0300-00000F000000}" name="Verification of Risk Control Measures (Effectiveness)" dataDxfId="101" totalsRowDxfId="100"/>
    <tableColumn id="13" xr3:uid="{00000000-0010-0000-0300-00000D000000}" name="ConfidentialityP" dataDxfId="99" totalsRowDxfId="98"/>
    <tableColumn id="27" xr3:uid="{00000000-0010-0000-0300-00001B000000}" name="IntegrityP" dataDxfId="97" totalsRowDxfId="96"/>
    <tableColumn id="28" xr3:uid="{00000000-0010-0000-0300-00001C000000}" name="AvailabilityP" dataDxfId="95" totalsRowDxfId="94"/>
    <tableColumn id="8" xr3:uid="{00000000-0010-0000-0300-000008000000}" name="Attack VectorP" dataDxfId="93" totalsRowDxfId="92"/>
    <tableColumn id="29" xr3:uid="{00000000-0010-0000-0300-00001D000000}" name="Attack ComplexityP" dataDxfId="91" totalsRowDxfId="90"/>
    <tableColumn id="30" xr3:uid="{00000000-0010-0000-0300-00001E000000}" name="Privileges RequiredP" dataDxfId="89" totalsRowDxfId="88"/>
    <tableColumn id="31" xr3:uid="{00000000-0010-0000-0300-00001F000000}" name="User InteractionP" dataDxfId="87"/>
    <tableColumn id="36" xr3:uid="{00000000-0010-0000-0300-000024000000}" name="ScopeP" dataDxfId="86" totalsRowDxfId="85"/>
    <tableColumn id="35" xr3:uid="{00000000-0010-0000-0300-000023000000}" name="Exploitability Sub ScoreP" dataDxfId="84" totalsRowDxfId="8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82" totalsRowDxfId="8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80" totalsRowDxfId="7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8" totalsRowDxfId="7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6" totalsRowDxfId="7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4" totalsRowDxfId="7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72" totalsRowDxfId="7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70" dataDxfId="69" tableBorderDxfId="68">
  <autoFilter ref="A4:M9" xr:uid="{00000000-0009-0000-0100-00000E000000}"/>
  <tableColumns count="13">
    <tableColumn id="1" xr3:uid="{00000000-0010-0000-0500-000001000000}" name="_x000a_ID #" dataDxfId="67" totalsRowDxfId="66">
      <calculatedColumnFormula>Table4[[#This Row],[
ID '#]]</calculatedColumnFormula>
    </tableColumn>
    <tableColumn id="23" xr3:uid="{00000000-0010-0000-0500-000017000000}" name="T ID" dataDxfId="65" totalsRowDxfId="64">
      <calculatedColumnFormula>IF(Table4[[#This Row],[A ID]]&gt;0,Table4[[#This Row],[T ID]],"")</calculatedColumnFormula>
    </tableColumn>
    <tableColumn id="2" xr3:uid="{00000000-0010-0000-0500-000002000000}" name="Threat Event(s)" dataDxfId="63" totalsRowDxfId="62">
      <calculatedColumnFormula>Table4[[#This Row],[Threat Event(s)]]</calculatedColumnFormula>
    </tableColumn>
    <tableColumn id="22" xr3:uid="{00000000-0010-0000-0500-000016000000}" name="V ID" dataDxfId="61" totalsRowDxfId="60">
      <calculatedColumnFormula>IF(Table4[[#This Row],[V ID]]&gt;0,Table4[[#This Row],[V ID]],"")</calculatedColumnFormula>
    </tableColumn>
    <tableColumn id="3" xr3:uid="{00000000-0010-0000-0500-000003000000}" name="Vulnerabilities" dataDxfId="59" totalsRowDxfId="58">
      <calculatedColumnFormula>Table4[[#This Row],[Vulnerabilities]]</calculatedColumnFormula>
    </tableColumn>
    <tableColumn id="24" xr3:uid="{00000000-0010-0000-0500-000018000000}" name="A ID" dataDxfId="57" totalsRowDxfId="56">
      <calculatedColumnFormula>IF(Table4[[#This Row],[A ID]]&gt;0,Table4[[#This Row],[A ID]],"")</calculatedColumnFormula>
    </tableColumn>
    <tableColumn id="4" xr3:uid="{00000000-0010-0000-0500-000004000000}" name="Assets" dataDxfId="55" totalsRowDxfId="54">
      <calculatedColumnFormula>Table4[[#This Row],[Asset]]</calculatedColumnFormula>
    </tableColumn>
    <tableColumn id="5" xr3:uid="{00000000-0010-0000-0500-000005000000}" name="Impact Description" dataDxfId="53" totalsRowDxfId="52">
      <calculatedColumnFormula>IF(Table4[[#This Row],[Impact Description]]&gt;0,Table4[[#This Row],[Impact Description]],"")</calculatedColumnFormula>
    </tableColumn>
    <tableColumn id="7" xr3:uid="{00000000-0010-0000-0500-000007000000}" name="Safety Impact _x000a_(Risk ID# or N/A)" dataDxfId="51" totalsRowDxfId="50">
      <calculatedColumnFormula>IF(Table4[[#This Row],[Safety Impact 
(Risk ID'# or N/A)]]&gt;0,Table4[[#This Row],[Safety Impact 
(Risk ID'# or N/A)]],"")</calculatedColumnFormula>
    </tableColumn>
    <tableColumn id="11" xr3:uid="{00000000-0010-0000-0500-00000B000000}" name="Pre-Controls _x000a_Risk Level" dataDxfId="49" totalsRowDxfId="48">
      <calculatedColumnFormula>Table4[[#This Row],[Security 
Risk 
Level]]</calculatedColumnFormula>
    </tableColumn>
    <tableColumn id="12" xr3:uid="{00000000-0010-0000-0500-00000C000000}" name="Security Risk Control Measures" dataDxfId="47" totalsRowDxfId="46">
      <calculatedColumnFormula>IF(Table4[[#This Row],[Security Risk Control Measures]]&gt;0,Table4[[#This Row],[Security Risk Control Measures]],"")</calculatedColumnFormula>
    </tableColumn>
    <tableColumn id="50" xr3:uid="{00000000-0010-0000-0500-000032000000}" name="Post-Controls Risk Level" dataDxfId="45" totalsRowDxfId="44">
      <calculatedColumnFormula>Table4[[#This Row],[Security Risk LevelP]]</calculatedColumnFormula>
    </tableColumn>
    <tableColumn id="20" xr3:uid="{00000000-0010-0000-0500-000014000000}" name="Residual Security Risk Acceptability Justification" dataDxfId="43" totalsRowDxfId="4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41" dataDxfId="40" tableBorderDxfId="39">
  <autoFilter ref="Q4:R10" xr:uid="{00000000-0009-0000-0100-000006000000}"/>
  <tableColumns count="2">
    <tableColumn id="1" xr3:uid="{00000000-0010-0000-0600-000001000000}" name="Rating" dataDxfId="38"/>
    <tableColumn id="2" xr3:uid="{00000000-0010-0000-0600-000002000000}" name="Score" dataDxfId="3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36" dataDxfId="35" tableBorderDxfId="34">
  <autoFilter ref="A4:C10" xr:uid="{00000000-0009-0000-0100-000007000000}"/>
  <tableColumns count="3">
    <tableColumn id="1" xr3:uid="{00000000-0010-0000-0700-000001000000}" name="ID#" dataDxfId="33"/>
    <tableColumn id="2" xr3:uid="{00000000-0010-0000-0700-000002000000}" name="Threat Source" dataDxfId="32"/>
    <tableColumn id="3" xr3:uid="{00000000-0010-0000-0700-000003000000}" name="In Scope (Y/N)" dataDxfId="3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30" dataDxfId="29" tableBorderDxfId="28">
  <autoFilter ref="E4:G10" xr:uid="{00000000-0009-0000-0100-000008000000}"/>
  <tableColumns count="3">
    <tableColumn id="1" xr3:uid="{00000000-0010-0000-0800-000001000000}" name="ID#" dataDxfId="27"/>
    <tableColumn id="2" xr3:uid="{00000000-0010-0000-0800-000002000000}" name="Source" dataDxfId="26"/>
    <tableColumn id="3" xr3:uid="{00000000-0010-0000-0800-000003000000}" name="In Scope (Y/N)" dataDxfId="2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B23" sqref="B2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48" t="s">
        <v>195</v>
      </c>
      <c r="B4" s="348"/>
      <c r="C4" s="348"/>
      <c r="D4" s="348"/>
      <c r="E4" s="348"/>
      <c r="F4" s="348"/>
      <c r="G4" s="348"/>
    </row>
    <row r="5" spans="1:7" x14ac:dyDescent="0.25">
      <c r="A5" s="349"/>
      <c r="B5" s="349"/>
      <c r="C5" s="349"/>
      <c r="D5" s="349"/>
      <c r="E5" s="349"/>
      <c r="F5" s="349"/>
      <c r="G5" s="349"/>
    </row>
    <row r="6" spans="1:7" ht="23.25" x14ac:dyDescent="0.25">
      <c r="A6" s="182"/>
      <c r="B6" s="182"/>
      <c r="C6" s="182"/>
      <c r="D6" s="182"/>
      <c r="E6" s="182"/>
      <c r="F6" s="182"/>
      <c r="G6" s="182"/>
    </row>
    <row r="7" spans="1:7" ht="18" x14ac:dyDescent="0.25">
      <c r="B7" s="350" t="s">
        <v>475</v>
      </c>
      <c r="C7" s="351"/>
    </row>
    <row r="8" spans="1:7" ht="18" x14ac:dyDescent="0.25">
      <c r="B8" s="350" t="s">
        <v>132</v>
      </c>
      <c r="C8" s="351"/>
    </row>
    <row r="9" spans="1:7" x14ac:dyDescent="0.25">
      <c r="B9" s="24"/>
    </row>
    <row r="10" spans="1:7" x14ac:dyDescent="0.25">
      <c r="B10" s="24"/>
    </row>
    <row r="11" spans="1:7" x14ac:dyDescent="0.25">
      <c r="B11" s="183" t="s">
        <v>196</v>
      </c>
      <c r="C11" s="184"/>
    </row>
    <row r="12" spans="1:7" x14ac:dyDescent="0.25">
      <c r="B12" s="185" t="s">
        <v>197</v>
      </c>
      <c r="C12" s="345" t="s">
        <v>344</v>
      </c>
      <c r="D12" s="346"/>
      <c r="E12" s="346"/>
      <c r="F12" s="347"/>
    </row>
    <row r="13" spans="1:7" x14ac:dyDescent="0.25">
      <c r="B13" s="185" t="s">
        <v>199</v>
      </c>
      <c r="C13" s="345" t="s">
        <v>493</v>
      </c>
      <c r="D13" s="346"/>
      <c r="E13" s="346"/>
      <c r="F13" s="347"/>
    </row>
    <row r="14" spans="1:7" x14ac:dyDescent="0.25">
      <c r="B14" s="185" t="s">
        <v>200</v>
      </c>
      <c r="C14" s="345" t="s">
        <v>478</v>
      </c>
      <c r="D14" s="346"/>
      <c r="E14" s="346"/>
      <c r="F14" s="347"/>
    </row>
    <row r="15" spans="1:7" ht="27.75" customHeight="1" x14ac:dyDescent="0.25">
      <c r="B15" s="185" t="s">
        <v>201</v>
      </c>
      <c r="C15" s="345" t="s">
        <v>494</v>
      </c>
      <c r="D15" s="346"/>
      <c r="E15" s="346"/>
      <c r="F15" s="347"/>
    </row>
    <row r="16" spans="1:7" x14ac:dyDescent="0.25">
      <c r="B16" s="185" t="s">
        <v>202</v>
      </c>
      <c r="C16" s="345" t="s">
        <v>343</v>
      </c>
      <c r="D16" s="346"/>
      <c r="E16" s="346"/>
      <c r="F16" s="347"/>
    </row>
    <row r="17" spans="2:6" x14ac:dyDescent="0.25">
      <c r="B17" s="24"/>
    </row>
    <row r="18" spans="2:6" x14ac:dyDescent="0.25">
      <c r="B18" s="24"/>
    </row>
    <row r="19" spans="2:6" x14ac:dyDescent="0.25">
      <c r="B19" s="183" t="s">
        <v>203</v>
      </c>
    </row>
    <row r="20" spans="2:6" x14ac:dyDescent="0.25">
      <c r="B20" s="186" t="s">
        <v>204</v>
      </c>
      <c r="C20" s="352" t="s">
        <v>205</v>
      </c>
      <c r="D20" s="353"/>
      <c r="E20" s="186" t="s">
        <v>206</v>
      </c>
      <c r="F20" s="186" t="s">
        <v>198</v>
      </c>
    </row>
    <row r="21" spans="2:6" x14ac:dyDescent="0.25">
      <c r="B21" s="187" t="s">
        <v>478</v>
      </c>
      <c r="C21" s="343" t="s">
        <v>216</v>
      </c>
      <c r="D21" s="344"/>
      <c r="E21" s="188" t="s">
        <v>477</v>
      </c>
      <c r="F21" s="187"/>
    </row>
    <row r="22" spans="2:6" ht="50.45" customHeight="1" x14ac:dyDescent="0.25">
      <c r="B22" s="187"/>
      <c r="C22" s="343"/>
      <c r="D22" s="344"/>
      <c r="E22" s="188"/>
      <c r="F22" s="187"/>
    </row>
    <row r="23" spans="2:6" x14ac:dyDescent="0.25">
      <c r="B23" s="187"/>
      <c r="C23" s="343"/>
      <c r="D23" s="344"/>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90" t="s">
        <v>19</v>
      </c>
      <c r="B1" s="390"/>
      <c r="C1" s="390"/>
      <c r="D1" s="390"/>
      <c r="E1" s="390"/>
      <c r="F1" s="390"/>
      <c r="G1" s="390"/>
      <c r="H1" s="390"/>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91"/>
      <c r="B4" s="9"/>
    </row>
    <row r="5" spans="1:2" x14ac:dyDescent="0.25">
      <c r="A5" s="392"/>
      <c r="B5" s="10"/>
    </row>
    <row r="6" spans="1:2" x14ac:dyDescent="0.25">
      <c r="A6" s="392"/>
      <c r="B6" s="10"/>
    </row>
    <row r="7" spans="1:2" ht="15.75" thickBot="1" x14ac:dyDescent="0.3">
      <c r="A7" s="393"/>
      <c r="B7" s="11"/>
    </row>
    <row r="8" spans="1:2" ht="19.5" thickBot="1" x14ac:dyDescent="0.3">
      <c r="A8" s="3"/>
      <c r="B8" s="4"/>
    </row>
    <row r="9" spans="1:2" x14ac:dyDescent="0.25">
      <c r="A9" s="391"/>
      <c r="B9" s="9"/>
    </row>
    <row r="10" spans="1:2" x14ac:dyDescent="0.25">
      <c r="A10" s="392"/>
      <c r="B10" s="10"/>
    </row>
    <row r="11" spans="1:2" x14ac:dyDescent="0.25">
      <c r="A11" s="392"/>
      <c r="B11" s="10"/>
    </row>
    <row r="12" spans="1:2" x14ac:dyDescent="0.25">
      <c r="A12" s="392"/>
      <c r="B12" s="10"/>
    </row>
    <row r="13" spans="1:2" ht="15.75" thickBot="1" x14ac:dyDescent="0.3">
      <c r="A13" s="393"/>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view="pageBreakPreview" topLeftCell="A10" zoomScale="80" zoomScaleNormal="100" zoomScaleSheetLayoutView="80" workbookViewId="0">
      <selection activeCell="C21" sqref="C2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24" style="28" bestFit="1"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54" t="s">
        <v>495</v>
      </c>
      <c r="D3" s="354"/>
    </row>
    <row r="4" spans="1:5" s="32" customFormat="1" x14ac:dyDescent="0.25">
      <c r="A4" s="35" t="s">
        <v>152</v>
      </c>
      <c r="B4" s="36"/>
      <c r="C4" s="354" t="s">
        <v>494</v>
      </c>
      <c r="D4" s="354"/>
    </row>
    <row r="5" spans="1:5" s="32" customFormat="1" x14ac:dyDescent="0.25">
      <c r="A5" s="35" t="s">
        <v>150</v>
      </c>
      <c r="B5" s="36"/>
      <c r="C5" s="354" t="s">
        <v>509</v>
      </c>
      <c r="D5" s="354"/>
    </row>
    <row r="6" spans="1:5" s="32" customFormat="1" ht="30" customHeight="1" x14ac:dyDescent="0.25">
      <c r="A6" s="37" t="s">
        <v>151</v>
      </c>
      <c r="B6" s="38"/>
      <c r="C6" s="354" t="s">
        <v>476</v>
      </c>
      <c r="D6" s="354"/>
    </row>
    <row r="7" spans="1:5" s="32" customFormat="1" x14ac:dyDescent="0.25"/>
    <row r="8" spans="1:5" s="32" customFormat="1" x14ac:dyDescent="0.25"/>
    <row r="9" spans="1:5" s="32" customFormat="1" ht="30" x14ac:dyDescent="0.25">
      <c r="A9" s="39" t="s">
        <v>8</v>
      </c>
      <c r="B9" s="40" t="s">
        <v>161</v>
      </c>
      <c r="C9" s="40" t="s">
        <v>0</v>
      </c>
      <c r="D9" s="41" t="s">
        <v>11</v>
      </c>
      <c r="E9" s="340" t="s">
        <v>584</v>
      </c>
    </row>
    <row r="10" spans="1:5" s="32" customFormat="1" ht="45" x14ac:dyDescent="0.25">
      <c r="A10" s="42" t="s">
        <v>106</v>
      </c>
      <c r="B10" s="287" t="s">
        <v>9</v>
      </c>
      <c r="C10" s="316" t="s">
        <v>580</v>
      </c>
      <c r="D10" s="317" t="s">
        <v>319</v>
      </c>
      <c r="E10" s="333"/>
    </row>
    <row r="11" spans="1:5" s="32" customFormat="1" ht="75" x14ac:dyDescent="0.25">
      <c r="A11" s="42" t="s">
        <v>107</v>
      </c>
      <c r="B11" s="287" t="s">
        <v>133</v>
      </c>
      <c r="C11" s="318" t="s">
        <v>291</v>
      </c>
      <c r="D11" s="319" t="s">
        <v>292</v>
      </c>
      <c r="E11" s="333"/>
    </row>
    <row r="12" spans="1:5" s="32" customFormat="1" ht="30" x14ac:dyDescent="0.25">
      <c r="A12" s="42" t="s">
        <v>108</v>
      </c>
      <c r="B12" s="287" t="s">
        <v>133</v>
      </c>
      <c r="C12" s="247" t="s">
        <v>293</v>
      </c>
      <c r="D12" s="320" t="s">
        <v>581</v>
      </c>
      <c r="E12" s="333"/>
    </row>
    <row r="13" spans="1:5" s="32" customFormat="1" ht="30" x14ac:dyDescent="0.25">
      <c r="A13" s="42" t="s">
        <v>585</v>
      </c>
      <c r="B13" s="287" t="s">
        <v>10</v>
      </c>
      <c r="C13" s="288" t="s">
        <v>575</v>
      </c>
      <c r="D13" s="321" t="s">
        <v>582</v>
      </c>
      <c r="E13" s="333"/>
    </row>
    <row r="14" spans="1:5" s="32" customFormat="1" ht="45" x14ac:dyDescent="0.25">
      <c r="A14" s="42" t="s">
        <v>109</v>
      </c>
      <c r="B14" s="287" t="s">
        <v>10</v>
      </c>
      <c r="C14" s="247" t="s">
        <v>144</v>
      </c>
      <c r="D14" s="322" t="s">
        <v>143</v>
      </c>
      <c r="E14" s="333"/>
    </row>
    <row r="15" spans="1:5" s="32" customFormat="1" ht="30" x14ac:dyDescent="0.25">
      <c r="A15" s="42" t="s">
        <v>586</v>
      </c>
      <c r="B15" s="287" t="s">
        <v>133</v>
      </c>
      <c r="C15" s="247" t="s">
        <v>497</v>
      </c>
      <c r="D15" s="323" t="s">
        <v>294</v>
      </c>
      <c r="E15" s="333"/>
    </row>
    <row r="16" spans="1:5" s="32" customFormat="1" ht="45" x14ac:dyDescent="0.25">
      <c r="A16" s="334" t="s">
        <v>110</v>
      </c>
      <c r="B16" s="287" t="s">
        <v>133</v>
      </c>
      <c r="C16" s="247" t="s">
        <v>295</v>
      </c>
      <c r="D16" s="324" t="s">
        <v>583</v>
      </c>
      <c r="E16" s="333"/>
    </row>
    <row r="17" spans="1:7" ht="45" x14ac:dyDescent="0.25">
      <c r="A17" s="334" t="s">
        <v>111</v>
      </c>
      <c r="B17" s="287" t="s">
        <v>133</v>
      </c>
      <c r="C17" s="325" t="s">
        <v>576</v>
      </c>
      <c r="D17" s="326" t="s">
        <v>296</v>
      </c>
      <c r="E17" s="332"/>
    </row>
    <row r="18" spans="1:7" ht="45" x14ac:dyDescent="0.25">
      <c r="A18" s="334" t="s">
        <v>112</v>
      </c>
      <c r="B18" s="287" t="s">
        <v>10</v>
      </c>
      <c r="C18" s="327" t="s">
        <v>374</v>
      </c>
      <c r="D18" s="328" t="s">
        <v>375</v>
      </c>
      <c r="E18" s="332"/>
      <c r="F18" s="229"/>
      <c r="G18" s="229"/>
    </row>
    <row r="19" spans="1:7" ht="30" x14ac:dyDescent="0.25">
      <c r="A19" s="334" t="s">
        <v>105</v>
      </c>
      <c r="B19" s="287" t="s">
        <v>10</v>
      </c>
      <c r="C19" s="247" t="s">
        <v>577</v>
      </c>
      <c r="D19" s="329" t="s">
        <v>376</v>
      </c>
      <c r="E19" s="332"/>
    </row>
    <row r="20" spans="1:7" ht="30" x14ac:dyDescent="0.25">
      <c r="A20" s="334" t="s">
        <v>318</v>
      </c>
      <c r="B20" s="287" t="s">
        <v>9</v>
      </c>
      <c r="C20" s="238" t="s">
        <v>499</v>
      </c>
      <c r="D20" s="330" t="s">
        <v>498</v>
      </c>
      <c r="E20" s="332"/>
    </row>
    <row r="21" spans="1:7" ht="30" x14ac:dyDescent="0.25">
      <c r="A21" s="334" t="s">
        <v>320</v>
      </c>
      <c r="B21" s="246" t="s">
        <v>133</v>
      </c>
      <c r="C21" s="314" t="s">
        <v>578</v>
      </c>
      <c r="D21" s="331" t="s">
        <v>500</v>
      </c>
      <c r="E21" s="332"/>
    </row>
    <row r="22" spans="1:7" ht="30" x14ac:dyDescent="0.25">
      <c r="A22" s="334" t="s">
        <v>321</v>
      </c>
      <c r="B22" s="246" t="s">
        <v>9</v>
      </c>
      <c r="C22" s="315" t="s">
        <v>579</v>
      </c>
      <c r="D22" s="339" t="s">
        <v>438</v>
      </c>
      <c r="E22" s="332"/>
    </row>
    <row r="30" spans="1:7" ht="34.5" customHeight="1" x14ac:dyDescent="0.15">
      <c r="A30" s="29" t="s">
        <v>162</v>
      </c>
      <c r="E30" s="30"/>
      <c r="F30" s="30"/>
      <c r="G30" s="30"/>
    </row>
    <row r="31" spans="1:7" ht="40.35" customHeight="1" x14ac:dyDescent="0.15">
      <c r="B31" s="355" t="s">
        <v>163</v>
      </c>
      <c r="C31" s="355"/>
      <c r="D31" s="30"/>
    </row>
    <row r="33" spans="2:2" x14ac:dyDescent="0.25">
      <c r="B33" s="32"/>
    </row>
  </sheetData>
  <mergeCells count="5">
    <mergeCell ref="C3:D3"/>
    <mergeCell ref="C4:D4"/>
    <mergeCell ref="C5:D5"/>
    <mergeCell ref="C6:D6"/>
    <mergeCell ref="B31:C31"/>
  </mergeCells>
  <phoneticPr fontId="51" type="noConversion"/>
  <pageMargins left="0.70866141732283505" right="0.70866141732283505" top="1.5748031496063" bottom="0.74803149606299202" header="0.31496062992126" footer="0.31496062992126"/>
  <pageSetup scale="6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3"/>
  <sheetViews>
    <sheetView view="pageBreakPreview" topLeftCell="A68" zoomScale="90" zoomScaleNormal="100" zoomScaleSheetLayoutView="90" workbookViewId="0">
      <selection activeCell="B21" sqref="B21"/>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378</v>
      </c>
      <c r="C7" s="45" t="s">
        <v>124</v>
      </c>
      <c r="D7" s="45" t="s">
        <v>125</v>
      </c>
    </row>
    <row r="8" spans="1:4" s="47" customFormat="1" ht="14.25" x14ac:dyDescent="0.25">
      <c r="A8" s="52" t="s">
        <v>284</v>
      </c>
      <c r="B8" s="53" t="s">
        <v>377</v>
      </c>
      <c r="C8" s="45" t="s">
        <v>124</v>
      </c>
      <c r="D8" s="45" t="s">
        <v>125</v>
      </c>
    </row>
    <row r="9" spans="1:4" s="47" customFormat="1" ht="14.25" x14ac:dyDescent="0.25">
      <c r="A9" s="295" t="s">
        <v>401</v>
      </c>
      <c r="B9" s="243" t="s">
        <v>402</v>
      </c>
      <c r="C9" s="240" t="s">
        <v>124</v>
      </c>
      <c r="D9" s="240" t="s">
        <v>125</v>
      </c>
    </row>
    <row r="10" spans="1:4" s="47" customFormat="1" ht="14.25" x14ac:dyDescent="0.25">
      <c r="A10" s="295" t="s">
        <v>404</v>
      </c>
      <c r="B10" s="243" t="s">
        <v>405</v>
      </c>
      <c r="C10" s="240" t="s">
        <v>124</v>
      </c>
      <c r="D10" s="240" t="s">
        <v>125</v>
      </c>
    </row>
    <row r="11" spans="1:4" s="47" customFormat="1" ht="14.25" x14ac:dyDescent="0.25">
      <c r="A11" s="295" t="s">
        <v>406</v>
      </c>
      <c r="B11" s="243" t="s">
        <v>408</v>
      </c>
      <c r="C11" s="240" t="s">
        <v>124</v>
      </c>
      <c r="D11" s="240" t="s">
        <v>125</v>
      </c>
    </row>
    <row r="12" spans="1:4" s="47" customFormat="1" ht="14.25" x14ac:dyDescent="0.25">
      <c r="A12" s="295" t="s">
        <v>409</v>
      </c>
      <c r="B12" s="243" t="s">
        <v>525</v>
      </c>
      <c r="C12" s="240" t="s">
        <v>124</v>
      </c>
      <c r="D12" s="240" t="s">
        <v>125</v>
      </c>
    </row>
    <row r="13" spans="1:4" s="230" customFormat="1" ht="14.25" x14ac:dyDescent="0.25">
      <c r="A13" s="54" t="s">
        <v>379</v>
      </c>
      <c r="B13" s="54"/>
      <c r="C13" s="54"/>
      <c r="D13" s="54"/>
    </row>
    <row r="14" spans="1:4" s="230" customFormat="1" ht="14.25" x14ac:dyDescent="0.25">
      <c r="A14" s="55" t="s">
        <v>138</v>
      </c>
      <c r="B14" s="55" t="s">
        <v>380</v>
      </c>
      <c r="C14" s="45" t="s">
        <v>124</v>
      </c>
      <c r="D14" s="45" t="s">
        <v>125</v>
      </c>
    </row>
    <row r="15" spans="1:4" s="230" customFormat="1" ht="14.25" x14ac:dyDescent="0.25">
      <c r="A15" s="52" t="s">
        <v>285</v>
      </c>
      <c r="B15" s="53" t="s">
        <v>286</v>
      </c>
      <c r="C15" s="45" t="s">
        <v>124</v>
      </c>
      <c r="D15" s="53" t="s">
        <v>125</v>
      </c>
    </row>
    <row r="16" spans="1:4" s="47" customFormat="1" ht="14.25" x14ac:dyDescent="0.25">
      <c r="A16" s="295" t="s">
        <v>287</v>
      </c>
      <c r="B16" s="53" t="s">
        <v>506</v>
      </c>
      <c r="C16" s="45" t="s">
        <v>124</v>
      </c>
      <c r="D16" s="53" t="s">
        <v>125</v>
      </c>
    </row>
    <row r="17" spans="1:8" s="47" customFormat="1" ht="14.25" x14ac:dyDescent="0.25">
      <c r="A17" s="295" t="s">
        <v>322</v>
      </c>
      <c r="B17" s="234" t="s">
        <v>325</v>
      </c>
      <c r="C17" s="237" t="s">
        <v>124</v>
      </c>
      <c r="D17" s="234" t="s">
        <v>125</v>
      </c>
    </row>
    <row r="18" spans="1:8" s="47" customFormat="1" ht="14.25" x14ac:dyDescent="0.25">
      <c r="A18" s="295" t="s">
        <v>323</v>
      </c>
      <c r="B18" s="294" t="s">
        <v>381</v>
      </c>
      <c r="C18" s="237" t="s">
        <v>124</v>
      </c>
      <c r="D18" s="234" t="s">
        <v>125</v>
      </c>
    </row>
    <row r="19" spans="1:8" s="47" customFormat="1" ht="14.25" x14ac:dyDescent="0.25">
      <c r="A19" s="295" t="s">
        <v>324</v>
      </c>
      <c r="B19" s="234" t="s">
        <v>382</v>
      </c>
      <c r="C19" s="237" t="s">
        <v>124</v>
      </c>
      <c r="D19" s="234" t="s">
        <v>125</v>
      </c>
    </row>
    <row r="20" spans="1:8" s="47" customFormat="1" ht="14.25" x14ac:dyDescent="0.25">
      <c r="A20" s="295" t="s">
        <v>326</v>
      </c>
      <c r="B20" s="53" t="s">
        <v>383</v>
      </c>
      <c r="C20" s="237" t="s">
        <v>124</v>
      </c>
      <c r="D20" s="53" t="s">
        <v>125</v>
      </c>
    </row>
    <row r="21" spans="1:8" s="241" customFormat="1" ht="14.25" x14ac:dyDescent="0.25">
      <c r="A21" s="295" t="s">
        <v>573</v>
      </c>
      <c r="B21" s="55" t="s">
        <v>574</v>
      </c>
      <c r="C21" s="263" t="s">
        <v>124</v>
      </c>
      <c r="D21" s="243" t="s">
        <v>125</v>
      </c>
    </row>
    <row r="22" spans="1:8" s="232" customFormat="1" ht="14.25" x14ac:dyDescent="0.25">
      <c r="A22" s="54" t="s">
        <v>12</v>
      </c>
      <c r="B22" s="54"/>
      <c r="C22" s="54"/>
      <c r="D22" s="54"/>
    </row>
    <row r="23" spans="1:8" s="232" customFormat="1" ht="14.25" x14ac:dyDescent="0.25">
      <c r="A23" s="52" t="s">
        <v>139</v>
      </c>
      <c r="B23" s="53" t="s">
        <v>123</v>
      </c>
      <c r="C23" s="45" t="s">
        <v>124</v>
      </c>
      <c r="D23" s="45" t="s">
        <v>125</v>
      </c>
    </row>
    <row r="24" spans="1:8" s="47" customFormat="1" ht="14.25" x14ac:dyDescent="0.25">
      <c r="A24" s="55" t="s">
        <v>140</v>
      </c>
      <c r="B24" s="53" t="s">
        <v>137</v>
      </c>
      <c r="C24" s="45" t="s">
        <v>124</v>
      </c>
      <c r="D24" s="45" t="s">
        <v>125</v>
      </c>
    </row>
    <row r="25" spans="1:8" s="232" customFormat="1" ht="14.25" x14ac:dyDescent="0.25">
      <c r="A25" s="52" t="s">
        <v>282</v>
      </c>
      <c r="B25" s="53" t="s">
        <v>384</v>
      </c>
      <c r="C25" s="45" t="s">
        <v>124</v>
      </c>
      <c r="D25" s="45" t="s">
        <v>125</v>
      </c>
      <c r="E25" s="241"/>
      <c r="F25" s="241"/>
      <c r="G25" s="241"/>
      <c r="H25" s="241"/>
    </row>
    <row r="26" spans="1:8" s="47" customFormat="1" ht="14.25" x14ac:dyDescent="0.25">
      <c r="A26" s="295" t="s">
        <v>327</v>
      </c>
      <c r="B26" s="234" t="s">
        <v>385</v>
      </c>
      <c r="C26" s="237" t="s">
        <v>124</v>
      </c>
      <c r="D26" s="237" t="s">
        <v>125</v>
      </c>
    </row>
    <row r="27" spans="1:8" s="47" customFormat="1" ht="14.25" x14ac:dyDescent="0.25">
      <c r="A27" s="233" t="s">
        <v>507</v>
      </c>
      <c r="B27" s="234" t="s">
        <v>508</v>
      </c>
      <c r="C27" s="263" t="s">
        <v>124</v>
      </c>
      <c r="D27" s="263" t="s">
        <v>125</v>
      </c>
    </row>
    <row r="28" spans="1:8" s="47" customFormat="1" ht="14.25" x14ac:dyDescent="0.25">
      <c r="A28" s="54" t="s">
        <v>460</v>
      </c>
      <c r="B28" s="54"/>
      <c r="C28" s="54"/>
      <c r="D28" s="54"/>
    </row>
    <row r="29" spans="1:8" s="47" customFormat="1" ht="14.25" x14ac:dyDescent="0.25">
      <c r="A29" s="242" t="s">
        <v>147</v>
      </c>
      <c r="B29" s="243" t="s">
        <v>136</v>
      </c>
      <c r="C29" s="240" t="s">
        <v>124</v>
      </c>
      <c r="D29" s="243" t="s">
        <v>125</v>
      </c>
    </row>
    <row r="30" spans="1:8" s="47" customFormat="1" ht="14.25" x14ac:dyDescent="0.25">
      <c r="A30" s="295" t="s">
        <v>328</v>
      </c>
      <c r="B30" s="234" t="s">
        <v>468</v>
      </c>
      <c r="C30" s="263" t="s">
        <v>124</v>
      </c>
      <c r="D30" s="243" t="s">
        <v>125</v>
      </c>
    </row>
    <row r="31" spans="1:8" s="47" customFormat="1" ht="14.25" x14ac:dyDescent="0.25">
      <c r="A31" s="295" t="s">
        <v>329</v>
      </c>
      <c r="B31" s="234" t="s">
        <v>386</v>
      </c>
      <c r="C31" s="263" t="s">
        <v>124</v>
      </c>
      <c r="D31" s="243" t="s">
        <v>125</v>
      </c>
    </row>
    <row r="32" spans="1:8" s="47" customFormat="1" ht="28.5" x14ac:dyDescent="0.25">
      <c r="A32" s="295" t="s">
        <v>330</v>
      </c>
      <c r="B32" s="237" t="s">
        <v>387</v>
      </c>
      <c r="C32" s="263" t="s">
        <v>124</v>
      </c>
      <c r="D32" s="243" t="s">
        <v>125</v>
      </c>
    </row>
    <row r="33" spans="1:8" s="47" customFormat="1" ht="14.25" x14ac:dyDescent="0.25">
      <c r="A33" s="295" t="s">
        <v>331</v>
      </c>
      <c r="B33" s="234" t="s">
        <v>388</v>
      </c>
      <c r="C33" s="263" t="s">
        <v>124</v>
      </c>
      <c r="D33" s="243" t="s">
        <v>125</v>
      </c>
    </row>
    <row r="34" spans="1:8" s="232" customFormat="1" ht="14.25" x14ac:dyDescent="0.25">
      <c r="A34" s="295" t="s">
        <v>332</v>
      </c>
      <c r="B34" s="234" t="s">
        <v>389</v>
      </c>
      <c r="C34" s="263" t="s">
        <v>124</v>
      </c>
      <c r="D34" s="243" t="s">
        <v>125</v>
      </c>
    </row>
    <row r="35" spans="1:8" s="232" customFormat="1" ht="28.5" x14ac:dyDescent="0.25">
      <c r="A35" s="295" t="s">
        <v>333</v>
      </c>
      <c r="B35" s="263" t="s">
        <v>390</v>
      </c>
      <c r="C35" s="263" t="s">
        <v>124</v>
      </c>
      <c r="D35" s="243" t="s">
        <v>125</v>
      </c>
    </row>
    <row r="36" spans="1:8" s="232" customFormat="1" ht="14.25" x14ac:dyDescent="0.25">
      <c r="A36" s="295" t="s">
        <v>334</v>
      </c>
      <c r="B36" s="234" t="s">
        <v>391</v>
      </c>
      <c r="C36" s="263" t="s">
        <v>124</v>
      </c>
      <c r="D36" s="243" t="s">
        <v>125</v>
      </c>
    </row>
    <row r="37" spans="1:8" s="232" customFormat="1" ht="14.25" x14ac:dyDescent="0.25">
      <c r="A37" s="295" t="s">
        <v>345</v>
      </c>
      <c r="B37" s="250" t="s">
        <v>392</v>
      </c>
      <c r="C37" s="263" t="s">
        <v>124</v>
      </c>
      <c r="D37" s="243" t="s">
        <v>125</v>
      </c>
    </row>
    <row r="38" spans="1:8" s="232" customFormat="1" ht="14.25" x14ac:dyDescent="0.25">
      <c r="A38" s="284" t="s">
        <v>336</v>
      </c>
      <c r="B38" s="250" t="s">
        <v>472</v>
      </c>
      <c r="C38" s="263" t="s">
        <v>124</v>
      </c>
      <c r="D38" s="243" t="s">
        <v>125</v>
      </c>
    </row>
    <row r="39" spans="1:8" s="232" customFormat="1" ht="14.25" x14ac:dyDescent="0.25">
      <c r="A39" s="249" t="s">
        <v>335</v>
      </c>
      <c r="B39" s="251"/>
      <c r="C39" s="251"/>
      <c r="D39" s="251"/>
    </row>
    <row r="40" spans="1:8" s="232" customFormat="1" ht="14.25" x14ac:dyDescent="0.25">
      <c r="A40" s="248" t="s">
        <v>337</v>
      </c>
      <c r="B40" s="250" t="s">
        <v>501</v>
      </c>
      <c r="C40" s="263" t="s">
        <v>124</v>
      </c>
      <c r="D40" s="243" t="s">
        <v>125</v>
      </c>
    </row>
    <row r="41" spans="1:8" s="47" customFormat="1" ht="14.25" x14ac:dyDescent="0.25">
      <c r="A41" s="248" t="s">
        <v>338</v>
      </c>
      <c r="B41" s="250" t="s">
        <v>393</v>
      </c>
      <c r="C41" s="263" t="s">
        <v>124</v>
      </c>
      <c r="D41" s="243" t="s">
        <v>125</v>
      </c>
    </row>
    <row r="42" spans="1:8" s="47" customFormat="1" ht="14.25" x14ac:dyDescent="0.15">
      <c r="A42" s="248" t="s">
        <v>339</v>
      </c>
      <c r="B42" s="250" t="s">
        <v>394</v>
      </c>
      <c r="C42" s="263" t="s">
        <v>124</v>
      </c>
      <c r="D42" s="243" t="s">
        <v>125</v>
      </c>
      <c r="E42" s="30"/>
      <c r="F42" s="30"/>
      <c r="G42" s="30"/>
      <c r="H42" s="30"/>
    </row>
    <row r="43" spans="1:8" s="47" customFormat="1" ht="14.25" x14ac:dyDescent="0.25">
      <c r="A43" s="248" t="s">
        <v>471</v>
      </c>
      <c r="B43" s="250" t="s">
        <v>340</v>
      </c>
      <c r="C43" s="263" t="s">
        <v>124</v>
      </c>
      <c r="D43" s="243" t="s">
        <v>125</v>
      </c>
    </row>
    <row r="44" spans="1:8" x14ac:dyDescent="0.25">
      <c r="A44" s="248"/>
      <c r="B44" s="250"/>
      <c r="C44" s="250"/>
      <c r="D44" s="250"/>
    </row>
    <row r="45" spans="1:8" x14ac:dyDescent="0.25">
      <c r="A45" s="249" t="s">
        <v>458</v>
      </c>
      <c r="B45" s="251"/>
      <c r="C45" s="251"/>
      <c r="D45" s="251"/>
    </row>
    <row r="46" spans="1:8" x14ac:dyDescent="0.25">
      <c r="A46" s="296" t="s">
        <v>412</v>
      </c>
      <c r="B46" s="250" t="s">
        <v>411</v>
      </c>
      <c r="C46" s="263" t="s">
        <v>124</v>
      </c>
      <c r="D46" s="243" t="s">
        <v>125</v>
      </c>
    </row>
    <row r="47" spans="1:8" x14ac:dyDescent="0.25">
      <c r="A47" s="284" t="s">
        <v>413</v>
      </c>
      <c r="B47" s="250" t="s">
        <v>437</v>
      </c>
      <c r="C47" s="263" t="s">
        <v>124</v>
      </c>
      <c r="D47" s="243" t="s">
        <v>125</v>
      </c>
    </row>
    <row r="48" spans="1:8" x14ac:dyDescent="0.25">
      <c r="A48" s="284" t="s">
        <v>414</v>
      </c>
      <c r="B48" s="250" t="s">
        <v>459</v>
      </c>
      <c r="C48" s="263" t="s">
        <v>124</v>
      </c>
      <c r="D48" s="243" t="s">
        <v>125</v>
      </c>
    </row>
    <row r="49" spans="1:4" x14ac:dyDescent="0.25">
      <c r="A49" s="284" t="s">
        <v>417</v>
      </c>
      <c r="B49" s="250" t="s">
        <v>415</v>
      </c>
      <c r="C49" s="263" t="s">
        <v>124</v>
      </c>
      <c r="D49" s="243" t="s">
        <v>125</v>
      </c>
    </row>
    <row r="50" spans="1:4" x14ac:dyDescent="0.25">
      <c r="A50" s="284" t="s">
        <v>421</v>
      </c>
      <c r="B50" s="252" t="s">
        <v>416</v>
      </c>
      <c r="C50" s="263" t="s">
        <v>124</v>
      </c>
      <c r="D50" s="243" t="s">
        <v>125</v>
      </c>
    </row>
    <row r="51" spans="1:4" x14ac:dyDescent="0.25">
      <c r="A51" s="284" t="s">
        <v>418</v>
      </c>
      <c r="B51" s="250" t="s">
        <v>526</v>
      </c>
      <c r="C51" s="263" t="s">
        <v>124</v>
      </c>
      <c r="D51" s="243" t="s">
        <v>125</v>
      </c>
    </row>
    <row r="52" spans="1:4" ht="28.5" x14ac:dyDescent="0.25">
      <c r="A52" s="284" t="s">
        <v>420</v>
      </c>
      <c r="B52" s="244" t="s">
        <v>422</v>
      </c>
      <c r="C52" s="263" t="s">
        <v>124</v>
      </c>
      <c r="D52" s="243" t="s">
        <v>125</v>
      </c>
    </row>
    <row r="53" spans="1:4" x14ac:dyDescent="0.25">
      <c r="A53" s="284" t="s">
        <v>425</v>
      </c>
      <c r="B53" s="250" t="s">
        <v>426</v>
      </c>
      <c r="C53" s="263" t="s">
        <v>124</v>
      </c>
      <c r="D53" s="243" t="s">
        <v>125</v>
      </c>
    </row>
    <row r="54" spans="1:4" x14ac:dyDescent="0.25">
      <c r="A54" s="248"/>
      <c r="B54" s="250"/>
      <c r="C54" s="250"/>
      <c r="D54" s="250"/>
    </row>
    <row r="55" spans="1:4" x14ac:dyDescent="0.25">
      <c r="A55" s="249" t="s">
        <v>427</v>
      </c>
      <c r="B55" s="251"/>
      <c r="C55" s="251"/>
      <c r="D55" s="251"/>
    </row>
    <row r="56" spans="1:4" x14ac:dyDescent="0.25">
      <c r="A56" s="284" t="s">
        <v>428</v>
      </c>
      <c r="B56" s="250" t="s">
        <v>415</v>
      </c>
      <c r="C56" s="263" t="s">
        <v>169</v>
      </c>
      <c r="D56" s="243" t="s">
        <v>125</v>
      </c>
    </row>
    <row r="57" spans="1:4" x14ac:dyDescent="0.25">
      <c r="A57" s="284" t="s">
        <v>429</v>
      </c>
      <c r="B57" s="252" t="s">
        <v>416</v>
      </c>
      <c r="C57" s="263" t="s">
        <v>169</v>
      </c>
      <c r="D57" s="243" t="s">
        <v>125</v>
      </c>
    </row>
    <row r="58" spans="1:4" x14ac:dyDescent="0.25">
      <c r="A58" s="284" t="s">
        <v>430</v>
      </c>
      <c r="B58" s="250" t="s">
        <v>419</v>
      </c>
      <c r="C58" s="263" t="s">
        <v>169</v>
      </c>
      <c r="D58" s="243" t="s">
        <v>125</v>
      </c>
    </row>
    <row r="59" spans="1:4" x14ac:dyDescent="0.25">
      <c r="A59" s="284" t="s">
        <v>431</v>
      </c>
      <c r="B59" s="250" t="s">
        <v>422</v>
      </c>
      <c r="C59" s="263" t="s">
        <v>169</v>
      </c>
      <c r="D59" s="243" t="s">
        <v>125</v>
      </c>
    </row>
    <row r="60" spans="1:4" x14ac:dyDescent="0.25">
      <c r="A60" s="284" t="s">
        <v>432</v>
      </c>
      <c r="B60" s="250" t="s">
        <v>426</v>
      </c>
      <c r="C60" s="263" t="s">
        <v>169</v>
      </c>
      <c r="D60" s="243" t="s">
        <v>125</v>
      </c>
    </row>
    <row r="61" spans="1:4" x14ac:dyDescent="0.25">
      <c r="A61" s="284" t="s">
        <v>434</v>
      </c>
      <c r="B61" s="250" t="s">
        <v>433</v>
      </c>
      <c r="C61" s="263" t="s">
        <v>169</v>
      </c>
      <c r="D61" s="243" t="s">
        <v>125</v>
      </c>
    </row>
    <row r="62" spans="1:4" x14ac:dyDescent="0.25">
      <c r="A62" s="295" t="s">
        <v>456</v>
      </c>
      <c r="B62" s="243" t="s">
        <v>457</v>
      </c>
      <c r="C62" s="263" t="s">
        <v>169</v>
      </c>
      <c r="D62" s="243" t="s">
        <v>125</v>
      </c>
    </row>
    <row r="63" spans="1:4" x14ac:dyDescent="0.25">
      <c r="A63" s="284"/>
      <c r="B63" s="250"/>
      <c r="C63" s="244"/>
      <c r="D63" s="250"/>
    </row>
    <row r="64" spans="1:4" x14ac:dyDescent="0.25">
      <c r="A64" s="291" t="s">
        <v>461</v>
      </c>
      <c r="B64" s="292"/>
      <c r="C64" s="292"/>
      <c r="D64" s="292"/>
    </row>
    <row r="65" spans="1:4" ht="28.5" x14ac:dyDescent="0.25">
      <c r="A65" s="297" t="s">
        <v>465</v>
      </c>
      <c r="B65" s="293" t="s">
        <v>462</v>
      </c>
      <c r="C65" s="263" t="s">
        <v>169</v>
      </c>
      <c r="D65" s="263" t="s">
        <v>496</v>
      </c>
    </row>
    <row r="66" spans="1:4" ht="28.5" x14ac:dyDescent="0.25">
      <c r="A66" s="297" t="s">
        <v>466</v>
      </c>
      <c r="B66" s="293" t="s">
        <v>463</v>
      </c>
      <c r="C66" s="263" t="s">
        <v>169</v>
      </c>
      <c r="D66" s="263" t="s">
        <v>496</v>
      </c>
    </row>
    <row r="67" spans="1:4" ht="28.5" x14ac:dyDescent="0.25">
      <c r="A67" s="297" t="s">
        <v>467</v>
      </c>
      <c r="B67" s="293" t="s">
        <v>464</v>
      </c>
      <c r="C67" s="263" t="s">
        <v>169</v>
      </c>
      <c r="D67" s="263" t="s">
        <v>496</v>
      </c>
    </row>
    <row r="68" spans="1:4" x14ac:dyDescent="0.25">
      <c r="A68" s="305" t="s">
        <v>544</v>
      </c>
      <c r="B68" s="306"/>
      <c r="C68" s="306"/>
      <c r="D68" s="306"/>
    </row>
    <row r="69" spans="1:4" x14ac:dyDescent="0.25">
      <c r="A69" s="307" t="s">
        <v>510</v>
      </c>
      <c r="B69" s="252" t="s">
        <v>512</v>
      </c>
      <c r="C69" s="252" t="s">
        <v>124</v>
      </c>
      <c r="D69" s="263" t="s">
        <v>125</v>
      </c>
    </row>
    <row r="70" spans="1:4" x14ac:dyDescent="0.25">
      <c r="A70" s="307" t="s">
        <v>511</v>
      </c>
      <c r="B70" s="252" t="s">
        <v>559</v>
      </c>
      <c r="C70" s="252" t="s">
        <v>124</v>
      </c>
      <c r="D70" s="263" t="s">
        <v>125</v>
      </c>
    </row>
    <row r="71" spans="1:4" x14ac:dyDescent="0.25">
      <c r="A71" s="307" t="s">
        <v>513</v>
      </c>
      <c r="B71" s="252" t="s">
        <v>516</v>
      </c>
      <c r="C71" s="252" t="s">
        <v>124</v>
      </c>
      <c r="D71" s="263" t="s">
        <v>125</v>
      </c>
    </row>
    <row r="72" spans="1:4" x14ac:dyDescent="0.25">
      <c r="A72" s="307" t="s">
        <v>514</v>
      </c>
      <c r="B72" s="252" t="s">
        <v>521</v>
      </c>
      <c r="C72" s="252" t="s">
        <v>124</v>
      </c>
      <c r="D72" s="263" t="s">
        <v>125</v>
      </c>
    </row>
    <row r="73" spans="1:4" x14ac:dyDescent="0.25">
      <c r="A73" s="307" t="s">
        <v>515</v>
      </c>
      <c r="B73" s="252" t="s">
        <v>517</v>
      </c>
      <c r="C73" s="252" t="s">
        <v>124</v>
      </c>
      <c r="D73" s="263" t="s">
        <v>125</v>
      </c>
    </row>
    <row r="74" spans="1:4" x14ac:dyDescent="0.25">
      <c r="A74" s="307" t="s">
        <v>518</v>
      </c>
      <c r="B74" s="252" t="s">
        <v>545</v>
      </c>
      <c r="C74" s="252" t="s">
        <v>124</v>
      </c>
      <c r="D74" s="263" t="s">
        <v>125</v>
      </c>
    </row>
    <row r="75" spans="1:4" x14ac:dyDescent="0.25">
      <c r="A75" s="307" t="s">
        <v>519</v>
      </c>
      <c r="B75" s="252" t="s">
        <v>546</v>
      </c>
      <c r="C75" s="252" t="s">
        <v>124</v>
      </c>
      <c r="D75" s="263" t="s">
        <v>125</v>
      </c>
    </row>
    <row r="76" spans="1:4" x14ac:dyDescent="0.25">
      <c r="A76" s="307" t="s">
        <v>520</v>
      </c>
      <c r="B76" s="252" t="s">
        <v>547</v>
      </c>
      <c r="C76" s="252" t="s">
        <v>124</v>
      </c>
      <c r="D76" s="263" t="s">
        <v>125</v>
      </c>
    </row>
    <row r="77" spans="1:4" x14ac:dyDescent="0.25">
      <c r="A77" s="307" t="s">
        <v>522</v>
      </c>
      <c r="B77" s="252" t="s">
        <v>523</v>
      </c>
      <c r="C77" s="252" t="s">
        <v>124</v>
      </c>
      <c r="D77" s="263" t="s">
        <v>125</v>
      </c>
    </row>
    <row r="78" spans="1:4" ht="28.5" x14ac:dyDescent="0.25">
      <c r="A78" s="307" t="s">
        <v>524</v>
      </c>
      <c r="B78" s="245" t="s">
        <v>548</v>
      </c>
      <c r="C78" s="252" t="s">
        <v>124</v>
      </c>
      <c r="D78" s="263" t="s">
        <v>125</v>
      </c>
    </row>
    <row r="81" spans="1:4" x14ac:dyDescent="0.25">
      <c r="A81" s="303"/>
      <c r="B81" s="303"/>
      <c r="C81" s="304"/>
      <c r="D81" s="304"/>
    </row>
    <row r="82" spans="1:4" x14ac:dyDescent="0.15">
      <c r="A82" s="29" t="s">
        <v>162</v>
      </c>
      <c r="B82" s="47"/>
      <c r="C82" s="47"/>
    </row>
    <row r="83" spans="1:4" ht="42" x14ac:dyDescent="0.15">
      <c r="A83" s="47"/>
      <c r="B83" s="30" t="s">
        <v>163</v>
      </c>
      <c r="C83"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C29:C38 C56:C63 C5:C12 C46:C53 C40:C43 C23:C27 C14:C21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topLeftCell="A23" zoomScale="80" zoomScaleNormal="100" zoomScaleSheetLayoutView="80" workbookViewId="0">
      <selection activeCell="B27" sqref="B27"/>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395</v>
      </c>
      <c r="C4" s="61" t="s">
        <v>479</v>
      </c>
      <c r="D4" s="62" t="s">
        <v>218</v>
      </c>
      <c r="E4" s="63" t="s">
        <v>124</v>
      </c>
      <c r="F4" s="65" t="s">
        <v>125</v>
      </c>
    </row>
    <row r="5" spans="1:7" s="47" customFormat="1" ht="114" x14ac:dyDescent="0.25">
      <c r="A5" s="59" t="s">
        <v>119</v>
      </c>
      <c r="B5" s="60" t="s">
        <v>396</v>
      </c>
      <c r="C5" s="61" t="s">
        <v>480</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481</v>
      </c>
      <c r="D7" s="62" t="s">
        <v>153</v>
      </c>
      <c r="E7" s="225" t="s">
        <v>169</v>
      </c>
      <c r="F7" s="226" t="s">
        <v>482</v>
      </c>
    </row>
    <row r="8" spans="1:7" s="47" customFormat="1" ht="28.5" x14ac:dyDescent="0.25">
      <c r="A8" s="59" t="s">
        <v>122</v>
      </c>
      <c r="B8" s="68" t="s">
        <v>135</v>
      </c>
      <c r="C8" s="68" t="s">
        <v>483</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484</v>
      </c>
      <c r="D11" s="62" t="s">
        <v>228</v>
      </c>
      <c r="E11" s="63" t="s">
        <v>124</v>
      </c>
      <c r="F11" s="65" t="s">
        <v>125</v>
      </c>
    </row>
    <row r="12" spans="1:7" s="47" customFormat="1" ht="57" x14ac:dyDescent="0.25">
      <c r="A12" s="285" t="s">
        <v>229</v>
      </c>
      <c r="B12" s="264" t="s">
        <v>230</v>
      </c>
      <c r="C12" s="32" t="s">
        <v>231</v>
      </c>
      <c r="D12" s="289"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3" t="s">
        <v>397</v>
      </c>
      <c r="C14" s="263" t="s">
        <v>485</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486</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487</v>
      </c>
      <c r="D20" s="44" t="s">
        <v>156</v>
      </c>
      <c r="E20" s="63" t="s">
        <v>124</v>
      </c>
      <c r="F20" s="65" t="s">
        <v>125</v>
      </c>
    </row>
    <row r="21" spans="1:6" s="47" customFormat="1" ht="99.75" x14ac:dyDescent="0.25">
      <c r="A21" s="285" t="s">
        <v>257</v>
      </c>
      <c r="B21" s="264" t="s">
        <v>258</v>
      </c>
      <c r="C21" s="32" t="s">
        <v>259</v>
      </c>
      <c r="D21" s="289" t="s">
        <v>232</v>
      </c>
      <c r="E21" s="63" t="s">
        <v>169</v>
      </c>
      <c r="F21" s="46" t="s">
        <v>488</v>
      </c>
    </row>
    <row r="22" spans="1:6" s="47" customFormat="1" ht="71.25" x14ac:dyDescent="0.25">
      <c r="A22" s="199" t="s">
        <v>260</v>
      </c>
      <c r="B22" s="264" t="s">
        <v>261</v>
      </c>
      <c r="C22" s="264" t="s">
        <v>489</v>
      </c>
      <c r="D22" s="289" t="s">
        <v>153</v>
      </c>
      <c r="E22" s="63" t="s">
        <v>169</v>
      </c>
      <c r="F22" s="46" t="s">
        <v>262</v>
      </c>
    </row>
    <row r="23" spans="1:6" s="47" customFormat="1" ht="85.5" x14ac:dyDescent="0.25">
      <c r="A23" s="285" t="s">
        <v>263</v>
      </c>
      <c r="B23" s="264" t="s">
        <v>264</v>
      </c>
      <c r="C23" s="32" t="s">
        <v>265</v>
      </c>
      <c r="D23" s="289" t="s">
        <v>232</v>
      </c>
      <c r="E23" s="63" t="s">
        <v>169</v>
      </c>
      <c r="F23" s="46" t="s">
        <v>262</v>
      </c>
    </row>
    <row r="24" spans="1:6" s="47" customFormat="1" ht="28.5" x14ac:dyDescent="0.25">
      <c r="A24" s="199" t="s">
        <v>266</v>
      </c>
      <c r="B24" s="264" t="s">
        <v>267</v>
      </c>
      <c r="C24" s="32" t="s">
        <v>268</v>
      </c>
      <c r="D24" s="289" t="s">
        <v>269</v>
      </c>
      <c r="E24" s="63" t="s">
        <v>124</v>
      </c>
      <c r="F24" s="46" t="s">
        <v>125</v>
      </c>
    </row>
    <row r="25" spans="1:6" s="47" customFormat="1" ht="57" x14ac:dyDescent="0.25">
      <c r="A25" s="199" t="s">
        <v>270</v>
      </c>
      <c r="B25" s="263" t="s">
        <v>271</v>
      </c>
      <c r="C25" s="263" t="s">
        <v>272</v>
      </c>
      <c r="D25" s="289" t="s">
        <v>232</v>
      </c>
      <c r="E25" s="63" t="s">
        <v>169</v>
      </c>
      <c r="F25" s="46" t="s">
        <v>273</v>
      </c>
    </row>
    <row r="26" spans="1:6" s="47" customFormat="1" ht="57" x14ac:dyDescent="0.25">
      <c r="A26" s="59" t="s">
        <v>274</v>
      </c>
      <c r="B26" s="60" t="s">
        <v>275</v>
      </c>
      <c r="C26" s="263" t="s">
        <v>490</v>
      </c>
      <c r="D26" s="289" t="s">
        <v>232</v>
      </c>
      <c r="E26" s="225" t="s">
        <v>169</v>
      </c>
      <c r="F26" s="290" t="s">
        <v>491</v>
      </c>
    </row>
    <row r="27" spans="1:6" s="47" customFormat="1" ht="42.75" x14ac:dyDescent="0.25">
      <c r="A27" s="67" t="s">
        <v>276</v>
      </c>
      <c r="B27" s="60" t="s">
        <v>277</v>
      </c>
      <c r="C27" s="263" t="s">
        <v>278</v>
      </c>
      <c r="D27" s="289" t="s">
        <v>232</v>
      </c>
      <c r="E27" s="63" t="s">
        <v>124</v>
      </c>
      <c r="F27" s="46" t="s">
        <v>125</v>
      </c>
    </row>
    <row r="28" spans="1:6" s="47" customFormat="1" ht="42.75" x14ac:dyDescent="0.25">
      <c r="A28" s="67" t="s">
        <v>279</v>
      </c>
      <c r="B28" s="60" t="s">
        <v>280</v>
      </c>
      <c r="C28" s="263" t="s">
        <v>281</v>
      </c>
      <c r="D28" s="289" t="s">
        <v>232</v>
      </c>
      <c r="E28" s="63" t="s">
        <v>169</v>
      </c>
      <c r="F28" s="46" t="s">
        <v>492</v>
      </c>
    </row>
    <row r="29" spans="1:6" s="232" customFormat="1" ht="28.5" x14ac:dyDescent="0.25">
      <c r="A29" s="298" t="s">
        <v>341</v>
      </c>
      <c r="B29" s="239" t="s">
        <v>400</v>
      </c>
      <c r="C29" s="264" t="s">
        <v>342</v>
      </c>
      <c r="D29" s="289" t="s">
        <v>232</v>
      </c>
      <c r="E29" s="236" t="s">
        <v>124</v>
      </c>
      <c r="F29" s="46" t="s">
        <v>125</v>
      </c>
    </row>
    <row r="30" spans="1:6" s="232" customFormat="1" ht="28.5" x14ac:dyDescent="0.25">
      <c r="A30" s="298" t="s">
        <v>346</v>
      </c>
      <c r="B30" s="239" t="s">
        <v>347</v>
      </c>
      <c r="C30" s="264" t="s">
        <v>348</v>
      </c>
      <c r="D30" s="289" t="s">
        <v>232</v>
      </c>
      <c r="E30" s="236" t="s">
        <v>124</v>
      </c>
      <c r="F30" s="46" t="s">
        <v>125</v>
      </c>
    </row>
    <row r="31" spans="1:6" s="241" customFormat="1" ht="28.5" x14ac:dyDescent="0.25">
      <c r="A31" s="67" t="s">
        <v>349</v>
      </c>
      <c r="B31" s="60" t="s">
        <v>502</v>
      </c>
      <c r="C31" s="263" t="s">
        <v>350</v>
      </c>
      <c r="D31" s="289" t="s">
        <v>232</v>
      </c>
      <c r="E31" s="236" t="s">
        <v>124</v>
      </c>
      <c r="F31" s="46" t="s">
        <v>125</v>
      </c>
    </row>
    <row r="32" spans="1:6" s="241" customFormat="1" ht="28.5" x14ac:dyDescent="0.25">
      <c r="A32" s="67" t="s">
        <v>351</v>
      </c>
      <c r="B32" s="60" t="s">
        <v>398</v>
      </c>
      <c r="C32" s="263" t="s">
        <v>352</v>
      </c>
      <c r="D32" s="289" t="s">
        <v>232</v>
      </c>
      <c r="E32" s="236" t="s">
        <v>124</v>
      </c>
      <c r="F32" s="46" t="s">
        <v>125</v>
      </c>
    </row>
    <row r="33" spans="1:6" s="241" customFormat="1" ht="42.75" x14ac:dyDescent="0.25">
      <c r="A33" s="67" t="s">
        <v>353</v>
      </c>
      <c r="B33" s="60" t="s">
        <v>399</v>
      </c>
      <c r="C33" s="263" t="s">
        <v>354</v>
      </c>
      <c r="D33" s="289" t="s">
        <v>232</v>
      </c>
      <c r="E33" s="236" t="s">
        <v>124</v>
      </c>
      <c r="F33" s="46" t="s">
        <v>125</v>
      </c>
    </row>
    <row r="34" spans="1:6" s="241" customFormat="1" ht="28.5" x14ac:dyDescent="0.25">
      <c r="A34" s="67" t="s">
        <v>355</v>
      </c>
      <c r="B34" s="60" t="s">
        <v>356</v>
      </c>
      <c r="C34" s="263" t="s">
        <v>357</v>
      </c>
      <c r="D34" s="289" t="s">
        <v>232</v>
      </c>
      <c r="E34" s="236" t="s">
        <v>124</v>
      </c>
      <c r="F34" s="46" t="s">
        <v>125</v>
      </c>
    </row>
    <row r="35" spans="1:6" s="241" customFormat="1" ht="28.5" x14ac:dyDescent="0.25">
      <c r="A35" s="67" t="s">
        <v>358</v>
      </c>
      <c r="B35" s="60" t="s">
        <v>359</v>
      </c>
      <c r="C35" s="263" t="s">
        <v>360</v>
      </c>
      <c r="D35" s="289" t="s">
        <v>232</v>
      </c>
      <c r="E35" s="236" t="s">
        <v>124</v>
      </c>
      <c r="F35" s="46" t="s">
        <v>125</v>
      </c>
    </row>
    <row r="36" spans="1:6" s="241" customFormat="1" ht="28.5" x14ac:dyDescent="0.25">
      <c r="A36" s="67" t="s">
        <v>361</v>
      </c>
      <c r="B36" s="60" t="s">
        <v>448</v>
      </c>
      <c r="C36" s="263" t="s">
        <v>403</v>
      </c>
      <c r="D36" s="289" t="s">
        <v>232</v>
      </c>
      <c r="E36" s="236" t="s">
        <v>124</v>
      </c>
      <c r="F36" s="46" t="s">
        <v>125</v>
      </c>
    </row>
    <row r="37" spans="1:6" s="241" customFormat="1" ht="28.5" x14ac:dyDescent="0.25">
      <c r="A37" s="67" t="s">
        <v>362</v>
      </c>
      <c r="B37" s="60" t="s">
        <v>407</v>
      </c>
      <c r="C37" s="263" t="s">
        <v>363</v>
      </c>
      <c r="D37" s="289" t="s">
        <v>232</v>
      </c>
      <c r="E37" s="236" t="s">
        <v>124</v>
      </c>
      <c r="F37" s="46" t="s">
        <v>125</v>
      </c>
    </row>
    <row r="38" spans="1:6" s="241" customFormat="1" ht="28.5" x14ac:dyDescent="0.25">
      <c r="A38" s="67" t="s">
        <v>364</v>
      </c>
      <c r="B38" s="60" t="s">
        <v>504</v>
      </c>
      <c r="C38" s="263" t="s">
        <v>505</v>
      </c>
      <c r="D38" s="62" t="s">
        <v>218</v>
      </c>
      <c r="E38" s="236" t="s">
        <v>124</v>
      </c>
      <c r="F38" s="46" t="s">
        <v>125</v>
      </c>
    </row>
    <row r="39" spans="1:6" s="241" customFormat="1" ht="28.5" x14ac:dyDescent="0.25">
      <c r="A39" s="67" t="s">
        <v>365</v>
      </c>
      <c r="B39" s="60" t="s">
        <v>503</v>
      </c>
      <c r="C39" s="263" t="s">
        <v>367</v>
      </c>
      <c r="D39" s="289" t="s">
        <v>232</v>
      </c>
      <c r="E39" s="236" t="s">
        <v>124</v>
      </c>
      <c r="F39" s="46" t="s">
        <v>125</v>
      </c>
    </row>
    <row r="40" spans="1:6" s="241" customFormat="1" ht="28.5" x14ac:dyDescent="0.25">
      <c r="A40" s="67" t="s">
        <v>366</v>
      </c>
      <c r="B40" s="60" t="s">
        <v>369</v>
      </c>
      <c r="C40" s="263" t="s">
        <v>370</v>
      </c>
      <c r="D40" s="289" t="s">
        <v>232</v>
      </c>
      <c r="E40" s="236" t="s">
        <v>124</v>
      </c>
      <c r="F40" s="46" t="s">
        <v>125</v>
      </c>
    </row>
    <row r="41" spans="1:6" s="241" customFormat="1" ht="28.5" x14ac:dyDescent="0.25">
      <c r="A41" s="298" t="s">
        <v>368</v>
      </c>
      <c r="B41" s="239" t="s">
        <v>371</v>
      </c>
      <c r="C41" s="264" t="s">
        <v>372</v>
      </c>
      <c r="D41" s="289" t="s">
        <v>232</v>
      </c>
      <c r="E41" s="236" t="s">
        <v>124</v>
      </c>
      <c r="F41" s="46" t="s">
        <v>125</v>
      </c>
    </row>
    <row r="42" spans="1:6" ht="28.5" customHeight="1" x14ac:dyDescent="0.25">
      <c r="A42" s="299" t="s">
        <v>373</v>
      </c>
      <c r="B42" s="263" t="s">
        <v>410</v>
      </c>
      <c r="C42" s="263" t="s">
        <v>439</v>
      </c>
      <c r="D42" s="289" t="s">
        <v>232</v>
      </c>
      <c r="E42" s="236" t="s">
        <v>124</v>
      </c>
      <c r="F42" s="46" t="s">
        <v>125</v>
      </c>
    </row>
    <row r="43" spans="1:6" s="47" customFormat="1" ht="42.75" x14ac:dyDescent="0.25">
      <c r="A43" s="67" t="s">
        <v>424</v>
      </c>
      <c r="B43" s="60" t="s">
        <v>423</v>
      </c>
      <c r="C43" s="263" t="s">
        <v>440</v>
      </c>
      <c r="D43" s="289" t="s">
        <v>232</v>
      </c>
      <c r="E43" s="236" t="s">
        <v>124</v>
      </c>
      <c r="F43" s="46" t="s">
        <v>125</v>
      </c>
    </row>
    <row r="44" spans="1:6" s="47" customFormat="1" ht="42.75" x14ac:dyDescent="0.25">
      <c r="A44" s="67" t="s">
        <v>435</v>
      </c>
      <c r="B44" s="60" t="s">
        <v>436</v>
      </c>
      <c r="C44" s="263" t="s">
        <v>441</v>
      </c>
      <c r="D44" s="289" t="s">
        <v>232</v>
      </c>
      <c r="E44" s="236" t="s">
        <v>169</v>
      </c>
      <c r="F44" s="46" t="s">
        <v>125</v>
      </c>
    </row>
    <row r="45" spans="1:6" s="47" customFormat="1" ht="42.75" x14ac:dyDescent="0.25">
      <c r="A45" s="298" t="s">
        <v>469</v>
      </c>
      <c r="B45" s="239" t="s">
        <v>470</v>
      </c>
      <c r="C45" s="264" t="s">
        <v>474</v>
      </c>
      <c r="D45" s="289" t="s">
        <v>232</v>
      </c>
      <c r="E45" s="236" t="s">
        <v>124</v>
      </c>
      <c r="F45" s="46" t="s">
        <v>125</v>
      </c>
    </row>
    <row r="46" spans="1:6" ht="28.5" x14ac:dyDescent="0.25">
      <c r="A46" s="308" t="s">
        <v>527</v>
      </c>
      <c r="B46" s="239" t="s">
        <v>528</v>
      </c>
      <c r="C46" s="264" t="s">
        <v>543</v>
      </c>
      <c r="D46" s="289" t="s">
        <v>232</v>
      </c>
      <c r="E46" s="236" t="s">
        <v>124</v>
      </c>
      <c r="F46" s="46" t="s">
        <v>125</v>
      </c>
    </row>
    <row r="47" spans="1:6" ht="42.75" x14ac:dyDescent="0.25">
      <c r="A47" s="308" t="s">
        <v>532</v>
      </c>
      <c r="B47" s="239" t="s">
        <v>529</v>
      </c>
      <c r="C47" s="264" t="s">
        <v>564</v>
      </c>
      <c r="D47" s="289" t="s">
        <v>232</v>
      </c>
      <c r="E47" s="236" t="s">
        <v>124</v>
      </c>
      <c r="F47" s="46" t="s">
        <v>125</v>
      </c>
    </row>
    <row r="48" spans="1:6" s="47" customFormat="1" ht="42.75" x14ac:dyDescent="0.25">
      <c r="A48" s="308" t="s">
        <v>533</v>
      </c>
      <c r="B48" s="239" t="s">
        <v>551</v>
      </c>
      <c r="C48" s="264" t="s">
        <v>566</v>
      </c>
      <c r="D48" s="289" t="s">
        <v>232</v>
      </c>
      <c r="E48" s="236" t="s">
        <v>124</v>
      </c>
      <c r="F48" s="46" t="s">
        <v>125</v>
      </c>
    </row>
    <row r="49" spans="1:6" s="47" customFormat="1" ht="28.5" x14ac:dyDescent="0.25">
      <c r="A49" s="308" t="s">
        <v>534</v>
      </c>
      <c r="B49" s="239" t="s">
        <v>530</v>
      </c>
      <c r="C49" s="264" t="s">
        <v>568</v>
      </c>
      <c r="D49" s="289" t="s">
        <v>232</v>
      </c>
      <c r="E49" s="236" t="s">
        <v>124</v>
      </c>
      <c r="F49" s="46" t="s">
        <v>125</v>
      </c>
    </row>
    <row r="50" spans="1:6" s="241" customFormat="1" ht="28.5" x14ac:dyDescent="0.25">
      <c r="A50" s="308" t="s">
        <v>535</v>
      </c>
      <c r="B50" s="239" t="s">
        <v>549</v>
      </c>
      <c r="C50" s="264" t="s">
        <v>570</v>
      </c>
      <c r="D50" s="289" t="s">
        <v>232</v>
      </c>
      <c r="E50" s="236" t="s">
        <v>124</v>
      </c>
      <c r="F50" s="46" t="s">
        <v>125</v>
      </c>
    </row>
    <row r="51" spans="1:6" s="241" customFormat="1" ht="28.5" x14ac:dyDescent="0.25">
      <c r="A51" s="308" t="s">
        <v>536</v>
      </c>
      <c r="B51" s="239" t="s">
        <v>550</v>
      </c>
      <c r="C51" s="264" t="s">
        <v>569</v>
      </c>
      <c r="D51" s="289" t="s">
        <v>232</v>
      </c>
      <c r="E51" s="236" t="s">
        <v>124</v>
      </c>
      <c r="F51" s="46" t="s">
        <v>125</v>
      </c>
    </row>
    <row r="52" spans="1:6" s="241" customFormat="1" ht="14.25" x14ac:dyDescent="0.25">
      <c r="A52" s="308" t="s">
        <v>537</v>
      </c>
      <c r="B52" s="60" t="s">
        <v>552</v>
      </c>
      <c r="C52" s="243" t="s">
        <v>571</v>
      </c>
      <c r="D52" s="289" t="s">
        <v>232</v>
      </c>
      <c r="E52" s="236" t="s">
        <v>124</v>
      </c>
      <c r="F52" s="46" t="s">
        <v>125</v>
      </c>
    </row>
    <row r="53" spans="1:6" s="241" customFormat="1" ht="28.5" x14ac:dyDescent="0.25">
      <c r="A53" s="308" t="s">
        <v>538</v>
      </c>
      <c r="B53" s="60" t="s">
        <v>553</v>
      </c>
      <c r="C53" s="263" t="s">
        <v>567</v>
      </c>
      <c r="D53" s="289" t="s">
        <v>232</v>
      </c>
      <c r="E53" s="236" t="s">
        <v>124</v>
      </c>
      <c r="F53" s="46" t="s">
        <v>125</v>
      </c>
    </row>
    <row r="54" spans="1:6" s="241" customFormat="1" ht="242.25" x14ac:dyDescent="0.25">
      <c r="A54" s="308" t="s">
        <v>539</v>
      </c>
      <c r="B54" s="60" t="s">
        <v>531</v>
      </c>
      <c r="C54" s="263" t="s">
        <v>541</v>
      </c>
      <c r="D54" s="289" t="s">
        <v>542</v>
      </c>
      <c r="E54" s="236" t="s">
        <v>124</v>
      </c>
      <c r="F54" s="46" t="s">
        <v>125</v>
      </c>
    </row>
    <row r="55" spans="1:6" s="241" customFormat="1" ht="42.75" x14ac:dyDescent="0.25">
      <c r="A55" s="308" t="s">
        <v>540</v>
      </c>
      <c r="B55" s="239" t="s">
        <v>554</v>
      </c>
      <c r="C55" s="264" t="s">
        <v>565</v>
      </c>
      <c r="D55" s="289" t="s">
        <v>232</v>
      </c>
      <c r="E55" s="236" t="s">
        <v>124</v>
      </c>
      <c r="F55" s="46" t="s">
        <v>125</v>
      </c>
    </row>
    <row r="56" spans="1:6" s="241" customFormat="1" ht="14.25" x14ac:dyDescent="0.25">
      <c r="E56" s="56"/>
    </row>
    <row r="57" spans="1:6" s="47" customFormat="1" ht="14.25" x14ac:dyDescent="0.25">
      <c r="C57" s="241"/>
      <c r="E57" s="56"/>
    </row>
    <row r="58" spans="1:6" s="47" customFormat="1" ht="14.25" x14ac:dyDescent="0.15">
      <c r="A58" s="29" t="s">
        <v>162</v>
      </c>
      <c r="E58" s="56"/>
    </row>
    <row r="59" spans="1:6" s="47" customFormat="1" ht="14.25" x14ac:dyDescent="0.15">
      <c r="B59" s="355" t="s">
        <v>163</v>
      </c>
      <c r="C59" s="355"/>
      <c r="D59" s="355"/>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6"/>
  <sheetViews>
    <sheetView tabSelected="1" view="pageBreakPreview" zoomScale="80" zoomScaleNormal="90" zoomScaleSheetLayoutView="80" workbookViewId="0">
      <pane xSplit="7" ySplit="4" topLeftCell="Y5" activePane="bottomRight" state="frozen"/>
      <selection pane="topRight" activeCell="H1" sqref="H1"/>
      <selection pane="bottomLeft" activeCell="A5" sqref="A5"/>
      <selection pane="bottomRight" activeCell="AA5" sqref="AA5"/>
    </sheetView>
  </sheetViews>
  <sheetFormatPr defaultColWidth="9.140625" defaultRowHeight="15" x14ac:dyDescent="0.25"/>
  <cols>
    <col min="2" max="2" width="5.570312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62" t="s">
        <v>3</v>
      </c>
      <c r="G3" s="362"/>
      <c r="H3" s="362"/>
      <c r="I3" s="362"/>
      <c r="J3" s="363" t="s">
        <v>127</v>
      </c>
      <c r="K3" s="364"/>
      <c r="L3" s="364"/>
      <c r="M3" s="364"/>
      <c r="N3" s="364"/>
      <c r="O3" s="364"/>
      <c r="P3" s="364"/>
      <c r="Q3" s="364"/>
      <c r="R3" s="364"/>
      <c r="S3" s="364"/>
      <c r="T3" s="364"/>
      <c r="U3" s="364"/>
      <c r="V3" s="364"/>
      <c r="W3" s="364"/>
      <c r="X3" s="364"/>
      <c r="Y3" s="365"/>
      <c r="Z3" s="359" t="s">
        <v>5</v>
      </c>
      <c r="AA3" s="360"/>
      <c r="AB3" s="361"/>
      <c r="AC3" s="356" t="s">
        <v>128</v>
      </c>
      <c r="AD3" s="357"/>
      <c r="AE3" s="357"/>
      <c r="AF3" s="357"/>
      <c r="AG3" s="357"/>
      <c r="AH3" s="357"/>
      <c r="AI3" s="357"/>
      <c r="AJ3" s="357"/>
      <c r="AK3" s="357"/>
      <c r="AL3" s="357"/>
      <c r="AM3" s="357"/>
      <c r="AN3" s="357"/>
      <c r="AO3" s="357"/>
      <c r="AP3" s="357"/>
      <c r="AQ3" s="358"/>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71.25" x14ac:dyDescent="0.25">
      <c r="A5" s="64">
        <v>1</v>
      </c>
      <c r="B5" s="211" t="s">
        <v>118</v>
      </c>
      <c r="C5" s="83" t="str">
        <f>IF(VLOOKUP(Table4[[#This Row],[T ID]],Table5[#All],5,FALSE)="No","Not in scope",VLOOKUP(Table4[[#This Row],[T ID]],Table5[#All],2,FALSE))</f>
        <v>Deliver undirected malware
(CAPEC-185)</v>
      </c>
      <c r="D5" s="211" t="s">
        <v>401</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264" t="s">
        <v>625</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85.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335" t="s">
        <v>626</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171" x14ac:dyDescent="0.25">
      <c r="A7" s="309">
        <v>3</v>
      </c>
      <c r="B7" s="244" t="s">
        <v>118</v>
      </c>
      <c r="C7" s="265" t="str">
        <f>IF(VLOOKUP(Table4[[#This Row],[T ID]],Table5[#All],5,FALSE)="No","Not in scope",VLOOKUP(Table4[[#This Row],[T ID]],Table5[#All],2,FALSE))</f>
        <v>Deliver undirected malware
(CAPEC-185)</v>
      </c>
      <c r="D7" s="244" t="s">
        <v>573</v>
      </c>
      <c r="E7" s="265" t="str">
        <f>IF(VLOOKUP(Table4[[#This Row],[V ID]],Vulnerabilities[#All],3,FALSE)="No","Not in scope",VLOOKUP(Table4[[#This Row],[V ID]],Vulnerabilities[#All],2,FALSE))</f>
        <v>Unpatched COTS operating system</v>
      </c>
      <c r="F7" s="311" t="s">
        <v>112</v>
      </c>
      <c r="G7" s="265" t="str">
        <f>VLOOKUP(Table4[[#This Row],[A ID]],Assets[#All],3,FALSE)</f>
        <v>THOR Knee Intra-op Application</v>
      </c>
      <c r="H7" s="263" t="s">
        <v>310</v>
      </c>
      <c r="I7" s="250"/>
      <c r="J7" s="85" t="s">
        <v>55</v>
      </c>
      <c r="K7" s="85" t="s">
        <v>55</v>
      </c>
      <c r="L7" s="85" t="s">
        <v>55</v>
      </c>
      <c r="M7" s="267" t="s">
        <v>78</v>
      </c>
      <c r="N7" s="267" t="s">
        <v>55</v>
      </c>
      <c r="O7" s="267" t="s">
        <v>55</v>
      </c>
      <c r="P7" s="85" t="s">
        <v>75</v>
      </c>
      <c r="Q7" s="85" t="s">
        <v>73</v>
      </c>
      <c r="R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269">
        <f>(1 - ((1 - VLOOKUP(Table4[[#This Row],[Confidentiality]],'Reference - CVSSv3.0'!$B$15:$C$17,2,FALSE)) * (1 - VLOOKUP(Table4[[#This Row],[Integrity]],'Reference - CVSSv3.0'!$B$15:$C$17,2,FALSE)) *  (1 - VLOOKUP(Table4[[#This Row],[Availability]],'Reference - CVSSv3.0'!$B$15:$C$17,2,FALSE))))</f>
        <v>0.52544799999999992</v>
      </c>
      <c r="T7" s="269">
        <f>IF(Table4[[#This Row],[Scope]]="Unchanged",6.42*Table4[[#This Row],[ISC Base]],IF(Table4[[#This Row],[Scope]]="Changed",7.52*(Table4[[#This Row],[ISC Base]] - 0.029) - 3.25 * POWER(Table4[[#This Row],[ISC Base]] - 0.02,15),NA()))</f>
        <v>3.3733761599999994</v>
      </c>
      <c r="U7" s="26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312" t="s">
        <v>54</v>
      </c>
      <c r="W7" s="269">
        <f>VLOOKUP(Table4[[#This Row],[Threat Event Initiation]],NIST_Scale_LOAI[],2,FALSE)</f>
        <v>0.5</v>
      </c>
      <c r="X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335" t="s">
        <v>587</v>
      </c>
      <c r="AA7" s="250"/>
      <c r="AB7" s="313"/>
      <c r="AC7" s="250"/>
      <c r="AD7" s="250"/>
      <c r="AE7" s="250"/>
      <c r="AF7" s="267"/>
      <c r="AG7" s="267"/>
      <c r="AH7" s="267"/>
      <c r="AI7" s="267"/>
      <c r="AJ7" s="272"/>
      <c r="AK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69" t="e">
        <f>(1 - ((1 - VLOOKUP(Table4[[#This Row],[ConfidentialityP]],'Reference - CVSSv3.0'!$B$15:$C$17,2,FALSE)) * (1 - VLOOKUP(Table4[[#This Row],[IntegrityP]],'Reference - CVSSv3.0'!$B$15:$C$17,2,FALSE)) *  (1 - VLOOKUP(Table4[[#This Row],[AvailabilityP]],'Reference - CVSSv3.0'!$B$15:$C$17,2,FALSE))))</f>
        <v>#N/A</v>
      </c>
      <c r="AM7" s="269" t="e">
        <f>IF(Table4[[#This Row],[ScopeP]]="Unchanged",6.42*Table4[[#This Row],[ISC BaseP]],IF(Table4[[#This Row],[ScopeP]]="Changed",7.52*(Table4[[#This Row],[ISC BaseP]] - 0.029) - 3.25 * POWER(Table4[[#This Row],[ISC BaseP]] - 0.02,15),NA()))</f>
        <v>#N/A</v>
      </c>
      <c r="AN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50"/>
    </row>
    <row r="8" spans="1:45" s="47" customFormat="1" ht="71.25" x14ac:dyDescent="0.25">
      <c r="A8" s="200">
        <v>4</v>
      </c>
      <c r="B8" s="45" t="s">
        <v>119</v>
      </c>
      <c r="C8" s="202" t="str">
        <f>IF(VLOOKUP(Table4[[#This Row],[T ID]],Table5[#All],5,FALSE)="No","Not in scope",VLOOKUP(Table4[[#This Row],[T ID]],Table5[#All],2,FALSE))</f>
        <v>Deliver directed malware
(CAPEC-185)</v>
      </c>
      <c r="D8" s="45" t="s">
        <v>283</v>
      </c>
      <c r="E8" s="202" t="str">
        <f>IF(VLOOKUP(Table4[[#This Row],[V ID]],Vulnerabilities[#All],3,FALSE)="No","Not in scope",VLOOKUP(Table4[[#This Row],[V ID]],Vulnerabilities[#All],2,FALSE))</f>
        <v>Untrained/Malicious User</v>
      </c>
      <c r="F8" s="223" t="s">
        <v>106</v>
      </c>
      <c r="G8" s="202" t="str">
        <f>VLOOKUP(Table4[[#This Row],[A ID]],Assets[#All],3,FALSE)</f>
        <v>Nav3,3i cart/ System running with windows 8.1</v>
      </c>
      <c r="H8" s="45" t="s">
        <v>298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335" t="s">
        <v>604</v>
      </c>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256.5" x14ac:dyDescent="0.25">
      <c r="A9" s="63">
        <v>5</v>
      </c>
      <c r="B9" s="45" t="s">
        <v>119</v>
      </c>
      <c r="C9" s="202" t="str">
        <f>IF(VLOOKUP(Table4[[#This Row],[T ID]],Table5[#All],5,FALSE)="No","Not in scope",VLOOKUP(Table4[[#This Row],[T ID]],Table5[#All],2,FALSE))</f>
        <v>Deliver directed malware
(CAPEC-185)</v>
      </c>
      <c r="D9" s="45" t="s">
        <v>297</v>
      </c>
      <c r="E9" s="202" t="str">
        <f>IF(VLOOKUP(Table4[[#This Row],[V ID]],Vulnerabilities[#All],3,FALSE)="No","Not in scope",VLOOKUP(Table4[[#This Row],[V ID]],Vulnerabilities[#All],2,FALSE))</f>
        <v>Ineffective management of admin credentials</v>
      </c>
      <c r="F9" s="223" t="s">
        <v>107</v>
      </c>
      <c r="G9" s="202" t="str">
        <f>VLOOKUP(Table4[[#This Row],[A ID]],Assets[#All],3,FALSE)</f>
        <v>Admin Password / Credentials / System Configuration / Certificates</v>
      </c>
      <c r="H9" s="45" t="s">
        <v>288</v>
      </c>
      <c r="I9" s="53"/>
      <c r="J9" s="85" t="s">
        <v>55</v>
      </c>
      <c r="K9" s="85" t="s">
        <v>64</v>
      </c>
      <c r="L9" s="85" t="s">
        <v>55</v>
      </c>
      <c r="M9" s="85" t="s">
        <v>78</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9" s="206">
        <f>(1 - ((1 - VLOOKUP(Table4[[#This Row],[Confidentiality]],'Reference - CVSSv3.0'!$B$15:$C$17,2,FALSE)) * (1 - VLOOKUP(Table4[[#This Row],[Integrity]],'Reference - CVSSv3.0'!$B$15:$C$17,2,FALSE)) *  (1 - VLOOKUP(Table4[[#This Row],[Availability]],'Reference - CVSSv3.0'!$B$15:$C$17,2,FALSE))))</f>
        <v>0.73230400000000007</v>
      </c>
      <c r="T9" s="206">
        <f>IF(Table4[[#This Row],[Scope]]="Unchanged",6.42*Table4[[#This Row],[ISC Base]],IF(Table4[[#This Row],[Scope]]="Changed",7.52*(Table4[[#This Row],[ISC Base]] - 0.029) - 3.25 * POWER(Table4[[#This Row],[ISC Base]] - 0.02,15),NA()))</f>
        <v>4.7013916800000004</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335" t="s">
        <v>589</v>
      </c>
      <c r="AA9" s="250"/>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185.25" x14ac:dyDescent="0.25">
      <c r="A10" s="64">
        <v>6</v>
      </c>
      <c r="B10" s="211" t="s">
        <v>120</v>
      </c>
      <c r="C10" s="202" t="str">
        <f>IF(VLOOKUP(Table4[[#This Row],[T ID]],Table5[#All],5,FALSE)="No","Not in scope",VLOOKUP(Table4[[#This Row],[T ID]],Table5[#All],2,FALSE))</f>
        <v xml:space="preserve">Perform perimeter network reconnaissance/scanning. </v>
      </c>
      <c r="D10" s="45" t="s">
        <v>139</v>
      </c>
      <c r="E10" s="202" t="str">
        <f>IF(VLOOKUP(Table4[[#This Row],[V ID]],Vulnerabilities[#All],3,FALSE)="No","Not in scope",VLOOKUP(Table4[[#This Row],[V ID]],Vulnerabilities[#All],2,FALSE))</f>
        <v>Unprotected network port</v>
      </c>
      <c r="F10" s="45" t="s">
        <v>109</v>
      </c>
      <c r="G10" s="202" t="str">
        <f>VLOOKUP(Table4[[#This Row],[A ID]],Assets[#All],3,FALSE)</f>
        <v>Computer/OS network identification</v>
      </c>
      <c r="H10" s="45" t="s">
        <v>146</v>
      </c>
      <c r="I10" s="224"/>
      <c r="J10" s="85" t="s">
        <v>55</v>
      </c>
      <c r="K10" s="85" t="s">
        <v>76</v>
      </c>
      <c r="L10" s="85" t="s">
        <v>55</v>
      </c>
      <c r="M10" s="85" t="s">
        <v>77</v>
      </c>
      <c r="N10" s="85" t="s">
        <v>64</v>
      </c>
      <c r="O10" s="85" t="s">
        <v>76</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335" t="s">
        <v>590</v>
      </c>
      <c r="AA10" s="250"/>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313.5" x14ac:dyDescent="0.25">
      <c r="A11" s="200">
        <v>7</v>
      </c>
      <c r="B11" s="45" t="s">
        <v>122</v>
      </c>
      <c r="C11" s="202" t="str">
        <f>IF(VLOOKUP(Table4[[#This Row],[T ID]],Table5[#All],5,FALSE)="No","Not in scope",VLOOKUP(Table4[[#This Row],[T ID]],Table5[#All],2,FALSE))</f>
        <v xml:space="preserve">Conduct scavenging of ePHI at rest </v>
      </c>
      <c r="D11" s="45" t="s">
        <v>113</v>
      </c>
      <c r="E11" s="202" t="str">
        <f>IF(VLOOKUP(Table4[[#This Row],[V ID]],Vulnerabilities[#All],3,FALSE)="No","Not in scope",VLOOKUP(Table4[[#This Row],[V ID]],Vulnerabilities[#All],2,FALSE))</f>
        <v>Ineffective management of user credentials</v>
      </c>
      <c r="F11" s="223" t="s">
        <v>585</v>
      </c>
      <c r="G11" s="202" t="str">
        <f>VLOOKUP(Table4[[#This Row],[A ID]],Assets[#All],3,FALSE)</f>
        <v>Patient health information at rest (PHI)</v>
      </c>
      <c r="H11" s="45" t="s">
        <v>290</v>
      </c>
      <c r="I11" s="53"/>
      <c r="J11" s="85" t="s">
        <v>64</v>
      </c>
      <c r="K11" s="85" t="s">
        <v>76</v>
      </c>
      <c r="L11" s="85" t="s">
        <v>55</v>
      </c>
      <c r="M11" s="85" t="s">
        <v>77</v>
      </c>
      <c r="N11" s="85" t="s">
        <v>64</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1" s="206">
        <f>(1 - ((1 - VLOOKUP(Table4[[#This Row],[Confidentiality]],'Reference - CVSSv3.0'!$B$15:$C$17,2,FALSE)) * (1 - VLOOKUP(Table4[[#This Row],[Integrity]],'Reference - CVSSv3.0'!$B$15:$C$17,2,FALSE)) *  (1 - VLOOKUP(Table4[[#This Row],[Availability]],'Reference - CVSSv3.0'!$B$15:$C$17,2,FALSE))))</f>
        <v>0.65680000000000005</v>
      </c>
      <c r="T11" s="206">
        <f>IF(Table4[[#This Row],[Scope]]="Unchanged",6.42*Table4[[#This Row],[ISC Base]],IF(Table4[[#This Row],[Scope]]="Changed",7.52*(Table4[[#This Row],[ISC Base]] - 0.029) - 3.25 * POWER(Table4[[#This Row],[ISC Base]] - 0.02,15),NA()))</f>
        <v>4.2166560000000004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335" t="s">
        <v>591</v>
      </c>
      <c r="AA11" s="250"/>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114" x14ac:dyDescent="0.25">
      <c r="A12" s="341">
        <v>8</v>
      </c>
      <c r="B12" s="45" t="s">
        <v>122</v>
      </c>
      <c r="C12" s="202" t="str">
        <f>IF(VLOOKUP(Table4[[#This Row],[T ID]],Table5[#All],5,FALSE)="No","Not in scope",VLOOKUP(Table4[[#This Row],[T ID]],Table5[#All],2,FALSE))</f>
        <v xml:space="preserve">Conduct scavenging of ePHI at rest </v>
      </c>
      <c r="D12" s="45" t="s">
        <v>284</v>
      </c>
      <c r="E12" s="202" t="str">
        <f>IF(VLOOKUP(Table4[[#This Row],[V ID]],Vulnerabilities[#All],3,FALSE)="No","Not in scope",VLOOKUP(Table4[[#This Row],[V ID]],Vulnerabilities[#All],2,FALSE))</f>
        <v>Unauthorized modification to system bios</v>
      </c>
      <c r="F12" s="337" t="s">
        <v>585</v>
      </c>
      <c r="G12" s="202" t="str">
        <f>VLOOKUP(Table4[[#This Row],[A ID]],Assets[#All],3,FALSE)</f>
        <v>Patient health information at rest (PHI)</v>
      </c>
      <c r="H12" s="45" t="s">
        <v>289</v>
      </c>
      <c r="I12" s="53"/>
      <c r="J12" s="85" t="s">
        <v>64</v>
      </c>
      <c r="K12" s="85" t="s">
        <v>55</v>
      </c>
      <c r="L12" s="85" t="s">
        <v>55</v>
      </c>
      <c r="M12" s="85" t="s">
        <v>78</v>
      </c>
      <c r="N12" s="85" t="s">
        <v>55</v>
      </c>
      <c r="O12" s="85" t="s">
        <v>55</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206">
        <f>(1 - ((1 - VLOOKUP(Table4[[#This Row],[Confidentiality]],'Reference - CVSSv3.0'!$B$15:$C$17,2,FALSE)) * (1 - VLOOKUP(Table4[[#This Row],[Integrity]],'Reference - CVSSv3.0'!$B$15:$C$17,2,FALSE)) *  (1 - VLOOKUP(Table4[[#This Row],[Availability]],'Reference - CVSSv3.0'!$B$15:$C$17,2,FALSE))))</f>
        <v>0.73230400000000007</v>
      </c>
      <c r="T12" s="206">
        <f>IF(Table4[[#This Row],[Scope]]="Unchanged",6.42*Table4[[#This Row],[ISC Base]],IF(Table4[[#This Row],[Scope]]="Changed",7.52*(Table4[[#This Row],[ISC Base]] - 0.029) - 3.25 * POWER(Table4[[#This Row],[ISC Base]] - 0.02,15),NA()))</f>
        <v>4.7013916800000004</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2" s="178" t="s">
        <v>55</v>
      </c>
      <c r="W12" s="206">
        <f>VLOOKUP(Table4[[#This Row],[Threat Event Initiation]],NIST_Scale_LOAI[],2,FALSE)</f>
        <v>0.2</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335" t="s">
        <v>592</v>
      </c>
      <c r="AA12" s="250"/>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85.5" x14ac:dyDescent="0.25">
      <c r="A13" s="64">
        <v>9</v>
      </c>
      <c r="B13" s="45" t="s">
        <v>220</v>
      </c>
      <c r="C13" s="83" t="str">
        <f>IF(VLOOKUP(Table4[[#This Row],[T ID]],Table5[#All],5,FALSE)="No","Not in scope",VLOOKUP(Table4[[#This Row],[T ID]],Table5[#All],2,FALSE))</f>
        <v>Theft of system or hard drives</v>
      </c>
      <c r="D13" s="45" t="s">
        <v>282</v>
      </c>
      <c r="E13" s="83" t="str">
        <f>IF(VLOOKUP(Table4[[#This Row],[V ID]],Vulnerabilities[#All],3,FALSE)="No","Not in scope",VLOOKUP(Table4[[#This Row],[V ID]],Vulnerabilities[#All],2,FALSE))</f>
        <v>Any unprotected hardware</v>
      </c>
      <c r="F13" s="223" t="s">
        <v>106</v>
      </c>
      <c r="G13" s="84" t="str">
        <f>VLOOKUP(Table4[[#This Row],[A ID]],Assets[#All],3,FALSE)</f>
        <v>Nav3,3i cart/ System running with windows 8.1</v>
      </c>
      <c r="H13" s="45" t="s">
        <v>305</v>
      </c>
      <c r="I13" s="53"/>
      <c r="J13" s="85" t="s">
        <v>64</v>
      </c>
      <c r="K13" s="85" t="s">
        <v>76</v>
      </c>
      <c r="L13" s="85" t="s">
        <v>64</v>
      </c>
      <c r="M13" s="85" t="s">
        <v>74</v>
      </c>
      <c r="N13" s="85" t="s">
        <v>314</v>
      </c>
      <c r="O13" s="85" t="s">
        <v>314</v>
      </c>
      <c r="P13" s="85" t="s">
        <v>313</v>
      </c>
      <c r="Q13" s="85" t="s">
        <v>315</v>
      </c>
      <c r="R13"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158">
        <f>(1 - ((1 - VLOOKUP(Table4[[#This Row],[Confidentiality]],'Reference - CVSSv3.0'!$B$15:$C$17,2,FALSE)) * (1 - VLOOKUP(Table4[[#This Row],[Integrity]],'Reference - CVSSv3.0'!$B$15:$C$17,2,FALSE)) *  (1 - VLOOKUP(Table4[[#This Row],[Availability]],'Reference - CVSSv3.0'!$B$15:$C$17,2,FALSE))))</f>
        <v>0.80640000000000001</v>
      </c>
      <c r="T13" s="158">
        <f>IF(Table4[[#This Row],[Scope]]="Unchanged",6.42*Table4[[#This Row],[ISC Base]],IF(Table4[[#This Row],[Scope]]="Changed",7.52*(Table4[[#This Row],[ISC Base]] - 0.029) - 3.25 * POWER(Table4[[#This Row],[ISC Base]] - 0.02,15),NA()))</f>
        <v>5.1770880000000004</v>
      </c>
      <c r="U13"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3" s="178" t="s">
        <v>55</v>
      </c>
      <c r="W13" s="179">
        <f>VLOOKUP(Table4[[#This Row],[Threat Event Initiation]],NIST_Scale_LOAI[],2,FALSE)</f>
        <v>0.2</v>
      </c>
      <c r="X13"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335" t="s">
        <v>593</v>
      </c>
      <c r="AA13" s="250"/>
      <c r="AB13" s="86"/>
      <c r="AC13" s="85"/>
      <c r="AD13" s="85"/>
      <c r="AE13" s="85"/>
      <c r="AF13" s="154"/>
      <c r="AG13" s="154"/>
      <c r="AH13" s="154"/>
      <c r="AI13" s="154"/>
      <c r="AJ13" s="154"/>
      <c r="AK13"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8" t="e">
        <f>(1 - ((1 - VLOOKUP(Table4[[#This Row],[ConfidentialityP]],'Reference - CVSSv3.0'!$B$15:$C$17,2,FALSE)) * (1 - VLOOKUP(Table4[[#This Row],[IntegrityP]],'Reference - CVSSv3.0'!$B$15:$C$17,2,FALSE)) *  (1 - VLOOKUP(Table4[[#This Row],[AvailabilityP]],'Reference - CVSSv3.0'!$B$15:$C$17,2,FALSE))))</f>
        <v>#N/A</v>
      </c>
      <c r="AM13" s="158" t="e">
        <f>IF(Table4[[#This Row],[ScopeP]]="Unchanged",6.42*Table4[[#This Row],[ISC BaseP]],IF(Table4[[#This Row],[ScopeP]]="Changed",7.52*(Table4[[#This Row],[ISC BaseP]] - 0.029) - 3.25 * POWER(Table4[[#This Row],[ISC BaseP]] - 0.02,15),NA()))</f>
        <v>#N/A</v>
      </c>
      <c r="AN13"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114" x14ac:dyDescent="0.25">
      <c r="A14" s="200">
        <v>10</v>
      </c>
      <c r="B14" s="45" t="s">
        <v>223</v>
      </c>
      <c r="C14" s="202" t="str">
        <f>IF(VLOOKUP(Table4[[#This Row],[T ID]],Table5[#All],5,FALSE)="No","Not in scope",VLOOKUP(Table4[[#This Row],[T ID]],Table5[#All],2,FALSE))</f>
        <v>Data theft via physical media</v>
      </c>
      <c r="D14" s="45" t="s">
        <v>140</v>
      </c>
      <c r="E14" s="202" t="str">
        <f>IF(VLOOKUP(Table4[[#This Row],[V ID]],Vulnerabilities[#All],3,FALSE)="No","Not in scope",VLOOKUP(Table4[[#This Row],[V ID]],Vulnerabilities[#All],2,FALSE))</f>
        <v>Unprotected external USB Port</v>
      </c>
      <c r="F14" s="337" t="s">
        <v>585</v>
      </c>
      <c r="G14" s="202" t="str">
        <f>VLOOKUP(Table4[[#This Row],[A ID]],Assets[#All],3,FALSE)</f>
        <v>Patient health information at rest (PHI)</v>
      </c>
      <c r="H14" s="45" t="s">
        <v>306</v>
      </c>
      <c r="I14" s="53"/>
      <c r="J14" s="85" t="s">
        <v>64</v>
      </c>
      <c r="K14" s="85" t="s">
        <v>76</v>
      </c>
      <c r="L14" s="85" t="s">
        <v>76</v>
      </c>
      <c r="M14" s="85" t="s">
        <v>74</v>
      </c>
      <c r="N14" s="85" t="s">
        <v>314</v>
      </c>
      <c r="O14" s="85" t="s">
        <v>314</v>
      </c>
      <c r="P14" s="85" t="s">
        <v>313</v>
      </c>
      <c r="Q14" s="85" t="s">
        <v>315</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4" s="178" t="s">
        <v>55</v>
      </c>
      <c r="W14" s="206">
        <f>VLOOKUP(Table4[[#This Row],[Threat Event Initiation]],NIST_Scale_LOAI[],2,FALSE)</f>
        <v>0.2</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335" t="s">
        <v>594</v>
      </c>
      <c r="AA14" s="250"/>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99.75" x14ac:dyDescent="0.25">
      <c r="A15" s="200">
        <v>11</v>
      </c>
      <c r="B15" s="45" t="s">
        <v>226</v>
      </c>
      <c r="C15" s="202" t="str">
        <f>IF(VLOOKUP(Table4[[#This Row],[T ID]],Table5[#All],5,FALSE)="No","Not in scope",VLOOKUP(Table4[[#This Row],[T ID]],Table5[#All],2,FALSE))</f>
        <v>Network-based denial of service (DoS) attack</v>
      </c>
      <c r="D15" s="45" t="s">
        <v>139</v>
      </c>
      <c r="E15" s="202" t="str">
        <f>IF(VLOOKUP(Table4[[#This Row],[V ID]],Vulnerabilities[#All],3,FALSE)="No","Not in scope",VLOOKUP(Table4[[#This Row],[V ID]],Vulnerabilities[#All],2,FALSE))</f>
        <v>Unprotected network port</v>
      </c>
      <c r="F15" s="223" t="s">
        <v>106</v>
      </c>
      <c r="G15" s="202" t="str">
        <f>VLOOKUP(Table4[[#This Row],[A ID]],Assets[#All],3,FALSE)</f>
        <v>Nav3,3i cart/ System running with windows 8.1</v>
      </c>
      <c r="H15" s="45" t="s">
        <v>300</v>
      </c>
      <c r="I15" s="53"/>
      <c r="J15" s="85" t="s">
        <v>76</v>
      </c>
      <c r="K15" s="85" t="s">
        <v>76</v>
      </c>
      <c r="L15" s="85" t="s">
        <v>64</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0.56000000000000005</v>
      </c>
      <c r="T15" s="206">
        <f>IF(Table4[[#This Row],[Scope]]="Unchanged",6.42*Table4[[#This Row],[ISC Base]],IF(Table4[[#This Row],[Scope]]="Changed",7.52*(Table4[[#This Row],[ISC Base]] - 0.029) - 3.25 * POWER(Table4[[#This Row],[ISC Base]] - 0.02,15),NA()))</f>
        <v>3.5952000000000002</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335" t="s">
        <v>595</v>
      </c>
      <c r="AA15" s="250"/>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142.5" x14ac:dyDescent="0.25">
      <c r="A16" s="63">
        <v>12</v>
      </c>
      <c r="B16" s="45" t="s">
        <v>234</v>
      </c>
      <c r="C16" s="83" t="str">
        <f>IF(VLOOKUP(Table4[[#This Row],[T ID]],Table5[#All],5,FALSE)="No","Not in scope",VLOOKUP(Table4[[#This Row],[T ID]],Table5[#All],2,FALSE))</f>
        <v>Mis-configuration by user</v>
      </c>
      <c r="D16" s="45" t="s">
        <v>283</v>
      </c>
      <c r="E16" s="83" t="str">
        <f>IF(VLOOKUP(Table4[[#This Row],[V ID]],Vulnerabilities[#All],3,FALSE)="No","Not in scope",VLOOKUP(Table4[[#This Row],[V ID]],Vulnerabilities[#All],2,FALSE))</f>
        <v>Untrained/Malicious User</v>
      </c>
      <c r="F16" s="223" t="s">
        <v>107</v>
      </c>
      <c r="G16" s="84" t="str">
        <f>VLOOKUP(Table4[[#This Row],[A ID]],Assets[#All],3,FALSE)</f>
        <v>Admin Password / Credentials / System Configuration / Certificates</v>
      </c>
      <c r="H16" s="45" t="s">
        <v>299</v>
      </c>
      <c r="I16" s="224"/>
      <c r="J16" s="85" t="s">
        <v>76</v>
      </c>
      <c r="K16" s="85" t="s">
        <v>55</v>
      </c>
      <c r="L16" s="85" t="s">
        <v>55</v>
      </c>
      <c r="M16" s="85" t="s">
        <v>78</v>
      </c>
      <c r="N16" s="85" t="s">
        <v>55</v>
      </c>
      <c r="O16" s="85" t="s">
        <v>55</v>
      </c>
      <c r="P16" s="85" t="s">
        <v>75</v>
      </c>
      <c r="Q16" s="85" t="s">
        <v>73</v>
      </c>
      <c r="R16"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6" s="158">
        <f>(1 - ((1 - VLOOKUP(Table4[[#This Row],[Confidentiality]],'Reference - CVSSv3.0'!$B$15:$C$17,2,FALSE)) * (1 - VLOOKUP(Table4[[#This Row],[Integrity]],'Reference - CVSSv3.0'!$B$15:$C$17,2,FALSE)) *  (1 - VLOOKUP(Table4[[#This Row],[Availability]],'Reference - CVSSv3.0'!$B$15:$C$17,2,FALSE))))</f>
        <v>0.39159999999999995</v>
      </c>
      <c r="T16" s="158">
        <f>IF(Table4[[#This Row],[Scope]]="Unchanged",6.42*Table4[[#This Row],[ISC Base]],IF(Table4[[#This Row],[Scope]]="Changed",7.52*(Table4[[#This Row],[ISC Base]] - 0.029) - 3.25 * POWER(Table4[[#This Row],[ISC Base]] - 0.02,15),NA()))</f>
        <v>2.5140719999999996</v>
      </c>
      <c r="U16"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6" s="178" t="s">
        <v>55</v>
      </c>
      <c r="W16" s="179">
        <f>VLOOKUP(Table4[[#This Row],[Threat Event Initiation]],NIST_Scale_LOAI[],2,FALSE)</f>
        <v>0.2</v>
      </c>
      <c r="X16"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6"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335" t="s">
        <v>596</v>
      </c>
      <c r="AA16" s="250"/>
      <c r="AB16" s="86"/>
      <c r="AC16" s="85"/>
      <c r="AD16" s="85"/>
      <c r="AE16" s="85"/>
      <c r="AF16" s="154"/>
      <c r="AG16" s="154"/>
      <c r="AH16" s="154"/>
      <c r="AI16" s="154"/>
      <c r="AJ16" s="154"/>
      <c r="AK16"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8" t="e">
        <f>(1 - ((1 - VLOOKUP(Table4[[#This Row],[ConfidentialityP]],'Reference - CVSSv3.0'!$B$15:$C$17,2,FALSE)) * (1 - VLOOKUP(Table4[[#This Row],[IntegrityP]],'Reference - CVSSv3.0'!$B$15:$C$17,2,FALSE)) *  (1 - VLOOKUP(Table4[[#This Row],[AvailabilityP]],'Reference - CVSSv3.0'!$B$15:$C$17,2,FALSE))))</f>
        <v>#N/A</v>
      </c>
      <c r="AM16" s="158" t="e">
        <f>IF(Table4[[#This Row],[ScopeP]]="Unchanged",6.42*Table4[[#This Row],[ISC BaseP]],IF(Table4[[#This Row],[ScopeP]]="Changed",7.52*(Table4[[#This Row],[ISC BaseP]] - 0.029) - 3.25 * POWER(Table4[[#This Row],[ISC BaseP]] - 0.02,15),NA()))</f>
        <v>#N/A</v>
      </c>
      <c r="AN16"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ht="156.75" x14ac:dyDescent="0.25">
      <c r="A17" s="63">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110</v>
      </c>
      <c r="G17" s="202" t="str">
        <f>VLOOKUP(Table4[[#This Row],[A ID]],Assets[#All],3,FALSE)</f>
        <v>Navigation Accuracy</v>
      </c>
      <c r="H17" s="45" t="s">
        <v>301</v>
      </c>
      <c r="I17" s="53"/>
      <c r="J17" s="85" t="s">
        <v>76</v>
      </c>
      <c r="K17" s="85" t="s">
        <v>64</v>
      </c>
      <c r="L17" s="85" t="s">
        <v>55</v>
      </c>
      <c r="M17" s="85" t="s">
        <v>77</v>
      </c>
      <c r="N17" s="85" t="s">
        <v>64</v>
      </c>
      <c r="O17" s="85" t="s">
        <v>55</v>
      </c>
      <c r="P17" s="85" t="s">
        <v>76</v>
      </c>
      <c r="Q17" s="85" t="s">
        <v>98</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4.7173241070114784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7" s="178" t="s">
        <v>55</v>
      </c>
      <c r="W17" s="206">
        <f>VLOOKUP(Table4[[#This Row],[Threat Event Initiation]],NIST_Scale_LOAI[],2,FALSE)</f>
        <v>0.2</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335" t="s">
        <v>597</v>
      </c>
      <c r="AA17" s="250"/>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114" x14ac:dyDescent="0.25">
      <c r="A18" s="64">
        <v>14</v>
      </c>
      <c r="B18" s="45" t="s">
        <v>238</v>
      </c>
      <c r="C18" s="202" t="str">
        <f>IF(VLOOKUP(Table4[[#This Row],[T ID]],Table5[#All],5,FALSE)="No","Not in scope",VLOOKUP(Table4[[#This Row],[T ID]],Table5[#All],2,FALSE))</f>
        <v>Remote exploitation</v>
      </c>
      <c r="D18" s="45" t="s">
        <v>139</v>
      </c>
      <c r="E18" s="202" t="str">
        <f>IF(VLOOKUP(Table4[[#This Row],[V ID]],Vulnerabilities[#All],3,FALSE)="No","Not in scope",VLOOKUP(Table4[[#This Row],[V ID]],Vulnerabilities[#All],2,FALSE))</f>
        <v>Unprotected network port</v>
      </c>
      <c r="F18" s="223" t="s">
        <v>106</v>
      </c>
      <c r="G18" s="202" t="str">
        <f>VLOOKUP(Table4[[#This Row],[A ID]],Assets[#All],3,FALSE)</f>
        <v>Nav3,3i cart/ System running with windows 8.1</v>
      </c>
      <c r="H18" s="45" t="s">
        <v>302</v>
      </c>
      <c r="I18" s="53"/>
      <c r="J18" s="85" t="s">
        <v>76</v>
      </c>
      <c r="K18" s="85" t="s">
        <v>55</v>
      </c>
      <c r="L18" s="85" t="s">
        <v>64</v>
      </c>
      <c r="M18" s="85" t="s">
        <v>77</v>
      </c>
      <c r="N18" s="85" t="s">
        <v>64</v>
      </c>
      <c r="O18" s="85" t="s">
        <v>55</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8" s="206">
        <f>(1 - ((1 - VLOOKUP(Table4[[#This Row],[Confidentiality]],'Reference - CVSSv3.0'!$B$15:$C$17,2,FALSE)) * (1 - VLOOKUP(Table4[[#This Row],[Integrity]],'Reference - CVSSv3.0'!$B$15:$C$17,2,FALSE)) *  (1 - VLOOKUP(Table4[[#This Row],[Availability]],'Reference - CVSSv3.0'!$B$15:$C$17,2,FALSE))))</f>
        <v>0.65680000000000005</v>
      </c>
      <c r="T18" s="206">
        <f>IF(Table4[[#This Row],[Scope]]="Unchanged",6.42*Table4[[#This Row],[ISC Base]],IF(Table4[[#This Row],[Scope]]="Changed",7.52*(Table4[[#This Row],[ISC Base]] - 0.029) - 3.25 * POWER(Table4[[#This Row],[ISC Base]] - 0.02,15),NA()))</f>
        <v>4.2166560000000004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335" t="s">
        <v>598</v>
      </c>
      <c r="AA18" s="250"/>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213.75" x14ac:dyDescent="0.25">
      <c r="A19" s="200">
        <v>15</v>
      </c>
      <c r="B19" s="45" t="s">
        <v>238</v>
      </c>
      <c r="C19" s="202" t="str">
        <f>IF(VLOOKUP(Table4[[#This Row],[T ID]],Table5[#All],5,FALSE)="No","Not in scope",VLOOKUP(Table4[[#This Row],[T ID]],Table5[#All],2,FALSE))</f>
        <v>Remote exploitation</v>
      </c>
      <c r="D19" s="45" t="s">
        <v>573</v>
      </c>
      <c r="E19" s="202" t="str">
        <f>IF(VLOOKUP(Table4[[#This Row],[V ID]],Vulnerabilities[#All],3,FALSE)="No","Not in scope",VLOOKUP(Table4[[#This Row],[V ID]],Vulnerabilities[#All],2,FALSE))</f>
        <v>Unpatched COTS operating system</v>
      </c>
      <c r="F19" s="223" t="s">
        <v>107</v>
      </c>
      <c r="G19" s="202" t="str">
        <f>VLOOKUP(Table4[[#This Row],[A ID]],Assets[#All],3,FALSE)</f>
        <v>Admin Password / Credentials / System Configuration / Certificates</v>
      </c>
      <c r="H19" s="45" t="s">
        <v>303</v>
      </c>
      <c r="I19" s="53"/>
      <c r="J19" s="85" t="s">
        <v>64</v>
      </c>
      <c r="K19" s="85" t="s">
        <v>64</v>
      </c>
      <c r="L19" s="85" t="s">
        <v>55</v>
      </c>
      <c r="M19" s="85" t="s">
        <v>77</v>
      </c>
      <c r="N19" s="85" t="s">
        <v>55</v>
      </c>
      <c r="O19" s="85" t="s">
        <v>64</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9" s="206">
        <f>(1 - ((1 - VLOOKUP(Table4[[#This Row],[Confidentiality]],'Reference - CVSSv3.0'!$B$15:$C$17,2,FALSE)) * (1 - VLOOKUP(Table4[[#This Row],[Integrity]],'Reference - CVSSv3.0'!$B$15:$C$17,2,FALSE)) *  (1 - VLOOKUP(Table4[[#This Row],[Availability]],'Reference - CVSSv3.0'!$B$15:$C$17,2,FALSE))))</f>
        <v>0.84899199999999997</v>
      </c>
      <c r="T19" s="206">
        <f>IF(Table4[[#This Row],[Scope]]="Unchanged",6.42*Table4[[#This Row],[ISC Base]],IF(Table4[[#This Row],[Scope]]="Changed",7.52*(Table4[[#This Row],[ISC Base]] - 0.029) - 3.25 * POWER(Table4[[#This Row],[ISC Base]] - 0.02,15),NA()))</f>
        <v>5.4505286399999999</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336" t="s">
        <v>588</v>
      </c>
      <c r="AA19" s="250"/>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156.75" x14ac:dyDescent="0.25">
      <c r="A20" s="63">
        <v>16</v>
      </c>
      <c r="B20" s="45" t="s">
        <v>240</v>
      </c>
      <c r="C20" s="202" t="str">
        <f>IF(VLOOKUP(Table4[[#This Row],[T ID]],Table5[#All],5,FALSE)="No","Not in scope",VLOOKUP(Table4[[#This Row],[T ID]],Table5[#All],2,FALSE))</f>
        <v>Improper disposal of hard disks</v>
      </c>
      <c r="D20" s="45" t="s">
        <v>282</v>
      </c>
      <c r="E20" s="202" t="str">
        <f>IF(VLOOKUP(Table4[[#This Row],[V ID]],Vulnerabilities[#All],3,FALSE)="No","Not in scope",VLOOKUP(Table4[[#This Row],[V ID]],Vulnerabilities[#All],2,FALSE))</f>
        <v>Any unprotected hardware</v>
      </c>
      <c r="F20" s="337" t="s">
        <v>585</v>
      </c>
      <c r="G20" s="202" t="str">
        <f>VLOOKUP(Table4[[#This Row],[A ID]],Assets[#All],3,FALSE)</f>
        <v>Patient health information at rest (PHI)</v>
      </c>
      <c r="H20" s="45" t="s">
        <v>304</v>
      </c>
      <c r="I20" s="53"/>
      <c r="J20" s="85" t="s">
        <v>64</v>
      </c>
      <c r="K20" s="85" t="s">
        <v>76</v>
      </c>
      <c r="L20" s="85" t="s">
        <v>76</v>
      </c>
      <c r="M20" s="85" t="s">
        <v>74</v>
      </c>
      <c r="N20" s="85" t="s">
        <v>55</v>
      </c>
      <c r="O20" s="85" t="s">
        <v>55</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20" s="178" t="s">
        <v>55</v>
      </c>
      <c r="W20" s="206">
        <f>VLOOKUP(Table4[[#This Row],[Threat Event Initiation]],NIST_Scale_LOAI[],2,FALSE)</f>
        <v>0.2</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335" t="s">
        <v>599</v>
      </c>
      <c r="AA20" s="250"/>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399" x14ac:dyDescent="0.25">
      <c r="A21" s="64">
        <v>17</v>
      </c>
      <c r="B21" s="45" t="s">
        <v>243</v>
      </c>
      <c r="C21" s="202" t="str">
        <f>IF(VLOOKUP(Table4[[#This Row],[T ID]],Table5[#All],5,FALSE)="No","Not in scope",VLOOKUP(Table4[[#This Row],[T ID]],Table5[#All],2,FALSE))</f>
        <v>Man-in-the middle attack / intercept Navigation communication</v>
      </c>
      <c r="D21" s="45" t="s">
        <v>282</v>
      </c>
      <c r="E21" s="202" t="str">
        <f>IF(VLOOKUP(Table4[[#This Row],[V ID]],Vulnerabilities[#All],3,FALSE)="No","Not in scope",VLOOKUP(Table4[[#This Row],[V ID]],Vulnerabilities[#All],2,FALSE))</f>
        <v>Any unprotected hardware</v>
      </c>
      <c r="F21" s="337" t="s">
        <v>110</v>
      </c>
      <c r="G21" s="202" t="str">
        <f>VLOOKUP(Table4[[#This Row],[A ID]],Assets[#All],3,FALSE)</f>
        <v>Navigation Accuracy</v>
      </c>
      <c r="H21" s="45" t="s">
        <v>317</v>
      </c>
      <c r="I21" s="53"/>
      <c r="J21" s="85" t="s">
        <v>55</v>
      </c>
      <c r="K21" s="85" t="s">
        <v>64</v>
      </c>
      <c r="L21" s="85" t="s">
        <v>64</v>
      </c>
      <c r="M21" s="85" t="s">
        <v>77</v>
      </c>
      <c r="N21" s="85" t="s">
        <v>64</v>
      </c>
      <c r="O21" s="85" t="s">
        <v>64</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1" s="206">
        <f>(1 - ((1 - VLOOKUP(Table4[[#This Row],[Confidentiality]],'Reference - CVSSv3.0'!$B$15:$C$17,2,FALSE)) * (1 - VLOOKUP(Table4[[#This Row],[Integrity]],'Reference - CVSSv3.0'!$B$15:$C$17,2,FALSE)) *  (1 - VLOOKUP(Table4[[#This Row],[Availability]],'Reference - CVSSv3.0'!$B$15:$C$17,2,FALSE))))</f>
        <v>0.84899200000000008</v>
      </c>
      <c r="T21" s="206">
        <f>IF(Table4[[#This Row],[Scope]]="Unchanged",6.42*Table4[[#This Row],[ISC Base]],IF(Table4[[#This Row],[Scope]]="Changed",7.52*(Table4[[#This Row],[ISC Base]] - 0.029) - 3.25 * POWER(Table4[[#This Row],[ISC Base]] - 0.02,15),NA()))</f>
        <v>5.4505286400000008</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78" t="s">
        <v>48</v>
      </c>
      <c r="W21" s="206">
        <f>VLOOKUP(Table4[[#This Row],[Threat Event Initiation]],NIST_Scale_LOAI[],2,FALSE)</f>
        <v>0.04</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335" t="s">
        <v>600</v>
      </c>
      <c r="AA21" s="250"/>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14" x14ac:dyDescent="0.25">
      <c r="A22" s="63">
        <v>18</v>
      </c>
      <c r="B22" s="45" t="s">
        <v>251</v>
      </c>
      <c r="C22" s="202" t="str">
        <f>IF(VLOOKUP(Table4[[#This Row],[T ID]],Table5[#All],5,FALSE)="No","Not in scope",VLOOKUP(Table4[[#This Row],[T ID]],Table5[#All],2,FALSE))</f>
        <v>Physical Manipulation of Hardware</v>
      </c>
      <c r="D22" s="45" t="s">
        <v>282</v>
      </c>
      <c r="E22" s="202" t="str">
        <f>IF(VLOOKUP(Table4[[#This Row],[V ID]],Vulnerabilities[#All],3,FALSE)="No","Not in scope",VLOOKUP(Table4[[#This Row],[V ID]],Vulnerabilities[#All],2,FALSE))</f>
        <v>Any unprotected hardware</v>
      </c>
      <c r="F22" s="223" t="s">
        <v>107</v>
      </c>
      <c r="G22" s="202" t="str">
        <f>VLOOKUP(Table4[[#This Row],[A ID]],Assets[#All],3,FALSE)</f>
        <v>Admin Password / Credentials / System Configuration / Certificates</v>
      </c>
      <c r="H22" s="45" t="s">
        <v>307</v>
      </c>
      <c r="I22" s="53"/>
      <c r="J22" s="85" t="s">
        <v>55</v>
      </c>
      <c r="K22" s="85" t="s">
        <v>64</v>
      </c>
      <c r="L22" s="85" t="s">
        <v>313</v>
      </c>
      <c r="M22" s="85" t="s">
        <v>74</v>
      </c>
      <c r="N22" s="85" t="s">
        <v>55</v>
      </c>
      <c r="O22" s="85" t="s">
        <v>64</v>
      </c>
      <c r="P22" s="85" t="s">
        <v>313</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06">
        <f>(1 - ((1 - VLOOKUP(Table4[[#This Row],[Confidentiality]],'Reference - CVSSv3.0'!$B$15:$C$17,2,FALSE)) * (1 - VLOOKUP(Table4[[#This Row],[Integrity]],'Reference - CVSSv3.0'!$B$15:$C$17,2,FALSE)) *  (1 - VLOOKUP(Table4[[#This Row],[Availability]],'Reference - CVSSv3.0'!$B$15:$C$17,2,FALSE))))</f>
        <v>0.65680000000000005</v>
      </c>
      <c r="T22" s="206">
        <f>IF(Table4[[#This Row],[Scope]]="Unchanged",6.42*Table4[[#This Row],[ISC Base]],IF(Table4[[#This Row],[Scope]]="Changed",7.52*(Table4[[#This Row],[ISC Base]] - 0.029) - 3.25 * POWER(Table4[[#This Row],[ISC Base]] - 0.02,15),NA()))</f>
        <v>4.2166560000000004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06">
        <f>VLOOKUP(Table4[[#This Row],[Threat Event Initiation]],NIST_Scale_LOAI[],2,FALSE)</f>
        <v>0.2</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335" t="s">
        <v>593</v>
      </c>
      <c r="AA22" s="250"/>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185.25" x14ac:dyDescent="0.25">
      <c r="A23" s="63">
        <v>19</v>
      </c>
      <c r="B23" s="213" t="s">
        <v>251</v>
      </c>
      <c r="C23" s="214" t="str">
        <f>IF(VLOOKUP(Table4[[#This Row],[T ID]],Table5[#All],5,FALSE)="No","Not in scope",VLOOKUP(Table4[[#This Row],[T ID]],Table5[#All],2,FALSE))</f>
        <v>Physical Manipulation of Hardware</v>
      </c>
      <c r="D23" s="45" t="s">
        <v>282</v>
      </c>
      <c r="E23" s="214" t="str">
        <f>IF(VLOOKUP(Table4[[#This Row],[V ID]],Vulnerabilities[#All],3,FALSE)="No","Not in scope",VLOOKUP(Table4[[#This Row],[V ID]],Vulnerabilities[#All],2,FALSE))</f>
        <v>Any unprotected hardware</v>
      </c>
      <c r="F23" s="337" t="s">
        <v>110</v>
      </c>
      <c r="G23" s="214" t="str">
        <f>VLOOKUP(Table4[[#This Row],[A ID]],Assets[#All],3,FALSE)</f>
        <v>Navigation Accuracy</v>
      </c>
      <c r="H23" s="45" t="s">
        <v>312</v>
      </c>
      <c r="I23" s="53"/>
      <c r="J23" s="85" t="s">
        <v>55</v>
      </c>
      <c r="K23" s="85" t="s">
        <v>64</v>
      </c>
      <c r="L23" s="85" t="s">
        <v>313</v>
      </c>
      <c r="M23" s="85" t="s">
        <v>74</v>
      </c>
      <c r="N23" s="85" t="s">
        <v>55</v>
      </c>
      <c r="O23" s="85" t="s">
        <v>64</v>
      </c>
      <c r="P23" s="85" t="s">
        <v>76</v>
      </c>
      <c r="Q23" s="85" t="s">
        <v>73</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3" s="218">
        <f>(1 - ((1 - VLOOKUP(Table4[[#This Row],[Confidentiality]],'Reference - CVSSv3.0'!$B$15:$C$17,2,FALSE)) * (1 - VLOOKUP(Table4[[#This Row],[Integrity]],'Reference - CVSSv3.0'!$B$15:$C$17,2,FALSE)) *  (1 - VLOOKUP(Table4[[#This Row],[Availability]],'Reference - CVSSv3.0'!$B$15:$C$17,2,FALSE))))</f>
        <v>0.65680000000000005</v>
      </c>
      <c r="T23" s="218">
        <f>IF(Table4[[#This Row],[Scope]]="Unchanged",6.42*Table4[[#This Row],[ISC Base]],IF(Table4[[#This Row],[Scope]]="Changed",7.52*(Table4[[#This Row],[ISC Base]] - 0.029) - 3.25 * POWER(Table4[[#This Row],[ISC Base]] - 0.02,15),NA()))</f>
        <v>4.2166560000000004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3" s="178" t="s">
        <v>55</v>
      </c>
      <c r="W23" s="218">
        <f>VLOOKUP(Table4[[#This Row],[Threat Event Initiation]],NIST_Scale_LOAI[],2,FALSE)</f>
        <v>0.2</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335" t="s">
        <v>601</v>
      </c>
      <c r="AA23" s="250"/>
      <c r="AB23" s="220"/>
      <c r="AC23" s="215"/>
      <c r="AD23" s="215"/>
      <c r="AE23" s="215"/>
      <c r="AF23" s="216"/>
      <c r="AG23" s="216"/>
      <c r="AH23" s="216"/>
      <c r="AI23" s="216"/>
      <c r="AJ23" s="221"/>
      <c r="AK23"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8" t="e">
        <f>(1 - ((1 - VLOOKUP(Table4[[#This Row],[ConfidentialityP]],'Reference - CVSSv3.0'!$B$15:$C$17,2,FALSE)) * (1 - VLOOKUP(Table4[[#This Row],[IntegrityP]],'Reference - CVSSv3.0'!$B$15:$C$17,2,FALSE)) *  (1 - VLOOKUP(Table4[[#This Row],[AvailabilityP]],'Reference - CVSSv3.0'!$B$15:$C$17,2,FALSE))))</f>
        <v>#N/A</v>
      </c>
      <c r="AM23" s="218" t="e">
        <f>IF(Table4[[#This Row],[ScopeP]]="Unchanged",6.42*Table4[[#This Row],[ISC BaseP]],IF(Table4[[#This Row],[ScopeP]]="Changed",7.52*(Table4[[#This Row],[ISC BaseP]] - 0.029) - 3.25 * POWER(Table4[[#This Row],[ISC BaseP]] - 0.02,15),NA()))</f>
        <v>#N/A</v>
      </c>
      <c r="AN23"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5"/>
    </row>
    <row r="24" spans="1:43" ht="114" x14ac:dyDescent="0.25">
      <c r="A24" s="200">
        <v>20</v>
      </c>
      <c r="B24" s="45" t="s">
        <v>255</v>
      </c>
      <c r="C24" s="202" t="str">
        <f>IF(VLOOKUP(Table4[[#This Row],[T ID]],Table5[#All],5,FALSE)="No","Not in scope",VLOOKUP(Table4[[#This Row],[T ID]],Table5[#All],2,FALSE))</f>
        <v>Gather information using open source discovery of organizational information</v>
      </c>
      <c r="D24" s="45" t="s">
        <v>507</v>
      </c>
      <c r="E24" s="202" t="str">
        <f>IF(VLOOKUP(Table4[[#This Row],[V ID]],Vulnerabilities[#All],3,FALSE)="No","Not in scope",VLOOKUP(Table4[[#This Row],[V ID]],Vulnerabilities[#All],2,FALSE))</f>
        <v>Exposure of sensitive product information</v>
      </c>
      <c r="F24" s="223" t="s">
        <v>106</v>
      </c>
      <c r="G24" s="202" t="str">
        <f>VLOOKUP(Table4[[#This Row],[A ID]],Assets[#All],3,FALSE)</f>
        <v>Nav3,3i cart/ System running with windows 8.1</v>
      </c>
      <c r="H24" s="45" t="s">
        <v>309</v>
      </c>
      <c r="I24" s="53"/>
      <c r="J24" s="85" t="s">
        <v>55</v>
      </c>
      <c r="K24" s="85" t="s">
        <v>55</v>
      </c>
      <c r="L24" s="85" t="s">
        <v>64</v>
      </c>
      <c r="M24" s="85" t="s">
        <v>77</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335" t="s">
        <v>627</v>
      </c>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85.5" x14ac:dyDescent="0.25">
      <c r="A25" s="64">
        <v>21</v>
      </c>
      <c r="B25" s="45" t="s">
        <v>266</v>
      </c>
      <c r="C25" s="202" t="str">
        <f>IF(VLOOKUP(Table4[[#This Row],[T ID]],Table5[#All],5,FALSE)="No","Not in scope",VLOOKUP(Table4[[#This Row],[T ID]],Table5[#All],2,FALSE))</f>
        <v>Power Failure at primary facility</v>
      </c>
      <c r="D25" s="45" t="s">
        <v>282</v>
      </c>
      <c r="E25" s="202" t="str">
        <f>IF(VLOOKUP(Table4[[#This Row],[V ID]],Vulnerabilities[#All],3,FALSE)="No","Not in scope",VLOOKUP(Table4[[#This Row],[V ID]],Vulnerabilities[#All],2,FALSE))</f>
        <v>Any unprotected hardware</v>
      </c>
      <c r="F25" s="223" t="s">
        <v>106</v>
      </c>
      <c r="G25" s="202" t="str">
        <f>VLOOKUP(Table4[[#This Row],[A ID]],Assets[#All],3,FALSE)</f>
        <v>Nav3,3i cart/ System running with windows 8.1</v>
      </c>
      <c r="H25" s="45" t="s">
        <v>308</v>
      </c>
      <c r="I25" s="53"/>
      <c r="J25" s="85" t="s">
        <v>76</v>
      </c>
      <c r="K25" s="85" t="s">
        <v>76</v>
      </c>
      <c r="L25" s="85" t="s">
        <v>64</v>
      </c>
      <c r="M25" s="85" t="s">
        <v>78</v>
      </c>
      <c r="N25" s="85" t="s">
        <v>55</v>
      </c>
      <c r="O25" s="85" t="s">
        <v>76</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5" s="206">
        <f>(1 - ((1 - VLOOKUP(Table4[[#This Row],[Confidentiality]],'Reference - CVSSv3.0'!$B$15:$C$17,2,FALSE)) * (1 - VLOOKUP(Table4[[#This Row],[Integrity]],'Reference - CVSSv3.0'!$B$15:$C$17,2,FALSE)) *  (1 - VLOOKUP(Table4[[#This Row],[Availability]],'Reference - CVSSv3.0'!$B$15:$C$17,2,FALSE))))</f>
        <v>0.56000000000000005</v>
      </c>
      <c r="T25" s="206">
        <f>IF(Table4[[#This Row],[Scope]]="Unchanged",6.42*Table4[[#This Row],[ISC Base]],IF(Table4[[#This Row],[Scope]]="Changed",7.52*(Table4[[#This Row],[ISC Base]] - 0.029) - 3.25 * POWER(Table4[[#This Row],[ISC Base]] - 0.02,15),NA()))</f>
        <v>3.5952000000000002</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5" s="178" t="s">
        <v>48</v>
      </c>
      <c r="W25" s="206">
        <f>VLOOKUP(Table4[[#This Row],[Threat Event Initiation]],NIST_Scale_LOAI[],2,FALSE)</f>
        <v>0.04</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335" t="s">
        <v>602</v>
      </c>
      <c r="AA25" s="250"/>
      <c r="AB25" s="208"/>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156.75" x14ac:dyDescent="0.25">
      <c r="A26" s="200">
        <v>22</v>
      </c>
      <c r="B26" s="45" t="s">
        <v>276</v>
      </c>
      <c r="C26" s="202" t="str">
        <f>IF(VLOOKUP(Table4[[#This Row],[T ID]],Table5[#All],5,FALSE)="No","Not in scope",VLOOKUP(Table4[[#This Row],[T ID]],Table5[#All],2,FALSE))</f>
        <v>Manipulation of navigation camera firmware / memory</v>
      </c>
      <c r="D26" s="45" t="s">
        <v>282</v>
      </c>
      <c r="E26" s="202" t="str">
        <f>IF(VLOOKUP(Table4[[#This Row],[V ID]],Vulnerabilities[#All],3,FALSE)="No","Not in scope",VLOOKUP(Table4[[#This Row],[V ID]],Vulnerabilities[#All],2,FALSE))</f>
        <v>Any unprotected hardware</v>
      </c>
      <c r="F26" s="337" t="s">
        <v>110</v>
      </c>
      <c r="G26" s="202" t="str">
        <f>VLOOKUP(Table4[[#This Row],[A ID]],Assets[#All],3,FALSE)</f>
        <v>Navigation Accuracy</v>
      </c>
      <c r="H26" s="45" t="s">
        <v>311</v>
      </c>
      <c r="I26" s="53"/>
      <c r="J26" s="85" t="s">
        <v>64</v>
      </c>
      <c r="K26" s="85" t="s">
        <v>55</v>
      </c>
      <c r="L26" s="85" t="s">
        <v>55</v>
      </c>
      <c r="M26" s="85" t="s">
        <v>78</v>
      </c>
      <c r="N26" s="85" t="s">
        <v>64</v>
      </c>
      <c r="O26" s="85" t="s">
        <v>55</v>
      </c>
      <c r="P26" s="85" t="s">
        <v>76</v>
      </c>
      <c r="Q26" s="85" t="s">
        <v>73</v>
      </c>
      <c r="R2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6" s="206">
        <f>(1 - ((1 - VLOOKUP(Table4[[#This Row],[Confidentiality]],'Reference - CVSSv3.0'!$B$15:$C$17,2,FALSE)) * (1 - VLOOKUP(Table4[[#This Row],[Integrity]],'Reference - CVSSv3.0'!$B$15:$C$17,2,FALSE)) *  (1 - VLOOKUP(Table4[[#This Row],[Availability]],'Reference - CVSSv3.0'!$B$15:$C$17,2,FALSE))))</f>
        <v>0.73230400000000007</v>
      </c>
      <c r="T26" s="206">
        <f>IF(Table4[[#This Row],[Scope]]="Unchanged",6.42*Table4[[#This Row],[ISC Base]],IF(Table4[[#This Row],[Scope]]="Changed",7.52*(Table4[[#This Row],[ISC Base]] - 0.029) - 3.25 * POWER(Table4[[#This Row],[ISC Base]] - 0.02,15),NA()))</f>
        <v>4.7013916800000004</v>
      </c>
      <c r="U2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6" s="178" t="s">
        <v>55</v>
      </c>
      <c r="W26" s="206">
        <f>VLOOKUP(Table4[[#This Row],[Threat Event Initiation]],NIST_Scale_LOAI[],2,FALSE)</f>
        <v>0.2</v>
      </c>
      <c r="X2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335" t="s">
        <v>597</v>
      </c>
      <c r="AA26" s="250"/>
      <c r="AB26" s="212"/>
      <c r="AC26" s="201"/>
      <c r="AD26" s="201"/>
      <c r="AE26" s="201"/>
      <c r="AF26" s="204"/>
      <c r="AG26" s="204"/>
      <c r="AH26" s="204"/>
      <c r="AI26" s="204"/>
      <c r="AJ26" s="209"/>
      <c r="AK2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06" t="e">
        <f>(1 - ((1 - VLOOKUP(Table4[[#This Row],[ConfidentialityP]],'Reference - CVSSv3.0'!$B$15:$C$17,2,FALSE)) * (1 - VLOOKUP(Table4[[#This Row],[IntegrityP]],'Reference - CVSSv3.0'!$B$15:$C$17,2,FALSE)) *  (1 - VLOOKUP(Table4[[#This Row],[AvailabilityP]],'Reference - CVSSv3.0'!$B$15:$C$17,2,FALSE))))</f>
        <v>#N/A</v>
      </c>
      <c r="AM26" s="206" t="e">
        <f>IF(Table4[[#This Row],[ScopeP]]="Unchanged",6.42*Table4[[#This Row],[ISC BaseP]],IF(Table4[[#This Row],[ScopeP]]="Changed",7.52*(Table4[[#This Row],[ISC BaseP]] - 0.029) - 3.25 * POWER(Table4[[#This Row],[ISC BaseP]] - 0.02,15),NA()))</f>
        <v>#N/A</v>
      </c>
      <c r="AN2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01"/>
    </row>
    <row r="27" spans="1:43" ht="85.5" x14ac:dyDescent="0.25">
      <c r="A27" s="300">
        <v>23</v>
      </c>
      <c r="B27" s="235" t="s">
        <v>341</v>
      </c>
      <c r="C27" s="253" t="str">
        <f>IF(VLOOKUP(Table4[[#This Row],[T ID]],Table5[#All],5,FALSE)="No","Not in scope",VLOOKUP(Table4[[#This Row],[T ID]],Table5[#All],2,FALSE))</f>
        <v xml:space="preserve">Unexpected/Damaged input to CT Knee Intra-op </v>
      </c>
      <c r="D27" s="235" t="s">
        <v>345</v>
      </c>
      <c r="E27" s="253" t="str">
        <f>IF(VLOOKUP(Table4[[#This Row],[V ID]],Vulnerabilities[#All],3,FALSE)="No","Not in scope",VLOOKUP(Table4[[#This Row],[V ID]],Vulnerabilities[#All],2,FALSE))</f>
        <v>Lack of input sanitization in knee intra-op application</v>
      </c>
      <c r="F27" s="254" t="s">
        <v>320</v>
      </c>
      <c r="G27" s="253" t="str">
        <f>VLOOKUP(Table4[[#This Row],[A ID]],Assets[#All],3,FALSE)</f>
        <v>Patient Health Information in transit (PHI)</v>
      </c>
      <c r="H27" s="264" t="s">
        <v>442</v>
      </c>
      <c r="I27" s="235"/>
      <c r="J27" s="285" t="s">
        <v>76</v>
      </c>
      <c r="K27" s="285" t="s">
        <v>64</v>
      </c>
      <c r="L27" s="285" t="s">
        <v>55</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t="s">
        <v>628</v>
      </c>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1.25" x14ac:dyDescent="0.25">
      <c r="A28" s="300">
        <v>24</v>
      </c>
      <c r="B28" s="235" t="s">
        <v>346</v>
      </c>
      <c r="C28" s="253" t="str">
        <f>IF(VLOOKUP(Table4[[#This Row],[T ID]],Table5[#All],5,FALSE)="No","Not in scope",VLOOKUP(Table4[[#This Row],[T ID]],Table5[#All],2,FALSE))</f>
        <v>Malware affected input device</v>
      </c>
      <c r="D28" s="235" t="s">
        <v>140</v>
      </c>
      <c r="E28" s="253" t="str">
        <f>IF(VLOOKUP(Table4[[#This Row],[V ID]],Vulnerabilities[#All],3,FALSE)="No","Not in scope",VLOOKUP(Table4[[#This Row],[V ID]],Vulnerabilities[#All],2,FALSE))</f>
        <v>Unprotected external USB Port</v>
      </c>
      <c r="F28" s="254" t="s">
        <v>318</v>
      </c>
      <c r="G28" s="253" t="str">
        <f>VLOOKUP(Table4[[#This Row],[A ID]],Assets[#All],3,FALSE)</f>
        <v>Input device to Intra-OP</v>
      </c>
      <c r="H28" s="264" t="s">
        <v>443</v>
      </c>
      <c r="I28" s="235"/>
      <c r="J28" s="285" t="s">
        <v>76</v>
      </c>
      <c r="K28" s="285" t="s">
        <v>55</v>
      </c>
      <c r="L28" s="285" t="s">
        <v>64</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335" t="s">
        <v>603</v>
      </c>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142.5" x14ac:dyDescent="0.25">
      <c r="A29" s="300">
        <v>25</v>
      </c>
      <c r="B29" s="235" t="s">
        <v>349</v>
      </c>
      <c r="C29" s="253" t="str">
        <f>IF(VLOOKUP(Table4[[#This Row],[T ID]],Table5[#All],5,FALSE)="No","Not in scope",VLOOKUP(Table4[[#This Row],[T ID]],Table5[#All],2,FALSE))</f>
        <v>Critical data transfer involving the removable device</v>
      </c>
      <c r="D29" s="235" t="s">
        <v>140</v>
      </c>
      <c r="E29" s="253" t="str">
        <f>IF(VLOOKUP(Table4[[#This Row],[V ID]],Vulnerabilities[#All],3,FALSE)="No","Not in scope",VLOOKUP(Table4[[#This Row],[V ID]],Vulnerabilities[#All],2,FALSE))</f>
        <v>Unprotected external USB Port</v>
      </c>
      <c r="F29" s="338" t="s">
        <v>320</v>
      </c>
      <c r="G29" s="253" t="str">
        <f>VLOOKUP(Table4[[#This Row],[A ID]],Assets[#All],3,FALSE)</f>
        <v>Patient Health Information in transit (PHI)</v>
      </c>
      <c r="H29" s="264" t="s">
        <v>444</v>
      </c>
      <c r="I29" s="235"/>
      <c r="J29" s="285" t="s">
        <v>55</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0.39159999999999995</v>
      </c>
      <c r="T29" s="257">
        <f>IF(Table4[[#This Row],[Scope]]="Unchanged",6.42*Table4[[#This Row],[ISC Base]],IF(Table4[[#This Row],[Scope]]="Changed",7.52*(Table4[[#This Row],[ISC Base]] - 0.029) - 3.25 * POWER(Table4[[#This Row],[ISC Base]] - 0.02,15),NA()))</f>
        <v>2.5140719999999996</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9" s="258" t="s">
        <v>55</v>
      </c>
      <c r="W29" s="257">
        <f>VLOOKUP(Table4[[#This Row],[Threat Event Initiation]],NIST_Scale_LOAI[],2,FALSE)</f>
        <v>0.2</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64" t="s">
        <v>629</v>
      </c>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99.75" x14ac:dyDescent="0.25">
      <c r="A30" s="300">
        <v>26</v>
      </c>
      <c r="B30" s="235" t="s">
        <v>349</v>
      </c>
      <c r="C30" s="253" t="str">
        <f>IF(VLOOKUP(Table4[[#This Row],[T ID]],Table5[#All],5,FALSE)="No","Not in scope",VLOOKUP(Table4[[#This Row],[T ID]],Table5[#All],2,FALSE))</f>
        <v>Critical data transfer involving the removable device</v>
      </c>
      <c r="D30" s="235" t="s">
        <v>332</v>
      </c>
      <c r="E30" s="253" t="str">
        <f>IF(VLOOKUP(Table4[[#This Row],[V ID]],Vulnerabilities[#All],3,FALSE)="No","Not in scope",VLOOKUP(Table4[[#This Row],[V ID]],Vulnerabilities[#All],2,FALSE))</f>
        <v>Malicious activities not being recorded in administrator/user logs</v>
      </c>
      <c r="F30" s="338" t="s">
        <v>320</v>
      </c>
      <c r="G30" s="253" t="str">
        <f>VLOOKUP(Table4[[#This Row],[A ID]],Assets[#All],3,FALSE)</f>
        <v>Patient Health Information in transit (PHI)</v>
      </c>
      <c r="H30" s="264" t="s">
        <v>444</v>
      </c>
      <c r="I30" s="235"/>
      <c r="J30" s="285" t="s">
        <v>64</v>
      </c>
      <c r="K30" s="285" t="s">
        <v>55</v>
      </c>
      <c r="L30" s="285" t="s">
        <v>76</v>
      </c>
      <c r="M30" s="255" t="s">
        <v>74</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57">
        <f>(1 - ((1 - VLOOKUP(Table4[[#This Row],[Confidentiality]],'Reference - CVSSv3.0'!$B$15:$C$17,2,FALSE)) * (1 - VLOOKUP(Table4[[#This Row],[Integrity]],'Reference - CVSSv3.0'!$B$15:$C$17,2,FALSE)) *  (1 - VLOOKUP(Table4[[#This Row],[Availability]],'Reference - CVSSv3.0'!$B$15:$C$17,2,FALSE))))</f>
        <v>0.65680000000000005</v>
      </c>
      <c r="T30" s="257">
        <f>IF(Table4[[#This Row],[Scope]]="Unchanged",6.42*Table4[[#This Row],[ISC Base]],IF(Table4[[#This Row],[Scope]]="Changed",7.52*(Table4[[#This Row],[ISC Base]] - 0.029) - 3.25 * POWER(Table4[[#This Row],[ISC Base]] - 0.02,15),NA()))</f>
        <v>4.2166560000000004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58" t="s">
        <v>48</v>
      </c>
      <c r="W30" s="257">
        <f>VLOOKUP(Table4[[#This Row],[Threat Event Initiation]],NIST_Scale_LOAI[],2,FALSE)</f>
        <v>0.04</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64" t="s">
        <v>630</v>
      </c>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00">
        <v>27</v>
      </c>
      <c r="B31" s="235" t="s">
        <v>351</v>
      </c>
      <c r="C31" s="253" t="str">
        <f>IF(VLOOKUP(Table4[[#This Row],[T ID]],Table5[#All],5,FALSE)="No","Not in scope",VLOOKUP(Table4[[#This Row],[T ID]],Table5[#All],2,FALSE))</f>
        <v>Lack of encryption for input data to Intra-op</v>
      </c>
      <c r="D31" s="235" t="s">
        <v>328</v>
      </c>
      <c r="E31" s="253" t="str">
        <f>IF(VLOOKUP(Table4[[#This Row],[V ID]],Vulnerabilities[#All],3,FALSE)="No","Not in scope",VLOOKUP(Table4[[#This Row],[V ID]],Vulnerabilities[#All],2,FALSE))</f>
        <v>Unencrypted ePHI in transit (as output, input)</v>
      </c>
      <c r="F31" s="338" t="s">
        <v>320</v>
      </c>
      <c r="G31" s="253" t="str">
        <f>VLOOKUP(Table4[[#This Row],[A ID]],Assets[#All],3,FALSE)</f>
        <v>Patient Health Information in transit (PHI)</v>
      </c>
      <c r="H31" s="264" t="s">
        <v>445</v>
      </c>
      <c r="I31" s="235"/>
      <c r="J31" s="285" t="s">
        <v>64</v>
      </c>
      <c r="K31" s="285" t="s">
        <v>64</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0.80640000000000001</v>
      </c>
      <c r="T31" s="257">
        <f>IF(Table4[[#This Row],[Scope]]="Unchanged",6.42*Table4[[#This Row],[ISC Base]],IF(Table4[[#This Row],[Scope]]="Changed",7.52*(Table4[[#This Row],[ISC Base]] - 0.029) - 3.25 * POWER(Table4[[#This Row],[ISC Base]] - 0.02,15),NA()))</f>
        <v>5.1770880000000004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64" t="s">
        <v>631</v>
      </c>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85.5" x14ac:dyDescent="0.25">
      <c r="A32" s="300">
        <v>28</v>
      </c>
      <c r="B32" s="235" t="s">
        <v>351</v>
      </c>
      <c r="C32" s="253" t="str">
        <f>IF(VLOOKUP(Table4[[#This Row],[T ID]],Table5[#All],5,FALSE)="No","Not in scope",VLOOKUP(Table4[[#This Row],[T ID]],Table5[#All],2,FALSE))</f>
        <v>Lack of encryption for input data to Intra-op</v>
      </c>
      <c r="D32" s="235" t="s">
        <v>330</v>
      </c>
      <c r="E32" s="253" t="str">
        <f>IF(VLOOKUP(Table4[[#This Row],[V ID]],Vulnerabilities[#All],3,FALSE)="No","Not in scope",VLOOKUP(Table4[[#This Row],[V ID]],Vulnerabilities[#All],2,FALSE))</f>
        <v>Use of a Broken or Risky Cryptographic Algorithm or Inadequate encryption strength in Intra-op application</v>
      </c>
      <c r="F32" s="338" t="s">
        <v>320</v>
      </c>
      <c r="G32" s="253" t="str">
        <f>VLOOKUP(Table4[[#This Row],[A ID]],Assets[#All],3,FALSE)</f>
        <v>Patient Health Information in transit (PHI)</v>
      </c>
      <c r="H32" s="264" t="s">
        <v>445</v>
      </c>
      <c r="I32" s="235"/>
      <c r="J32" s="285" t="s">
        <v>64</v>
      </c>
      <c r="K32" s="285" t="s">
        <v>55</v>
      </c>
      <c r="L32" s="285" t="s">
        <v>76</v>
      </c>
      <c r="M32" s="255" t="s">
        <v>78</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64" t="s">
        <v>631</v>
      </c>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71.25" x14ac:dyDescent="0.25">
      <c r="A33" s="300">
        <v>29</v>
      </c>
      <c r="B33" s="235" t="s">
        <v>353</v>
      </c>
      <c r="C33" s="253" t="str">
        <f>IF(VLOOKUP(Table4[[#This Row],[T ID]],Table5[#All],5,FALSE)="No","Not in scope",VLOOKUP(Table4[[#This Row],[T ID]],Table5[#All],2,FALSE))</f>
        <v>Lack of authentication for the connected removable device</v>
      </c>
      <c r="D33" s="235" t="s">
        <v>401</v>
      </c>
      <c r="E33" s="253" t="str">
        <f>IF(VLOOKUP(Table4[[#This Row],[V ID]],Vulnerabilities[#All],3,FALSE)="No","Not in scope",VLOOKUP(Table4[[#This Row],[V ID]],Vulnerabilities[#All],2,FALSE))</f>
        <v>No proper validation for the removable devices</v>
      </c>
      <c r="F33" s="338" t="s">
        <v>318</v>
      </c>
      <c r="G33" s="253" t="str">
        <f>VLOOKUP(Table4[[#This Row],[A ID]],Assets[#All],3,FALSE)</f>
        <v>Input device to Intra-OP</v>
      </c>
      <c r="H33" s="264" t="s">
        <v>446</v>
      </c>
      <c r="I33" s="235"/>
      <c r="J33" s="285" t="s">
        <v>76</v>
      </c>
      <c r="K33" s="285" t="s">
        <v>55</v>
      </c>
      <c r="L33" s="285" t="s">
        <v>64</v>
      </c>
      <c r="M33" s="255" t="s">
        <v>74</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64" t="s">
        <v>632</v>
      </c>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85.5" x14ac:dyDescent="0.25">
      <c r="A34" s="300">
        <v>30</v>
      </c>
      <c r="B34" s="235" t="s">
        <v>355</v>
      </c>
      <c r="C34" s="253" t="str">
        <f>IF(VLOOKUP(Table4[[#This Row],[T ID]],Table5[#All],5,FALSE)="No","Not in scope",VLOOKUP(Table4[[#This Row],[T ID]],Table5[#All],2,FALSE))</f>
        <v>Absence of data validation</v>
      </c>
      <c r="D34" s="235" t="s">
        <v>345</v>
      </c>
      <c r="E34" s="253" t="str">
        <f>IF(VLOOKUP(Table4[[#This Row],[V ID]],Vulnerabilities[#All],3,FALSE)="No","Not in scope",VLOOKUP(Table4[[#This Row],[V ID]],Vulnerabilities[#All],2,FALSE))</f>
        <v>Lack of input sanitization in knee intra-op application</v>
      </c>
      <c r="F34" s="338" t="s">
        <v>320</v>
      </c>
      <c r="G34" s="253" t="str">
        <f>VLOOKUP(Table4[[#This Row],[A ID]],Assets[#All],3,FALSE)</f>
        <v>Patient Health Information in transit (PHI)</v>
      </c>
      <c r="H34" s="264" t="s">
        <v>442</v>
      </c>
      <c r="I34" s="235"/>
      <c r="J34" s="285" t="s">
        <v>76</v>
      </c>
      <c r="K34" s="285" t="s">
        <v>55</v>
      </c>
      <c r="L34" s="285"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55</v>
      </c>
      <c r="W34" s="257">
        <f>VLOOKUP(Table4[[#This Row],[Threat Event Initiation]],NIST_Scale_LOAI[],2,FALSE)</f>
        <v>0.2</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4" t="s">
        <v>628</v>
      </c>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00">
        <v>31</v>
      </c>
      <c r="B35" s="235" t="s">
        <v>361</v>
      </c>
      <c r="C35" s="253" t="str">
        <f>IF(VLOOKUP(Table4[[#This Row],[T ID]],Table5[#All],5,FALSE)="No","Not in scope",VLOOKUP(Table4[[#This Row],[T ID]],Table5[#All],2,FALSE))</f>
        <v>Broken authentication (user name, password…)</v>
      </c>
      <c r="D35" s="235" t="s">
        <v>404</v>
      </c>
      <c r="E35" s="253" t="str">
        <f>IF(VLOOKUP(Table4[[#This Row],[V ID]],Vulnerabilities[#All],3,FALSE)="No","Not in scope",VLOOKUP(Table4[[#This Row],[V ID]],Vulnerabilities[#All],2,FALSE))</f>
        <v>Lack of multi-factor authentication</v>
      </c>
      <c r="F35" s="311" t="s">
        <v>112</v>
      </c>
      <c r="G35" s="253" t="str">
        <f>VLOOKUP(Table4[[#This Row],[A ID]],Assets[#All],3,FALSE)</f>
        <v>THOR Knee Intra-op Application</v>
      </c>
      <c r="H35" s="264" t="s">
        <v>447</v>
      </c>
      <c r="I35" s="235"/>
      <c r="J35" s="285" t="s">
        <v>76</v>
      </c>
      <c r="K35" s="285" t="s">
        <v>55</v>
      </c>
      <c r="L35" s="285" t="s">
        <v>55</v>
      </c>
      <c r="M35" s="255" t="s">
        <v>78</v>
      </c>
      <c r="N35" s="255" t="s">
        <v>55</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5" s="258" t="s">
        <v>48</v>
      </c>
      <c r="W35" s="257">
        <f>VLOOKUP(Table4[[#This Row],[Threat Event Initiation]],NIST_Scale_LOAI[],2,FALSE)</f>
        <v>0.04</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335" t="s">
        <v>633</v>
      </c>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71.25" x14ac:dyDescent="0.25">
      <c r="A36" s="300">
        <v>32</v>
      </c>
      <c r="B36" s="235" t="s">
        <v>362</v>
      </c>
      <c r="C36" s="253" t="str">
        <f>IF(VLOOKUP(Table4[[#This Row],[T ID]],Table5[#All],5,FALSE)="No","Not in scope",VLOOKUP(Table4[[#This Row],[T ID]],Table5[#All],2,FALSE))</f>
        <v>BRUTE force/Dictonary attacks</v>
      </c>
      <c r="D36" s="235" t="s">
        <v>404</v>
      </c>
      <c r="E36" s="253" t="str">
        <f>IF(VLOOKUP(Table4[[#This Row],[V ID]],Vulnerabilities[#All],3,FALSE)="No","Not in scope",VLOOKUP(Table4[[#This Row],[V ID]],Vulnerabilities[#All],2,FALSE))</f>
        <v>Lack of multi-factor authentication</v>
      </c>
      <c r="F36" s="311" t="s">
        <v>112</v>
      </c>
      <c r="G36" s="253" t="str">
        <f>VLOOKUP(Table4[[#This Row],[A ID]],Assets[#All],3,FALSE)</f>
        <v>THOR Knee Intra-op Application</v>
      </c>
      <c r="H36" s="264" t="s">
        <v>449</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335" t="s">
        <v>633</v>
      </c>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00">
        <v>33</v>
      </c>
      <c r="B37" s="235" t="s">
        <v>362</v>
      </c>
      <c r="C37" s="253" t="str">
        <f>IF(VLOOKUP(Table4[[#This Row],[T ID]],Table5[#All],5,FALSE)="No","Not in scope",VLOOKUP(Table4[[#This Row],[T ID]],Table5[#All],2,FALSE))</f>
        <v>BRUTE force/Dictonary attacks</v>
      </c>
      <c r="D37" s="235" t="s">
        <v>406</v>
      </c>
      <c r="E37" s="253" t="str">
        <f>IF(VLOOKUP(Table4[[#This Row],[V ID]],Vulnerabilities[#All],3,FALSE)="No","Not in scope",VLOOKUP(Table4[[#This Row],[V ID]],Vulnerabilities[#All],2,FALSE))</f>
        <v>Application allowing unlimited login attempts</v>
      </c>
      <c r="F37" s="311" t="s">
        <v>112</v>
      </c>
      <c r="G37" s="253" t="str">
        <f>VLOOKUP(Table4[[#This Row],[A ID]],Assets[#All],3,FALSE)</f>
        <v>THOR Knee Intra-op Application</v>
      </c>
      <c r="H37" s="264" t="s">
        <v>449</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335" t="s">
        <v>640</v>
      </c>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57" x14ac:dyDescent="0.25">
      <c r="A38" s="300">
        <v>34</v>
      </c>
      <c r="B38" s="235" t="s">
        <v>362</v>
      </c>
      <c r="C38" s="253" t="str">
        <f>IF(VLOOKUP(Table4[[#This Row],[T ID]],Table5[#All],5,FALSE)="No","Not in scope",VLOOKUP(Table4[[#This Row],[T ID]],Table5[#All],2,FALSE))</f>
        <v>BRUTE force/Dictonary attacks</v>
      </c>
      <c r="D38" s="235" t="s">
        <v>332</v>
      </c>
      <c r="E38" s="253" t="str">
        <f>IF(VLOOKUP(Table4[[#This Row],[V ID]],Vulnerabilities[#All],3,FALSE)="No","Not in scope",VLOOKUP(Table4[[#This Row],[V ID]],Vulnerabilities[#All],2,FALSE))</f>
        <v>Malicious activities not being recorded in administrator/user logs</v>
      </c>
      <c r="F38" s="311" t="s">
        <v>112</v>
      </c>
      <c r="G38" s="253" t="str">
        <f>VLOOKUP(Table4[[#This Row],[A ID]],Assets[#All],3,FALSE)</f>
        <v>THOR Knee Intra-op Application</v>
      </c>
      <c r="H38" s="264" t="s">
        <v>449</v>
      </c>
      <c r="I38" s="235"/>
      <c r="J38" s="285" t="s">
        <v>76</v>
      </c>
      <c r="K38" s="285" t="s">
        <v>55</v>
      </c>
      <c r="L38" s="285" t="s">
        <v>55</v>
      </c>
      <c r="M38" s="255" t="s">
        <v>77</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8" s="258" t="s">
        <v>54</v>
      </c>
      <c r="W38" s="257">
        <f>VLOOKUP(Table4[[#This Row],[Threat Event Initiation]],NIST_Scale_LOAI[],2,FALSE)</f>
        <v>0.5</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0">
        <v>35</v>
      </c>
      <c r="B39" s="235" t="s">
        <v>364</v>
      </c>
      <c r="C39" s="253" t="str">
        <f>IF(VLOOKUP(Table4[[#This Row],[T ID]],Table5[#All],5,FALSE)="No","Not in scope",VLOOKUP(Table4[[#This Row],[T ID]],Table5[#All],2,FALSE))</f>
        <v>Unauthorized modification of application resources</v>
      </c>
      <c r="D39" s="235" t="s">
        <v>332</v>
      </c>
      <c r="E39" s="253" t="str">
        <f>IF(VLOOKUP(Table4[[#This Row],[V ID]],Vulnerabilities[#All],3,FALSE)="No","Not in scope",VLOOKUP(Table4[[#This Row],[V ID]],Vulnerabilities[#All],2,FALSE))</f>
        <v>Malicious activities not being recorded in administrator/user logs</v>
      </c>
      <c r="F39" s="311" t="s">
        <v>112</v>
      </c>
      <c r="G39" s="253" t="str">
        <f>VLOOKUP(Table4[[#This Row],[A ID]],Assets[#All],3,FALSE)</f>
        <v>THOR Knee Intra-op Application</v>
      </c>
      <c r="H39" s="264" t="s">
        <v>450</v>
      </c>
      <c r="I39" s="235"/>
      <c r="J39" s="285" t="s">
        <v>76</v>
      </c>
      <c r="K39" s="285" t="s">
        <v>64</v>
      </c>
      <c r="L39" s="285" t="s">
        <v>55</v>
      </c>
      <c r="M39" s="255" t="s">
        <v>78</v>
      </c>
      <c r="N39" s="255" t="s">
        <v>64</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9" s="257">
        <f>(1 - ((1 - VLOOKUP(Table4[[#This Row],[Confidentiality]],'Reference - CVSSv3.0'!$B$15:$C$17,2,FALSE)) * (1 - VLOOKUP(Table4[[#This Row],[Integrity]],'Reference - CVSSv3.0'!$B$15:$C$17,2,FALSE)) *  (1 - VLOOKUP(Table4[[#This Row],[Availability]],'Reference - CVSSv3.0'!$B$15:$C$17,2,FALSE))))</f>
        <v>0.65680000000000005</v>
      </c>
      <c r="T39" s="257">
        <f>IF(Table4[[#This Row],[Scope]]="Unchanged",6.42*Table4[[#This Row],[ISC Base]],IF(Table4[[#This Row],[Scope]]="Changed",7.52*(Table4[[#This Row],[ISC Base]] - 0.029) - 3.25 * POWER(Table4[[#This Row],[ISC Base]] - 0.02,15),NA()))</f>
        <v>4.2166560000000004</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258" t="s">
        <v>48</v>
      </c>
      <c r="W39" s="257">
        <f>VLOOKUP(Table4[[#This Row],[Threat Event Initiation]],NIST_Scale_LOAI[],2,FALSE)</f>
        <v>0.04</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0">
        <v>36</v>
      </c>
      <c r="B40" s="235" t="s">
        <v>365</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106</v>
      </c>
      <c r="G40" s="253" t="str">
        <f>VLOOKUP(Table4[[#This Row],[A ID]],Assets[#All],3,FALSE)</f>
        <v>Nav3,3i cart/ System running with windows 8.1</v>
      </c>
      <c r="H40" s="264" t="s">
        <v>451</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t="s">
        <v>605</v>
      </c>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0">
        <v>37</v>
      </c>
      <c r="B41" s="235" t="s">
        <v>365</v>
      </c>
      <c r="C41" s="253" t="str">
        <f>IF(VLOOKUP(Table4[[#This Row],[T ID]],Table5[#All],5,FALSE)="No","Not in scope",VLOOKUP(Table4[[#This Row],[T ID]],Table5[#All],2,FALSE))</f>
        <v>Unpatched/Unmanaged SOUP's</v>
      </c>
      <c r="D41" s="235" t="s">
        <v>138</v>
      </c>
      <c r="E41" s="253" t="str">
        <f>IF(VLOOKUP(Table4[[#This Row],[V ID]],Vulnerabilities[#All],3,FALSE)="No","Not in scope",VLOOKUP(Table4[[#This Row],[V ID]],Vulnerabilities[#All],2,FALSE))</f>
        <v>Unpatched OS</v>
      </c>
      <c r="F41" s="311" t="s">
        <v>112</v>
      </c>
      <c r="G41" s="253" t="str">
        <f>VLOOKUP(Table4[[#This Row],[A ID]],Assets[#All],3,FALSE)</f>
        <v>THOR Knee Intra-op Application</v>
      </c>
      <c r="H41" s="264" t="s">
        <v>451</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t="s">
        <v>605</v>
      </c>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85.5" x14ac:dyDescent="0.25">
      <c r="A42" s="300">
        <v>38</v>
      </c>
      <c r="B42" s="235" t="s">
        <v>365</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106</v>
      </c>
      <c r="G42" s="253" t="str">
        <f>VLOOKUP(Table4[[#This Row],[A ID]],Assets[#All],3,FALSE)</f>
        <v>Nav3,3i cart/ System running with windows 8.1</v>
      </c>
      <c r="H42" s="264" t="s">
        <v>451</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t="s">
        <v>634</v>
      </c>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85.5" x14ac:dyDescent="0.25">
      <c r="A43" s="300">
        <v>39</v>
      </c>
      <c r="B43" s="235" t="s">
        <v>365</v>
      </c>
      <c r="C43" s="253" t="str">
        <f>IF(VLOOKUP(Table4[[#This Row],[T ID]],Table5[#All],5,FALSE)="No","Not in scope",VLOOKUP(Table4[[#This Row],[T ID]],Table5[#All],2,FALSE))</f>
        <v>Unpatched/Unmanaged SOUP's</v>
      </c>
      <c r="D43" s="235" t="s">
        <v>285</v>
      </c>
      <c r="E43" s="253" t="str">
        <f>IF(VLOOKUP(Table4[[#This Row],[V ID]],Vulnerabilities[#All],3,FALSE)="No","Not in scope",VLOOKUP(Table4[[#This Row],[V ID]],Vulnerabilities[#All],2,FALSE))</f>
        <v>Potentially outdated SW-Library SOUPs</v>
      </c>
      <c r="F43" s="311" t="s">
        <v>112</v>
      </c>
      <c r="G43" s="253" t="str">
        <f>VLOOKUP(Table4[[#This Row],[A ID]],Assets[#All],3,FALSE)</f>
        <v>THOR Knee Intra-op Application</v>
      </c>
      <c r="H43" s="264" t="s">
        <v>451</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t="s">
        <v>634</v>
      </c>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128.25" x14ac:dyDescent="0.25">
      <c r="A44" s="300">
        <v>40</v>
      </c>
      <c r="B44" s="235" t="s">
        <v>365</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106</v>
      </c>
      <c r="G44" s="253" t="str">
        <f>VLOOKUP(Table4[[#This Row],[A ID]],Assets[#All],3,FALSE)</f>
        <v>Nav3,3i cart/ System running with windows 8.1</v>
      </c>
      <c r="H44" s="264" t="s">
        <v>451</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335" t="s">
        <v>635</v>
      </c>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128.25" x14ac:dyDescent="0.25">
      <c r="A45" s="300">
        <v>41</v>
      </c>
      <c r="B45" s="235" t="s">
        <v>365</v>
      </c>
      <c r="C45" s="253" t="str">
        <f>IF(VLOOKUP(Table4[[#This Row],[T ID]],Table5[#All],5,FALSE)="No","Not in scope",VLOOKUP(Table4[[#This Row],[T ID]],Table5[#All],2,FALSE))</f>
        <v>Unpatched/Unmanaged SOUP's</v>
      </c>
      <c r="D45" s="235" t="s">
        <v>324</v>
      </c>
      <c r="E45" s="253" t="str">
        <f>IF(VLOOKUP(Table4[[#This Row],[V ID]],Vulnerabilities[#All],3,FALSE)="No","Not in scope",VLOOKUP(Table4[[#This Row],[V ID]],Vulnerabilities[#All],2,FALSE))</f>
        <v>3rd Party Component/SOUP Risk/Dependency not validated</v>
      </c>
      <c r="F45" s="311" t="s">
        <v>112</v>
      </c>
      <c r="G45" s="253" t="str">
        <f>VLOOKUP(Table4[[#This Row],[A ID]],Assets[#All],3,FALSE)</f>
        <v>THOR Knee Intra-op Application</v>
      </c>
      <c r="H45" s="264" t="s">
        <v>451</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335" t="s">
        <v>635</v>
      </c>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85.5" x14ac:dyDescent="0.25">
      <c r="A46" s="300">
        <v>42</v>
      </c>
      <c r="B46" s="235" t="s">
        <v>365</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106</v>
      </c>
      <c r="G46" s="253" t="str">
        <f>VLOOKUP(Table4[[#This Row],[A ID]],Assets[#All],3,FALSE)</f>
        <v>Nav3,3i cart/ System running with windows 8.1</v>
      </c>
      <c r="H46" s="264" t="s">
        <v>451</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342" t="s">
        <v>634</v>
      </c>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85.5" x14ac:dyDescent="0.25">
      <c r="A47" s="300">
        <v>43</v>
      </c>
      <c r="B47" s="235" t="s">
        <v>365</v>
      </c>
      <c r="C47" s="253" t="str">
        <f>IF(VLOOKUP(Table4[[#This Row],[T ID]],Table5[#All],5,FALSE)="No","Not in scope",VLOOKUP(Table4[[#This Row],[T ID]],Table5[#All],2,FALSE))</f>
        <v>Unpatched/Unmanaged SOUP's</v>
      </c>
      <c r="D47" s="235" t="s">
        <v>326</v>
      </c>
      <c r="E47" s="253" t="str">
        <f>IF(VLOOKUP(Table4[[#This Row],[V ID]],Vulnerabilities[#All],3,FALSE)="No","Not in scope",VLOOKUP(Table4[[#This Row],[V ID]],Vulnerabilities[#All],2,FALSE))</f>
        <v>Legacy Systems (outdated HW/SW) being used</v>
      </c>
      <c r="F47" s="311" t="s">
        <v>112</v>
      </c>
      <c r="G47" s="253" t="str">
        <f>VLOOKUP(Table4[[#This Row],[A ID]],Assets[#All],3,FALSE)</f>
        <v>THOR Knee Intra-op Application</v>
      </c>
      <c r="H47" s="264" t="s">
        <v>451</v>
      </c>
      <c r="I47" s="235"/>
      <c r="J47" s="285" t="s">
        <v>76</v>
      </c>
      <c r="K47" s="285" t="s">
        <v>76</v>
      </c>
      <c r="L47" s="285" t="s">
        <v>64</v>
      </c>
      <c r="M47" s="255" t="s">
        <v>78</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57">
        <f>(1 - ((1 - VLOOKUP(Table4[[#This Row],[Confidentiality]],'Reference - CVSSv3.0'!$B$15:$C$17,2,FALSE)) * (1 - VLOOKUP(Table4[[#This Row],[Integrity]],'Reference - CVSSv3.0'!$B$15:$C$17,2,FALSE)) *  (1 - VLOOKUP(Table4[[#This Row],[Availability]],'Reference - CVSSv3.0'!$B$15:$C$17,2,FALSE))))</f>
        <v>0.56000000000000005</v>
      </c>
      <c r="T47" s="257">
        <f>IF(Table4[[#This Row],[Scope]]="Unchanged",6.42*Table4[[#This Row],[ISC Base]],IF(Table4[[#This Row],[Scope]]="Changed",7.52*(Table4[[#This Row],[ISC Base]] - 0.029) - 3.25 * POWER(Table4[[#This Row],[ISC Base]] - 0.02,15),NA()))</f>
        <v>3.5952000000000002</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58" t="s">
        <v>54</v>
      </c>
      <c r="W47" s="257">
        <f>VLOOKUP(Table4[[#This Row],[Threat Event Initiation]],NIST_Scale_LOAI[],2,FALSE)</f>
        <v>0.5</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t="s">
        <v>634</v>
      </c>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114" x14ac:dyDescent="0.25">
      <c r="A48" s="300">
        <v>44</v>
      </c>
      <c r="B48" s="235" t="s">
        <v>366</v>
      </c>
      <c r="C48" s="253" t="str">
        <f>IF(VLOOKUP(Table4[[#This Row],[T ID]],Table5[#All],5,FALSE)="No","Not in scope",VLOOKUP(Table4[[#This Row],[T ID]],Table5[#All],2,FALSE))</f>
        <v>Exploitation of unsecured network elements</v>
      </c>
      <c r="D48" s="235" t="s">
        <v>139</v>
      </c>
      <c r="E48" s="253" t="str">
        <f>IF(VLOOKUP(Table4[[#This Row],[V ID]],Vulnerabilities[#All],3,FALSE)="No","Not in scope",VLOOKUP(Table4[[#This Row],[V ID]],Vulnerabilities[#All],2,FALSE))</f>
        <v>Unprotected network port</v>
      </c>
      <c r="F48" s="335" t="s">
        <v>109</v>
      </c>
      <c r="G48" s="253" t="str">
        <f>VLOOKUP(Table4[[#This Row],[A ID]],Assets[#All],3,FALSE)</f>
        <v>Computer/OS network identification</v>
      </c>
      <c r="H48" s="264" t="s">
        <v>452</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t="s">
        <v>639</v>
      </c>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71.25" x14ac:dyDescent="0.25">
      <c r="A49" s="300">
        <v>45</v>
      </c>
      <c r="B49" s="235" t="s">
        <v>366</v>
      </c>
      <c r="C49" s="253" t="str">
        <f>IF(VLOOKUP(Table4[[#This Row],[T ID]],Table5[#All],5,FALSE)="No","Not in scope",VLOOKUP(Table4[[#This Row],[T ID]],Table5[#All],2,FALSE))</f>
        <v>Exploitation of unsecured network elements</v>
      </c>
      <c r="D49" s="235" t="s">
        <v>140</v>
      </c>
      <c r="E49" s="253" t="str">
        <f>IF(VLOOKUP(Table4[[#This Row],[V ID]],Vulnerabilities[#All],3,FALSE)="No","Not in scope",VLOOKUP(Table4[[#This Row],[V ID]],Vulnerabilities[#All],2,FALSE))</f>
        <v>Unprotected external USB Port</v>
      </c>
      <c r="F49" s="335" t="s">
        <v>109</v>
      </c>
      <c r="G49" s="253" t="str">
        <f>VLOOKUP(Table4[[#This Row],[A ID]],Assets[#All],3,FALSE)</f>
        <v>Computer/OS network identification</v>
      </c>
      <c r="H49" s="264" t="s">
        <v>452</v>
      </c>
      <c r="I49" s="235"/>
      <c r="J49" s="285" t="s">
        <v>76</v>
      </c>
      <c r="K49" s="285" t="s">
        <v>55</v>
      </c>
      <c r="L49" s="285"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55</v>
      </c>
      <c r="W49" s="257">
        <f>VLOOKUP(Table4[[#This Row],[Threat Event Initiation]],NIST_Scale_LOAI[],2,FALSE)</f>
        <v>0.2</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335" t="s">
        <v>603</v>
      </c>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114" x14ac:dyDescent="0.25">
      <c r="A50" s="300">
        <v>46</v>
      </c>
      <c r="B50" s="235" t="s">
        <v>366</v>
      </c>
      <c r="C50" s="253" t="str">
        <f>IF(VLOOKUP(Table4[[#This Row],[T ID]],Table5[#All],5,FALSE)="No","Not in scope",VLOOKUP(Table4[[#This Row],[T ID]],Table5[#All],2,FALSE))</f>
        <v>Exploitation of unsecured network elements</v>
      </c>
      <c r="D50" s="235" t="s">
        <v>327</v>
      </c>
      <c r="E50" s="253" t="str">
        <f>IF(VLOOKUP(Table4[[#This Row],[V ID]],Vulnerabilities[#All],3,FALSE)="No","Not in scope",VLOOKUP(Table4[[#This Row],[V ID]],Vulnerabilities[#All],2,FALSE))</f>
        <v>Non-Tracing of unused external Interfaces (ports etc., )</v>
      </c>
      <c r="F50" s="335" t="s">
        <v>109</v>
      </c>
      <c r="G50" s="253" t="str">
        <f>VLOOKUP(Table4[[#This Row],[A ID]],Assets[#All],3,FALSE)</f>
        <v>Computer/OS network identification</v>
      </c>
      <c r="H50" s="264" t="s">
        <v>452</v>
      </c>
      <c r="I50" s="235"/>
      <c r="J50" s="285" t="s">
        <v>76</v>
      </c>
      <c r="K50" s="285" t="s">
        <v>55</v>
      </c>
      <c r="L50" s="285" t="s">
        <v>55</v>
      </c>
      <c r="M50" s="255" t="s">
        <v>74</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257">
        <f>(1 - ((1 - VLOOKUP(Table4[[#This Row],[Confidentiality]],'Reference - CVSSv3.0'!$B$15:$C$17,2,FALSE)) * (1 - VLOOKUP(Table4[[#This Row],[Integrity]],'Reference - CVSSv3.0'!$B$15:$C$17,2,FALSE)) *  (1 - VLOOKUP(Table4[[#This Row],[Availability]],'Reference - CVSSv3.0'!$B$15:$C$17,2,FALSE))))</f>
        <v>0.39159999999999995</v>
      </c>
      <c r="T50" s="257">
        <f>IF(Table4[[#This Row],[Scope]]="Unchanged",6.42*Table4[[#This Row],[ISC Base]],IF(Table4[[#This Row],[Scope]]="Changed",7.52*(Table4[[#This Row],[ISC Base]] - 0.029) - 3.25 * POWER(Table4[[#This Row],[ISC Base]] - 0.02,15),NA()))</f>
        <v>2.5140719999999996</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50" s="258" t="s">
        <v>48</v>
      </c>
      <c r="W50" s="257">
        <f>VLOOKUP(Table4[[#This Row],[Threat Event Initiation]],NIST_Scale_LOAI[],2,FALSE)</f>
        <v>0.04</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64" t="s">
        <v>636</v>
      </c>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00">
        <v>47</v>
      </c>
      <c r="B51" s="235" t="s">
        <v>368</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337" t="s">
        <v>585</v>
      </c>
      <c r="G51" s="253" t="str">
        <f>VLOOKUP(Table4[[#This Row],[A ID]],Assets[#All],3,FALSE)</f>
        <v>Patient health information at rest (PHI)</v>
      </c>
      <c r="H51" s="264" t="s">
        <v>453</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t="s">
        <v>637</v>
      </c>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00">
        <v>48</v>
      </c>
      <c r="B52" s="235" t="s">
        <v>368</v>
      </c>
      <c r="C52" s="253" t="str">
        <f>IF(VLOOKUP(Table4[[#This Row],[T ID]],Table5[#All],5,FALSE)="No","Not in scope",VLOOKUP(Table4[[#This Row],[T ID]],Table5[#All],2,FALSE))</f>
        <v>Outdated cryptographic components &amp; techniques</v>
      </c>
      <c r="D52" s="235" t="s">
        <v>147</v>
      </c>
      <c r="E52" s="253" t="str">
        <f>IF(VLOOKUP(Table4[[#This Row],[V ID]],Vulnerabilities[#All],3,FALSE)="No","Not in scope",VLOOKUP(Table4[[#This Row],[V ID]],Vulnerabilities[#All],2,FALSE))</f>
        <v>Unencrypted ePHI at rest</v>
      </c>
      <c r="F52" s="311" t="s">
        <v>112</v>
      </c>
      <c r="G52" s="253" t="str">
        <f>VLOOKUP(Table4[[#This Row],[A ID]],Assets[#All],3,FALSE)</f>
        <v>THOR Knee Intra-op Application</v>
      </c>
      <c r="H52" s="264" t="s">
        <v>453</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t="s">
        <v>637</v>
      </c>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00">
        <v>49</v>
      </c>
      <c r="B53" s="235" t="s">
        <v>368</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337" t="s">
        <v>585</v>
      </c>
      <c r="G53" s="253" t="str">
        <f>VLOOKUP(Table4[[#This Row],[A ID]],Assets[#All],3,FALSE)</f>
        <v>Patient health information at rest (PHI)</v>
      </c>
      <c r="H53" s="264" t="s">
        <v>453</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t="s">
        <v>641</v>
      </c>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142.5" x14ac:dyDescent="0.25">
      <c r="A54" s="300">
        <v>50</v>
      </c>
      <c r="B54" s="235" t="s">
        <v>368</v>
      </c>
      <c r="C54" s="253" t="str">
        <f>IF(VLOOKUP(Table4[[#This Row],[T ID]],Table5[#All],5,FALSE)="No","Not in scope",VLOOKUP(Table4[[#This Row],[T ID]],Table5[#All],2,FALSE))</f>
        <v>Outdated cryptographic components &amp; techniques</v>
      </c>
      <c r="D54" s="235" t="s">
        <v>329</v>
      </c>
      <c r="E54" s="253" t="str">
        <f>IF(VLOOKUP(Table4[[#This Row],[V ID]],Vulnerabilities[#All],3,FALSE)="No","Not in scope",VLOOKUP(Table4[[#This Row],[V ID]],Vulnerabilities[#All],2,FALSE))</f>
        <v>Insecure Storage of Sensitive Information by application</v>
      </c>
      <c r="F54" s="311" t="s">
        <v>112</v>
      </c>
      <c r="G54" s="253" t="str">
        <f>VLOOKUP(Table4[[#This Row],[A ID]],Assets[#All],3,FALSE)</f>
        <v>THOR Knee Intra-op Application</v>
      </c>
      <c r="H54" s="264" t="s">
        <v>453</v>
      </c>
      <c r="I54" s="235"/>
      <c r="J54" s="285" t="s">
        <v>64</v>
      </c>
      <c r="K54" s="285" t="s">
        <v>55</v>
      </c>
      <c r="L54" s="285" t="s">
        <v>55</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0.73230400000000007</v>
      </c>
      <c r="T54" s="257">
        <f>IF(Table4[[#This Row],[Scope]]="Unchanged",6.42*Table4[[#This Row],[ISC Base]],IF(Table4[[#This Row],[Scope]]="Changed",7.52*(Table4[[#This Row],[ISC Base]] - 0.029) - 3.25 * POWER(Table4[[#This Row],[ISC Base]] - 0.02,15),NA()))</f>
        <v>4.7013916800000004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t="s">
        <v>644</v>
      </c>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142.5" x14ac:dyDescent="0.25">
      <c r="A55" s="300">
        <v>51</v>
      </c>
      <c r="B55" s="235" t="s">
        <v>368</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337" t="s">
        <v>585</v>
      </c>
      <c r="G55" s="253" t="str">
        <f>VLOOKUP(Table4[[#This Row],[A ID]],Assets[#All],3,FALSE)</f>
        <v>Patient health information at rest (PHI)</v>
      </c>
      <c r="H55" s="264" t="s">
        <v>453</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t="s">
        <v>643</v>
      </c>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114" x14ac:dyDescent="0.25">
      <c r="A56" s="300">
        <v>52</v>
      </c>
      <c r="B56" s="235" t="s">
        <v>368</v>
      </c>
      <c r="C56" s="253" t="str">
        <f>IF(VLOOKUP(Table4[[#This Row],[T ID]],Table5[#All],5,FALSE)="No","Not in scope",VLOOKUP(Table4[[#This Row],[T ID]],Table5[#All],2,FALSE))</f>
        <v>Outdated cryptographic components &amp; techniques</v>
      </c>
      <c r="D56" s="235" t="s">
        <v>330</v>
      </c>
      <c r="E56" s="253" t="str">
        <f>IF(VLOOKUP(Table4[[#This Row],[V ID]],Vulnerabilities[#All],3,FALSE)="No","Not in scope",VLOOKUP(Table4[[#This Row],[V ID]],Vulnerabilities[#All],2,FALSE))</f>
        <v>Use of a Broken or Risky Cryptographic Algorithm or Inadequate encryption strength in Intra-op application</v>
      </c>
      <c r="F56" s="311" t="s">
        <v>112</v>
      </c>
      <c r="G56" s="253" t="str">
        <f>VLOOKUP(Table4[[#This Row],[A ID]],Assets[#All],3,FALSE)</f>
        <v>THOR Knee Intra-op Application</v>
      </c>
      <c r="H56" s="264" t="s">
        <v>453</v>
      </c>
      <c r="I56" s="235"/>
      <c r="J56" s="285" t="s">
        <v>64</v>
      </c>
      <c r="K56" s="285" t="s">
        <v>55</v>
      </c>
      <c r="L56" s="285" t="s">
        <v>76</v>
      </c>
      <c r="M56" s="255" t="s">
        <v>78</v>
      </c>
      <c r="N56" s="255" t="s">
        <v>55</v>
      </c>
      <c r="O56" s="255" t="s">
        <v>55</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57">
        <f>(1 - ((1 - VLOOKUP(Table4[[#This Row],[Confidentiality]],'Reference - CVSSv3.0'!$B$15:$C$17,2,FALSE)) * (1 - VLOOKUP(Table4[[#This Row],[Integrity]],'Reference - CVSSv3.0'!$B$15:$C$17,2,FALSE)) *  (1 - VLOOKUP(Table4[[#This Row],[Availability]],'Reference - CVSSv3.0'!$B$15:$C$17,2,FALSE))))</f>
        <v>0.65680000000000005</v>
      </c>
      <c r="T56" s="257">
        <f>IF(Table4[[#This Row],[Scope]]="Unchanged",6.42*Table4[[#This Row],[ISC Base]],IF(Table4[[#This Row],[Scope]]="Changed",7.52*(Table4[[#This Row],[ISC Base]] - 0.029) - 3.25 * POWER(Table4[[#This Row],[ISC Base]] - 0.02,15),NA()))</f>
        <v>4.2166560000000004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6" s="258" t="s">
        <v>54</v>
      </c>
      <c r="W56" s="257">
        <f>VLOOKUP(Table4[[#This Row],[Threat Event Initiation]],NIST_Scale_LOAI[],2,FALSE)</f>
        <v>0.5</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t="s">
        <v>642</v>
      </c>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00">
        <v>53</v>
      </c>
      <c r="B57" s="235" t="s">
        <v>373</v>
      </c>
      <c r="C57" s="253" t="str">
        <f>IF(VLOOKUP(Table4[[#This Row],[T ID]],Table5[#All],5,FALSE)="No","Not in scope",VLOOKUP(Table4[[#This Row],[T ID]],Table5[#All],2,FALSE))</f>
        <v>Unauthorized access/modification of secure data</v>
      </c>
      <c r="D57" s="235" t="s">
        <v>333</v>
      </c>
      <c r="E57" s="253" t="str">
        <f>IF(VLOOKUP(Table4[[#This Row],[V ID]],Vulnerabilities[#All],3,FALSE)="No","Not in scope",VLOOKUP(Table4[[#This Row],[V ID]],Vulnerabilities[#All],2,FALSE))</f>
        <v>Unauthorized Audit Log Manipulation, Log Injection-Tampering-Forging</v>
      </c>
      <c r="F57" s="311" t="s">
        <v>112</v>
      </c>
      <c r="G57" s="253" t="str">
        <f>VLOOKUP(Table4[[#This Row],[A ID]],Assets[#All],3,FALSE)</f>
        <v>THOR Knee Intra-op Application</v>
      </c>
      <c r="H57" s="264" t="s">
        <v>454</v>
      </c>
      <c r="I57" s="235"/>
      <c r="J57" s="285" t="s">
        <v>55</v>
      </c>
      <c r="K57" s="285" t="s">
        <v>64</v>
      </c>
      <c r="L57" s="285" t="s">
        <v>55</v>
      </c>
      <c r="M57" s="255" t="s">
        <v>78</v>
      </c>
      <c r="N57" s="255" t="s">
        <v>55</v>
      </c>
      <c r="O57" s="255" t="s">
        <v>64</v>
      </c>
      <c r="P57" s="85" t="s">
        <v>76</v>
      </c>
      <c r="Q57" s="255" t="s">
        <v>73</v>
      </c>
      <c r="R5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7" s="257">
        <f>(1 - ((1 - VLOOKUP(Table4[[#This Row],[Confidentiality]],'Reference - CVSSv3.0'!$B$15:$C$17,2,FALSE)) * (1 - VLOOKUP(Table4[[#This Row],[Integrity]],'Reference - CVSSv3.0'!$B$15:$C$17,2,FALSE)) *  (1 - VLOOKUP(Table4[[#This Row],[Availability]],'Reference - CVSSv3.0'!$B$15:$C$17,2,FALSE))))</f>
        <v>0.73230400000000007</v>
      </c>
      <c r="T57" s="257">
        <f>IF(Table4[[#This Row],[Scope]]="Unchanged",6.42*Table4[[#This Row],[ISC Base]],IF(Table4[[#This Row],[Scope]]="Changed",7.52*(Table4[[#This Row],[ISC Base]] - 0.029) - 3.25 * POWER(Table4[[#This Row],[ISC Base]] - 0.02,15),NA()))</f>
        <v>4.7013916800000004</v>
      </c>
      <c r="U57"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7" s="258" t="s">
        <v>55</v>
      </c>
      <c r="W57" s="257">
        <f>VLOOKUP(Table4[[#This Row],[Threat Event Initiation]],NIST_Scale_LOAI[],2,FALSE)</f>
        <v>0.2</v>
      </c>
      <c r="X5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64" t="s">
        <v>638</v>
      </c>
      <c r="AA57" s="235"/>
      <c r="AB57" s="260"/>
      <c r="AC57" s="235"/>
      <c r="AD57" s="235"/>
      <c r="AE57" s="235"/>
      <c r="AF57" s="255"/>
      <c r="AG57" s="255"/>
      <c r="AH57" s="255"/>
      <c r="AI57" s="255"/>
      <c r="AJ57" s="261"/>
      <c r="AK5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57" t="e">
        <f>(1 - ((1 - VLOOKUP(Table4[[#This Row],[ConfidentialityP]],'Reference - CVSSv3.0'!$B$15:$C$17,2,FALSE)) * (1 - VLOOKUP(Table4[[#This Row],[IntegrityP]],'Reference - CVSSv3.0'!$B$15:$C$17,2,FALSE)) *  (1 - VLOOKUP(Table4[[#This Row],[AvailabilityP]],'Reference - CVSSv3.0'!$B$15:$C$17,2,FALSE))))</f>
        <v>#N/A</v>
      </c>
      <c r="AM57" s="257" t="e">
        <f>IF(Table4[[#This Row],[ScopeP]]="Unchanged",6.42*Table4[[#This Row],[ISC BaseP]],IF(Table4[[#This Row],[ScopeP]]="Changed",7.52*(Table4[[#This Row],[ISC BaseP]] - 0.029) - 3.25 * POWER(Table4[[#This Row],[ISC BaseP]] - 0.02,15),NA()))</f>
        <v>#N/A</v>
      </c>
      <c r="AN5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35"/>
    </row>
    <row r="58" spans="1:43" ht="99.75" x14ac:dyDescent="0.25">
      <c r="A58" s="301">
        <v>54</v>
      </c>
      <c r="B58" s="252" t="s">
        <v>424</v>
      </c>
      <c r="C58" s="274" t="str">
        <f>IF(VLOOKUP(Table4[[#This Row],[T ID]],Table5[#All],5,FALSE)="No","Not in scope",VLOOKUP(Table4[[#This Row],[T ID]],Table5[#All],2,FALSE))</f>
        <v>Risk of using windows 8.1</v>
      </c>
      <c r="D58" s="252" t="s">
        <v>412</v>
      </c>
      <c r="E58" s="274" t="str">
        <f>IF(VLOOKUP(Table4[[#This Row],[V ID]],Vulnerabilities[#All],3,FALSE)="No","Not in scope",VLOOKUP(Table4[[#This Row],[V ID]],Vulnerabilities[#All],2,FALSE))</f>
        <v>Unsupported OS from vendor</v>
      </c>
      <c r="F58" s="275" t="s">
        <v>106</v>
      </c>
      <c r="G58" s="274" t="str">
        <f>VLOOKUP(Table4[[#This Row],[A ID]],Assets[#All],3,FALSE)</f>
        <v>Nav3,3i cart/ System running with windows 8.1</v>
      </c>
      <c r="H58" s="264" t="s">
        <v>455</v>
      </c>
      <c r="I58" s="252"/>
      <c r="J58" s="286" t="s">
        <v>76</v>
      </c>
      <c r="K58" s="286" t="s">
        <v>55</v>
      </c>
      <c r="L58" s="286" t="s">
        <v>64</v>
      </c>
      <c r="M58" s="276" t="s">
        <v>78</v>
      </c>
      <c r="N58" s="276" t="s">
        <v>55</v>
      </c>
      <c r="O58" s="276" t="s">
        <v>55</v>
      </c>
      <c r="P58" s="276" t="s">
        <v>76</v>
      </c>
      <c r="Q58" s="276" t="s">
        <v>73</v>
      </c>
      <c r="R58"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8">
        <f>(1 - ((1 - VLOOKUP(Table4[[#This Row],[Confidentiality]],'Reference - CVSSv3.0'!$B$15:$C$17,2,FALSE)) * (1 - VLOOKUP(Table4[[#This Row],[Integrity]],'Reference - CVSSv3.0'!$B$15:$C$17,2,FALSE)) *  (1 - VLOOKUP(Table4[[#This Row],[Availability]],'Reference - CVSSv3.0'!$B$15:$C$17,2,FALSE))))</f>
        <v>0.65680000000000005</v>
      </c>
      <c r="T58" s="278">
        <f>IF(Table4[[#This Row],[Scope]]="Unchanged",6.42*Table4[[#This Row],[ISC Base]],IF(Table4[[#This Row],[Scope]]="Changed",7.52*(Table4[[#This Row],[ISC Base]] - 0.029) - 3.25 * POWER(Table4[[#This Row],[ISC Base]] - 0.02,15),NA()))</f>
        <v>4.2166560000000004</v>
      </c>
      <c r="U58"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78">
        <f>VLOOKUP(Table4[[#This Row],[Threat Event Initiation]],NIST_Scale_LOAI[],2,FALSE)</f>
        <v>0.5</v>
      </c>
      <c r="X58"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64" t="s">
        <v>606</v>
      </c>
      <c r="AA58" s="252"/>
      <c r="AB58" s="281"/>
      <c r="AC58" s="252"/>
      <c r="AD58" s="252"/>
      <c r="AE58" s="252"/>
      <c r="AF58" s="276"/>
      <c r="AG58" s="276"/>
      <c r="AH58" s="276"/>
      <c r="AI58" s="276"/>
      <c r="AJ58" s="282"/>
      <c r="AK58"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8" t="e">
        <f>(1 - ((1 - VLOOKUP(Table4[[#This Row],[ConfidentialityP]],'Reference - CVSSv3.0'!$B$15:$C$17,2,FALSE)) * (1 - VLOOKUP(Table4[[#This Row],[IntegrityP]],'Reference - CVSSv3.0'!$B$15:$C$17,2,FALSE)) *  (1 - VLOOKUP(Table4[[#This Row],[AvailabilityP]],'Reference - CVSSv3.0'!$B$15:$C$17,2,FALSE))))</f>
        <v>#N/A</v>
      </c>
      <c r="AM58" s="278" t="e">
        <f>IF(Table4[[#This Row],[ScopeP]]="Unchanged",6.42*Table4[[#This Row],[ISC BaseP]],IF(Table4[[#This Row],[ScopeP]]="Changed",7.52*(Table4[[#This Row],[ISC BaseP]] - 0.029) - 3.25 * POWER(Table4[[#This Row],[ISC BaseP]] - 0.02,15),NA()))</f>
        <v>#N/A</v>
      </c>
      <c r="AN58"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2"/>
    </row>
    <row r="59" spans="1:43" ht="99.75" x14ac:dyDescent="0.25">
      <c r="A59" s="302">
        <v>55</v>
      </c>
      <c r="B59" s="250" t="s">
        <v>424</v>
      </c>
      <c r="C59" s="265" t="str">
        <f>IF(VLOOKUP(Table4[[#This Row],[T ID]],Table5[#All],5,FALSE)="No","Not in scope",VLOOKUP(Table4[[#This Row],[T ID]],Table5[#All],2,FALSE))</f>
        <v>Risk of using windows 8.1</v>
      </c>
      <c r="D59" s="250" t="s">
        <v>413</v>
      </c>
      <c r="E59" s="265" t="str">
        <f>IF(VLOOKUP(Table4[[#This Row],[V ID]],Vulnerabilities[#All],3,FALSE)="No","Not in scope",VLOOKUP(Table4[[#This Row],[V ID]],Vulnerabilities[#All],2,FALSE))</f>
        <v xml:space="preserve">Unavailability of support from 3rd party tools for outdated OS </v>
      </c>
      <c r="F59" s="266" t="s">
        <v>106</v>
      </c>
      <c r="G59" s="265" t="str">
        <f>VLOOKUP(Table4[[#This Row],[A ID]],Assets[#All],3,FALSE)</f>
        <v>Nav3,3i cart/ System running with windows 8.1</v>
      </c>
      <c r="H59" s="264" t="s">
        <v>455</v>
      </c>
      <c r="I59" s="250"/>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335" t="s">
        <v>607</v>
      </c>
      <c r="AA59" s="250"/>
      <c r="AB59" s="271"/>
      <c r="AC59" s="250"/>
      <c r="AD59" s="250"/>
      <c r="AE59" s="250"/>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114" x14ac:dyDescent="0.25">
      <c r="A60" s="302">
        <v>56</v>
      </c>
      <c r="B60" s="250" t="s">
        <v>424</v>
      </c>
      <c r="C60" s="265" t="str">
        <f>IF(VLOOKUP(Table4[[#This Row],[T ID]],Table5[#All],5,FALSE)="No","Not in scope",VLOOKUP(Table4[[#This Row],[T ID]],Table5[#All],2,FALSE))</f>
        <v>Risk of using windows 8.1</v>
      </c>
      <c r="D60" s="250" t="s">
        <v>414</v>
      </c>
      <c r="E60" s="265" t="str">
        <f>IF(VLOOKUP(Table4[[#This Row],[V ID]],Vulnerabilities[#All],3,FALSE)="No","Not in scope",VLOOKUP(Table4[[#This Row],[V ID]],Vulnerabilities[#All],2,FALSE))</f>
        <v>OS Security tools from vendor not getting updated</v>
      </c>
      <c r="F60" s="266" t="s">
        <v>106</v>
      </c>
      <c r="G60" s="265" t="str">
        <f>VLOOKUP(Table4[[#This Row],[A ID]],Assets[#All],3,FALSE)</f>
        <v>Nav3,3i cart/ System running with windows 8.1</v>
      </c>
      <c r="H60" s="264" t="s">
        <v>455</v>
      </c>
      <c r="I60" s="250"/>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335" t="s">
        <v>608</v>
      </c>
      <c r="AA60" s="250"/>
      <c r="AB60" s="271"/>
      <c r="AC60" s="250"/>
      <c r="AD60" s="250"/>
      <c r="AE60" s="250"/>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85.5" x14ac:dyDescent="0.25">
      <c r="A61" s="302">
        <v>57</v>
      </c>
      <c r="B61" s="250" t="s">
        <v>424</v>
      </c>
      <c r="C61" s="265" t="str">
        <f>IF(VLOOKUP(Table4[[#This Row],[T ID]],Table5[#All],5,FALSE)="No","Not in scope",VLOOKUP(Table4[[#This Row],[T ID]],Table5[#All],2,FALSE))</f>
        <v>Risk of using windows 8.1</v>
      </c>
      <c r="D61" s="250" t="s">
        <v>417</v>
      </c>
      <c r="E61" s="265" t="str">
        <f>IF(VLOOKUP(Table4[[#This Row],[V ID]],Vulnerabilities[#All],3,FALSE)="No","Not in scope",VLOOKUP(Table4[[#This Row],[V ID]],Vulnerabilities[#All],2,FALSE))</f>
        <v>Absence of periodic backup plan</v>
      </c>
      <c r="F61" s="266" t="s">
        <v>106</v>
      </c>
      <c r="G61" s="265" t="str">
        <f>VLOOKUP(Table4[[#This Row],[A ID]],Assets[#All],3,FALSE)</f>
        <v>Nav3,3i cart/ System running with windows 8.1</v>
      </c>
      <c r="H61" s="264" t="s">
        <v>455</v>
      </c>
      <c r="I61" s="250"/>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335" t="s">
        <v>609</v>
      </c>
      <c r="AA61" s="250"/>
      <c r="AB61" s="271"/>
      <c r="AC61" s="250"/>
      <c r="AD61" s="250"/>
      <c r="AE61" s="250"/>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71.25" x14ac:dyDescent="0.25">
      <c r="A62" s="302">
        <v>58</v>
      </c>
      <c r="B62" s="250" t="s">
        <v>424</v>
      </c>
      <c r="C62" s="265" t="str">
        <f>IF(VLOOKUP(Table4[[#This Row],[T ID]],Table5[#All],5,FALSE)="No","Not in scope",VLOOKUP(Table4[[#This Row],[T ID]],Table5[#All],2,FALSE))</f>
        <v>Risk of using windows 8.1</v>
      </c>
      <c r="D62" s="250" t="s">
        <v>421</v>
      </c>
      <c r="E62" s="265" t="str">
        <f>IF(VLOOKUP(Table4[[#This Row],[V ID]],Vulnerabilities[#All],3,FALSE)="No","Not in scope",VLOOKUP(Table4[[#This Row],[V ID]],Vulnerabilities[#All],2,FALSE))</f>
        <v>Corrupted OS and absence of restore points</v>
      </c>
      <c r="F62" s="266" t="s">
        <v>106</v>
      </c>
      <c r="G62" s="265" t="str">
        <f>VLOOKUP(Table4[[#This Row],[A ID]],Assets[#All],3,FALSE)</f>
        <v>Nav3,3i cart/ System running with windows 8.1</v>
      </c>
      <c r="H62" s="264" t="s">
        <v>455</v>
      </c>
      <c r="I62" s="250"/>
      <c r="J62" s="286" t="s">
        <v>76</v>
      </c>
      <c r="K62" s="286" t="s">
        <v>55</v>
      </c>
      <c r="L62" s="286" t="s">
        <v>64</v>
      </c>
      <c r="M62" s="276" t="s">
        <v>78</v>
      </c>
      <c r="N62" s="276" t="s">
        <v>55</v>
      </c>
      <c r="O62" s="276" t="s">
        <v>55</v>
      </c>
      <c r="P62" s="276" t="s">
        <v>76</v>
      </c>
      <c r="Q62" s="276" t="s">
        <v>73</v>
      </c>
      <c r="R6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69">
        <f>(1 - ((1 - VLOOKUP(Table4[[#This Row],[Confidentiality]],'Reference - CVSSv3.0'!$B$15:$C$17,2,FALSE)) * (1 - VLOOKUP(Table4[[#This Row],[Integrity]],'Reference - CVSSv3.0'!$B$15:$C$17,2,FALSE)) *  (1 - VLOOKUP(Table4[[#This Row],[Availability]],'Reference - CVSSv3.0'!$B$15:$C$17,2,FALSE))))</f>
        <v>0.65680000000000005</v>
      </c>
      <c r="T62" s="269">
        <f>IF(Table4[[#This Row],[Scope]]="Unchanged",6.42*Table4[[#This Row],[ISC Base]],IF(Table4[[#This Row],[Scope]]="Changed",7.52*(Table4[[#This Row],[ISC Base]] - 0.029) - 3.25 * POWER(Table4[[#This Row],[ISC Base]] - 0.02,15),NA()))</f>
        <v>4.2166560000000004</v>
      </c>
      <c r="U6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279" t="s">
        <v>54</v>
      </c>
      <c r="W62" s="269">
        <f>VLOOKUP(Table4[[#This Row],[Threat Event Initiation]],NIST_Scale_LOAI[],2,FALSE)</f>
        <v>0.5</v>
      </c>
      <c r="X6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335" t="s">
        <v>610</v>
      </c>
      <c r="AA62" s="250"/>
      <c r="AB62" s="271"/>
      <c r="AC62" s="250"/>
      <c r="AD62" s="250"/>
      <c r="AE62" s="250"/>
      <c r="AF62" s="267"/>
      <c r="AG62" s="267"/>
      <c r="AH62" s="267"/>
      <c r="AI62" s="267"/>
      <c r="AJ62" s="272"/>
      <c r="AK6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69" t="e">
        <f>(1 - ((1 - VLOOKUP(Table4[[#This Row],[ConfidentialityP]],'Reference - CVSSv3.0'!$B$15:$C$17,2,FALSE)) * (1 - VLOOKUP(Table4[[#This Row],[IntegrityP]],'Reference - CVSSv3.0'!$B$15:$C$17,2,FALSE)) *  (1 - VLOOKUP(Table4[[#This Row],[AvailabilityP]],'Reference - CVSSv3.0'!$B$15:$C$17,2,FALSE))))</f>
        <v>#N/A</v>
      </c>
      <c r="AM62" s="269" t="e">
        <f>IF(Table4[[#This Row],[ScopeP]]="Unchanged",6.42*Table4[[#This Row],[ISC BaseP]],IF(Table4[[#This Row],[ScopeP]]="Changed",7.52*(Table4[[#This Row],[ISC BaseP]] - 0.029) - 3.25 * POWER(Table4[[#This Row],[ISC BaseP]] - 0.02,15),NA()))</f>
        <v>#N/A</v>
      </c>
      <c r="AN6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0"/>
    </row>
    <row r="63" spans="1:43" ht="71.25" x14ac:dyDescent="0.25">
      <c r="A63" s="301">
        <v>59</v>
      </c>
      <c r="B63" s="252" t="s">
        <v>424</v>
      </c>
      <c r="C63" s="274" t="str">
        <f>IF(VLOOKUP(Table4[[#This Row],[T ID]],Table5[#All],5,FALSE)="No","Not in scope",VLOOKUP(Table4[[#This Row],[T ID]],Table5[#All],2,FALSE))</f>
        <v>Risk of using windows 8.1</v>
      </c>
      <c r="D63" s="252" t="s">
        <v>418</v>
      </c>
      <c r="E63" s="274" t="str">
        <f>IF(VLOOKUP(Table4[[#This Row],[V ID]],Vulnerabilities[#All],3,FALSE)="No","Not in scope",VLOOKUP(Table4[[#This Row],[V ID]],Vulnerabilities[#All],2,FALSE))</f>
        <v>Remote exploitation of the system through network</v>
      </c>
      <c r="F63" s="275" t="s">
        <v>106</v>
      </c>
      <c r="G63" s="274" t="str">
        <f>VLOOKUP(Table4[[#This Row],[A ID]],Assets[#All],3,FALSE)</f>
        <v>Nav3,3i cart/ System running with windows 8.1</v>
      </c>
      <c r="H63" s="264" t="s">
        <v>455</v>
      </c>
      <c r="I63" s="252"/>
      <c r="J63" s="286" t="s">
        <v>76</v>
      </c>
      <c r="K63" s="286" t="s">
        <v>55</v>
      </c>
      <c r="L63" s="286" t="s">
        <v>64</v>
      </c>
      <c r="M63" s="276" t="s">
        <v>77</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64" t="s">
        <v>611</v>
      </c>
      <c r="AA63" s="252"/>
      <c r="AB63" s="281"/>
      <c r="AC63" s="252"/>
      <c r="AD63" s="252"/>
      <c r="AE63" s="252"/>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85.5" x14ac:dyDescent="0.25">
      <c r="A64" s="301">
        <v>60</v>
      </c>
      <c r="B64" s="252" t="s">
        <v>424</v>
      </c>
      <c r="C64" s="274" t="str">
        <f>IF(VLOOKUP(Table4[[#This Row],[T ID]],Table5[#All],5,FALSE)="No","Not in scope",VLOOKUP(Table4[[#This Row],[T ID]],Table5[#All],2,FALSE))</f>
        <v>Risk of using windows 8.1</v>
      </c>
      <c r="D64" s="252" t="s">
        <v>420</v>
      </c>
      <c r="E64" s="274" t="str">
        <f>IF(VLOOKUP(Table4[[#This Row],[V ID]],Vulnerabilities[#All],3,FALSE)="No","Not in scope",VLOOKUP(Table4[[#This Row],[V ID]],Vulnerabilities[#All],2,FALSE))</f>
        <v>Any malicious service running in the system without being identified</v>
      </c>
      <c r="F64" s="275" t="s">
        <v>106</v>
      </c>
      <c r="G64" s="274" t="str">
        <f>VLOOKUP(Table4[[#This Row],[A ID]],Assets[#All],3,FALSE)</f>
        <v>Nav3,3i cart/ System running with windows 8.1</v>
      </c>
      <c r="H64" s="264" t="s">
        <v>455</v>
      </c>
      <c r="I64" s="252"/>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64" t="s">
        <v>612</v>
      </c>
      <c r="AA64" s="252"/>
      <c r="AB64" s="281"/>
      <c r="AC64" s="252"/>
      <c r="AD64" s="252"/>
      <c r="AE64" s="252"/>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99.75" x14ac:dyDescent="0.25">
      <c r="A65" s="301">
        <v>61</v>
      </c>
      <c r="B65" s="252" t="s">
        <v>424</v>
      </c>
      <c r="C65" s="274" t="str">
        <f>IF(VLOOKUP(Table4[[#This Row],[T ID]],Table5[#All],5,FALSE)="No","Not in scope",VLOOKUP(Table4[[#This Row],[T ID]],Table5[#All],2,FALSE))</f>
        <v>Risk of using windows 8.1</v>
      </c>
      <c r="D65" s="252" t="s">
        <v>425</v>
      </c>
      <c r="E65" s="274" t="str">
        <f>IF(VLOOKUP(Table4[[#This Row],[V ID]],Vulnerabilities[#All],3,FALSE)="No","Not in scope",VLOOKUP(Table4[[#This Row],[V ID]],Vulnerabilities[#All],2,FALSE))</f>
        <v>Unhardened OS and network interfaces</v>
      </c>
      <c r="F65" s="275" t="s">
        <v>106</v>
      </c>
      <c r="G65" s="274" t="str">
        <f>VLOOKUP(Table4[[#This Row],[A ID]],Assets[#All],3,FALSE)</f>
        <v>Nav3,3i cart/ System running with windows 8.1</v>
      </c>
      <c r="H65" s="264" t="s">
        <v>455</v>
      </c>
      <c r="I65" s="252"/>
      <c r="J65" s="286" t="s">
        <v>76</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0.65680000000000005</v>
      </c>
      <c r="T65" s="278">
        <f>IF(Table4[[#This Row],[Scope]]="Unchanged",6.42*Table4[[#This Row],[ISC Base]],IF(Table4[[#This Row],[Scope]]="Changed",7.52*(Table4[[#This Row],[ISC Base]] - 0.029) - 3.25 * POWER(Table4[[#This Row],[ISC Base]] - 0.02,15),NA()))</f>
        <v>4.2166560000000004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79" t="s">
        <v>54</v>
      </c>
      <c r="W65" s="278">
        <f>VLOOKUP(Table4[[#This Row],[Threat Event Initiation]],NIST_Scale_LOAI[],2,FALSE)</f>
        <v>0.5</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64" t="s">
        <v>613</v>
      </c>
      <c r="AA65" s="252"/>
      <c r="AB65" s="281"/>
      <c r="AC65" s="252"/>
      <c r="AD65" s="252"/>
      <c r="AE65" s="252"/>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57" x14ac:dyDescent="0.25">
      <c r="A66" s="301">
        <v>62</v>
      </c>
      <c r="B66" s="252" t="s">
        <v>469</v>
      </c>
      <c r="C66" s="274" t="str">
        <f>IF(VLOOKUP(Table4[[#This Row],[T ID]],Table5[#All],5,FALSE)="No","Not in scope",VLOOKUP(Table4[[#This Row],[T ID]],Table5[#All],2,FALSE))</f>
        <v>Application failed to restore data after any abnormal activity</v>
      </c>
      <c r="D66" s="252" t="s">
        <v>336</v>
      </c>
      <c r="E66" s="274" t="str">
        <f>IF(VLOOKUP(Table4[[#This Row],[V ID]],Vulnerabilities[#All],3,FALSE)="No","Not in scope",VLOOKUP(Table4[[#This Row],[V ID]],Vulnerabilities[#All],2,FALSE))</f>
        <v>Application not having periodic data backup &amp; restore plan</v>
      </c>
      <c r="F66" s="311" t="s">
        <v>112</v>
      </c>
      <c r="G66" s="274" t="str">
        <f>VLOOKUP(Table4[[#This Row],[A ID]],Assets[#All],3,FALSE)</f>
        <v>THOR Knee Intra-op Application</v>
      </c>
      <c r="H66" s="245" t="s">
        <v>473</v>
      </c>
      <c r="I66" s="252"/>
      <c r="J66" s="286" t="s">
        <v>55</v>
      </c>
      <c r="K66" s="286" t="s">
        <v>55</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0.73230400000000007</v>
      </c>
      <c r="T66" s="278">
        <f>IF(Table4[[#This Row],[Scope]]="Unchanged",6.42*Table4[[#This Row],[ISC Base]],IF(Table4[[#This Row],[Scope]]="Changed",7.52*(Table4[[#This Row],[ISC Base]] - 0.029) - 3.25 * POWER(Table4[[#This Row],[ISC Base]] - 0.02,15),NA()))</f>
        <v>4.7013916800000004</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335" t="s">
        <v>614</v>
      </c>
      <c r="AA66" s="252"/>
      <c r="AB66" s="281"/>
      <c r="AC66" s="252"/>
      <c r="AD66" s="252"/>
      <c r="AE66" s="252"/>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2"/>
    </row>
    <row r="67" spans="1:43" ht="71.25" x14ac:dyDescent="0.25">
      <c r="A67" s="310">
        <v>63</v>
      </c>
      <c r="B67" s="252" t="s">
        <v>527</v>
      </c>
      <c r="C67" s="274" t="str">
        <f>IF(VLOOKUP(Table4[[#This Row],[T ID]],Table5[#All],5,FALSE)="No","Not in scope",VLOOKUP(Table4[[#This Row],[T ID]],Table5[#All],2,FALSE))</f>
        <v>Authentication bypass</v>
      </c>
      <c r="D67" s="252" t="s">
        <v>510</v>
      </c>
      <c r="E67" s="274" t="str">
        <f>IF(VLOOKUP(Table4[[#This Row],[V ID]],Vulnerabilities[#All],3,FALSE)="No","Not in scope",VLOOKUP(Table4[[#This Row],[V ID]],Vulnerabilities[#All],2,FALSE))</f>
        <v>Lack of Mandatory password policy for User(s)</v>
      </c>
      <c r="F67" s="275" t="s">
        <v>106</v>
      </c>
      <c r="G67" s="274" t="str">
        <f>VLOOKUP(Table4[[#This Row],[A ID]],Assets[#All],3,FALSE)</f>
        <v>Nav3,3i cart/ System running with windows 8.1</v>
      </c>
      <c r="H67" s="245" t="s">
        <v>558</v>
      </c>
      <c r="I67" s="252"/>
      <c r="J67" s="286" t="s">
        <v>64</v>
      </c>
      <c r="K67" s="286" t="s">
        <v>64</v>
      </c>
      <c r="L67" s="286" t="s">
        <v>64</v>
      </c>
      <c r="M67" s="276" t="s">
        <v>78</v>
      </c>
      <c r="N67" s="276" t="s">
        <v>55</v>
      </c>
      <c r="O67" s="276" t="s">
        <v>55</v>
      </c>
      <c r="P67" s="276" t="s">
        <v>76</v>
      </c>
      <c r="Q67" s="276" t="s">
        <v>73</v>
      </c>
      <c r="R6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78">
        <f>(1 - ((1 - VLOOKUP(Table4[[#This Row],[Confidentiality]],'Reference - CVSSv3.0'!$B$15:$C$17,2,FALSE)) * (1 - VLOOKUP(Table4[[#This Row],[Integrity]],'Reference - CVSSv3.0'!$B$15:$C$17,2,FALSE)) *  (1 - VLOOKUP(Table4[[#This Row],[Availability]],'Reference - CVSSv3.0'!$B$15:$C$17,2,FALSE))))</f>
        <v>0.91481600000000007</v>
      </c>
      <c r="T67" s="278">
        <f>IF(Table4[[#This Row],[Scope]]="Unchanged",6.42*Table4[[#This Row],[ISC Base]],IF(Table4[[#This Row],[Scope]]="Changed",7.52*(Table4[[#This Row],[ISC Base]] - 0.029) - 3.25 * POWER(Table4[[#This Row],[ISC Base]] - 0.02,15),NA()))</f>
        <v>5.8731187200000008</v>
      </c>
      <c r="U67"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7" s="279" t="s">
        <v>64</v>
      </c>
      <c r="W67" s="278">
        <f>VLOOKUP(Table4[[#This Row],[Threat Event Initiation]],NIST_Scale_LOAI[],2,FALSE)</f>
        <v>0.8</v>
      </c>
      <c r="X6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7" s="264" t="s">
        <v>615</v>
      </c>
      <c r="AA67" s="252"/>
      <c r="AB67" s="281"/>
      <c r="AC67" s="252"/>
      <c r="AD67" s="252"/>
      <c r="AE67" s="252"/>
      <c r="AF67" s="276"/>
      <c r="AG67" s="276"/>
      <c r="AH67" s="276"/>
      <c r="AI67" s="276"/>
      <c r="AJ67" s="282"/>
      <c r="AK6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8" t="e">
        <f>(1 - ((1 - VLOOKUP(Table4[[#This Row],[ConfidentialityP]],'Reference - CVSSv3.0'!$B$15:$C$17,2,FALSE)) * (1 - VLOOKUP(Table4[[#This Row],[IntegrityP]],'Reference - CVSSv3.0'!$B$15:$C$17,2,FALSE)) *  (1 - VLOOKUP(Table4[[#This Row],[AvailabilityP]],'Reference - CVSSv3.0'!$B$15:$C$17,2,FALSE))))</f>
        <v>#N/A</v>
      </c>
      <c r="AM67" s="278" t="e">
        <f>IF(Table4[[#This Row],[ScopeP]]="Unchanged",6.42*Table4[[#This Row],[ISC BaseP]],IF(Table4[[#This Row],[ScopeP]]="Changed",7.52*(Table4[[#This Row],[ISC BaseP]] - 0.029) - 3.25 * POWER(Table4[[#This Row],[ISC BaseP]] - 0.02,15),NA()))</f>
        <v>#N/A</v>
      </c>
      <c r="AN6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2"/>
    </row>
    <row r="68" spans="1:43" ht="85.5" x14ac:dyDescent="0.25">
      <c r="A68" s="309">
        <v>64</v>
      </c>
      <c r="B68" s="252" t="s">
        <v>532</v>
      </c>
      <c r="C68" s="265" t="str">
        <f>IF(VLOOKUP(Table4[[#This Row],[T ID]],Table5[#All],5,FALSE)="No","Not in scope",VLOOKUP(Table4[[#This Row],[T ID]],Table5[#All],2,FALSE))</f>
        <v>Complete file system access</v>
      </c>
      <c r="D68" s="252" t="s">
        <v>511</v>
      </c>
      <c r="E68" s="265" t="str">
        <f>IF(VLOOKUP(Table4[[#This Row],[V ID]],Vulnerabilities[#All],3,FALSE)="No","Not in scope",VLOOKUP(Table4[[#This Row],[V ID]],Vulnerabilities[#All],2,FALSE))</f>
        <v>Unrestricted FileSystem Access &amp; Modification</v>
      </c>
      <c r="F68" s="275" t="s">
        <v>106</v>
      </c>
      <c r="G68" s="265" t="str">
        <f>VLOOKUP(Table4[[#This Row],[A ID]],Assets[#All],3,FALSE)</f>
        <v>Nav3,3i cart/ System running with windows 8.1</v>
      </c>
      <c r="H68" s="244" t="s">
        <v>560</v>
      </c>
      <c r="I68" s="250"/>
      <c r="J68" s="286" t="s">
        <v>76</v>
      </c>
      <c r="K68" s="286" t="s">
        <v>64</v>
      </c>
      <c r="L68" s="286" t="s">
        <v>55</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0.65680000000000005</v>
      </c>
      <c r="T68" s="269">
        <f>IF(Table4[[#This Row],[Scope]]="Unchanged",6.42*Table4[[#This Row],[ISC Base]],IF(Table4[[#This Row],[Scope]]="Changed",7.52*(Table4[[#This Row],[ISC Base]] - 0.029) - 3.25 * POWER(Table4[[#This Row],[ISC Base]] - 0.02,15),NA()))</f>
        <v>4.2166560000000004</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335" t="s">
        <v>616</v>
      </c>
      <c r="AA68" s="250"/>
      <c r="AB68" s="271"/>
      <c r="AC68" s="250"/>
      <c r="AD68" s="250"/>
      <c r="AE68" s="250"/>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85.5" x14ac:dyDescent="0.25">
      <c r="A69" s="309">
        <v>65</v>
      </c>
      <c r="B69" s="252" t="s">
        <v>533</v>
      </c>
      <c r="C69" s="265" t="str">
        <f>IF(VLOOKUP(Table4[[#This Row],[T ID]],Table5[#All],5,FALSE)="No","Not in scope",VLOOKUP(Table4[[#This Row],[T ID]],Table5[#All],2,FALSE))</f>
        <v>All kinds of applications/scripts running</v>
      </c>
      <c r="D69" s="252" t="s">
        <v>513</v>
      </c>
      <c r="E69" s="265" t="str">
        <f>IF(VLOOKUP(Table4[[#This Row],[V ID]],Vulnerabilities[#All],3,FALSE)="No","Not in scope",VLOOKUP(Table4[[#This Row],[V ID]],Vulnerabilities[#All],2,FALSE))</f>
        <v xml:space="preserve">Uniform privilege for all Installables </v>
      </c>
      <c r="F69" s="275" t="s">
        <v>106</v>
      </c>
      <c r="G69" s="265" t="str">
        <f>VLOOKUP(Table4[[#This Row],[A ID]],Assets[#All],3,FALSE)</f>
        <v>Nav3,3i cart/ System running with windows 8.1</v>
      </c>
      <c r="H69" s="244" t="s">
        <v>562</v>
      </c>
      <c r="I69" s="250"/>
      <c r="J69" s="286" t="s">
        <v>76</v>
      </c>
      <c r="K69" s="286" t="s">
        <v>76</v>
      </c>
      <c r="L69" s="286" t="s">
        <v>64</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0.56000000000000005</v>
      </c>
      <c r="T69" s="269">
        <f>IF(Table4[[#This Row],[Scope]]="Unchanged",6.42*Table4[[#This Row],[ISC Base]],IF(Table4[[#This Row],[Scope]]="Changed",7.52*(Table4[[#This Row],[ISC Base]] - 0.029) - 3.25 * POWER(Table4[[#This Row],[ISC Base]] - 0.02,15),NA()))</f>
        <v>3.5952000000000002</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335" t="s">
        <v>617</v>
      </c>
      <c r="AA69" s="250"/>
      <c r="AB69" s="271"/>
      <c r="AC69" s="250"/>
      <c r="AD69" s="250"/>
      <c r="AE69" s="250"/>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85.5" x14ac:dyDescent="0.25">
      <c r="A70" s="309">
        <v>66</v>
      </c>
      <c r="B70" s="252" t="s">
        <v>534</v>
      </c>
      <c r="C70" s="265" t="str">
        <f>IF(VLOOKUP(Table4[[#This Row],[T ID]],Table5[#All],5,FALSE)="No","Not in scope",VLOOKUP(Table4[[#This Row],[T ID]],Table5[#All],2,FALSE))</f>
        <v>Unidentified virus existence</v>
      </c>
      <c r="D70" s="252" t="s">
        <v>514</v>
      </c>
      <c r="E70" s="265" t="str">
        <f>IF(VLOOKUP(Table4[[#This Row],[V ID]],Vulnerabilities[#All],3,FALSE)="No","Not in scope",VLOOKUP(Table4[[#This Row],[V ID]],Vulnerabilities[#All],2,FALSE))</f>
        <v>No Manual AV Scanning/Signature Update Option provided</v>
      </c>
      <c r="F70" s="275" t="s">
        <v>106</v>
      </c>
      <c r="G70" s="265" t="str">
        <f>VLOOKUP(Table4[[#This Row],[A ID]],Assets[#All],3,FALSE)</f>
        <v>Nav3,3i cart/ System running with windows 8.1</v>
      </c>
      <c r="H70" s="244" t="s">
        <v>555</v>
      </c>
      <c r="I70" s="250"/>
      <c r="J70" s="286" t="s">
        <v>55</v>
      </c>
      <c r="K70" s="286" t="s">
        <v>64</v>
      </c>
      <c r="L70" s="286" t="s">
        <v>76</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335" t="s">
        <v>618</v>
      </c>
      <c r="AA70" s="250"/>
      <c r="AB70" s="271"/>
      <c r="AC70" s="250"/>
      <c r="AD70" s="250"/>
      <c r="AE70" s="250"/>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114" x14ac:dyDescent="0.25">
      <c r="A71" s="309">
        <v>67</v>
      </c>
      <c r="B71" s="252" t="s">
        <v>535</v>
      </c>
      <c r="C71" s="265" t="str">
        <f>IF(VLOOKUP(Table4[[#This Row],[T ID]],Table5[#All],5,FALSE)="No","Not in scope",VLOOKUP(Table4[[#This Row],[T ID]],Table5[#All],2,FALSE))</f>
        <v>All time system settings modification (during running &amp; bootup)</v>
      </c>
      <c r="D71" s="252" t="s">
        <v>515</v>
      </c>
      <c r="E71" s="265" t="str">
        <f>IF(VLOOKUP(Table4[[#This Row],[V ID]],Vulnerabilities[#All],3,FALSE)="No","Not in scope",VLOOKUP(Table4[[#This Row],[V ID]],Vulnerabilities[#All],2,FALSE))</f>
        <v>Unauthorized Modification to Registry &amp; System Settings</v>
      </c>
      <c r="F71" s="275" t="s">
        <v>106</v>
      </c>
      <c r="G71" s="265" t="str">
        <f>VLOOKUP(Table4[[#This Row],[A ID]],Assets[#All],3,FALSE)</f>
        <v>Nav3,3i cart/ System running with windows 8.1</v>
      </c>
      <c r="H71" s="244" t="s">
        <v>561</v>
      </c>
      <c r="I71" s="250"/>
      <c r="J71" s="286" t="s">
        <v>76</v>
      </c>
      <c r="K71" s="286" t="s">
        <v>64</v>
      </c>
      <c r="L71" s="286" t="s">
        <v>55</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0.65680000000000005</v>
      </c>
      <c r="T71" s="269">
        <f>IF(Table4[[#This Row],[Scope]]="Unchanged",6.42*Table4[[#This Row],[ISC Base]],IF(Table4[[#This Row],[Scope]]="Changed",7.52*(Table4[[#This Row],[ISC Base]] - 0.029) - 3.25 * POWER(Table4[[#This Row],[ISC Base]] - 0.02,15),NA()))</f>
        <v>4.2166560000000004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335" t="s">
        <v>619</v>
      </c>
      <c r="AA71" s="250"/>
      <c r="AB71" s="271"/>
      <c r="AC71" s="250"/>
      <c r="AD71" s="250"/>
      <c r="AE71" s="250"/>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114" x14ac:dyDescent="0.25">
      <c r="A72" s="309">
        <v>68</v>
      </c>
      <c r="B72" s="252" t="s">
        <v>536</v>
      </c>
      <c r="C72" s="265" t="str">
        <f>IF(VLOOKUP(Table4[[#This Row],[T ID]],Table5[#All],5,FALSE)="No","Not in scope",VLOOKUP(Table4[[#This Row],[T ID]],Table5[#All],2,FALSE))</f>
        <v>Deletion of critical/sensitive data</v>
      </c>
      <c r="D72" s="252" t="s">
        <v>518</v>
      </c>
      <c r="E72" s="265" t="str">
        <f>IF(VLOOKUP(Table4[[#This Row],[V ID]],Vulnerabilities[#All],3,FALSE)="No","Not in scope",VLOOKUP(Table4[[#This Row],[V ID]],Vulnerabilities[#All],2,FALSE))</f>
        <v>Open access for Application data (resources, logs, case data etc., )</v>
      </c>
      <c r="F72" s="275" t="s">
        <v>106</v>
      </c>
      <c r="G72" s="265" t="str">
        <f>VLOOKUP(Table4[[#This Row],[A ID]],Assets[#All],3,FALSE)</f>
        <v>Nav3,3i cart/ System running with windows 8.1</v>
      </c>
      <c r="H72" s="244" t="s">
        <v>563</v>
      </c>
      <c r="I72" s="250"/>
      <c r="J72" s="286" t="s">
        <v>64</v>
      </c>
      <c r="K72" s="286" t="s">
        <v>64</v>
      </c>
      <c r="L72" s="286" t="s">
        <v>76</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0.80640000000000001</v>
      </c>
      <c r="T72" s="269">
        <f>IF(Table4[[#This Row],[Scope]]="Unchanged",6.42*Table4[[#This Row],[ISC Base]],IF(Table4[[#This Row],[Scope]]="Changed",7.52*(Table4[[#This Row],[ISC Base]] - 0.029) - 3.25 * POWER(Table4[[#This Row],[ISC Base]] - 0.02,15),NA()))</f>
        <v>5.1770880000000004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335" t="s">
        <v>620</v>
      </c>
      <c r="AA72" s="250"/>
      <c r="AB72" s="271"/>
      <c r="AC72" s="250"/>
      <c r="AD72" s="250"/>
      <c r="AE72" s="250"/>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0"/>
    </row>
    <row r="73" spans="1:43" ht="85.5" x14ac:dyDescent="0.25">
      <c r="A73" s="309">
        <v>69</v>
      </c>
      <c r="B73" s="252" t="s">
        <v>537</v>
      </c>
      <c r="C73" s="265" t="str">
        <f>IF(VLOOKUP(Table4[[#This Row],[T ID]],Table5[#All],5,FALSE)="No","Not in scope",VLOOKUP(Table4[[#This Row],[T ID]],Table5[#All],2,FALSE))</f>
        <v>Illegal OS services access</v>
      </c>
      <c r="D73" s="252" t="s">
        <v>519</v>
      </c>
      <c r="E73" s="265" t="str">
        <f>IF(VLOOKUP(Table4[[#This Row],[V ID]],Vulnerabilities[#All],3,FALSE)="No","Not in scope",VLOOKUP(Table4[[#This Row],[V ID]],Vulnerabilities[#All],2,FALSE))</f>
        <v>Daemon access by unauthorized resources (ex., RDP, etc., )</v>
      </c>
      <c r="F73" s="275" t="s">
        <v>106</v>
      </c>
      <c r="G73" s="265" t="str">
        <f>VLOOKUP(Table4[[#This Row],[A ID]],Assets[#All],3,FALSE)</f>
        <v>Nav3,3i cart/ System running with windows 8.1</v>
      </c>
      <c r="H73" s="244" t="s">
        <v>572</v>
      </c>
      <c r="I73" s="250"/>
      <c r="J73" s="286" t="s">
        <v>76</v>
      </c>
      <c r="K73" s="286" t="s">
        <v>64</v>
      </c>
      <c r="L73" s="286" t="s">
        <v>55</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335" t="s">
        <v>621</v>
      </c>
      <c r="AA73" s="250"/>
      <c r="AB73" s="271"/>
      <c r="AC73" s="250"/>
      <c r="AD73" s="250"/>
      <c r="AE73" s="250"/>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0"/>
    </row>
    <row r="74" spans="1:43" ht="71.25" x14ac:dyDescent="0.25">
      <c r="A74" s="309">
        <v>70</v>
      </c>
      <c r="B74" s="252" t="s">
        <v>538</v>
      </c>
      <c r="C74" s="265" t="str">
        <f>IF(VLOOKUP(Table4[[#This Row],[T ID]],Table5[#All],5,FALSE)="No","Not in scope",VLOOKUP(Table4[[#This Row],[T ID]],Table5[#All],2,FALSE))</f>
        <v>Injection of latest malware/virus</v>
      </c>
      <c r="D74" s="252" t="s">
        <v>520</v>
      </c>
      <c r="E74" s="265" t="str">
        <f>IF(VLOOKUP(Table4[[#This Row],[V ID]],Vulnerabilities[#All],3,FALSE)="No","Not in scope",VLOOKUP(Table4[[#This Row],[V ID]],Vulnerabilities[#All],2,FALSE))</f>
        <v>No Notification mentioning outdated AV Definitions</v>
      </c>
      <c r="F74" s="275" t="s">
        <v>106</v>
      </c>
      <c r="G74" s="265" t="str">
        <f>VLOOKUP(Table4[[#This Row],[A ID]],Assets[#All],3,FALSE)</f>
        <v>Nav3,3i cart/ System running with windows 8.1</v>
      </c>
      <c r="H74" s="244" t="s">
        <v>555</v>
      </c>
      <c r="I74" s="250"/>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335" t="s">
        <v>622</v>
      </c>
      <c r="AA74" s="250"/>
      <c r="AB74" s="271"/>
      <c r="AC74" s="250"/>
      <c r="AD74" s="250"/>
      <c r="AE74" s="250"/>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50"/>
    </row>
    <row r="75" spans="1:43" ht="71.25" x14ac:dyDescent="0.25">
      <c r="A75" s="309">
        <v>71</v>
      </c>
      <c r="B75" s="252" t="s">
        <v>539</v>
      </c>
      <c r="C75" s="265" t="str">
        <f>IF(VLOOKUP(Table4[[#This Row],[T ID]],Table5[#All],5,FALSE)="No","Not in scope",VLOOKUP(Table4[[#This Row],[T ID]],Table5[#All],2,FALSE))</f>
        <v>Deliver direct/undirect malware</v>
      </c>
      <c r="D75" s="252" t="s">
        <v>522</v>
      </c>
      <c r="E75" s="265" t="str">
        <f>IF(VLOOKUP(Table4[[#This Row],[V ID]],Vulnerabilities[#All],3,FALSE)="No","Not in scope",VLOOKUP(Table4[[#This Row],[V ID]],Vulnerabilities[#All],2,FALSE))</f>
        <v>No "on access" Scanning triggered for removable devices</v>
      </c>
      <c r="F75" s="275" t="s">
        <v>106</v>
      </c>
      <c r="G75" s="265" t="str">
        <f>VLOOKUP(Table4[[#This Row],[A ID]],Assets[#All],3,FALSE)</f>
        <v>Nav3,3i cart/ System running with windows 8.1</v>
      </c>
      <c r="H75" s="263" t="s">
        <v>556</v>
      </c>
      <c r="I75" s="250"/>
      <c r="J75" s="286" t="s">
        <v>55</v>
      </c>
      <c r="K75" s="286" t="s">
        <v>64</v>
      </c>
      <c r="L75" s="286" t="s">
        <v>76</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335" t="s">
        <v>623</v>
      </c>
      <c r="AA75" s="250"/>
      <c r="AB75" s="271"/>
      <c r="AC75" s="250"/>
      <c r="AD75" s="250"/>
      <c r="AE75" s="250"/>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50"/>
    </row>
    <row r="76" spans="1:43" ht="114" x14ac:dyDescent="0.25">
      <c r="A76" s="309">
        <v>72</v>
      </c>
      <c r="B76" s="252" t="s">
        <v>540</v>
      </c>
      <c r="C76" s="265" t="str">
        <f>IF(VLOOKUP(Table4[[#This Row],[T ID]],Table5[#All],5,FALSE)="No","Not in scope",VLOOKUP(Table4[[#This Row],[T ID]],Table5[#All],2,FALSE))</f>
        <v>Unvalidated external connected devices</v>
      </c>
      <c r="D76" s="252" t="s">
        <v>524</v>
      </c>
      <c r="E76" s="265" t="str">
        <f>IF(VLOOKUP(Table4[[#This Row],[V ID]],Vulnerabilities[#All],3,FALSE)="No","Not in scope",VLOOKUP(Table4[[#This Row],[V ID]],Vulnerabilities[#All],2,FALSE))</f>
        <v>Lack of authentication for externally connected devices (camera, etc.,)</v>
      </c>
      <c r="F76" s="266" t="s">
        <v>106</v>
      </c>
      <c r="G76" s="265" t="str">
        <f>VLOOKUP(Table4[[#This Row],[A ID]],Assets[#All],3,FALSE)</f>
        <v>Nav3,3i cart/ System running with windows 8.1</v>
      </c>
      <c r="H76" s="264" t="s">
        <v>557</v>
      </c>
      <c r="I76" s="250"/>
      <c r="J76" s="286" t="s">
        <v>76</v>
      </c>
      <c r="K76" s="286" t="s">
        <v>55</v>
      </c>
      <c r="L76" s="286" t="s">
        <v>64</v>
      </c>
      <c r="M76" s="267" t="s">
        <v>78</v>
      </c>
      <c r="N76" s="276" t="s">
        <v>55</v>
      </c>
      <c r="O76" s="276" t="s">
        <v>55</v>
      </c>
      <c r="P76" s="276" t="s">
        <v>76</v>
      </c>
      <c r="Q76" s="276" t="s">
        <v>73</v>
      </c>
      <c r="R76"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69">
        <f>(1 - ((1 - VLOOKUP(Table4[[#This Row],[Confidentiality]],'Reference - CVSSv3.0'!$B$15:$C$17,2,FALSE)) * (1 - VLOOKUP(Table4[[#This Row],[Integrity]],'Reference - CVSSv3.0'!$B$15:$C$17,2,FALSE)) *  (1 - VLOOKUP(Table4[[#This Row],[Availability]],'Reference - CVSSv3.0'!$B$15:$C$17,2,FALSE))))</f>
        <v>0.65680000000000005</v>
      </c>
      <c r="T76" s="269">
        <f>IF(Table4[[#This Row],[Scope]]="Unchanged",6.42*Table4[[#This Row],[ISC Base]],IF(Table4[[#This Row],[Scope]]="Changed",7.52*(Table4[[#This Row],[ISC Base]] - 0.029) - 3.25 * POWER(Table4[[#This Row],[ISC Base]] - 0.02,15),NA()))</f>
        <v>4.2166560000000004</v>
      </c>
      <c r="U76"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6" s="279" t="s">
        <v>54</v>
      </c>
      <c r="W76" s="269">
        <f>VLOOKUP(Table4[[#This Row],[Threat Event Initiation]],NIST_Scale_LOAI[],2,FALSE)</f>
        <v>0.5</v>
      </c>
      <c r="X76"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6"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335" t="s">
        <v>624</v>
      </c>
      <c r="AA76" s="250"/>
      <c r="AB76" s="271"/>
      <c r="AC76" s="250"/>
      <c r="AD76" s="250"/>
      <c r="AE76" s="250"/>
      <c r="AF76" s="267"/>
      <c r="AG76" s="267"/>
      <c r="AH76" s="267"/>
      <c r="AI76" s="267"/>
      <c r="AJ76" s="272"/>
      <c r="AK76"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69" t="e">
        <f>(1 - ((1 - VLOOKUP(Table4[[#This Row],[ConfidentialityP]],'Reference - CVSSv3.0'!$B$15:$C$17,2,FALSE)) * (1 - VLOOKUP(Table4[[#This Row],[IntegrityP]],'Reference - CVSSv3.0'!$B$15:$C$17,2,FALSE)) *  (1 - VLOOKUP(Table4[[#This Row],[AvailabilityP]],'Reference - CVSSv3.0'!$B$15:$C$17,2,FALSE))))</f>
        <v>#N/A</v>
      </c>
      <c r="AM76" s="269" t="e">
        <f>IF(Table4[[#This Row],[ScopeP]]="Unchanged",6.42*Table4[[#This Row],[ISC BaseP]],IF(Table4[[#This Row],[ScopeP]]="Changed",7.52*(Table4[[#This Row],[ISC BaseP]] - 0.029) - 3.25 * POWER(Table4[[#This Row],[ISC BaseP]] - 0.02,15),NA()))</f>
        <v>#N/A</v>
      </c>
      <c r="AN76"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50"/>
    </row>
  </sheetData>
  <mergeCells count="4">
    <mergeCell ref="AC3:AQ3"/>
    <mergeCell ref="Z3:AB3"/>
    <mergeCell ref="F3:I3"/>
    <mergeCell ref="J3:Y3"/>
  </mergeCells>
  <phoneticPr fontId="51" type="noConversion"/>
  <conditionalFormatting sqref="AP5:AP25 Y5:Y76">
    <cfRule type="cellIs" dxfId="19" priority="26" operator="equal">
      <formula>"Critical"</formula>
    </cfRule>
    <cfRule type="cellIs" dxfId="18" priority="27" operator="equal">
      <formula>"HIGH"</formula>
    </cfRule>
    <cfRule type="cellIs" dxfId="17" priority="28" operator="equal">
      <formula>"Medium"</formula>
    </cfRule>
    <cfRule type="cellIs" dxfId="16" priority="29" operator="equal">
      <formula>"None"</formula>
    </cfRule>
    <cfRule type="cellIs" dxfId="15"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Q5:Q76 AJ5:AJ76</xm:sqref>
        </x14:dataValidation>
        <x14:dataValidation type="list" allowBlank="1" showInputMessage="1" showErrorMessage="1" xr:uid="{00000000-0002-0000-0400-00000A000000}">
          <x14:formula1>
            <xm:f>'Reference - CVSSv3.0'!$B$15:$B$18</xm:f>
          </x14:formula1>
          <xm:sqref>J5:L76 AC5:AE76</xm:sqref>
        </x14:dataValidation>
        <x14:dataValidation type="list" allowBlank="1" showInputMessage="1" showErrorMessage="1" xr:uid="{00000000-0002-0000-0400-00000B000000}">
          <x14:formula1>
            <xm:f>'Reference - CVSSv3.0'!$B$6:$B$10</xm:f>
          </x14:formula1>
          <xm:sqref>M5:M76 AF5:AF76</xm:sqref>
        </x14:dataValidation>
        <x14:dataValidation type="list" allowBlank="1" showInputMessage="1" showErrorMessage="1" xr:uid="{00000000-0002-0000-0400-00000C000000}">
          <x14:formula1>
            <xm:f>'Reference - CVSSv3.0'!$E$6:$E$8</xm:f>
          </x14:formula1>
          <xm:sqref>N5:N76 AG5:AG76</xm:sqref>
        </x14:dataValidation>
        <x14:dataValidation type="list" allowBlank="1" showInputMessage="1" showErrorMessage="1" xr:uid="{00000000-0002-0000-0400-00000D000000}">
          <x14:formula1>
            <xm:f>'Reference - CVSSv3.0'!$H$6:$H$9</xm:f>
          </x14:formula1>
          <xm:sqref>O5:O76 AH5:AH76</xm:sqref>
        </x14:dataValidation>
        <x14:dataValidation type="list" allowBlank="1" showInputMessage="1" showErrorMessage="1" xr:uid="{00000000-0002-0000-0400-00000E000000}">
          <x14:formula1>
            <xm:f>'Reference - CVSSv3.0'!$L$6:$L$8</xm:f>
          </x14:formula1>
          <xm:sqref>P5:P76 AI5:AI76</xm:sqref>
        </x14:dataValidation>
        <x14:dataValidation type="list" allowBlank="1" showInputMessage="1" showErrorMessage="1" xr:uid="{00000000-0002-0000-0400-00000F000000}">
          <x14:formula1>
            <xm:f>'Reference - CVSSv3.0'!$Q$5:$Q$10</xm:f>
          </x14:formula1>
          <xm:sqref>V5:V76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activeCell="B4" sqref="B4"/>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48" t="s">
        <v>187</v>
      </c>
      <c r="B1" s="348"/>
      <c r="C1" s="348"/>
      <c r="D1" s="348"/>
      <c r="E1" s="348"/>
      <c r="F1" s="348"/>
      <c r="G1" s="348"/>
    </row>
    <row r="2" spans="1:7" x14ac:dyDescent="0.25">
      <c r="A2" s="349"/>
      <c r="B2" s="349"/>
      <c r="C2" s="349"/>
      <c r="D2" s="349"/>
      <c r="E2" s="349"/>
      <c r="F2" s="349"/>
      <c r="G2" s="349"/>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1. All the removable devices should not be allowed to connect with the systsem
2. Validation of input device should be mandate.</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xml:space="preserve">Performing static code analysis (such as sonarqube) for identification of deviation from the coding standards and vulnerabilities on developed code.
</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T01</v>
      </c>
      <c r="C7" s="45" t="str">
        <f>Table4[[#This Row],[Threat Event(s)]]</f>
        <v>Deliver undirected malware
(CAPEC-185)</v>
      </c>
      <c r="D7" s="53" t="str">
        <f>IF(Table4[[#This Row],[V ID]]&gt;0,Table4[[#This Row],[V ID]],"")</f>
        <v>V18</v>
      </c>
      <c r="E7" s="45" t="str">
        <f>Table4[[#This Row],[Vulnerabilities]]</f>
        <v>Unpatched COTS operating system</v>
      </c>
      <c r="F7" s="53" t="str">
        <f>IF(Table4[[#This Row],[A ID]]&gt;0,Table4[[#This Row],[A ID]],"")</f>
        <v>A09</v>
      </c>
      <c r="G7" s="45" t="str">
        <f>Table4[[#This Row],[Asset]]</f>
        <v>THOR Knee Intra-op Application</v>
      </c>
      <c r="H7"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C5: It shall not be possible to manipulate system files or install malicious software in these sections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V03</v>
      </c>
      <c r="E8" s="45" t="str">
        <f>Table4[[#This Row],[Vulnerabilities]]</f>
        <v>Untrained/Malicious User</v>
      </c>
      <c r="F8" s="53" t="str">
        <f>IF(Table4[[#This Row],[A ID]]&gt;0,Table4[[#This Row],[A ID]],"")</f>
        <v>A01</v>
      </c>
      <c r="G8" s="45" t="str">
        <f>Table4[[#This Row],[Asset]]</f>
        <v>Nav3,3i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1. Set strong password policy for all users.
2. Anti-virus with updated virus definitions</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T02</v>
      </c>
      <c r="C9" s="45" t="str">
        <f>Table4[[#This Row],[Threat Event(s)]]</f>
        <v>Deliver directed malware
(CAPEC-185)</v>
      </c>
      <c r="D9" s="53" t="str">
        <f>IF(Table4[[#This Row],[V ID]]&gt;0,Table4[[#This Row],[V ID]],"")</f>
        <v>v02</v>
      </c>
      <c r="E9" s="45" t="str">
        <f>Table4[[#This Row],[Vulnerabilities]]</f>
        <v>Ineffective management of admin credentials</v>
      </c>
      <c r="F9" s="53" t="str">
        <f>IF(Table4[[#This Row],[A ID]]&gt;0,Table4[[#This Row],[A ID]],"")</f>
        <v>A02</v>
      </c>
      <c r="G9" s="45" t="str">
        <f>Table4[[#This Row],[Asset]]</f>
        <v>Admin Password / Credentials / System Configuration / Certificates</v>
      </c>
      <c r="H9" s="45" t="str">
        <f>IF(Table4[[#This Row],[Impact Description]]&gt;0,Table4[[#This Row],[Impact Description]],"")</f>
        <v>Adversary with direct mal-intent gains local access to the navigation flex cart platform and installs malware in order to gain admin credentials</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55" t="s">
        <v>163</v>
      </c>
      <c r="C13" s="355"/>
      <c r="D13" s="355"/>
      <c r="E13" s="355"/>
      <c r="F13" s="355"/>
      <c r="G13" s="355"/>
      <c r="H13" s="355"/>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66" t="s">
        <v>80</v>
      </c>
      <c r="C3" s="367"/>
      <c r="D3" s="367"/>
      <c r="E3" s="367"/>
      <c r="F3" s="367"/>
      <c r="G3" s="367"/>
      <c r="H3" s="367"/>
      <c r="I3" s="367"/>
      <c r="J3" s="367"/>
      <c r="K3" s="367"/>
      <c r="L3" s="367"/>
      <c r="M3" s="367"/>
      <c r="N3" s="368"/>
      <c r="P3" s="366" t="s">
        <v>65</v>
      </c>
      <c r="Q3" s="367"/>
      <c r="R3" s="368"/>
    </row>
    <row r="4" spans="2:18" s="69" customFormat="1" ht="16.5" thickBot="1" x14ac:dyDescent="0.25">
      <c r="B4" s="373" t="s">
        <v>81</v>
      </c>
      <c r="C4" s="374"/>
      <c r="D4" s="375"/>
      <c r="E4" s="373" t="s">
        <v>82</v>
      </c>
      <c r="F4" s="374"/>
      <c r="G4" s="375"/>
      <c r="H4" s="373" t="s">
        <v>83</v>
      </c>
      <c r="I4" s="374"/>
      <c r="J4" s="374"/>
      <c r="K4" s="375"/>
      <c r="L4" s="376" t="s">
        <v>84</v>
      </c>
      <c r="M4" s="377"/>
      <c r="N4" s="378"/>
      <c r="P4" s="88"/>
      <c r="Q4" s="89" t="s">
        <v>126</v>
      </c>
      <c r="R4" s="90" t="s">
        <v>72</v>
      </c>
    </row>
    <row r="5" spans="2:18" s="69" customFormat="1" ht="16.5" thickBot="1" x14ac:dyDescent="0.25">
      <c r="B5" s="91" t="s">
        <v>85</v>
      </c>
      <c r="C5" s="91" t="s">
        <v>86</v>
      </c>
      <c r="D5" s="91" t="s">
        <v>87</v>
      </c>
      <c r="E5" s="91" t="s">
        <v>88</v>
      </c>
      <c r="F5" s="91" t="s">
        <v>86</v>
      </c>
      <c r="G5" s="91" t="s">
        <v>87</v>
      </c>
      <c r="H5" s="91" t="s">
        <v>85</v>
      </c>
      <c r="I5" s="380" t="s">
        <v>86</v>
      </c>
      <c r="J5" s="381"/>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66" t="s">
        <v>94</v>
      </c>
      <c r="C12" s="367"/>
      <c r="D12" s="367"/>
      <c r="E12" s="367"/>
      <c r="F12" s="367"/>
      <c r="G12" s="367"/>
      <c r="H12" s="367"/>
      <c r="I12" s="367"/>
      <c r="J12" s="367"/>
      <c r="K12" s="367"/>
      <c r="L12" s="367"/>
      <c r="M12" s="367"/>
      <c r="N12" s="368"/>
      <c r="P12" s="157" t="s">
        <v>168</v>
      </c>
      <c r="Q12" s="121" t="s">
        <v>124</v>
      </c>
    </row>
    <row r="13" spans="2:18" s="69" customFormat="1" ht="16.5" thickBot="1" x14ac:dyDescent="0.25">
      <c r="B13" s="369" t="s">
        <v>95</v>
      </c>
      <c r="C13" s="370"/>
      <c r="D13" s="370"/>
      <c r="E13" s="370"/>
      <c r="F13" s="370"/>
      <c r="G13" s="371"/>
      <c r="H13" s="370"/>
      <c r="I13" s="370"/>
      <c r="J13" s="370"/>
      <c r="K13" s="370"/>
      <c r="L13" s="370"/>
      <c r="M13" s="370"/>
      <c r="N13" s="372"/>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66" t="s">
        <v>68</v>
      </c>
      <c r="C20" s="367"/>
      <c r="D20" s="367"/>
      <c r="E20" s="367"/>
      <c r="F20" s="367"/>
      <c r="G20" s="367"/>
      <c r="H20" s="367"/>
      <c r="I20" s="367"/>
      <c r="J20" s="367"/>
      <c r="K20" s="367"/>
      <c r="L20" s="367"/>
      <c r="M20" s="367"/>
      <c r="N20" s="368"/>
    </row>
    <row r="21" spans="2:17" s="69" customFormat="1" ht="42.6" customHeight="1" thickBot="1" x14ac:dyDescent="0.25">
      <c r="B21" s="129" t="s">
        <v>73</v>
      </c>
      <c r="C21" s="382" t="s">
        <v>96</v>
      </c>
      <c r="D21" s="383"/>
      <c r="E21" s="383"/>
      <c r="F21" s="383"/>
      <c r="G21" s="383"/>
      <c r="H21" s="383"/>
      <c r="I21" s="383"/>
      <c r="J21" s="383"/>
      <c r="K21" s="383"/>
      <c r="L21" s="383"/>
      <c r="M21" s="384"/>
      <c r="N21" s="130" t="s">
        <v>97</v>
      </c>
    </row>
    <row r="22" spans="2:17" s="69" customFormat="1" ht="44.1" customHeight="1" thickBot="1" x14ac:dyDescent="0.25">
      <c r="B22" s="131" t="s">
        <v>98</v>
      </c>
      <c r="C22" s="385" t="s">
        <v>99</v>
      </c>
      <c r="D22" s="383"/>
      <c r="E22" s="383"/>
      <c r="F22" s="383"/>
      <c r="G22" s="383"/>
      <c r="H22" s="383"/>
      <c r="I22" s="383"/>
      <c r="J22" s="383"/>
      <c r="K22" s="383"/>
      <c r="L22" s="383"/>
      <c r="M22" s="384"/>
      <c r="N22" s="132" t="s">
        <v>100</v>
      </c>
      <c r="O22" s="133"/>
      <c r="P22" s="133"/>
      <c r="Q22" s="133"/>
    </row>
    <row r="23" spans="2:17" s="69" customFormat="1" ht="16.5" thickBot="1" x14ac:dyDescent="0.25">
      <c r="B23" s="131"/>
      <c r="C23" s="385"/>
      <c r="D23" s="383"/>
      <c r="E23" s="383"/>
      <c r="F23" s="383"/>
      <c r="G23" s="383"/>
      <c r="H23" s="383"/>
      <c r="I23" s="383"/>
      <c r="J23" s="383"/>
      <c r="K23" s="383"/>
      <c r="L23" s="383"/>
      <c r="M23" s="384"/>
      <c r="N23" s="132"/>
    </row>
    <row r="24" spans="2:17" s="69" customFormat="1" ht="14.25" x14ac:dyDescent="0.2"/>
    <row r="25" spans="2:17" s="69" customFormat="1" ht="14.25" x14ac:dyDescent="0.2">
      <c r="B25" s="69" t="s">
        <v>101</v>
      </c>
    </row>
    <row r="26" spans="2:17" s="69" customFormat="1" ht="262.5" customHeight="1" x14ac:dyDescent="0.2">
      <c r="B26" s="47" t="s">
        <v>102</v>
      </c>
      <c r="C26" s="379" t="s">
        <v>103</v>
      </c>
      <c r="D26" s="379"/>
      <c r="E26" s="379"/>
      <c r="F26" s="379"/>
      <c r="G26" s="379"/>
      <c r="H26" s="379"/>
      <c r="I26" s="379"/>
      <c r="J26" s="379"/>
    </row>
    <row r="29" spans="2:17" x14ac:dyDescent="0.25">
      <c r="B29" s="29" t="s">
        <v>162</v>
      </c>
    </row>
    <row r="30" spans="2:17" ht="48" customHeight="1" x14ac:dyDescent="0.25">
      <c r="C30" s="355" t="s">
        <v>163</v>
      </c>
      <c r="D30" s="355"/>
      <c r="E30" s="355"/>
      <c r="F30" s="355"/>
      <c r="G30" s="355"/>
      <c r="H30" s="355"/>
      <c r="I30" s="355"/>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86" t="s">
        <v>24</v>
      </c>
      <c r="B3" s="387"/>
      <c r="C3" s="387"/>
      <c r="E3" s="388" t="s">
        <v>26</v>
      </c>
      <c r="F3" s="389"/>
      <c r="G3" s="389"/>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55" t="s">
        <v>163</v>
      </c>
      <c r="C15" s="355"/>
      <c r="D15" s="355"/>
      <c r="E15" s="355"/>
      <c r="F15" s="355"/>
      <c r="G15" s="355"/>
      <c r="H15" s="355"/>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f7280c85-4820-46e1-84ed-adade287bb5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d49d3b1b-cb78-42c7-8f23-4406c6678d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2022-08-11T11:14:09Z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