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Dr 3-4 review comments docs\"/>
    </mc:Choice>
  </mc:AlternateContent>
  <xr:revisionPtr revIDLastSave="0" documentId="13_ncr:1_{8B99212E-C13D-4618-9F33-8C52A25D1FAA}" xr6:coauthVersionLast="47" xr6:coauthVersionMax="47" xr10:uidLastSave="{00000000-0000-0000-0000-000000000000}"/>
  <bookViews>
    <workbookView xWindow="15" yWindow="90" windowWidth="10155" windowHeight="1080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Assess'!$A$1:$AQ$79</definedName>
    <definedName name="_xlnm.Print_Area" localSheetId="1">'System &amp; Asset Identification'!$A$1:$I$40</definedName>
    <definedName name="_xlnm.Print_Area" localSheetId="3">'Threat Assessment'!$A$1:$O$72</definedName>
    <definedName name="_xlnm.Print_Area" localSheetId="2">'Vulnerability Identification'!$A$1:$I$82</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2" l="1"/>
  <c r="C75" i="12"/>
  <c r="E75" i="12"/>
  <c r="G75" i="12"/>
  <c r="R75" i="12"/>
  <c r="S75" i="12"/>
  <c r="T75" i="12" s="1"/>
  <c r="W75" i="12"/>
  <c r="AK75" i="12"/>
  <c r="AL75" i="12"/>
  <c r="AM75" i="12"/>
  <c r="AO75" i="12" s="1"/>
  <c r="AP75" i="12" s="1"/>
  <c r="X75" i="12" l="1"/>
  <c r="Y75" i="12" s="1"/>
  <c r="AN75" i="12"/>
  <c r="U75" i="12"/>
  <c r="C67" i="12"/>
  <c r="C68" i="12"/>
  <c r="C69" i="12"/>
  <c r="C70" i="12"/>
  <c r="C71" i="12"/>
  <c r="C72" i="12"/>
  <c r="C73" i="12"/>
  <c r="C74" i="12"/>
  <c r="E67" i="12"/>
  <c r="E68" i="12"/>
  <c r="E69" i="12"/>
  <c r="E70" i="12"/>
  <c r="E71" i="12"/>
  <c r="E72" i="12"/>
  <c r="E73" i="12"/>
  <c r="E74" i="12"/>
  <c r="G67" i="12"/>
  <c r="G68" i="12"/>
  <c r="G69" i="12"/>
  <c r="G70" i="12"/>
  <c r="G71" i="12"/>
  <c r="G72" i="12"/>
  <c r="G73" i="12"/>
  <c r="G74" i="12"/>
  <c r="R67" i="12"/>
  <c r="R68" i="12"/>
  <c r="R69" i="12"/>
  <c r="R70" i="12"/>
  <c r="R71" i="12"/>
  <c r="R72" i="12"/>
  <c r="R73" i="12"/>
  <c r="R74" i="12"/>
  <c r="S67" i="12"/>
  <c r="T67" i="12" s="1"/>
  <c r="U67" i="12" s="1"/>
  <c r="S68" i="12"/>
  <c r="T68" i="12" s="1"/>
  <c r="S69" i="12"/>
  <c r="T69" i="12" s="1"/>
  <c r="S70" i="12"/>
  <c r="T70" i="12" s="1"/>
  <c r="S71" i="12"/>
  <c r="T71" i="12" s="1"/>
  <c r="S72" i="12"/>
  <c r="T72" i="12" s="1"/>
  <c r="S73" i="12"/>
  <c r="T73" i="12" s="1"/>
  <c r="U73" i="12" s="1"/>
  <c r="S74" i="12"/>
  <c r="T74" i="12" s="1"/>
  <c r="U74" i="12" s="1"/>
  <c r="W67" i="12"/>
  <c r="W68" i="12"/>
  <c r="W69" i="12"/>
  <c r="W70" i="12"/>
  <c r="W71" i="12"/>
  <c r="W72" i="12"/>
  <c r="W73" i="12"/>
  <c r="W74" i="12"/>
  <c r="AK67" i="12"/>
  <c r="AK68" i="12"/>
  <c r="AK69" i="12"/>
  <c r="AK70" i="12"/>
  <c r="AK71" i="12"/>
  <c r="AK72" i="12"/>
  <c r="AK73" i="12"/>
  <c r="AK74" i="12"/>
  <c r="AL67" i="12"/>
  <c r="AL68" i="12"/>
  <c r="AL69" i="12"/>
  <c r="AL70" i="12"/>
  <c r="AL71" i="12"/>
  <c r="AL72" i="12"/>
  <c r="AL73" i="12"/>
  <c r="AL74" i="12"/>
  <c r="AM67" i="12"/>
  <c r="AN67" i="12" s="1"/>
  <c r="AM68" i="12"/>
  <c r="AO68" i="12" s="1"/>
  <c r="AP68" i="12" s="1"/>
  <c r="AM69" i="12"/>
  <c r="AN69" i="12" s="1"/>
  <c r="AM70" i="12"/>
  <c r="AO70" i="12" s="1"/>
  <c r="AP70" i="12" s="1"/>
  <c r="AM71" i="12"/>
  <c r="AN71" i="12" s="1"/>
  <c r="AM72" i="12"/>
  <c r="AN72" i="12" s="1"/>
  <c r="AM73" i="12"/>
  <c r="AN73" i="12" s="1"/>
  <c r="AM74" i="12"/>
  <c r="AO74" i="12" s="1"/>
  <c r="AP74"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U71" i="12" l="1"/>
  <c r="U70" i="12"/>
  <c r="AN68" i="12"/>
  <c r="X72" i="12"/>
  <c r="Y72" i="12" s="1"/>
  <c r="X69" i="12"/>
  <c r="Y69" i="12" s="1"/>
  <c r="X68" i="12"/>
  <c r="Y68" i="12" s="1"/>
  <c r="X67" i="12"/>
  <c r="Y67" i="12" s="1"/>
  <c r="AO73" i="12"/>
  <c r="AP73" i="12" s="1"/>
  <c r="AO72" i="12"/>
  <c r="AP72" i="12" s="1"/>
  <c r="U69" i="12"/>
  <c r="X66" i="12"/>
  <c r="Y66" i="12" s="1"/>
  <c r="X74" i="12"/>
  <c r="Y74" i="12" s="1"/>
  <c r="X73" i="12"/>
  <c r="Y73" i="12" s="1"/>
  <c r="AN70" i="12"/>
  <c r="X71" i="12"/>
  <c r="Y71" i="12" s="1"/>
  <c r="U72" i="12"/>
  <c r="AO69" i="12"/>
  <c r="AP69" i="12" s="1"/>
  <c r="AO67" i="12"/>
  <c r="AP67" i="12" s="1"/>
  <c r="AN74" i="12"/>
  <c r="U68" i="12"/>
  <c r="X70" i="12"/>
  <c r="Y70" i="12" s="1"/>
  <c r="AO71" i="12"/>
  <c r="AP71" i="12" s="1"/>
  <c r="U29" i="12"/>
  <c r="AO66" i="12"/>
  <c r="AP66" i="12" s="1"/>
  <c r="U66" i="12"/>
  <c r="AO65" i="12"/>
  <c r="AP65" i="12" s="1"/>
  <c r="X65" i="12"/>
  <c r="Y65" i="12" s="1"/>
  <c r="U65" i="12"/>
  <c r="U60" i="12"/>
  <c r="X64" i="12"/>
  <c r="Y64" i="12" s="1"/>
  <c r="X63" i="12"/>
  <c r="Y63" i="12" s="1"/>
  <c r="X59" i="12"/>
  <c r="Y59" i="12" s="1"/>
  <c r="X58" i="12"/>
  <c r="Y58" i="12" s="1"/>
  <c r="U64" i="12"/>
  <c r="U62" i="12"/>
  <c r="U61" i="12"/>
  <c r="U57" i="12"/>
  <c r="X62" i="12"/>
  <c r="Y62" i="12" s="1"/>
  <c r="U59" i="12"/>
  <c r="AO63" i="12"/>
  <c r="AP63" i="12" s="1"/>
  <c r="AN59" i="12"/>
  <c r="AO64" i="12"/>
  <c r="AP64"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2" i="12" l="1"/>
  <c r="R5" i="12" l="1"/>
  <c r="S5" i="12"/>
  <c r="T5" i="12" s="1"/>
  <c r="W5" i="12"/>
  <c r="R7" i="12"/>
  <c r="S7" i="12"/>
  <c r="T7" i="12" s="1"/>
  <c r="W7" i="12"/>
  <c r="R15" i="12"/>
  <c r="S15" i="12"/>
  <c r="T15" i="12" s="1"/>
  <c r="W15" i="12"/>
  <c r="R9" i="12"/>
  <c r="S9" i="12"/>
  <c r="T9" i="12" s="1"/>
  <c r="W9" i="12"/>
  <c r="R10" i="12"/>
  <c r="S10" i="12"/>
  <c r="T10" i="12" s="1"/>
  <c r="W10" i="12"/>
  <c r="R8" i="12"/>
  <c r="S8" i="12"/>
  <c r="T8" i="12" s="1"/>
  <c r="W8" i="12"/>
  <c r="R20" i="12"/>
  <c r="S20" i="12"/>
  <c r="T20" i="12" s="1"/>
  <c r="W20" i="12"/>
  <c r="R14" i="12"/>
  <c r="S14" i="12"/>
  <c r="T14" i="12" s="1"/>
  <c r="W14" i="12"/>
  <c r="R16" i="12"/>
  <c r="S16" i="12"/>
  <c r="T16" i="12" s="1"/>
  <c r="W16" i="12"/>
  <c r="R17" i="12"/>
  <c r="S17" i="12"/>
  <c r="T17" i="12" s="1"/>
  <c r="W17" i="12"/>
  <c r="R18" i="12"/>
  <c r="S18" i="12"/>
  <c r="T18" i="12" s="1"/>
  <c r="W18" i="12"/>
  <c r="R19" i="12"/>
  <c r="S19" i="12"/>
  <c r="T19" i="12" s="1"/>
  <c r="W19" i="12"/>
  <c r="R12" i="12"/>
  <c r="S12" i="12"/>
  <c r="T12" i="12" s="1"/>
  <c r="W12" i="12"/>
  <c r="R13" i="12"/>
  <c r="S13" i="12"/>
  <c r="T13" i="12" s="1"/>
  <c r="W13" i="12"/>
  <c r="R21" i="12"/>
  <c r="S21" i="12"/>
  <c r="T21" i="12" s="1"/>
  <c r="W21" i="12"/>
  <c r="R24" i="12"/>
  <c r="S24" i="12"/>
  <c r="T24" i="12" s="1"/>
  <c r="W24" i="12"/>
  <c r="R23" i="12"/>
  <c r="S23" i="12"/>
  <c r="T23" i="12" s="1"/>
  <c r="W23" i="12"/>
  <c r="R6" i="12"/>
  <c r="S6" i="12"/>
  <c r="T6" i="12" s="1"/>
  <c r="W6" i="12"/>
  <c r="R11" i="12"/>
  <c r="S11" i="12"/>
  <c r="T11" i="12" s="1"/>
  <c r="W11" i="12"/>
  <c r="R25" i="12"/>
  <c r="S25" i="12"/>
  <c r="T25" i="12" s="1"/>
  <c r="W25" i="12"/>
  <c r="R22" i="12"/>
  <c r="S22" i="12"/>
  <c r="T22" i="12" s="1"/>
  <c r="W22" i="12"/>
  <c r="C22" i="12"/>
  <c r="E22" i="12"/>
  <c r="G22" i="12"/>
  <c r="AK22" i="12"/>
  <c r="AL22" i="12"/>
  <c r="AM22" i="12"/>
  <c r="AN22" i="12" s="1"/>
  <c r="C25" i="12"/>
  <c r="E25" i="12"/>
  <c r="G25" i="12"/>
  <c r="AK25" i="12"/>
  <c r="AL25" i="12"/>
  <c r="AM25" i="12"/>
  <c r="AN25" i="12" s="1"/>
  <c r="C20" i="12"/>
  <c r="E20" i="12"/>
  <c r="G20" i="12"/>
  <c r="AK20" i="12"/>
  <c r="AL20" i="12"/>
  <c r="AM20" i="12"/>
  <c r="AO20" i="12" s="1"/>
  <c r="AP20" i="12" s="1"/>
  <c r="C9" i="12"/>
  <c r="E9" i="12"/>
  <c r="G9" i="12"/>
  <c r="AK9" i="12"/>
  <c r="AL9" i="12"/>
  <c r="AM9" i="12"/>
  <c r="AN9" i="12" s="1"/>
  <c r="C7" i="12"/>
  <c r="E7" i="12"/>
  <c r="G7" i="12"/>
  <c r="AK7" i="12"/>
  <c r="AL7" i="12"/>
  <c r="AM7" i="12"/>
  <c r="AO7" i="12" s="1"/>
  <c r="AP7" i="12" s="1"/>
  <c r="C13" i="12"/>
  <c r="E13" i="12"/>
  <c r="G13" i="12"/>
  <c r="AK13" i="12"/>
  <c r="AL13" i="12"/>
  <c r="AM13" i="12"/>
  <c r="AN13" i="12" s="1"/>
  <c r="C21" i="12"/>
  <c r="E21" i="12"/>
  <c r="G21" i="12"/>
  <c r="AK21" i="12"/>
  <c r="AL21" i="12"/>
  <c r="AM21" i="12"/>
  <c r="AN21" i="12" s="1"/>
  <c r="C24" i="12"/>
  <c r="E24" i="12"/>
  <c r="G24" i="12"/>
  <c r="AK24" i="12"/>
  <c r="AL24" i="12"/>
  <c r="AM24" i="12"/>
  <c r="AN24" i="12" s="1"/>
  <c r="C23" i="12"/>
  <c r="E23" i="12"/>
  <c r="G23" i="12"/>
  <c r="AK23" i="12"/>
  <c r="AL23" i="12"/>
  <c r="AM23" i="12"/>
  <c r="AN23" i="12" s="1"/>
  <c r="C6" i="12"/>
  <c r="E6" i="12"/>
  <c r="G6" i="12"/>
  <c r="AK6" i="12"/>
  <c r="AL6" i="12"/>
  <c r="AM6" i="12"/>
  <c r="AN6" i="12" s="1"/>
  <c r="C11" i="12"/>
  <c r="E11" i="12"/>
  <c r="G11" i="12"/>
  <c r="AK11" i="12"/>
  <c r="AL11" i="12"/>
  <c r="AM11" i="12"/>
  <c r="AN11" i="12" s="1"/>
  <c r="E8" i="12"/>
  <c r="G8" i="12"/>
  <c r="AK8" i="12"/>
  <c r="AL8" i="12"/>
  <c r="AM8" i="12"/>
  <c r="AO8" i="12" s="1"/>
  <c r="AP8" i="12" s="1"/>
  <c r="C14" i="12"/>
  <c r="E14" i="12"/>
  <c r="G14" i="12"/>
  <c r="AK14" i="12"/>
  <c r="AL14" i="12"/>
  <c r="AM14" i="12"/>
  <c r="AN14" i="12" s="1"/>
  <c r="C16" i="12"/>
  <c r="E16" i="12"/>
  <c r="G16" i="12"/>
  <c r="AK16" i="12"/>
  <c r="AL16" i="12"/>
  <c r="AM16" i="12"/>
  <c r="AN16" i="12" s="1"/>
  <c r="C17" i="12"/>
  <c r="E17" i="12"/>
  <c r="G17" i="12"/>
  <c r="AK17" i="12"/>
  <c r="AL17" i="12"/>
  <c r="AM17" i="12"/>
  <c r="AN17" i="12" s="1"/>
  <c r="C18" i="12"/>
  <c r="E18" i="12"/>
  <c r="G18" i="12"/>
  <c r="AK18" i="12"/>
  <c r="AL18" i="12"/>
  <c r="AM18" i="12"/>
  <c r="AO18" i="12" s="1"/>
  <c r="AP18" i="12" s="1"/>
  <c r="C19" i="12"/>
  <c r="E19" i="12"/>
  <c r="G19" i="12"/>
  <c r="AK19" i="12"/>
  <c r="AL19" i="12"/>
  <c r="AM19" i="12"/>
  <c r="AN19" i="12" s="1"/>
  <c r="C10" i="12"/>
  <c r="E10" i="12"/>
  <c r="G10" i="12"/>
  <c r="AK10" i="12"/>
  <c r="AL10" i="12"/>
  <c r="AM10" i="12"/>
  <c r="AN10" i="12" s="1"/>
  <c r="U9" i="12" l="1"/>
  <c r="U13" i="12"/>
  <c r="U17" i="12"/>
  <c r="U21" i="12"/>
  <c r="U18" i="12"/>
  <c r="U22" i="12"/>
  <c r="U6" i="12"/>
  <c r="X16" i="12"/>
  <c r="Y16" i="12" s="1"/>
  <c r="X20" i="12"/>
  <c r="Y20" i="12" s="1"/>
  <c r="U24" i="12"/>
  <c r="U19" i="12"/>
  <c r="U8" i="12"/>
  <c r="X11" i="12"/>
  <c r="Y11" i="12" s="1"/>
  <c r="U14" i="12"/>
  <c r="U10" i="12"/>
  <c r="U20" i="12"/>
  <c r="U16" i="12"/>
  <c r="U25" i="12"/>
  <c r="X25" i="12"/>
  <c r="Y25" i="12" s="1"/>
  <c r="U23" i="12"/>
  <c r="X23" i="12"/>
  <c r="Y23" i="12" s="1"/>
  <c r="U11" i="12"/>
  <c r="X24" i="12"/>
  <c r="Y24" i="12" s="1"/>
  <c r="X12" i="12"/>
  <c r="Y12" i="12" s="1"/>
  <c r="U7" i="12"/>
  <c r="X7" i="12"/>
  <c r="Y7" i="12" s="1"/>
  <c r="X10" i="12"/>
  <c r="Y10" i="12" s="1"/>
  <c r="X18" i="12"/>
  <c r="Y18" i="12" s="1"/>
  <c r="X6" i="12"/>
  <c r="Y6" i="12" s="1"/>
  <c r="X14" i="12"/>
  <c r="Y14" i="12" s="1"/>
  <c r="X8" i="12"/>
  <c r="Y8" i="12" s="1"/>
  <c r="U15" i="12"/>
  <c r="X15" i="12"/>
  <c r="Y15" i="12" s="1"/>
  <c r="U5" i="12"/>
  <c r="X5" i="12"/>
  <c r="Y5" i="12" s="1"/>
  <c r="U12" i="12"/>
  <c r="X13" i="12"/>
  <c r="Y13" i="12" s="1"/>
  <c r="X19" i="12"/>
  <c r="Y19" i="12" s="1"/>
  <c r="X22" i="12"/>
  <c r="Y22" i="12" s="1"/>
  <c r="X17" i="12"/>
  <c r="Y17" i="12" s="1"/>
  <c r="X21" i="12"/>
  <c r="Y21" i="12" s="1"/>
  <c r="X9" i="12"/>
  <c r="Y9" i="12" s="1"/>
  <c r="AO22" i="12"/>
  <c r="AP22" i="12" s="1"/>
  <c r="AO25" i="12"/>
  <c r="AP25" i="12" s="1"/>
  <c r="AN20" i="12"/>
  <c r="AN7" i="12"/>
  <c r="AO9" i="12"/>
  <c r="AP9" i="12" s="1"/>
  <c r="AN8" i="12"/>
  <c r="AO11" i="12"/>
  <c r="AP11" i="12" s="1"/>
  <c r="AO23" i="12"/>
  <c r="AP23" i="12" s="1"/>
  <c r="AO14" i="12"/>
  <c r="AP14" i="12" s="1"/>
  <c r="AN18" i="12"/>
  <c r="AO17" i="12"/>
  <c r="AP17" i="12" s="1"/>
  <c r="AO6" i="12"/>
  <c r="AP6" i="12" s="1"/>
  <c r="AO24" i="12"/>
  <c r="AP24" i="12" s="1"/>
  <c r="AO21" i="12"/>
  <c r="AP21" i="12" s="1"/>
  <c r="AO13" i="12"/>
  <c r="AP13" i="12" s="1"/>
  <c r="AO16" i="12"/>
  <c r="AP16" i="12" s="1"/>
  <c r="AO19" i="12"/>
  <c r="AP19" i="12" s="1"/>
  <c r="AO10" i="12"/>
  <c r="AP10"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5" i="12"/>
  <c r="E12" i="12"/>
  <c r="E8" i="21" s="1"/>
  <c r="C5" i="12"/>
  <c r="C5" i="21" s="1"/>
  <c r="C15" i="12"/>
  <c r="C8" i="21" s="1"/>
  <c r="C7" i="21" l="1"/>
  <c r="C9" i="21"/>
  <c r="E9" i="21"/>
  <c r="E7" i="21"/>
  <c r="C6" i="21"/>
  <c r="E6" i="21"/>
  <c r="AL12" i="12" l="1"/>
  <c r="AL15" i="12"/>
  <c r="AK12" i="12"/>
  <c r="AK15" i="12"/>
  <c r="AK5" i="12" l="1"/>
  <c r="AM12" i="12" l="1"/>
  <c r="AM15" i="12"/>
  <c r="AL5" i="12"/>
  <c r="AM5" i="12" s="1"/>
  <c r="AN5" i="12" s="1"/>
  <c r="AN15" i="12" l="1"/>
  <c r="AN12" i="12"/>
  <c r="G12" i="12"/>
  <c r="G15" i="12"/>
  <c r="G7" i="21" l="1"/>
  <c r="G8" i="21"/>
  <c r="G9" i="21"/>
  <c r="AO12" i="12"/>
  <c r="AP12" i="12" s="1"/>
  <c r="AO15" i="12"/>
  <c r="AP15"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<sst xmlns="http://schemas.openxmlformats.org/spreadsheetml/2006/main" count="1901" uniqueCount="648">
  <si>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</si>
  <si>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</si>
  <si>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</si>
  <si>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</si>
  <si>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</si>
  <si>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</si>
  <si>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</si>
  <si>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</si>
  <si>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</si>
  <si>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</si>
  <si>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</si>
  <si>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</si>
  <si>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</si>
  <si>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</si>
  <si>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</si>
  <si>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</si>
  <si>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</si>
  <si>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</si>
  <si>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</si>
  <si>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</si>
  <si>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</si>
  <si>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</si>
  <si>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</si>
  <si>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</si>
  <si>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</si>
  <si>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</si>
  <si>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</si>
  <si>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</si>
  <si>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</si>
  <si>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</si>
  <si>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</si>
  <si>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</si>
  <si>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</si>
  <si>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</si>
  <si>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</si>
  <si>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</si>
  <si>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</si>
  <si>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</si>
  <si>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</si>
  <si>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</si>
  <si>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</si>
  <si>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</si>
  <si>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</si>
  <si>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</si>
  <si>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</si>
  <si>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</si>
  <si>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</si>
  <si>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</si>
  <si>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</si>
  <si>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</si>
  <si>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</si>
  <si>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</si>
  <si>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</si>
  <si>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</si>
  <si>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</si>
  <si>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</si>
  <si>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</si>
  <si>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</si>
  <si>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</si>
  <si>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</si>
  <si>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</si>
  <si>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</si>
  <si>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</si>
  <si>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</si>
  <si>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</si>
  <si>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</si>
  <si>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</si>
  <si>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</si>
  <si>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</si>
  <si>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</si>
  <si>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</si>
  <si>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</si>
  <si>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</si>
  <si>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</si>
  <si>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</si>
  <si>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</si>
  <si>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</si>
  <si>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</si>
  <si>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</si>
  <si>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</si>
  <si>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</si>
  <si>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</si>
  <si>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</si>
  <si>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</si>
  <si>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</si>
  <si>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</si>
  <si>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</si>
  <si>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</si>
  <si>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</si>
  <si>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</si>
  <si>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</si>
  <si>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</si>
  <si>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</si>
  <si>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</si>
  <si>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</si>
  <si>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</si>
  <si>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</si>
  <si>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</si>
  <si>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</si>
  <si>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</si>
  <si>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</si>
  <si>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</si>
  <si>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</si>
  <si>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</si>
  <si>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</si>
  <si>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</si>
  <si>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</si>
  <si>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</si>
  <si>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</si>
  <si>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</si>
  <si>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</si>
  <si>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</si>
  <si>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</si>
  <si>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</si>
  <si>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</si>
  <si>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</si>
  <si>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</si>
  <si>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</si>
  <si>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</si>
  <si>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</si>
  <si>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</si>
  <si>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</si>
  <si>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</si>
  <si>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</si>
  <si>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</si>
  <si>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</si>
  <si>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</si>
  <si>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</si>
  <si>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</si>
  <si>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</si>
  <si>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</si>
  <si>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</si>
  <si>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</si>
  <si>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</si>
  <si>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</si>
  <si>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</si>
  <si>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</si>
  <si>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</si>
  <si>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</si>
  <si>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</si>
  <si>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</si>
  <si>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</si>
  <si>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</si>
  <si>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</si>
  <si>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</si>
  <si>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</si>
  <si>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</si>
  <si>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</si>
  <si>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</si>
  <si>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</si>
  <si>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</si>
  <si>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</si>
  <si>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</si>
  <si>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</si>
  <si>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</si>
  <si>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</si>
  <si>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</si>
  <si>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</si>
  <si>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</si>
  <si>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</si>
  <si>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</si>
  <si>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</si>
  <si>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</si>
  <si>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</si>
  <si>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</si>
  <si>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</si>
  <si>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</si>
  <si>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</si>
  <si>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</si>
  <si>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</si>
  <si>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</si>
  <si>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</si>
  <si>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</si>
  <si>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</si>
  <si>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</si>
  <si>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</si>
  <si>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</si>
  <si>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</si>
  <si>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</si>
  <si>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</si>
  <si>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</si>
  <si>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</si>
  <si>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</si>
  <si>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</si>
  <si>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</si>
  <si>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</si>
  <si>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</si>
  <si>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</si>
  <si>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</si>
  <si>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</si>
  <si>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</si>
  <si>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</si>
  <si>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</si>
  <si>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</si>
  <si>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</si>
  <si>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</si>
  <si>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</si>
  <si>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</si>
  <si>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</si>
  <si>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</si>
  <si>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</si>
  <si>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</si>
  <si>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</si>
  <si>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</si>
  <si>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</si>
  <si>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</si>
  <si>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</si>
  <si>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</si>
  <si>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</si>
  <si>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</si>
  <si>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</si>
  <si>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</si>
  <si>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</si>
  <si>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</si>
  <si>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</si>
  <si>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</si>
  <si>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</si>
  <si>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</si>
  <si>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</si>
  <si>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</si>
  <si>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</si>
  <si>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</si>
  <si>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</si>
  <si>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</si>
  <si>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</si>
  <si>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</si>
  <si>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</si>
  <si>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</si>
  <si>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</si>
  <si>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</si>
  <si>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</si>
  <si>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</si>
  <si>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</si>
  <si>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</si>
  <si>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</si>
  <si>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</si>
  <si>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</si>
  <si>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</si>
  <si>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</si>
  <si>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</si>
  <si>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</si>
  <si>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</si>
  <si>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</si>
  <si>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</si>
  <si>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</si>
  <si>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</si>
  <si>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</si>
  <si>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</si>
  <si>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</si>
  <si>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</si>
  <si>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</si>
  <si>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</si>
  <si>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</si>
  <si>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</si>
  <si>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</si>
  <si>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</si>
  <si>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</si>
  <si>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</si>
  <si>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</si>
  <si>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</si>
  <si>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</si>
  <si>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</si>
  <si>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</si>
  <si>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</si>
  <si>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</si>
  <si>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</si>
  <si>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</si>
  <si>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</si>
  <si>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</si>
  <si>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</si>
  <si>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</si>
  <si>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</si>
  <si>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</si>
  <si>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</si>
  <si>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</si>
  <si>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</si>
  <si>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</si>
  <si>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</si>
  <si>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</si>
  <si>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</si>
  <si>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</si>
  <si>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</si>
  <si>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</si>
  <si>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</si>
  <si>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</si>
  <si>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</si>
  <si>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</si>
  <si>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</si>
  <si>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</si>
  <si>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</si>
  <si>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</si>
  <si>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</si>
  <si>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</si>
  <si>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</si>
  <si>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</si>
  <si>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</si>
  <si>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</si>
  <si>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</si>
  <si>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</si>
  <si>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</si>
  <si>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</si>
  <si>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</si>
  <si>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</si>
  <si>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</si>
  <si>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</si>
  <si>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</si>
  <si>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</si>
  <si>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</si>
  <si>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</si>
  <si>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</si>
  <si>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</si>
  <si>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</si>
  <si>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</si>
  <si>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</si>
  <si>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</si>
  <si>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</si>
  <si>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</si>
  <si>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</si>
  <si>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</si>
  <si>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</si>
  <si>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</si>
  <si>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</si>
  <si>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</si>
  <si>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</si>
  <si>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</si>
  <si>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</si>
  <si>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</si>
  <si>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</si>
  <si>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</si>
  <si>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</si>
  <si>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</si>
  <si>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</si>
  <si>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</si>
  <si>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</si>
  <si>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</si>
  <si>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</si>
  <si>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</si>
  <si>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</si>
  <si>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</si>
  <si>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</si>
  <si>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</si>
  <si>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</si>
  <si>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</si>
  <si>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</si>
  <si>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</si>
  <si>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</si>
  <si>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</si>
  <si>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</si>
  <si>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</si>
  <si>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</si>
  <si>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</si>
  <si>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</si>
  <si>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</si>
  <si>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</si>
  <si>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</si>
  <si>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</si>
  <si>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</si>
  <si>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</si>
  <si>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</si>
  <si>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</si>
  <si>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</si>
  <si>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</si>
  <si>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</si>
  <si>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</si>
  <si>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</si>
  <si>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</si>
  <si>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</si>
  <si>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</si>
  <si>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</si>
  <si>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</si>
  <si>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</si>
  <si>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</si>
  <si>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</si>
  <si>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</si>
  <si>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</si>
  <si>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</si>
  <si>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</si>
  <si>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</si>
  <si>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A15</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</si>
  <si>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</si>
  <si>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</si>
  <si>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</si>
  <si>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</si>
  <si>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</si>
  <si>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</si>
  <si>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</si>
  <si>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</si>
  <si>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</si>
  <si>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</si>
  <si>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</si>
  <si>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</si>
  <si>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</si>
  <si>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</si>
  <si>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</si>
  <si>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</si>
  <si>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</si>
  <si>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</si>
  <si>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</si>
  <si>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</si>
  <si>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</si>
  <si>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</si>
  <si>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</si>
  <si>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</si>
  <si>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</si>
  <si>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</si>
  <si>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</si>
  <si>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</si>
  <si>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</si>
  <si>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</si>
  <si>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</si>
  <si>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</si>
  <si>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</si>
  <si>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</si>
  <si>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</si>
  <si>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</si>
  <si>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</si>
  <si>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</si>
  <si>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</si>
  <si>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</si>
  <si>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</si>
  <si>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</si>
  <si>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</si>
  <si>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</si>
  <si>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</si>
  <si>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</si>
  <si>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</si>
  <si>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</si>
  <si>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</si>
  <si>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</si>
  <si>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</si>
  <si>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</si>
  <si>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</si>
  <si>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</si>
  <si>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</si>
  <si>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</si>
  <si>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</si>
  <si>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</si>
  <si>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</si>
  <si>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</si>
  <si>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</si>
  <si>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</si>
  <si>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</si>
  <si>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</si>
  <si>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</si>
  <si>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</si>
  <si>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</si>
  <si>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</si>
  <si>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</si>
  <si>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</si>
  <si>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</si>
  <si>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</si>
  <si>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</si>
  <si>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</si>
  <si>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</si>
  <si>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</si>
  <si>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</si>
  <si>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</si>
  <si>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</si>
  <si>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</si>
  <si>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</si>
  <si>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</si>
  <si>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</si>
  <si>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</si>
  <si>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</si>
  <si>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</si>
  <si>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</si>
  <si>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</si>
  <si>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</si>
  <si>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</si>
  <si>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</si>
  <si>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</si>
  <si>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</si>
  <si>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</si>
  <si>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</si>
  <si>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</si>
  <si>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</si>
  <si>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</si>
  <si>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</si>
  <si>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</si>
  <si>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</si>
  <si>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</si>
  <si>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</si>
  <si>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</si>
  <si>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</si>
  <si>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</si>
  <si>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</si>
  <si>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</si>
  <si>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</si>
  <si>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</si>
  <si>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</si>
  <si>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</si>
  <si>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</si>
  <si>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</si>
  <si>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</si>
  <si>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</si>
  <si>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</si>
  <si>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</si>
  <si>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</si>
  <si>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</si>
  <si>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</si>
  <si>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</si>
  <si>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</si>
  <si>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</si>
  <si>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</si>
  <si>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</si>
  <si>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</si>
  <si>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</si>
  <si>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</si>
  <si>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</si>
  <si>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</si>
  <si>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</si>
  <si>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</si>
  <si>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</si>
  <si>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</si>
  <si>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</si>
  <si>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</si>
  <si>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</si>
  <si>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</si>
  <si>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</si>
  <si>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</si>
  <si>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</si>
  <si>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</si>
  <si>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</si>
  <si>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</si>
  <si>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</si>
  <si>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</si>
  <si>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</si>
  <si>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Remote exploitation of the system through network</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</si>
  <si>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</si>
  <si>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</si>
  <si>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</si>
  <si>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</si>
  <si>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</si>
  <si>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</si>
  <si>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</si>
  <si>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</si>
  <si>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</si>
  <si>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</si>
  <si>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</si>
  <si>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</si>
  <si>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</si>
  <si>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</si>
  <si>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</si>
  <si>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</si>
  <si>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</si>
  <si>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</si>
  <si>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</si>
  <si>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</si>
  <si>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</si>
  <si>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</si>
  <si>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</si>
  <si>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</si>
  <si>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</si>
  <si>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</si>
  <si>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</si>
  <si>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</si>
  <si>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</si>
  <si>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</si>
  <si>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</si>
  <si>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</si>
  <si>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</si>
  <si>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</si>
  <si>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</si>
  <si>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</si>
  <si>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</si>
  <si>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</si>
  <si>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</si>
  <si>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</si>
  <si>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</si>
  <si>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</si>
  <si>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</si>
  <si>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</si>
  <si>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</si>
  <si>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</si>
  <si>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01</t>
  </si>
  <si>
    <t>1</t>
  </si>
  <si>
    <t>Update for DR3-DR4</t>
  </si>
  <si>
    <t>8 July 2022</t>
  </si>
  <si>
    <t>Ortho Slice 3D Knee Navigation Software</t>
  </si>
  <si>
    <t>Siva Kumar</t>
  </si>
  <si>
    <t>Data stored on hard disk after import. Contains patient identity, DOB, Age/Gender, image data</t>
  </si>
  <si>
    <r>
      <t>User Passwords/Credentials provide access to ePHI, Software Binaries, read access to config files,</t>
    </r>
    <r>
      <rPr>
        <sz val="11"/>
        <rFont val="Calibri"/>
        <family val="2"/>
      </rPr>
      <t xml:space="preserve"> log files.</t>
    </r>
  </si>
  <si>
    <r>
      <t>Patient health information at rest</t>
    </r>
    <r>
      <rPr>
        <sz val="11"/>
        <color rgb="FFFF0000"/>
        <rFont val="Calibri"/>
        <family val="2"/>
        <scheme val="minor"/>
      </rPr>
      <t xml:space="preserve"> </t>
    </r>
    <r>
      <rPr>
        <sz val="11"/>
        <rFont val="Calibri"/>
        <family val="2"/>
        <scheme val="minor"/>
      </rPr>
      <t>(PHI)</t>
    </r>
  </si>
  <si>
    <t>Patient Health Information in transit (PHI)</t>
  </si>
  <si>
    <t>SSH credentials for system admin remote access</t>
  </si>
  <si>
    <t>Patient related details</t>
  </si>
  <si>
    <t>&lt;2022-07-14&gt;</t>
  </si>
  <si>
    <t>Remarks (architecture)</t>
  </si>
  <si>
    <t>Nav3,3i device configurable information (for eg: bios, etc.,)</t>
  </si>
  <si>
    <t>Nav3,3i cart/ System running with windows 8.1</t>
  </si>
  <si>
    <t xml:space="preserve">1. OS updates should be properly planned for running the Intra-op application
2. Automatic/Manual pulling of the patches for severe vulnerabilities should be planned. </t>
  </si>
  <si>
    <t>Powersafe Unit shall be part of the system such that in a power failure user can shift to alternate power or save the existing data and have a secured exit from the application</t>
  </si>
  <si>
    <t xml:space="preserve">Performing static code analysis (such as sonarqube) for identification of deviation from the coding standards and vulnerabilities on developed code.
</t>
  </si>
  <si>
    <t xml:space="preserve">1. The 3rd party components (SOUP items) and dependencies should be identified and listed in the design document.
2. SCA tools (such as blackduck) should be used for evaluating the risk from 3rd party components with security testing.
</t>
  </si>
  <si>
    <t>1. Set strong password policy for all users.
2. Anti-virus with updated virus definitions</t>
  </si>
  <si>
    <t>1. Encrypt the data
2. Regular backup of hard drive is needed</t>
  </si>
  <si>
    <t>1. All the network components should be listed and unused should be identified
2. Unused ports &amp; services should be properly disabled/limited 
3. System security elements such as firewall, antivirus etc.. should be properly maintained.</t>
  </si>
  <si>
    <r>
      <rPr>
        <sz val="11"/>
        <color rgb="FFFF0000"/>
        <rFont val="Cambria"/>
        <family val="1"/>
      </rPr>
      <t>1. If any sensitive data present, encrypt it. 
2. Restrict the sensitive information access/availability to particular user.</t>
    </r>
    <r>
      <rPr>
        <sz val="11"/>
        <color theme="1"/>
        <rFont val="Cambria"/>
        <family val="1"/>
      </rPr>
      <t xml:space="preserve">
3. User should only able to browse his/her own particular case data path. </t>
    </r>
  </si>
  <si>
    <t xml:space="preserve">1. OS updates should be properly planned.
2. Automatic/Manual pulling of the patches for OS should be planned. </t>
  </si>
  <si>
    <t>1. The user credentials should not be stored unencrypted.
2. The user credentials should not be stored in path where case data is getting stored.</t>
  </si>
  <si>
    <t>1. Critical/Sensitive data should be protected.
2. System security elements such as firewall, antivirus etc.. should be properly identified</t>
  </si>
  <si>
    <t>1. All the provided physical network components should be identified and unused should be identified
2. Unused componens should be properly disabled/limited 
3. System security elements such as firewall, antivirus etc.. should be properly identified</t>
  </si>
  <si>
    <t>1. Secure communication with Secure Sockets Layer (SSL) or TLS protocols that provide message confidentiality  
2. Stateful firewall
3. Maintain a strong encryption mechanism
4. Proper way of network access control</t>
  </si>
  <si>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</si>
  <si>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</si>
  <si>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</si>
  <si>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</si>
  <si>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All the removable devices should not be allowed to connect with the systsem
2. Authentication/Validation of input device should be mandatory</t>
  </si>
  <si>
    <t>1. Require multi-factor authentication
2. Limit authentication attempts (rate Limiting)
3. Maintain Access Logs
4. Maintain Server Security Logs"</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</si>
  <si>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</si>
  <si>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</si>
  <si>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The admin credentials should not be stored unencrypted.
2. The certificates, passwords/credentials should be stored in encrypted form.</t>
  </si>
  <si>
    <t>1. Require multi-factor authentication
2. Limit authentication attempts (rate Limiting)
3. Maintain Access Logs
4. Stronger authentication methods</t>
  </si>
  <si>
    <t>1. Encrypt the data
2. Wipe the hard disks
3. Disassemble/Destroy the hard disk</t>
  </si>
  <si>
    <t>1. Standard authentication practise (including both the user id and password) should be mandated.
2. Set strong password policy for all users.</t>
  </si>
  <si>
    <t xml:space="preserve">1. Restrict the complete file system access/availability based on the user &amp; role.
2. User should only be able to browse his/her particular application case data path. </t>
  </si>
  <si>
    <t xml:space="preserve">1. Admin should only able to install any application on Nav3,3i.
2. Application whitelisting should be enforced.
</t>
  </si>
  <si>
    <t>1. An automated periodic scan execution should be scheduled as a good practise.
2. AV definitions/signatures requires to be continuously updated so that new virus can be identified.</t>
  </si>
  <si>
    <t>1. Identify the critical OS features (different kinds of settings such as registry editor, control panel, etc.,) during running &amp; restrict access.
2. Restrict access to system bios during bootup.
3. Implement the authentication for the above said components.</t>
  </si>
  <si>
    <t>1. Restrict the complete file system access/availability based on the user &amp; role.
2. User should only be able to browse his/her particular application case data path. 
3. Application resources should not be visible (or) accessible directly.</t>
  </si>
  <si>
    <t>1. Admin should be notified about the outdated/not updated AV definitions.
2. AV requires to be continuously updated from the admin so that new signatures can be included.</t>
  </si>
  <si>
    <t>1. Restrict the direct daemons access/usage in the system by user.
2. Proprietary applications should only be allowed to access the OS/system services and the user should not be allowed directly.</t>
  </si>
  <si>
    <t xml:space="preserve">Whenever a removable device is connected, immediate "on access" scanning should be performed to identify the risk associated with the device. </t>
  </si>
  <si>
    <t>1. Only sanitized devices needs to be connected.
2. Secure communication between the Nav3, 3i &amp; external devices needs to be incorporated.
3. Any connected devices (such as FP8000, etc.,) providing input to the Nav3, 3i system should be monitored.</t>
  </si>
  <si>
    <t xml:space="preserve">1. Monitor the vulnerability database to look for the high severity issues.
2. Check for any patches available &amp; their compatibility to the OS.
3. If no patches available, inhouse patch development needs to be checked. </t>
  </si>
  <si>
    <t>1. Audit &amp; prepare a list of 3rd party tools currently being used.
2. Remove the unused 3rd party tools.
3. Prepare an alternate plan (same tool/new tool) for the tools needed.
4. Based on the plan prepare the approach (by contacting the vendor).</t>
  </si>
  <si>
    <t>1. Audit &amp; prepare a list of microsoft tools currently being used.
2. Remove the unused microsoft tools.
3. Prepare an alternate plan (same tool/new tool) for the tools needed.
4. Based on the plan prepare the approach (by contacting the vendor).</t>
  </si>
  <si>
    <t>1. Customised &amp; hardened OS needs to be taken a backup.
2. Incase of a corrupted OS, the above mentioned OS can be reinstalled. 
3. No need of periodic backup plan with applications.</t>
  </si>
  <si>
    <t>1. Customised &amp; hardened OS needs to be taken a backup.
2. Incase of a corrupted OS, the above mentioned OS can be reinstalled. 
3. No need of periodic backup.</t>
  </si>
  <si>
    <t>1. Uninstall/remove all the networking support software (ex: drivers).
2. Harden/disable the network interfaces of the cart.</t>
  </si>
  <si>
    <t xml:space="preserve">1. Periodically monitor the audit logs to identify any abnormal logged behaviour in the system.
2. Based on the analysis, observation needs to be reported to the proper team. </t>
  </si>
  <si>
    <t>Application should adapt the data backup policy. Data has to be encrypted and stored in a secure location at periodic timeline intervals.</t>
  </si>
  <si>
    <t>1. Steps involved in hardening the OS needs to be identified &amp; documented.  
2. Uninstall/remove all the networking support software (ex: drivers).
3. Harden/disable the network interfaces of the cart.</t>
  </si>
  <si>
    <t>1. All the removable devices should not be allowed to connect with the systsem
2. Validation of input device should be mandate.</t>
  </si>
  <si>
    <t xml:space="preserve">C1: Only Stryker approved applications can be executed by the "Navigation User"
C2: A firewall shall be installed and activated. Unused ports and services disabled
C3: BIOS password protection
C4: BIOS settings are maintained after BIOS battery power loss.
C5: It shall not be possible to manipulate system files or install malicious software in these sections
</t>
  </si>
  <si>
    <t xml:space="preserve">C2: A firewall shall be installed and activated. Unused ports and services disabled
C8: Only ‘view-only’ remote access to the navigation system when a “Navigation User” is logged in
C9: Protect FP8000 camera from being accessed from the hospital network
</t>
  </si>
  <si>
    <t xml:space="preserve">C6: Password protection for user log in
C7: Standard user has read only rights on config files
C8: Only ‘view-only’ remote access to the navigation system when a “Navigation User” is logged in
C17: The system shall provides role based controlled access to health data and functions
C12: Use of  data Encryption while storing data
C14: The system ensures that data in logfile is masked with all available patient information
C15: Disposing temporary files
</t>
  </si>
  <si>
    <t xml:space="preserve">C3: Boot menu is protected by password
C5: It shall not be possible to manipulate system files or install malicious software in these sections
</t>
  </si>
  <si>
    <t xml:space="preserve">C18: Physical lock of Navigation System service backdoor.
C19: Navigation camera can be opened only with special tools.
</t>
  </si>
  <si>
    <t>C12: Use of  data Encryption while storing data
C15: Disposing temporary files
C14: The system ensures that data in logfile is masked with all available patient information</t>
  </si>
  <si>
    <t>C2: A firewall shall be installed and activated. Unused ports and services disabled
C8: Only ‘view-only’ remote access to the navigation system when a “Navigation User” is logged in</t>
  </si>
  <si>
    <t>C6: Password protection for user log in
C7: Standard user has read only rights on config files
C12: Use of  data Encryption while storing data
C35: Separate login account for user, where system files can not be manipulated (write protected).</t>
  </si>
  <si>
    <t>C2: A firewall shall be installed and activated. Unused ports and services disabled
C8: Only ‘view-only’ remote access to the navigation system when a “Navigation User” is logged in
C9: Protect FP8000 camera from being accessed from the hospital network</t>
  </si>
  <si>
    <t xml:space="preserve">C2: A firewall shall be installed and activated. Unused ports and services disabled
C8: Only ‘view-only’ remote access to the navigation system when a “Navigation User” is logged in
</t>
  </si>
  <si>
    <t>C18: Physical lock of Navigation System service backdoor
C12: Use of  data Encryption while storing data
C15: Disposing temporary files
C14: The system ensures that data in logfile is masked with all available patient information</t>
  </si>
  <si>
    <t>C18: Physical lock of Navigation System service backdoor
C19: Navigation camera can be opened only with special tools. All externally accessible screws are Torx
C20: Communication between navigation camera and tools via infrared is secured by CRC checks
C21: Integrity of tool geometry and plausibility of localization data is checked
C13: Localization information can be granted exclusivly
C22: User must be trained to use landmark check regularly to check navigation accuracy</t>
  </si>
  <si>
    <t xml:space="preserve">C18: Physical lock of Navigation System service backdoor
C19: Navigation camera can be opened only with special tools
C21: Integrity of tool geometry and plausibility of localization data is checked
C27: Firmware and hardware version is stored on navigation camera.
</t>
  </si>
  <si>
    <t>C25: Powersafe Unit shall be part of the system such that in a power failure user can shift to alternate power or save the existing data and have a secured exit from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</si>
</sst>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amily val="1"/>
    </font>
    <font>
      <sz val="11"/>
      <color theme="1"/>
      <name val="Calibri"/>
      <family val="2"/>
      <scheme val="minor"/>
    </font>
    <font>
      <sz val="11"/>
      <color rgb="FF0000FF"/>
      <name val="Cambria"/>
      <family val="1"/>
    </font>
    <font>
      <sz val="11"/>
      <name val="Cambria"/>
      <family val="1"/>
    </font>
    <font>
      <sz val="11"/>
      <color theme="1"/>
      <name val="Calibri"/>
      <family val="2"/>
    </font>
    <font>
      <sz val="11"/>
      <color rgb="FFFF0000"/>
      <name val="Calibri"/>
      <family val="2"/>
      <scheme val="minor"/>
    </font>
    <font>
      <b/>
      <sz val="11"/>
      <name val="Calibri"/>
      <family val="2"/>
      <scheme val="minor"/>
    </font>
    <font>
      <sz val="11"/>
      <name val="Calibri"/>
      <family val="2"/>
    </font>
    <font>
      <sz val="11"/>
      <color rgb="FF000000"/>
      <name val="Cambria"/>
      <family val="1"/>
      <charset val="1"/>
    </font>
    <font>
      <sz val="11"/>
      <color rgb="FFFF0000"/>
      <name val="Cambria"/>
      <family val="1"/>
    </font>
    <font>
      <sz val="11"/>
      <color theme="1"/>
      <name val="Cambria"/>
    </font>
  </fonts>
  <fills count="24">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00B05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5">
    <xf numFmtId="0" fontId="0" fillId="0" borderId="0"/>
    <xf numFmtId="0" fontId="1" fillId="0" borderId="0"/>
    <xf numFmtId="0" fontId="14" fillId="0" borderId="0"/>
    <xf numFmtId="0" fontId="42" fillId="0" borderId="0">
      <protection locked="0"/>
    </xf>
    <xf numFmtId="0" fontId="52" fillId="0" borderId="0"/>
  </cellStyleXfs>
  <cellXfs count="38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9" fillId="5" borderId="6" xfId="0" applyFont="1" applyFill="1" applyBorder="1" applyAlignment="1">
      <alignment horizontal="center" vertical="top" wrapText="1"/>
    </xf>
    <xf numFmtId="0" fontId="5" fillId="0" borderId="1" xfId="0" applyFont="1" applyBorder="1" applyAlignment="1">
      <alignment vertical="top" wrapText="1"/>
    </xf>
    <xf numFmtId="0" fontId="0" fillId="0" borderId="1" xfId="0" applyFont="1" applyFill="1" applyBorder="1" applyAlignment="1">
      <alignment vertical="top" wrapText="1"/>
    </xf>
    <xf numFmtId="0" fontId="0" fillId="0" borderId="5" xfId="0" applyFont="1" applyFill="1" applyBorder="1" applyAlignment="1">
      <alignment vertical="top" wrapText="1"/>
    </xf>
    <xf numFmtId="0" fontId="3" fillId="0" borderId="0" xfId="0" applyFont="1" applyFill="1" applyAlignment="1">
      <alignment vertical="top" wrapText="1"/>
    </xf>
    <xf numFmtId="0" fontId="61" fillId="0" borderId="1" xfId="0" applyFont="1" applyBorder="1" applyAlignment="1">
      <alignment vertical="top" wrapText="1"/>
    </xf>
    <xf numFmtId="0" fontId="15" fillId="10" borderId="5" xfId="0" applyFont="1" applyFill="1" applyBorder="1" applyAlignment="1">
      <alignment vertical="top" wrapText="1"/>
    </xf>
    <xf numFmtId="0" fontId="15" fillId="0" borderId="5" xfId="0" applyFont="1" applyBorder="1" applyAlignment="1">
      <alignment vertical="top" wrapText="1"/>
    </xf>
    <xf numFmtId="0" fontId="15" fillId="0" borderId="1" xfId="0" applyFont="1" applyBorder="1" applyAlignment="1">
      <alignment vertical="top" wrapText="1"/>
    </xf>
    <xf numFmtId="0" fontId="63" fillId="0" borderId="1" xfId="0" applyFont="1" applyBorder="1" applyAlignment="1">
      <alignment vertical="top"/>
    </xf>
    <xf numFmtId="0" fontId="15" fillId="23" borderId="1" xfId="0" applyFont="1" applyFill="1" applyBorder="1" applyAlignment="1">
      <alignment horizontal="center" vertical="top"/>
    </xf>
    <xf numFmtId="0" fontId="15" fillId="23" borderId="6" xfId="0" applyFont="1" applyFill="1" applyBorder="1" applyAlignment="1">
      <alignment horizontal="center" vertical="top"/>
    </xf>
    <xf numFmtId="0" fontId="48" fillId="23" borderId="1" xfId="0" applyFont="1" applyFill="1" applyBorder="1" applyAlignment="1">
      <alignment horizontal="center" vertical="top"/>
    </xf>
    <xf numFmtId="0" fontId="15" fillId="23" borderId="5" xfId="0" applyFont="1" applyFill="1" applyBorder="1" applyAlignment="1">
      <alignment horizontal="center" vertical="top"/>
    </xf>
    <xf numFmtId="0" fontId="53" fillId="23" borderId="5" xfId="0" applyFont="1" applyFill="1" applyBorder="1" applyAlignment="1">
      <alignment horizontal="center" vertical="top"/>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3" xfId="4" xr:uid="{00000000-0005-0000-0000-000003000000}"/>
    <cellStyle name="Standard 2" xfId="3" xr:uid="{00000000-0005-0000-0000-000004000000}"/>
  </cellStyles>
  <dxfs count="195">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4"/>
      <tableStyleElement type="headerRow" dxfId="193"/>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92" dataDxfId="190" headerRowBorderDxfId="191" tableBorderDxfId="189" totalsRowBorderDxfId="188">
  <autoFilter ref="A9:E22" xr:uid="{00000000-0009-0000-0100-000003000000}"/>
  <tableColumns count="5">
    <tableColumn id="1" xr3:uid="{00000000-0010-0000-0000-000001000000}" name="ID #" dataDxfId="187"/>
    <tableColumn id="2" xr3:uid="{00000000-0010-0000-0000-000002000000}" name="Asset Type_x000a_(Information/Physical)" dataDxfId="186"/>
    <tableColumn id="3" xr3:uid="{00000000-0010-0000-0000-000003000000}" name="Asset" dataDxfId="185"/>
    <tableColumn id="4" xr3:uid="{00000000-0010-0000-0000-000004000000}" name="Asset Description" dataDxfId="184"/>
    <tableColumn id="5" xr3:uid="{12D8FA30-1F28-4CAC-A584-BEF0B00DE449}" name="Remarks (architecture)" dataDxfId="183"/>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7" totalsRowShown="0" headerRowDxfId="182" dataDxfId="180" headerRowBorderDxfId="181" tableBorderDxfId="179" totalsRowBorderDxfId="178">
  <autoFilter ref="A4:D77" xr:uid="{00000000-0009-0000-0100-000002000000}"/>
  <tableColumns count="4">
    <tableColumn id="1" xr3:uid="{00000000-0010-0000-0100-000001000000}" name="Vuln. ID" dataDxfId="177"/>
    <tableColumn id="4" xr3:uid="{00000000-0010-0000-0100-000004000000}" name="Vulnerability Description" dataDxfId="176"/>
    <tableColumn id="5" xr3:uid="{00000000-0010-0000-0100-000005000000}" name="Applicable (Yes/No)" dataDxfId="175"/>
    <tableColumn id="6" xr3:uid="{00000000-0010-0000-0100-000006000000}" name="Rationale (if Vulnerability not applicable)" dataDxfId="17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73" dataDxfId="171" headerRowBorderDxfId="172" tableBorderDxfId="170" totalsRowBorderDxfId="169">
  <autoFilter ref="A3:F55" xr:uid="{00000000-0009-0000-0100-000005000000}"/>
  <tableColumns count="6">
    <tableColumn id="1" xr3:uid="{00000000-0010-0000-0200-000001000000}" name="#" dataDxfId="168"/>
    <tableColumn id="2" xr3:uid="{00000000-0010-0000-0200-000002000000}" name="Threat Event " dataDxfId="167"/>
    <tableColumn id="3" xr3:uid="{00000000-0010-0000-0200-000003000000}" name="Description " dataDxfId="166"/>
    <tableColumn id="4" xr3:uid="{00000000-0010-0000-0200-000004000000}" name="Threat Source" dataDxfId="165"/>
    <tableColumn id="5" xr3:uid="{00000000-0010-0000-0200-000005000000}" name="In Scope (Yes/No)" dataDxfId="164"/>
    <tableColumn id="13" xr3:uid="{00000000-0010-0000-0200-00000D000000}" name="Rationale _x000a_(if out of scope)" dataDxfId="16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5" totalsRowShown="0" headerRowDxfId="152" dataDxfId="151" tableBorderDxfId="150">
  <autoFilter ref="A4:AQ75"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topLeftCell="A10" zoomScale="90" zoomScaleNormal="100" zoomScaleSheetLayoutView="90" workbookViewId="0">
      <selection activeCell="C22" sqref="C22:D22"/>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38" t="s">
        <v>195</v>
      </c>
      <c r="B4" s="338"/>
      <c r="C4" s="338"/>
      <c r="D4" s="338"/>
      <c r="E4" s="338"/>
      <c r="F4" s="338"/>
      <c r="G4" s="338"/>
    </row>
    <row r="5" spans="1:7" x14ac:dyDescent="0.25">
      <c r="A5" s="339"/>
      <c r="B5" s="339"/>
      <c r="C5" s="339"/>
      <c r="D5" s="339"/>
      <c r="E5" s="339"/>
      <c r="F5" s="339"/>
      <c r="G5" s="339"/>
    </row>
    <row r="6" spans="1:7" ht="23.25" x14ac:dyDescent="0.25">
      <c r="A6" s="182"/>
      <c r="B6" s="182"/>
      <c r="C6" s="182"/>
      <c r="D6" s="182"/>
      <c r="E6" s="182"/>
      <c r="F6" s="182"/>
      <c r="G6" s="182"/>
    </row>
    <row r="7" spans="1:7" ht="18" x14ac:dyDescent="0.25">
      <c r="B7" s="340" t="s">
        <v>578</v>
      </c>
      <c r="C7" s="341"/>
    </row>
    <row r="8" spans="1:7" ht="18" x14ac:dyDescent="0.25">
      <c r="B8" s="340" t="s">
        <v>132</v>
      </c>
      <c r="C8" s="341"/>
    </row>
    <row r="9" spans="1:7" x14ac:dyDescent="0.25">
      <c r="B9" s="24"/>
    </row>
    <row r="10" spans="1:7" x14ac:dyDescent="0.25">
      <c r="B10" s="24"/>
    </row>
    <row r="11" spans="1:7" x14ac:dyDescent="0.25">
      <c r="B11" s="183" t="s">
        <v>196</v>
      </c>
      <c r="C11" s="184"/>
    </row>
    <row r="12" spans="1:7" x14ac:dyDescent="0.25">
      <c r="B12" s="185" t="s">
        <v>197</v>
      </c>
      <c r="C12" s="335" t="s">
        <v>345</v>
      </c>
      <c r="D12" s="336"/>
      <c r="E12" s="336"/>
      <c r="F12" s="337"/>
    </row>
    <row r="13" spans="1:7" x14ac:dyDescent="0.25">
      <c r="B13" s="185" t="s">
        <v>199</v>
      </c>
      <c r="C13" s="335" t="s">
        <v>495</v>
      </c>
      <c r="D13" s="336"/>
      <c r="E13" s="336"/>
      <c r="F13" s="337"/>
    </row>
    <row r="14" spans="1:7" x14ac:dyDescent="0.25">
      <c r="B14" s="185" t="s">
        <v>200</v>
      </c>
      <c r="C14" s="335" t="s">
        <v>574</v>
      </c>
      <c r="D14" s="336"/>
      <c r="E14" s="336"/>
      <c r="F14" s="337"/>
    </row>
    <row r="15" spans="1:7" ht="27.75" customHeight="1" x14ac:dyDescent="0.25">
      <c r="B15" s="185" t="s">
        <v>201</v>
      </c>
      <c r="C15" s="335" t="s">
        <v>496</v>
      </c>
      <c r="D15" s="336"/>
      <c r="E15" s="336"/>
      <c r="F15" s="337"/>
    </row>
    <row r="16" spans="1:7" x14ac:dyDescent="0.25">
      <c r="B16" s="185" t="s">
        <v>202</v>
      </c>
      <c r="C16" s="335" t="s">
        <v>344</v>
      </c>
      <c r="D16" s="336"/>
      <c r="E16" s="336"/>
      <c r="F16" s="337"/>
    </row>
    <row r="17" spans="2:6" x14ac:dyDescent="0.25">
      <c r="B17" s="24"/>
    </row>
    <row r="18" spans="2:6" x14ac:dyDescent="0.25">
      <c r="B18" s="24"/>
    </row>
    <row r="19" spans="2:6" x14ac:dyDescent="0.25">
      <c r="B19" s="183" t="s">
        <v>203</v>
      </c>
    </row>
    <row r="20" spans="2:6" x14ac:dyDescent="0.25">
      <c r="B20" s="186" t="s">
        <v>204</v>
      </c>
      <c r="C20" s="342" t="s">
        <v>205</v>
      </c>
      <c r="D20" s="343"/>
      <c r="E20" s="186" t="s">
        <v>206</v>
      </c>
      <c r="F20" s="186" t="s">
        <v>198</v>
      </c>
    </row>
    <row r="21" spans="2:6" x14ac:dyDescent="0.25">
      <c r="B21" s="187" t="s">
        <v>480</v>
      </c>
      <c r="C21" s="333" t="s">
        <v>216</v>
      </c>
      <c r="D21" s="334"/>
      <c r="E21" s="188" t="s">
        <v>479</v>
      </c>
      <c r="F21" s="187" t="s">
        <v>579</v>
      </c>
    </row>
    <row r="22" spans="2:6" ht="50.45" customHeight="1" x14ac:dyDescent="0.25">
      <c r="B22" s="187" t="s">
        <v>575</v>
      </c>
      <c r="C22" s="333" t="s">
        <v>576</v>
      </c>
      <c r="D22" s="334"/>
      <c r="E22" s="188" t="s">
        <v>577</v>
      </c>
      <c r="F22" s="187" t="s">
        <v>579</v>
      </c>
    </row>
    <row r="23" spans="2:6" x14ac:dyDescent="0.25">
      <c r="B23" s="187"/>
      <c r="C23" s="333"/>
      <c r="D23" s="334"/>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80" t="s">
        <v>19</v>
      </c>
      <c r="B1" s="380"/>
      <c r="C1" s="380"/>
      <c r="D1" s="380"/>
      <c r="E1" s="380"/>
      <c r="F1" s="380"/>
      <c r="G1" s="380"/>
      <c r="H1" s="380"/>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81"/>
      <c r="B4" s="9"/>
    </row>
    <row r="5" spans="1:2" x14ac:dyDescent="0.25">
      <c r="A5" s="382"/>
      <c r="B5" s="10"/>
    </row>
    <row r="6" spans="1:2" x14ac:dyDescent="0.25">
      <c r="A6" s="382"/>
      <c r="B6" s="10"/>
    </row>
    <row r="7" spans="1:2" ht="15.75" thickBot="1" x14ac:dyDescent="0.3">
      <c r="A7" s="383"/>
      <c r="B7" s="11"/>
    </row>
    <row r="8" spans="1:2" ht="19.5" thickBot="1" x14ac:dyDescent="0.3">
      <c r="A8" s="3"/>
      <c r="B8" s="4"/>
    </row>
    <row r="9" spans="1:2" x14ac:dyDescent="0.25">
      <c r="A9" s="381"/>
      <c r="B9" s="9"/>
    </row>
    <row r="10" spans="1:2" x14ac:dyDescent="0.25">
      <c r="A10" s="382"/>
      <c r="B10" s="10"/>
    </row>
    <row r="11" spans="1:2" x14ac:dyDescent="0.25">
      <c r="A11" s="382"/>
      <c r="B11" s="10"/>
    </row>
    <row r="12" spans="1:2" x14ac:dyDescent="0.25">
      <c r="A12" s="382"/>
      <c r="B12" s="10"/>
    </row>
    <row r="13" spans="1:2" ht="15.75" thickBot="1" x14ac:dyDescent="0.3">
      <c r="A13" s="383"/>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view="pageBreakPreview" topLeftCell="A9" zoomScaleNormal="100" zoomScaleSheetLayoutView="100" workbookViewId="0">
      <selection activeCell="H11" sqref="H1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19.85546875" style="28"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44" t="s">
        <v>497</v>
      </c>
      <c r="D3" s="344"/>
    </row>
    <row r="4" spans="1:5" s="32" customFormat="1" x14ac:dyDescent="0.25">
      <c r="A4" s="35" t="s">
        <v>152</v>
      </c>
      <c r="B4" s="36"/>
      <c r="C4" s="344" t="s">
        <v>496</v>
      </c>
      <c r="D4" s="344"/>
    </row>
    <row r="5" spans="1:5" s="32" customFormat="1" x14ac:dyDescent="0.25">
      <c r="A5" s="35" t="s">
        <v>150</v>
      </c>
      <c r="B5" s="36"/>
      <c r="C5" s="344" t="s">
        <v>586</v>
      </c>
      <c r="D5" s="344"/>
    </row>
    <row r="6" spans="1:5" s="32" customFormat="1" ht="30" customHeight="1" x14ac:dyDescent="0.25">
      <c r="A6" s="37" t="s">
        <v>151</v>
      </c>
      <c r="B6" s="38"/>
      <c r="C6" s="344" t="s">
        <v>478</v>
      </c>
      <c r="D6" s="344"/>
    </row>
    <row r="7" spans="1:5" s="32" customFormat="1" x14ac:dyDescent="0.25"/>
    <row r="8" spans="1:5" s="32" customFormat="1" x14ac:dyDescent="0.25"/>
    <row r="9" spans="1:5" s="32" customFormat="1" ht="30" x14ac:dyDescent="0.25">
      <c r="A9" s="39" t="s">
        <v>8</v>
      </c>
      <c r="B9" s="40" t="s">
        <v>161</v>
      </c>
      <c r="C9" s="40" t="s">
        <v>0</v>
      </c>
      <c r="D9" s="41" t="s">
        <v>11</v>
      </c>
      <c r="E9" s="318" t="s">
        <v>587</v>
      </c>
    </row>
    <row r="10" spans="1:5" s="32" customFormat="1" ht="45" x14ac:dyDescent="0.25">
      <c r="A10" s="42" t="s">
        <v>106</v>
      </c>
      <c r="B10" s="287" t="s">
        <v>9</v>
      </c>
      <c r="C10" s="288" t="s">
        <v>589</v>
      </c>
      <c r="D10" s="296" t="s">
        <v>319</v>
      </c>
    </row>
    <row r="11" spans="1:5" s="32" customFormat="1" ht="75" x14ac:dyDescent="0.25">
      <c r="A11" s="42" t="s">
        <v>107</v>
      </c>
      <c r="B11" s="287" t="s">
        <v>133</v>
      </c>
      <c r="C11" s="246" t="s">
        <v>291</v>
      </c>
      <c r="D11" s="289" t="s">
        <v>292</v>
      </c>
    </row>
    <row r="12" spans="1:5" s="32" customFormat="1" ht="30" x14ac:dyDescent="0.25">
      <c r="A12" s="42" t="s">
        <v>108</v>
      </c>
      <c r="B12" s="287" t="s">
        <v>133</v>
      </c>
      <c r="C12" s="246" t="s">
        <v>293</v>
      </c>
      <c r="D12" s="297" t="s">
        <v>581</v>
      </c>
    </row>
    <row r="13" spans="1:5" s="32" customFormat="1" ht="30" x14ac:dyDescent="0.25">
      <c r="A13" s="42" t="s">
        <v>109</v>
      </c>
      <c r="B13" s="287" t="s">
        <v>10</v>
      </c>
      <c r="C13" s="288" t="s">
        <v>582</v>
      </c>
      <c r="D13" s="296" t="s">
        <v>580</v>
      </c>
    </row>
    <row r="14" spans="1:5" s="32" customFormat="1" ht="45" x14ac:dyDescent="0.25">
      <c r="A14" s="42" t="s">
        <v>110</v>
      </c>
      <c r="B14" s="287" t="s">
        <v>10</v>
      </c>
      <c r="C14" s="246" t="s">
        <v>144</v>
      </c>
      <c r="D14" s="289" t="s">
        <v>143</v>
      </c>
    </row>
    <row r="15" spans="1:5" s="32" customFormat="1" ht="30" x14ac:dyDescent="0.25">
      <c r="A15" s="42" t="s">
        <v>111</v>
      </c>
      <c r="B15" s="287" t="s">
        <v>133</v>
      </c>
      <c r="C15" s="246" t="s">
        <v>499</v>
      </c>
      <c r="D15" s="289" t="s">
        <v>294</v>
      </c>
    </row>
    <row r="16" spans="1:5" s="32" customFormat="1" ht="45" x14ac:dyDescent="0.25">
      <c r="A16" s="42" t="s">
        <v>112</v>
      </c>
      <c r="B16" s="287" t="s">
        <v>133</v>
      </c>
      <c r="C16" s="246" t="s">
        <v>295</v>
      </c>
      <c r="D16" s="290" t="s">
        <v>477</v>
      </c>
    </row>
    <row r="17" spans="1:7" ht="45" x14ac:dyDescent="0.25">
      <c r="A17" s="42" t="s">
        <v>105</v>
      </c>
      <c r="B17" s="287" t="s">
        <v>133</v>
      </c>
      <c r="C17" s="319" t="s">
        <v>584</v>
      </c>
      <c r="D17" s="289" t="s">
        <v>296</v>
      </c>
      <c r="E17" s="229"/>
    </row>
    <row r="18" spans="1:7" ht="45" x14ac:dyDescent="0.25">
      <c r="A18" s="252" t="s">
        <v>318</v>
      </c>
      <c r="B18" s="287" t="s">
        <v>10</v>
      </c>
      <c r="C18" s="246" t="s">
        <v>375</v>
      </c>
      <c r="D18" s="289" t="s">
        <v>376</v>
      </c>
      <c r="E18" s="229"/>
      <c r="F18" s="229"/>
      <c r="G18" s="229"/>
    </row>
    <row r="19" spans="1:7" ht="30" x14ac:dyDescent="0.25">
      <c r="A19" s="252" t="s">
        <v>320</v>
      </c>
      <c r="B19" s="287" t="s">
        <v>10</v>
      </c>
      <c r="C19" s="320" t="s">
        <v>585</v>
      </c>
      <c r="D19" s="289" t="s">
        <v>377</v>
      </c>
      <c r="E19" s="322"/>
    </row>
    <row r="20" spans="1:7" ht="30" x14ac:dyDescent="0.25">
      <c r="A20" s="298" t="s">
        <v>321</v>
      </c>
      <c r="B20" s="287" t="s">
        <v>9</v>
      </c>
      <c r="C20" s="321" t="s">
        <v>501</v>
      </c>
      <c r="D20" s="289" t="s">
        <v>500</v>
      </c>
      <c r="E20" s="322"/>
    </row>
    <row r="21" spans="1:7" ht="30" x14ac:dyDescent="0.25">
      <c r="A21" s="299" t="s">
        <v>343</v>
      </c>
      <c r="B21" s="245" t="s">
        <v>133</v>
      </c>
      <c r="C21" s="321" t="s">
        <v>583</v>
      </c>
      <c r="D21" s="289" t="s">
        <v>502</v>
      </c>
      <c r="E21" s="322"/>
    </row>
    <row r="22" spans="1:7" ht="30" x14ac:dyDescent="0.25">
      <c r="A22" s="300" t="s">
        <v>378</v>
      </c>
      <c r="B22" s="245" t="s">
        <v>9</v>
      </c>
      <c r="C22" s="321" t="s">
        <v>588</v>
      </c>
      <c r="D22" s="289" t="s">
        <v>440</v>
      </c>
      <c r="E22" s="322"/>
    </row>
    <row r="30" spans="1:7" ht="34.5" customHeight="1" x14ac:dyDescent="0.15">
      <c r="A30" s="29" t="s">
        <v>162</v>
      </c>
      <c r="E30" s="30"/>
      <c r="F30" s="30"/>
      <c r="G30" s="30"/>
    </row>
    <row r="31" spans="1:7" ht="40.35" customHeight="1" x14ac:dyDescent="0.15">
      <c r="B31" s="345" t="s">
        <v>163</v>
      </c>
      <c r="C31" s="345"/>
      <c r="D31" s="30"/>
    </row>
    <row r="33" spans="2:2" x14ac:dyDescent="0.25">
      <c r="B33" s="32"/>
    </row>
  </sheetData>
  <mergeCells count="5">
    <mergeCell ref="C3:D3"/>
    <mergeCell ref="C4:D4"/>
    <mergeCell ref="C5:D5"/>
    <mergeCell ref="C6:D6"/>
    <mergeCell ref="B31:C31"/>
  </mergeCells>
  <pageMargins left="0.70866141732283505" right="0.70866141732283505" top="1.5748031496063" bottom="0.74803149606299202" header="0.31496062992126" footer="0.31496062992126"/>
  <pageSetup scale="6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2"/>
  <sheetViews>
    <sheetView view="pageBreakPreview" topLeftCell="A10" zoomScaleNormal="100" zoomScaleSheetLayoutView="100" workbookViewId="0">
      <selection activeCell="B14" sqref="B14"/>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380</v>
      </c>
      <c r="C7" s="45" t="s">
        <v>124</v>
      </c>
      <c r="D7" s="45" t="s">
        <v>125</v>
      </c>
    </row>
    <row r="8" spans="1:4" s="47" customFormat="1" ht="14.25" x14ac:dyDescent="0.25">
      <c r="A8" s="52" t="s">
        <v>284</v>
      </c>
      <c r="B8" s="53" t="s">
        <v>379</v>
      </c>
      <c r="C8" s="45" t="s">
        <v>124</v>
      </c>
      <c r="D8" s="45" t="s">
        <v>125</v>
      </c>
    </row>
    <row r="9" spans="1:4" s="47" customFormat="1" ht="14.25" x14ac:dyDescent="0.25">
      <c r="A9" s="302" t="s">
        <v>403</v>
      </c>
      <c r="B9" s="242" t="s">
        <v>404</v>
      </c>
      <c r="C9" s="239" t="s">
        <v>124</v>
      </c>
      <c r="D9" s="239" t="s">
        <v>125</v>
      </c>
    </row>
    <row r="10" spans="1:4" s="47" customFormat="1" ht="14.25" x14ac:dyDescent="0.25">
      <c r="A10" s="302" t="s">
        <v>406</v>
      </c>
      <c r="B10" s="242" t="s">
        <v>407</v>
      </c>
      <c r="C10" s="239" t="s">
        <v>124</v>
      </c>
      <c r="D10" s="239" t="s">
        <v>125</v>
      </c>
    </row>
    <row r="11" spans="1:4" s="47" customFormat="1" ht="14.25" x14ac:dyDescent="0.25">
      <c r="A11" s="302" t="s">
        <v>408</v>
      </c>
      <c r="B11" s="242" t="s">
        <v>410</v>
      </c>
      <c r="C11" s="239" t="s">
        <v>124</v>
      </c>
      <c r="D11" s="239" t="s">
        <v>125</v>
      </c>
    </row>
    <row r="12" spans="1:4" s="47" customFormat="1" ht="14.25" x14ac:dyDescent="0.25">
      <c r="A12" s="302" t="s">
        <v>411</v>
      </c>
      <c r="B12" s="242" t="s">
        <v>526</v>
      </c>
      <c r="C12" s="239" t="s">
        <v>124</v>
      </c>
      <c r="D12" s="239" t="s">
        <v>125</v>
      </c>
    </row>
    <row r="13" spans="1:4" s="230" customFormat="1" ht="14.25" x14ac:dyDescent="0.25">
      <c r="A13" s="54" t="s">
        <v>381</v>
      </c>
      <c r="B13" s="54"/>
      <c r="C13" s="54"/>
      <c r="D13" s="54"/>
    </row>
    <row r="14" spans="1:4" s="230" customFormat="1" ht="14.25" x14ac:dyDescent="0.25">
      <c r="A14" s="55" t="s">
        <v>138</v>
      </c>
      <c r="B14" s="55" t="s">
        <v>382</v>
      </c>
      <c r="C14" s="45" t="s">
        <v>124</v>
      </c>
      <c r="D14" s="45" t="s">
        <v>125</v>
      </c>
    </row>
    <row r="15" spans="1:4" s="230" customFormat="1" ht="14.25" x14ac:dyDescent="0.25">
      <c r="A15" s="52" t="s">
        <v>285</v>
      </c>
      <c r="B15" s="53" t="s">
        <v>286</v>
      </c>
      <c r="C15" s="45" t="s">
        <v>124</v>
      </c>
      <c r="D15" s="53" t="s">
        <v>125</v>
      </c>
    </row>
    <row r="16" spans="1:4" s="47" customFormat="1" ht="14.25" x14ac:dyDescent="0.25">
      <c r="A16" s="302" t="s">
        <v>287</v>
      </c>
      <c r="B16" s="53" t="s">
        <v>508</v>
      </c>
      <c r="C16" s="45" t="s">
        <v>124</v>
      </c>
      <c r="D16" s="53" t="s">
        <v>125</v>
      </c>
    </row>
    <row r="17" spans="1:8" s="47" customFormat="1" ht="14.25" x14ac:dyDescent="0.25">
      <c r="A17" s="302" t="s">
        <v>322</v>
      </c>
      <c r="B17" s="234" t="s">
        <v>325</v>
      </c>
      <c r="C17" s="237" t="s">
        <v>124</v>
      </c>
      <c r="D17" s="234" t="s">
        <v>125</v>
      </c>
    </row>
    <row r="18" spans="1:8" s="47" customFormat="1" ht="14.25" x14ac:dyDescent="0.25">
      <c r="A18" s="302" t="s">
        <v>323</v>
      </c>
      <c r="B18" s="301" t="s">
        <v>383</v>
      </c>
      <c r="C18" s="237" t="s">
        <v>124</v>
      </c>
      <c r="D18" s="234" t="s">
        <v>125</v>
      </c>
    </row>
    <row r="19" spans="1:8" s="47" customFormat="1" ht="14.25" x14ac:dyDescent="0.25">
      <c r="A19" s="302" t="s">
        <v>324</v>
      </c>
      <c r="B19" s="234" t="s">
        <v>384</v>
      </c>
      <c r="C19" s="237" t="s">
        <v>124</v>
      </c>
      <c r="D19" s="234" t="s">
        <v>125</v>
      </c>
    </row>
    <row r="20" spans="1:8" s="47" customFormat="1" ht="14.25" x14ac:dyDescent="0.25">
      <c r="A20" s="302" t="s">
        <v>326</v>
      </c>
      <c r="B20" s="53" t="s">
        <v>385</v>
      </c>
      <c r="C20" s="237" t="s">
        <v>124</v>
      </c>
      <c r="D20" s="53" t="s">
        <v>125</v>
      </c>
    </row>
    <row r="21" spans="1:8" s="232" customFormat="1" ht="14.25" x14ac:dyDescent="0.25">
      <c r="A21" s="54" t="s">
        <v>12</v>
      </c>
      <c r="B21" s="54"/>
      <c r="C21" s="54"/>
      <c r="D21" s="54"/>
    </row>
    <row r="22" spans="1:8" s="232" customFormat="1" ht="14.25" x14ac:dyDescent="0.25">
      <c r="A22" s="52" t="s">
        <v>139</v>
      </c>
      <c r="B22" s="53" t="s">
        <v>123</v>
      </c>
      <c r="C22" s="45" t="s">
        <v>124</v>
      </c>
      <c r="D22" s="45" t="s">
        <v>125</v>
      </c>
    </row>
    <row r="23" spans="1:8" s="47" customFormat="1" ht="14.25" x14ac:dyDescent="0.25">
      <c r="A23" s="55" t="s">
        <v>140</v>
      </c>
      <c r="B23" s="53" t="s">
        <v>137</v>
      </c>
      <c r="C23" s="45" t="s">
        <v>124</v>
      </c>
      <c r="D23" s="45" t="s">
        <v>125</v>
      </c>
    </row>
    <row r="24" spans="1:8" s="232" customFormat="1" ht="14.25" x14ac:dyDescent="0.25">
      <c r="A24" s="52" t="s">
        <v>282</v>
      </c>
      <c r="B24" s="53" t="s">
        <v>386</v>
      </c>
      <c r="C24" s="45" t="s">
        <v>124</v>
      </c>
      <c r="D24" s="45" t="s">
        <v>125</v>
      </c>
      <c r="E24" s="240"/>
      <c r="F24" s="240"/>
      <c r="G24" s="240"/>
      <c r="H24" s="240"/>
    </row>
    <row r="25" spans="1:8" s="47" customFormat="1" ht="14.25" x14ac:dyDescent="0.25">
      <c r="A25" s="302" t="s">
        <v>327</v>
      </c>
      <c r="B25" s="234" t="s">
        <v>387</v>
      </c>
      <c r="C25" s="237" t="s">
        <v>124</v>
      </c>
      <c r="D25" s="237" t="s">
        <v>125</v>
      </c>
    </row>
    <row r="26" spans="1:8" s="47" customFormat="1" ht="14.25" x14ac:dyDescent="0.25">
      <c r="A26" s="233" t="s">
        <v>509</v>
      </c>
      <c r="B26" s="234" t="s">
        <v>510</v>
      </c>
      <c r="C26" s="263" t="s">
        <v>124</v>
      </c>
      <c r="D26" s="263" t="s">
        <v>125</v>
      </c>
    </row>
    <row r="27" spans="1:8" s="47" customFormat="1" ht="14.25" x14ac:dyDescent="0.25">
      <c r="A27" s="54" t="s">
        <v>462</v>
      </c>
      <c r="B27" s="54"/>
      <c r="C27" s="54"/>
      <c r="D27" s="54"/>
    </row>
    <row r="28" spans="1:8" s="47" customFormat="1" ht="14.25" x14ac:dyDescent="0.25">
      <c r="A28" s="241" t="s">
        <v>147</v>
      </c>
      <c r="B28" s="242" t="s">
        <v>136</v>
      </c>
      <c r="C28" s="239" t="s">
        <v>124</v>
      </c>
      <c r="D28" s="242" t="s">
        <v>125</v>
      </c>
    </row>
    <row r="29" spans="1:8" s="47" customFormat="1" ht="14.25" x14ac:dyDescent="0.25">
      <c r="A29" s="302" t="s">
        <v>328</v>
      </c>
      <c r="B29" s="234" t="s">
        <v>470</v>
      </c>
      <c r="C29" s="263" t="s">
        <v>124</v>
      </c>
      <c r="D29" s="242" t="s">
        <v>125</v>
      </c>
    </row>
    <row r="30" spans="1:8" s="47" customFormat="1" ht="14.25" x14ac:dyDescent="0.25">
      <c r="A30" s="302" t="s">
        <v>329</v>
      </c>
      <c r="B30" s="234" t="s">
        <v>388</v>
      </c>
      <c r="C30" s="263" t="s">
        <v>124</v>
      </c>
      <c r="D30" s="242" t="s">
        <v>125</v>
      </c>
    </row>
    <row r="31" spans="1:8" s="47" customFormat="1" ht="28.5" x14ac:dyDescent="0.25">
      <c r="A31" s="302" t="s">
        <v>330</v>
      </c>
      <c r="B31" s="237" t="s">
        <v>389</v>
      </c>
      <c r="C31" s="263" t="s">
        <v>124</v>
      </c>
      <c r="D31" s="242" t="s">
        <v>125</v>
      </c>
    </row>
    <row r="32" spans="1:8" s="47" customFormat="1" ht="14.25" x14ac:dyDescent="0.25">
      <c r="A32" s="302" t="s">
        <v>331</v>
      </c>
      <c r="B32" s="234" t="s">
        <v>390</v>
      </c>
      <c r="C32" s="263" t="s">
        <v>124</v>
      </c>
      <c r="D32" s="242" t="s">
        <v>125</v>
      </c>
    </row>
    <row r="33" spans="1:8" s="232" customFormat="1" ht="14.25" x14ac:dyDescent="0.25">
      <c r="A33" s="302" t="s">
        <v>332</v>
      </c>
      <c r="B33" s="234" t="s">
        <v>391</v>
      </c>
      <c r="C33" s="263" t="s">
        <v>124</v>
      </c>
      <c r="D33" s="242" t="s">
        <v>125</v>
      </c>
    </row>
    <row r="34" spans="1:8" s="232" customFormat="1" ht="28.5" x14ac:dyDescent="0.25">
      <c r="A34" s="302" t="s">
        <v>333</v>
      </c>
      <c r="B34" s="263" t="s">
        <v>392</v>
      </c>
      <c r="C34" s="263" t="s">
        <v>124</v>
      </c>
      <c r="D34" s="242" t="s">
        <v>125</v>
      </c>
    </row>
    <row r="35" spans="1:8" s="232" customFormat="1" ht="14.25" x14ac:dyDescent="0.25">
      <c r="A35" s="302" t="s">
        <v>334</v>
      </c>
      <c r="B35" s="234" t="s">
        <v>393</v>
      </c>
      <c r="C35" s="263" t="s">
        <v>124</v>
      </c>
      <c r="D35" s="242" t="s">
        <v>125</v>
      </c>
    </row>
    <row r="36" spans="1:8" s="232" customFormat="1" ht="14.25" x14ac:dyDescent="0.25">
      <c r="A36" s="302" t="s">
        <v>346</v>
      </c>
      <c r="B36" s="249" t="s">
        <v>394</v>
      </c>
      <c r="C36" s="263" t="s">
        <v>124</v>
      </c>
      <c r="D36" s="242" t="s">
        <v>125</v>
      </c>
    </row>
    <row r="37" spans="1:8" s="232" customFormat="1" ht="14.25" x14ac:dyDescent="0.25">
      <c r="A37" s="284" t="s">
        <v>336</v>
      </c>
      <c r="B37" s="249" t="s">
        <v>474</v>
      </c>
      <c r="C37" s="263" t="s">
        <v>124</v>
      </c>
      <c r="D37" s="242" t="s">
        <v>125</v>
      </c>
    </row>
    <row r="38" spans="1:8" s="232" customFormat="1" ht="14.25" x14ac:dyDescent="0.25">
      <c r="A38" s="248" t="s">
        <v>335</v>
      </c>
      <c r="B38" s="250"/>
      <c r="C38" s="250"/>
      <c r="D38" s="250"/>
    </row>
    <row r="39" spans="1:8" s="232" customFormat="1" ht="14.25" x14ac:dyDescent="0.25">
      <c r="A39" s="247" t="s">
        <v>337</v>
      </c>
      <c r="B39" s="249" t="s">
        <v>503</v>
      </c>
      <c r="C39" s="263" t="s">
        <v>124</v>
      </c>
      <c r="D39" s="242" t="s">
        <v>125</v>
      </c>
    </row>
    <row r="40" spans="1:8" s="47" customFormat="1" ht="14.25" x14ac:dyDescent="0.25">
      <c r="A40" s="247" t="s">
        <v>338</v>
      </c>
      <c r="B40" s="249" t="s">
        <v>395</v>
      </c>
      <c r="C40" s="263" t="s">
        <v>124</v>
      </c>
      <c r="D40" s="242" t="s">
        <v>125</v>
      </c>
    </row>
    <row r="41" spans="1:8" s="47" customFormat="1" ht="14.25" x14ac:dyDescent="0.15">
      <c r="A41" s="247" t="s">
        <v>339</v>
      </c>
      <c r="B41" s="249" t="s">
        <v>396</v>
      </c>
      <c r="C41" s="263" t="s">
        <v>124</v>
      </c>
      <c r="D41" s="242" t="s">
        <v>125</v>
      </c>
      <c r="E41" s="30"/>
      <c r="F41" s="30"/>
      <c r="G41" s="30"/>
      <c r="H41" s="30"/>
    </row>
    <row r="42" spans="1:8" s="47" customFormat="1" ht="14.25" x14ac:dyDescent="0.25">
      <c r="A42" s="247" t="s">
        <v>473</v>
      </c>
      <c r="B42" s="249" t="s">
        <v>340</v>
      </c>
      <c r="C42" s="263" t="s">
        <v>124</v>
      </c>
      <c r="D42" s="242" t="s">
        <v>125</v>
      </c>
    </row>
    <row r="43" spans="1:8" x14ac:dyDescent="0.25">
      <c r="A43" s="247"/>
      <c r="B43" s="249"/>
      <c r="C43" s="249"/>
      <c r="D43" s="249"/>
    </row>
    <row r="44" spans="1:8" x14ac:dyDescent="0.25">
      <c r="A44" s="248" t="s">
        <v>460</v>
      </c>
      <c r="B44" s="250"/>
      <c r="C44" s="250"/>
      <c r="D44" s="250"/>
    </row>
    <row r="45" spans="1:8" x14ac:dyDescent="0.25">
      <c r="A45" s="303" t="s">
        <v>414</v>
      </c>
      <c r="B45" s="249" t="s">
        <v>413</v>
      </c>
      <c r="C45" s="263" t="s">
        <v>124</v>
      </c>
      <c r="D45" s="242" t="s">
        <v>125</v>
      </c>
    </row>
    <row r="46" spans="1:8" x14ac:dyDescent="0.25">
      <c r="A46" s="284" t="s">
        <v>415</v>
      </c>
      <c r="B46" s="249" t="s">
        <v>439</v>
      </c>
      <c r="C46" s="263" t="s">
        <v>124</v>
      </c>
      <c r="D46" s="242" t="s">
        <v>125</v>
      </c>
    </row>
    <row r="47" spans="1:8" x14ac:dyDescent="0.25">
      <c r="A47" s="284" t="s">
        <v>416</v>
      </c>
      <c r="B47" s="249" t="s">
        <v>461</v>
      </c>
      <c r="C47" s="263" t="s">
        <v>124</v>
      </c>
      <c r="D47" s="242" t="s">
        <v>125</v>
      </c>
    </row>
    <row r="48" spans="1:8" x14ac:dyDescent="0.25">
      <c r="A48" s="284" t="s">
        <v>419</v>
      </c>
      <c r="B48" s="249" t="s">
        <v>417</v>
      </c>
      <c r="C48" s="263" t="s">
        <v>124</v>
      </c>
      <c r="D48" s="242" t="s">
        <v>125</v>
      </c>
    </row>
    <row r="49" spans="1:4" x14ac:dyDescent="0.25">
      <c r="A49" s="284" t="s">
        <v>423</v>
      </c>
      <c r="B49" s="251" t="s">
        <v>418</v>
      </c>
      <c r="C49" s="263" t="s">
        <v>124</v>
      </c>
      <c r="D49" s="242" t="s">
        <v>125</v>
      </c>
    </row>
    <row r="50" spans="1:4" x14ac:dyDescent="0.25">
      <c r="A50" s="284" t="s">
        <v>420</v>
      </c>
      <c r="B50" s="249" t="s">
        <v>527</v>
      </c>
      <c r="C50" s="263" t="s">
        <v>124</v>
      </c>
      <c r="D50" s="242" t="s">
        <v>125</v>
      </c>
    </row>
    <row r="51" spans="1:4" ht="28.5" x14ac:dyDescent="0.25">
      <c r="A51" s="284" t="s">
        <v>422</v>
      </c>
      <c r="B51" s="243" t="s">
        <v>424</v>
      </c>
      <c r="C51" s="263" t="s">
        <v>124</v>
      </c>
      <c r="D51" s="242" t="s">
        <v>125</v>
      </c>
    </row>
    <row r="52" spans="1:4" x14ac:dyDescent="0.25">
      <c r="A52" s="284" t="s">
        <v>427</v>
      </c>
      <c r="B52" s="249" t="s">
        <v>428</v>
      </c>
      <c r="C52" s="263" t="s">
        <v>124</v>
      </c>
      <c r="D52" s="242" t="s">
        <v>125</v>
      </c>
    </row>
    <row r="53" spans="1:4" x14ac:dyDescent="0.25">
      <c r="A53" s="247"/>
      <c r="B53" s="249"/>
      <c r="C53" s="249"/>
      <c r="D53" s="249"/>
    </row>
    <row r="54" spans="1:4" x14ac:dyDescent="0.25">
      <c r="A54" s="248" t="s">
        <v>429</v>
      </c>
      <c r="B54" s="250"/>
      <c r="C54" s="250"/>
      <c r="D54" s="250"/>
    </row>
    <row r="55" spans="1:4" x14ac:dyDescent="0.25">
      <c r="A55" s="284" t="s">
        <v>430</v>
      </c>
      <c r="B55" s="249" t="s">
        <v>417</v>
      </c>
      <c r="C55" s="263" t="s">
        <v>169</v>
      </c>
      <c r="D55" s="242" t="s">
        <v>125</v>
      </c>
    </row>
    <row r="56" spans="1:4" x14ac:dyDescent="0.25">
      <c r="A56" s="284" t="s">
        <v>431</v>
      </c>
      <c r="B56" s="251" t="s">
        <v>418</v>
      </c>
      <c r="C56" s="263" t="s">
        <v>169</v>
      </c>
      <c r="D56" s="242" t="s">
        <v>125</v>
      </c>
    </row>
    <row r="57" spans="1:4" x14ac:dyDescent="0.25">
      <c r="A57" s="284" t="s">
        <v>432</v>
      </c>
      <c r="B57" s="249" t="s">
        <v>421</v>
      </c>
      <c r="C57" s="263" t="s">
        <v>169</v>
      </c>
      <c r="D57" s="242" t="s">
        <v>125</v>
      </c>
    </row>
    <row r="58" spans="1:4" x14ac:dyDescent="0.25">
      <c r="A58" s="284" t="s">
        <v>433</v>
      </c>
      <c r="B58" s="249" t="s">
        <v>424</v>
      </c>
      <c r="C58" s="263" t="s">
        <v>169</v>
      </c>
      <c r="D58" s="242" t="s">
        <v>125</v>
      </c>
    </row>
    <row r="59" spans="1:4" x14ac:dyDescent="0.25">
      <c r="A59" s="284" t="s">
        <v>434</v>
      </c>
      <c r="B59" s="249" t="s">
        <v>428</v>
      </c>
      <c r="C59" s="263" t="s">
        <v>169</v>
      </c>
      <c r="D59" s="242" t="s">
        <v>125</v>
      </c>
    </row>
    <row r="60" spans="1:4" x14ac:dyDescent="0.25">
      <c r="A60" s="284" t="s">
        <v>436</v>
      </c>
      <c r="B60" s="249" t="s">
        <v>435</v>
      </c>
      <c r="C60" s="263" t="s">
        <v>169</v>
      </c>
      <c r="D60" s="242" t="s">
        <v>125</v>
      </c>
    </row>
    <row r="61" spans="1:4" x14ac:dyDescent="0.25">
      <c r="A61" s="302" t="s">
        <v>458</v>
      </c>
      <c r="B61" s="242" t="s">
        <v>459</v>
      </c>
      <c r="C61" s="263" t="s">
        <v>169</v>
      </c>
      <c r="D61" s="242" t="s">
        <v>125</v>
      </c>
    </row>
    <row r="62" spans="1:4" x14ac:dyDescent="0.25">
      <c r="A62" s="284"/>
      <c r="B62" s="249"/>
      <c r="C62" s="243"/>
      <c r="D62" s="249"/>
    </row>
    <row r="63" spans="1:4" x14ac:dyDescent="0.25">
      <c r="A63" s="293" t="s">
        <v>463</v>
      </c>
      <c r="B63" s="294"/>
      <c r="C63" s="294"/>
      <c r="D63" s="294"/>
    </row>
    <row r="64" spans="1:4" ht="28.5" x14ac:dyDescent="0.25">
      <c r="A64" s="304" t="s">
        <v>467</v>
      </c>
      <c r="B64" s="295" t="s">
        <v>464</v>
      </c>
      <c r="C64" s="263" t="s">
        <v>169</v>
      </c>
      <c r="D64" s="263" t="s">
        <v>498</v>
      </c>
    </row>
    <row r="65" spans="1:4" ht="28.5" x14ac:dyDescent="0.25">
      <c r="A65" s="304" t="s">
        <v>468</v>
      </c>
      <c r="B65" s="295" t="s">
        <v>465</v>
      </c>
      <c r="C65" s="263" t="s">
        <v>169</v>
      </c>
      <c r="D65" s="263" t="s">
        <v>498</v>
      </c>
    </row>
    <row r="66" spans="1:4" ht="28.5" x14ac:dyDescent="0.25">
      <c r="A66" s="304" t="s">
        <v>469</v>
      </c>
      <c r="B66" s="295" t="s">
        <v>466</v>
      </c>
      <c r="C66" s="263" t="s">
        <v>169</v>
      </c>
      <c r="D66" s="263" t="s">
        <v>498</v>
      </c>
    </row>
    <row r="67" spans="1:4" x14ac:dyDescent="0.25">
      <c r="A67" s="312" t="s">
        <v>545</v>
      </c>
      <c r="B67" s="313"/>
      <c r="C67" s="313"/>
      <c r="D67" s="313"/>
    </row>
    <row r="68" spans="1:4" x14ac:dyDescent="0.25">
      <c r="A68" s="314" t="s">
        <v>511</v>
      </c>
      <c r="B68" s="251" t="s">
        <v>513</v>
      </c>
      <c r="C68" s="251" t="s">
        <v>124</v>
      </c>
      <c r="D68" s="263" t="s">
        <v>125</v>
      </c>
    </row>
    <row r="69" spans="1:4" x14ac:dyDescent="0.25">
      <c r="A69" s="314" t="s">
        <v>512</v>
      </c>
      <c r="B69" s="251" t="s">
        <v>560</v>
      </c>
      <c r="C69" s="251" t="s">
        <v>124</v>
      </c>
      <c r="D69" s="263" t="s">
        <v>125</v>
      </c>
    </row>
    <row r="70" spans="1:4" x14ac:dyDescent="0.25">
      <c r="A70" s="314" t="s">
        <v>514</v>
      </c>
      <c r="B70" s="251" t="s">
        <v>517</v>
      </c>
      <c r="C70" s="251" t="s">
        <v>124</v>
      </c>
      <c r="D70" s="263" t="s">
        <v>125</v>
      </c>
    </row>
    <row r="71" spans="1:4" x14ac:dyDescent="0.25">
      <c r="A71" s="314" t="s">
        <v>515</v>
      </c>
      <c r="B71" s="251" t="s">
        <v>522</v>
      </c>
      <c r="C71" s="251" t="s">
        <v>124</v>
      </c>
      <c r="D71" s="263" t="s">
        <v>125</v>
      </c>
    </row>
    <row r="72" spans="1:4" x14ac:dyDescent="0.25">
      <c r="A72" s="314" t="s">
        <v>516</v>
      </c>
      <c r="B72" s="251" t="s">
        <v>518</v>
      </c>
      <c r="C72" s="251" t="s">
        <v>124</v>
      </c>
      <c r="D72" s="263" t="s">
        <v>125</v>
      </c>
    </row>
    <row r="73" spans="1:4" x14ac:dyDescent="0.25">
      <c r="A73" s="314" t="s">
        <v>519</v>
      </c>
      <c r="B73" s="251" t="s">
        <v>546</v>
      </c>
      <c r="C73" s="251" t="s">
        <v>124</v>
      </c>
      <c r="D73" s="263" t="s">
        <v>125</v>
      </c>
    </row>
    <row r="74" spans="1:4" x14ac:dyDescent="0.25">
      <c r="A74" s="314" t="s">
        <v>520</v>
      </c>
      <c r="B74" s="251" t="s">
        <v>547</v>
      </c>
      <c r="C74" s="251" t="s">
        <v>124</v>
      </c>
      <c r="D74" s="263" t="s">
        <v>125</v>
      </c>
    </row>
    <row r="75" spans="1:4" x14ac:dyDescent="0.25">
      <c r="A75" s="314" t="s">
        <v>521</v>
      </c>
      <c r="B75" s="251" t="s">
        <v>548</v>
      </c>
      <c r="C75" s="251" t="s">
        <v>124</v>
      </c>
      <c r="D75" s="263" t="s">
        <v>125</v>
      </c>
    </row>
    <row r="76" spans="1:4" x14ac:dyDescent="0.25">
      <c r="A76" s="314" t="s">
        <v>523</v>
      </c>
      <c r="B76" s="251" t="s">
        <v>524</v>
      </c>
      <c r="C76" s="251" t="s">
        <v>124</v>
      </c>
      <c r="D76" s="263" t="s">
        <v>125</v>
      </c>
    </row>
    <row r="77" spans="1:4" ht="28.5" x14ac:dyDescent="0.25">
      <c r="A77" s="314" t="s">
        <v>525</v>
      </c>
      <c r="B77" s="244" t="s">
        <v>549</v>
      </c>
      <c r="C77" s="251" t="s">
        <v>124</v>
      </c>
      <c r="D77" s="263" t="s">
        <v>125</v>
      </c>
    </row>
    <row r="80" spans="1:4" x14ac:dyDescent="0.25">
      <c r="A80" s="310"/>
      <c r="B80" s="310"/>
      <c r="C80" s="311"/>
      <c r="D80" s="311"/>
    </row>
    <row r="81" spans="1:3" x14ac:dyDescent="0.15">
      <c r="A81" s="29" t="s">
        <v>162</v>
      </c>
      <c r="B81" s="47"/>
      <c r="C81" s="47"/>
    </row>
    <row r="82" spans="1:3" ht="42" x14ac:dyDescent="0.15">
      <c r="A82" s="47"/>
      <c r="B82" s="30" t="s">
        <v>163</v>
      </c>
      <c r="C82"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C22:C26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topLeftCell="A24" zoomScale="80" zoomScaleNormal="100" zoomScaleSheetLayoutView="80" workbookViewId="0">
      <selection activeCell="B27" sqref="B27"/>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397</v>
      </c>
      <c r="C4" s="61" t="s">
        <v>481</v>
      </c>
      <c r="D4" s="62" t="s">
        <v>218</v>
      </c>
      <c r="E4" s="63" t="s">
        <v>124</v>
      </c>
      <c r="F4" s="65" t="s">
        <v>125</v>
      </c>
    </row>
    <row r="5" spans="1:7" s="47" customFormat="1" ht="114" x14ac:dyDescent="0.25">
      <c r="A5" s="59" t="s">
        <v>119</v>
      </c>
      <c r="B5" s="60" t="s">
        <v>398</v>
      </c>
      <c r="C5" s="61" t="s">
        <v>482</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483</v>
      </c>
      <c r="D7" s="62" t="s">
        <v>153</v>
      </c>
      <c r="E7" s="225" t="s">
        <v>169</v>
      </c>
      <c r="F7" s="226" t="s">
        <v>484</v>
      </c>
    </row>
    <row r="8" spans="1:7" s="47" customFormat="1" ht="28.5" x14ac:dyDescent="0.25">
      <c r="A8" s="59" t="s">
        <v>122</v>
      </c>
      <c r="B8" s="68" t="s">
        <v>135</v>
      </c>
      <c r="C8" s="68" t="s">
        <v>485</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486</v>
      </c>
      <c r="D11" s="62" t="s">
        <v>228</v>
      </c>
      <c r="E11" s="63" t="s">
        <v>124</v>
      </c>
      <c r="F11" s="65" t="s">
        <v>125</v>
      </c>
    </row>
    <row r="12" spans="1:7" s="47" customFormat="1" ht="57" x14ac:dyDescent="0.25">
      <c r="A12" s="285" t="s">
        <v>229</v>
      </c>
      <c r="B12" s="264" t="s">
        <v>230</v>
      </c>
      <c r="C12" s="32" t="s">
        <v>231</v>
      </c>
      <c r="D12" s="291"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2" t="s">
        <v>399</v>
      </c>
      <c r="C14" s="263" t="s">
        <v>487</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488</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489</v>
      </c>
      <c r="D20" s="44" t="s">
        <v>156</v>
      </c>
      <c r="E20" s="63" t="s">
        <v>124</v>
      </c>
      <c r="F20" s="65" t="s">
        <v>125</v>
      </c>
    </row>
    <row r="21" spans="1:6" s="47" customFormat="1" ht="99.75" x14ac:dyDescent="0.25">
      <c r="A21" s="285" t="s">
        <v>257</v>
      </c>
      <c r="B21" s="264" t="s">
        <v>258</v>
      </c>
      <c r="C21" s="32" t="s">
        <v>259</v>
      </c>
      <c r="D21" s="291" t="s">
        <v>232</v>
      </c>
      <c r="E21" s="63" t="s">
        <v>169</v>
      </c>
      <c r="F21" s="46" t="s">
        <v>490</v>
      </c>
    </row>
    <row r="22" spans="1:6" s="47" customFormat="1" ht="71.25" x14ac:dyDescent="0.25">
      <c r="A22" s="199" t="s">
        <v>260</v>
      </c>
      <c r="B22" s="264" t="s">
        <v>261</v>
      </c>
      <c r="C22" s="264" t="s">
        <v>491</v>
      </c>
      <c r="D22" s="291" t="s">
        <v>153</v>
      </c>
      <c r="E22" s="63" t="s">
        <v>169</v>
      </c>
      <c r="F22" s="46" t="s">
        <v>262</v>
      </c>
    </row>
    <row r="23" spans="1:6" s="47" customFormat="1" ht="85.5" x14ac:dyDescent="0.25">
      <c r="A23" s="285" t="s">
        <v>263</v>
      </c>
      <c r="B23" s="264" t="s">
        <v>264</v>
      </c>
      <c r="C23" s="32" t="s">
        <v>265</v>
      </c>
      <c r="D23" s="291" t="s">
        <v>232</v>
      </c>
      <c r="E23" s="63" t="s">
        <v>169</v>
      </c>
      <c r="F23" s="46" t="s">
        <v>262</v>
      </c>
    </row>
    <row r="24" spans="1:6" s="47" customFormat="1" ht="28.5" x14ac:dyDescent="0.25">
      <c r="A24" s="199" t="s">
        <v>266</v>
      </c>
      <c r="B24" s="264" t="s">
        <v>267</v>
      </c>
      <c r="C24" s="32" t="s">
        <v>268</v>
      </c>
      <c r="D24" s="291" t="s">
        <v>269</v>
      </c>
      <c r="E24" s="63" t="s">
        <v>124</v>
      </c>
      <c r="F24" s="46" t="s">
        <v>125</v>
      </c>
    </row>
    <row r="25" spans="1:6" s="47" customFormat="1" ht="57" x14ac:dyDescent="0.25">
      <c r="A25" s="199" t="s">
        <v>270</v>
      </c>
      <c r="B25" s="263" t="s">
        <v>271</v>
      </c>
      <c r="C25" s="263" t="s">
        <v>272</v>
      </c>
      <c r="D25" s="291" t="s">
        <v>232</v>
      </c>
      <c r="E25" s="63" t="s">
        <v>169</v>
      </c>
      <c r="F25" s="46" t="s">
        <v>273</v>
      </c>
    </row>
    <row r="26" spans="1:6" s="47" customFormat="1" ht="57" x14ac:dyDescent="0.25">
      <c r="A26" s="59" t="s">
        <v>274</v>
      </c>
      <c r="B26" s="60" t="s">
        <v>275</v>
      </c>
      <c r="C26" s="263" t="s">
        <v>492</v>
      </c>
      <c r="D26" s="291" t="s">
        <v>232</v>
      </c>
      <c r="E26" s="225" t="s">
        <v>169</v>
      </c>
      <c r="F26" s="292" t="s">
        <v>493</v>
      </c>
    </row>
    <row r="27" spans="1:6" s="47" customFormat="1" ht="42.75" x14ac:dyDescent="0.25">
      <c r="A27" s="67" t="s">
        <v>276</v>
      </c>
      <c r="B27" s="60" t="s">
        <v>277</v>
      </c>
      <c r="C27" s="263" t="s">
        <v>278</v>
      </c>
      <c r="D27" s="291" t="s">
        <v>232</v>
      </c>
      <c r="E27" s="63" t="s">
        <v>124</v>
      </c>
      <c r="F27" s="46" t="s">
        <v>125</v>
      </c>
    </row>
    <row r="28" spans="1:6" s="47" customFormat="1" ht="42.75" x14ac:dyDescent="0.25">
      <c r="A28" s="67" t="s">
        <v>279</v>
      </c>
      <c r="B28" s="60" t="s">
        <v>280</v>
      </c>
      <c r="C28" s="263" t="s">
        <v>281</v>
      </c>
      <c r="D28" s="291" t="s">
        <v>232</v>
      </c>
      <c r="E28" s="63" t="s">
        <v>169</v>
      </c>
      <c r="F28" s="46" t="s">
        <v>494</v>
      </c>
    </row>
    <row r="29" spans="1:6" s="232" customFormat="1" ht="28.5" x14ac:dyDescent="0.25">
      <c r="A29" s="305" t="s">
        <v>341</v>
      </c>
      <c r="B29" s="238" t="s">
        <v>402</v>
      </c>
      <c r="C29" s="264" t="s">
        <v>342</v>
      </c>
      <c r="D29" s="291" t="s">
        <v>232</v>
      </c>
      <c r="E29" s="236" t="s">
        <v>124</v>
      </c>
      <c r="F29" s="46" t="s">
        <v>125</v>
      </c>
    </row>
    <row r="30" spans="1:6" s="232" customFormat="1" ht="28.5" x14ac:dyDescent="0.25">
      <c r="A30" s="305" t="s">
        <v>347</v>
      </c>
      <c r="B30" s="238" t="s">
        <v>348</v>
      </c>
      <c r="C30" s="264" t="s">
        <v>349</v>
      </c>
      <c r="D30" s="291" t="s">
        <v>232</v>
      </c>
      <c r="E30" s="236" t="s">
        <v>124</v>
      </c>
      <c r="F30" s="46" t="s">
        <v>125</v>
      </c>
    </row>
    <row r="31" spans="1:6" s="240" customFormat="1" ht="28.5" x14ac:dyDescent="0.25">
      <c r="A31" s="67" t="s">
        <v>350</v>
      </c>
      <c r="B31" s="60" t="s">
        <v>504</v>
      </c>
      <c r="C31" s="263" t="s">
        <v>351</v>
      </c>
      <c r="D31" s="291" t="s">
        <v>232</v>
      </c>
      <c r="E31" s="236" t="s">
        <v>124</v>
      </c>
      <c r="F31" s="46" t="s">
        <v>125</v>
      </c>
    </row>
    <row r="32" spans="1:6" s="240" customFormat="1" ht="28.5" x14ac:dyDescent="0.25">
      <c r="A32" s="67" t="s">
        <v>352</v>
      </c>
      <c r="B32" s="60" t="s">
        <v>400</v>
      </c>
      <c r="C32" s="263" t="s">
        <v>353</v>
      </c>
      <c r="D32" s="291" t="s">
        <v>232</v>
      </c>
      <c r="E32" s="236" t="s">
        <v>124</v>
      </c>
      <c r="F32" s="46" t="s">
        <v>125</v>
      </c>
    </row>
    <row r="33" spans="1:6" s="240" customFormat="1" ht="42.75" x14ac:dyDescent="0.25">
      <c r="A33" s="67" t="s">
        <v>354</v>
      </c>
      <c r="B33" s="60" t="s">
        <v>401</v>
      </c>
      <c r="C33" s="263" t="s">
        <v>355</v>
      </c>
      <c r="D33" s="291" t="s">
        <v>232</v>
      </c>
      <c r="E33" s="236" t="s">
        <v>124</v>
      </c>
      <c r="F33" s="46" t="s">
        <v>125</v>
      </c>
    </row>
    <row r="34" spans="1:6" s="240" customFormat="1" ht="28.5" x14ac:dyDescent="0.25">
      <c r="A34" s="67" t="s">
        <v>356</v>
      </c>
      <c r="B34" s="60" t="s">
        <v>357</v>
      </c>
      <c r="C34" s="263" t="s">
        <v>358</v>
      </c>
      <c r="D34" s="291" t="s">
        <v>232</v>
      </c>
      <c r="E34" s="236" t="s">
        <v>124</v>
      </c>
      <c r="F34" s="46" t="s">
        <v>125</v>
      </c>
    </row>
    <row r="35" spans="1:6" s="240" customFormat="1" ht="28.5" x14ac:dyDescent="0.25">
      <c r="A35" s="67" t="s">
        <v>359</v>
      </c>
      <c r="B35" s="60" t="s">
        <v>360</v>
      </c>
      <c r="C35" s="263" t="s">
        <v>361</v>
      </c>
      <c r="D35" s="291" t="s">
        <v>232</v>
      </c>
      <c r="E35" s="236" t="s">
        <v>124</v>
      </c>
      <c r="F35" s="46" t="s">
        <v>125</v>
      </c>
    </row>
    <row r="36" spans="1:6" s="240" customFormat="1" ht="28.5" x14ac:dyDescent="0.25">
      <c r="A36" s="67" t="s">
        <v>362</v>
      </c>
      <c r="B36" s="60" t="s">
        <v>450</v>
      </c>
      <c r="C36" s="263" t="s">
        <v>405</v>
      </c>
      <c r="D36" s="291" t="s">
        <v>232</v>
      </c>
      <c r="E36" s="236" t="s">
        <v>124</v>
      </c>
      <c r="F36" s="46" t="s">
        <v>125</v>
      </c>
    </row>
    <row r="37" spans="1:6" s="240" customFormat="1" ht="28.5" x14ac:dyDescent="0.25">
      <c r="A37" s="67" t="s">
        <v>363</v>
      </c>
      <c r="B37" s="60" t="s">
        <v>409</v>
      </c>
      <c r="C37" s="263" t="s">
        <v>364</v>
      </c>
      <c r="D37" s="291" t="s">
        <v>232</v>
      </c>
      <c r="E37" s="236" t="s">
        <v>124</v>
      </c>
      <c r="F37" s="46" t="s">
        <v>125</v>
      </c>
    </row>
    <row r="38" spans="1:6" s="240" customFormat="1" ht="28.5" x14ac:dyDescent="0.25">
      <c r="A38" s="67" t="s">
        <v>365</v>
      </c>
      <c r="B38" s="60" t="s">
        <v>506</v>
      </c>
      <c r="C38" s="263" t="s">
        <v>507</v>
      </c>
      <c r="D38" s="62" t="s">
        <v>218</v>
      </c>
      <c r="E38" s="236" t="s">
        <v>124</v>
      </c>
      <c r="F38" s="46" t="s">
        <v>125</v>
      </c>
    </row>
    <row r="39" spans="1:6" s="240" customFormat="1" ht="28.5" x14ac:dyDescent="0.25">
      <c r="A39" s="67" t="s">
        <v>366</v>
      </c>
      <c r="B39" s="60" t="s">
        <v>505</v>
      </c>
      <c r="C39" s="263" t="s">
        <v>368</v>
      </c>
      <c r="D39" s="291" t="s">
        <v>232</v>
      </c>
      <c r="E39" s="236" t="s">
        <v>124</v>
      </c>
      <c r="F39" s="46" t="s">
        <v>125</v>
      </c>
    </row>
    <row r="40" spans="1:6" s="240" customFormat="1" ht="28.5" x14ac:dyDescent="0.25">
      <c r="A40" s="67" t="s">
        <v>367</v>
      </c>
      <c r="B40" s="60" t="s">
        <v>370</v>
      </c>
      <c r="C40" s="263" t="s">
        <v>371</v>
      </c>
      <c r="D40" s="291" t="s">
        <v>232</v>
      </c>
      <c r="E40" s="236" t="s">
        <v>124</v>
      </c>
      <c r="F40" s="46" t="s">
        <v>125</v>
      </c>
    </row>
    <row r="41" spans="1:6" s="240" customFormat="1" ht="28.5" x14ac:dyDescent="0.25">
      <c r="A41" s="305" t="s">
        <v>369</v>
      </c>
      <c r="B41" s="238" t="s">
        <v>372</v>
      </c>
      <c r="C41" s="264" t="s">
        <v>373</v>
      </c>
      <c r="D41" s="291" t="s">
        <v>232</v>
      </c>
      <c r="E41" s="236" t="s">
        <v>124</v>
      </c>
      <c r="F41" s="46" t="s">
        <v>125</v>
      </c>
    </row>
    <row r="42" spans="1:6" ht="28.5" customHeight="1" x14ac:dyDescent="0.25">
      <c r="A42" s="306" t="s">
        <v>374</v>
      </c>
      <c r="B42" s="263" t="s">
        <v>412</v>
      </c>
      <c r="C42" s="263" t="s">
        <v>441</v>
      </c>
      <c r="D42" s="291" t="s">
        <v>232</v>
      </c>
      <c r="E42" s="236" t="s">
        <v>124</v>
      </c>
      <c r="F42" s="46" t="s">
        <v>125</v>
      </c>
    </row>
    <row r="43" spans="1:6" s="47" customFormat="1" ht="42.75" x14ac:dyDescent="0.25">
      <c r="A43" s="67" t="s">
        <v>426</v>
      </c>
      <c r="B43" s="60" t="s">
        <v>425</v>
      </c>
      <c r="C43" s="263" t="s">
        <v>442</v>
      </c>
      <c r="D43" s="291" t="s">
        <v>232</v>
      </c>
      <c r="E43" s="236" t="s">
        <v>124</v>
      </c>
      <c r="F43" s="46" t="s">
        <v>125</v>
      </c>
    </row>
    <row r="44" spans="1:6" s="47" customFormat="1" ht="42.75" x14ac:dyDescent="0.25">
      <c r="A44" s="67" t="s">
        <v>437</v>
      </c>
      <c r="B44" s="60" t="s">
        <v>438</v>
      </c>
      <c r="C44" s="263" t="s">
        <v>443</v>
      </c>
      <c r="D44" s="291" t="s">
        <v>232</v>
      </c>
      <c r="E44" s="236" t="s">
        <v>169</v>
      </c>
      <c r="F44" s="46" t="s">
        <v>125</v>
      </c>
    </row>
    <row r="45" spans="1:6" s="47" customFormat="1" ht="42.75" x14ac:dyDescent="0.25">
      <c r="A45" s="305" t="s">
        <v>471</v>
      </c>
      <c r="B45" s="238" t="s">
        <v>472</v>
      </c>
      <c r="C45" s="264" t="s">
        <v>476</v>
      </c>
      <c r="D45" s="291" t="s">
        <v>232</v>
      </c>
      <c r="E45" s="236" t="s">
        <v>124</v>
      </c>
      <c r="F45" s="46" t="s">
        <v>125</v>
      </c>
    </row>
    <row r="46" spans="1:6" ht="28.5" x14ac:dyDescent="0.25">
      <c r="A46" s="315" t="s">
        <v>528</v>
      </c>
      <c r="B46" s="238" t="s">
        <v>529</v>
      </c>
      <c r="C46" s="264" t="s">
        <v>544</v>
      </c>
      <c r="D46" s="291" t="s">
        <v>232</v>
      </c>
      <c r="E46" s="236" t="s">
        <v>124</v>
      </c>
      <c r="F46" s="46" t="s">
        <v>125</v>
      </c>
    </row>
    <row r="47" spans="1:6" ht="42.75" x14ac:dyDescent="0.25">
      <c r="A47" s="315" t="s">
        <v>533</v>
      </c>
      <c r="B47" s="238" t="s">
        <v>530</v>
      </c>
      <c r="C47" s="264" t="s">
        <v>565</v>
      </c>
      <c r="D47" s="291" t="s">
        <v>232</v>
      </c>
      <c r="E47" s="236" t="s">
        <v>124</v>
      </c>
      <c r="F47" s="46" t="s">
        <v>125</v>
      </c>
    </row>
    <row r="48" spans="1:6" s="47" customFormat="1" ht="42.75" x14ac:dyDescent="0.25">
      <c r="A48" s="315" t="s">
        <v>534</v>
      </c>
      <c r="B48" s="238" t="s">
        <v>552</v>
      </c>
      <c r="C48" s="264" t="s">
        <v>567</v>
      </c>
      <c r="D48" s="291" t="s">
        <v>232</v>
      </c>
      <c r="E48" s="236" t="s">
        <v>124</v>
      </c>
      <c r="F48" s="46" t="s">
        <v>125</v>
      </c>
    </row>
    <row r="49" spans="1:6" s="47" customFormat="1" ht="28.5" x14ac:dyDescent="0.25">
      <c r="A49" s="315" t="s">
        <v>535</v>
      </c>
      <c r="B49" s="238" t="s">
        <v>531</v>
      </c>
      <c r="C49" s="264" t="s">
        <v>569</v>
      </c>
      <c r="D49" s="291" t="s">
        <v>232</v>
      </c>
      <c r="E49" s="236" t="s">
        <v>124</v>
      </c>
      <c r="F49" s="46" t="s">
        <v>125</v>
      </c>
    </row>
    <row r="50" spans="1:6" s="240" customFormat="1" ht="28.5" x14ac:dyDescent="0.25">
      <c r="A50" s="315" t="s">
        <v>536</v>
      </c>
      <c r="B50" s="238" t="s">
        <v>550</v>
      </c>
      <c r="C50" s="264" t="s">
        <v>571</v>
      </c>
      <c r="D50" s="291" t="s">
        <v>232</v>
      </c>
      <c r="E50" s="236" t="s">
        <v>124</v>
      </c>
      <c r="F50" s="46" t="s">
        <v>125</v>
      </c>
    </row>
    <row r="51" spans="1:6" s="240" customFormat="1" ht="28.5" x14ac:dyDescent="0.25">
      <c r="A51" s="315" t="s">
        <v>537</v>
      </c>
      <c r="B51" s="238" t="s">
        <v>551</v>
      </c>
      <c r="C51" s="264" t="s">
        <v>570</v>
      </c>
      <c r="D51" s="291" t="s">
        <v>232</v>
      </c>
      <c r="E51" s="236" t="s">
        <v>124</v>
      </c>
      <c r="F51" s="46" t="s">
        <v>125</v>
      </c>
    </row>
    <row r="52" spans="1:6" s="240" customFormat="1" ht="14.25" x14ac:dyDescent="0.25">
      <c r="A52" s="315" t="s">
        <v>538</v>
      </c>
      <c r="B52" s="60" t="s">
        <v>553</v>
      </c>
      <c r="C52" s="242" t="s">
        <v>572</v>
      </c>
      <c r="D52" s="291" t="s">
        <v>232</v>
      </c>
      <c r="E52" s="236" t="s">
        <v>124</v>
      </c>
      <c r="F52" s="46" t="s">
        <v>125</v>
      </c>
    </row>
    <row r="53" spans="1:6" s="240" customFormat="1" ht="28.5" x14ac:dyDescent="0.25">
      <c r="A53" s="315" t="s">
        <v>539</v>
      </c>
      <c r="B53" s="60" t="s">
        <v>554</v>
      </c>
      <c r="C53" s="263" t="s">
        <v>568</v>
      </c>
      <c r="D53" s="291" t="s">
        <v>232</v>
      </c>
      <c r="E53" s="236" t="s">
        <v>124</v>
      </c>
      <c r="F53" s="46" t="s">
        <v>125</v>
      </c>
    </row>
    <row r="54" spans="1:6" s="240" customFormat="1" ht="242.25" x14ac:dyDescent="0.25">
      <c r="A54" s="315" t="s">
        <v>540</v>
      </c>
      <c r="B54" s="60" t="s">
        <v>532</v>
      </c>
      <c r="C54" s="263" t="s">
        <v>542</v>
      </c>
      <c r="D54" s="291" t="s">
        <v>543</v>
      </c>
      <c r="E54" s="236" t="s">
        <v>124</v>
      </c>
      <c r="F54" s="46" t="s">
        <v>125</v>
      </c>
    </row>
    <row r="55" spans="1:6" s="240" customFormat="1" ht="42.75" x14ac:dyDescent="0.25">
      <c r="A55" s="315" t="s">
        <v>541</v>
      </c>
      <c r="B55" s="238" t="s">
        <v>555</v>
      </c>
      <c r="C55" s="264" t="s">
        <v>566</v>
      </c>
      <c r="D55" s="291" t="s">
        <v>232</v>
      </c>
      <c r="E55" s="236" t="s">
        <v>124</v>
      </c>
      <c r="F55" s="46" t="s">
        <v>125</v>
      </c>
    </row>
    <row r="56" spans="1:6" s="240" customFormat="1" ht="14.25" x14ac:dyDescent="0.25">
      <c r="E56" s="56"/>
    </row>
    <row r="57" spans="1:6" s="47" customFormat="1" ht="14.25" x14ac:dyDescent="0.25">
      <c r="C57" s="240"/>
      <c r="E57" s="56"/>
    </row>
    <row r="58" spans="1:6" s="47" customFormat="1" ht="14.25" x14ac:dyDescent="0.15">
      <c r="A58" s="29" t="s">
        <v>162</v>
      </c>
      <c r="E58" s="56"/>
    </row>
    <row r="59" spans="1:6" s="47" customFormat="1" ht="14.25" x14ac:dyDescent="0.15">
      <c r="B59" s="345" t="s">
        <v>163</v>
      </c>
      <c r="C59" s="345"/>
      <c r="D59" s="345"/>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
  <sheetViews>
    <sheetView tabSelected="1" view="pageBreakPreview" zoomScale="60" zoomScaleNormal="90" workbookViewId="0">
      <pane xSplit="7" ySplit="4" topLeftCell="Y73" activePane="bottomRight" state="frozen"/>
      <selection pane="topRight" activeCell="H1" sqref="H1"/>
      <selection pane="bottomLeft" activeCell="A5" sqref="A5"/>
      <selection pane="bottomRight" activeCell="Z75" sqref="Z75"/>
    </sheetView>
  </sheetViews>
  <sheetFormatPr defaultColWidth="9.140625" defaultRowHeight="15" x14ac:dyDescent="0.25"/>
  <cols>
    <col min="2" max="2" width="5.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52" t="s">
        <v>3</v>
      </c>
      <c r="G3" s="352"/>
      <c r="H3" s="352"/>
      <c r="I3" s="352"/>
      <c r="J3" s="353" t="s">
        <v>127</v>
      </c>
      <c r="K3" s="354"/>
      <c r="L3" s="354"/>
      <c r="M3" s="354"/>
      <c r="N3" s="354"/>
      <c r="O3" s="354"/>
      <c r="P3" s="354"/>
      <c r="Q3" s="354"/>
      <c r="R3" s="354"/>
      <c r="S3" s="354"/>
      <c r="T3" s="354"/>
      <c r="U3" s="354"/>
      <c r="V3" s="354"/>
      <c r="W3" s="354"/>
      <c r="X3" s="354"/>
      <c r="Y3" s="355"/>
      <c r="Z3" s="349" t="s">
        <v>5</v>
      </c>
      <c r="AA3" s="350"/>
      <c r="AB3" s="351"/>
      <c r="AC3" s="346" t="s">
        <v>128</v>
      </c>
      <c r="AD3" s="347"/>
      <c r="AE3" s="347"/>
      <c r="AF3" s="347"/>
      <c r="AG3" s="347"/>
      <c r="AH3" s="347"/>
      <c r="AI3" s="347"/>
      <c r="AJ3" s="347"/>
      <c r="AK3" s="347"/>
      <c r="AL3" s="347"/>
      <c r="AM3" s="347"/>
      <c r="AN3" s="347"/>
      <c r="AO3" s="347"/>
      <c r="AP3" s="347"/>
      <c r="AQ3" s="348"/>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71.25" x14ac:dyDescent="0.25">
      <c r="A5" s="64">
        <v>1</v>
      </c>
      <c r="B5" s="211" t="s">
        <v>118</v>
      </c>
      <c r="C5" s="83" t="str">
        <f>IF(VLOOKUP(Table4[[#This Row],[T ID]],Table5[#All],5,FALSE)="No","Not in scope",VLOOKUP(Table4[[#This Row],[T ID]],Table5[#All],2,FALSE))</f>
        <v>Deliver undirected malware
(CAPEC-185)</v>
      </c>
      <c r="D5" s="211" t="s">
        <v>403</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325" t="s">
        <v>633</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85.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326" t="s">
        <v>592</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5.599999999999994" customHeight="1" x14ac:dyDescent="0.25">
      <c r="A7" s="200">
        <v>3</v>
      </c>
      <c r="B7" s="45" t="s">
        <v>119</v>
      </c>
      <c r="C7" s="202" t="str">
        <f>IF(VLOOKUP(Table4[[#This Row],[T ID]],Table5[#All],5,FALSE)="No","Not in scope",VLOOKUP(Table4[[#This Row],[T ID]],Table5[#All],2,FALSE))</f>
        <v>Deliver directed malware
(CAPEC-185)</v>
      </c>
      <c r="D7" s="45" t="s">
        <v>283</v>
      </c>
      <c r="E7" s="202" t="str">
        <f>IF(VLOOKUP(Table4[[#This Row],[V ID]],Vulnerabilities[#All],3,FALSE)="No","Not in scope",VLOOKUP(Table4[[#This Row],[V ID]],Vulnerabilities[#All],2,FALSE))</f>
        <v>Untrained/Malicious User</v>
      </c>
      <c r="F7" s="223" t="s">
        <v>106</v>
      </c>
      <c r="G7" s="202" t="str">
        <f>VLOOKUP(Table4[[#This Row],[A ID]],Assets[#All],3,FALSE)</f>
        <v>Nav3,3i cart/ System running with windows 8.1</v>
      </c>
      <c r="H7" s="45" t="s">
        <v>298</v>
      </c>
      <c r="I7" s="53"/>
      <c r="J7" s="85" t="s">
        <v>55</v>
      </c>
      <c r="K7" s="85" t="s">
        <v>55</v>
      </c>
      <c r="L7" s="85" t="s">
        <v>55</v>
      </c>
      <c r="M7" s="85" t="s">
        <v>78</v>
      </c>
      <c r="N7" s="85" t="s">
        <v>64</v>
      </c>
      <c r="O7" s="85" t="s">
        <v>55</v>
      </c>
      <c r="P7" s="85" t="s">
        <v>76</v>
      </c>
      <c r="Q7" s="85" t="s">
        <v>73</v>
      </c>
      <c r="R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7" s="206">
        <f>(1 - ((1 - VLOOKUP(Table4[[#This Row],[Confidentiality]],'Reference - CVSSv3.0'!$B$15:$C$17,2,FALSE)) * (1 - VLOOKUP(Table4[[#This Row],[Integrity]],'Reference - CVSSv3.0'!$B$15:$C$17,2,FALSE)) *  (1 - VLOOKUP(Table4[[#This Row],[Availability]],'Reference - CVSSv3.0'!$B$15:$C$17,2,FALSE))))</f>
        <v>0.52544799999999992</v>
      </c>
      <c r="T7" s="206">
        <f>IF(Table4[[#This Row],[Scope]]="Unchanged",6.42*Table4[[#This Row],[ISC Base]],IF(Table4[[#This Row],[Scope]]="Changed",7.52*(Table4[[#This Row],[ISC Base]] - 0.029) - 3.25 * POWER(Table4[[#This Row],[ISC Base]] - 0.02,15),NA()))</f>
        <v>3.3733761599999994</v>
      </c>
      <c r="U7"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7" s="178" t="s">
        <v>55</v>
      </c>
      <c r="W7" s="206">
        <f>VLOOKUP(Table4[[#This Row],[Threat Event Initiation]],NIST_Scale_LOAI[],2,FALSE)</f>
        <v>0.2</v>
      </c>
      <c r="X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326" t="s">
        <v>594</v>
      </c>
      <c r="AA7" s="326"/>
      <c r="AB7" s="208"/>
      <c r="AC7" s="201"/>
      <c r="AD7" s="201"/>
      <c r="AE7" s="201"/>
      <c r="AF7" s="204"/>
      <c r="AG7" s="204"/>
      <c r="AH7" s="204"/>
      <c r="AI7" s="204"/>
      <c r="AJ7" s="209"/>
      <c r="AK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06" t="e">
        <f>(1 - ((1 - VLOOKUP(Table4[[#This Row],[ConfidentialityP]],'Reference - CVSSv3.0'!$B$15:$C$17,2,FALSE)) * (1 - VLOOKUP(Table4[[#This Row],[IntegrityP]],'Reference - CVSSv3.0'!$B$15:$C$17,2,FALSE)) *  (1 - VLOOKUP(Table4[[#This Row],[AvailabilityP]],'Reference - CVSSv3.0'!$B$15:$C$17,2,FALSE))))</f>
        <v>#N/A</v>
      </c>
      <c r="AM7" s="206" t="e">
        <f>IF(Table4[[#This Row],[ScopeP]]="Unchanged",6.42*Table4[[#This Row],[ISC BaseP]],IF(Table4[[#This Row],[ScopeP]]="Changed",7.52*(Table4[[#This Row],[ISC BaseP]] - 0.029) - 3.25 * POWER(Table4[[#This Row],[ISC BaseP]] - 0.02,15),NA()))</f>
        <v>#N/A</v>
      </c>
      <c r="AN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01"/>
    </row>
    <row r="8" spans="1:45" s="47" customFormat="1" ht="270.75" x14ac:dyDescent="0.25">
      <c r="A8" s="328">
        <v>4</v>
      </c>
      <c r="B8" s="45" t="s">
        <v>119</v>
      </c>
      <c r="C8" s="202" t="str">
        <f>IF(VLOOKUP(Table4[[#This Row],[T ID]],Table5[#All],5,FALSE)="No","Not in scope",VLOOKUP(Table4[[#This Row],[T ID]],Table5[#All],2,FALSE))</f>
        <v>Deliver directed malware
(CAPEC-185)</v>
      </c>
      <c r="D8" s="45" t="s">
        <v>297</v>
      </c>
      <c r="E8" s="202" t="str">
        <f>IF(VLOOKUP(Table4[[#This Row],[V ID]],Vulnerabilities[#All],3,FALSE)="No","Not in scope",VLOOKUP(Table4[[#This Row],[V ID]],Vulnerabilities[#All],2,FALSE))</f>
        <v>Ineffective management of admin credentials</v>
      </c>
      <c r="F8" s="223" t="s">
        <v>107</v>
      </c>
      <c r="G8" s="202" t="str">
        <f>VLOOKUP(Table4[[#This Row],[A ID]],Assets[#All],3,FALSE)</f>
        <v>Admin Password / Credentials / System Configuration / Certificates</v>
      </c>
      <c r="H8" s="45" t="s">
        <v>288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326" t="s">
        <v>611</v>
      </c>
      <c r="AA8" s="326" t="s">
        <v>634</v>
      </c>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199.5" x14ac:dyDescent="0.25">
      <c r="A9" s="329">
        <v>5</v>
      </c>
      <c r="B9" s="211" t="s">
        <v>120</v>
      </c>
      <c r="C9" s="202" t="str">
        <f>IF(VLOOKUP(Table4[[#This Row],[T ID]],Table5[#All],5,FALSE)="No","Not in scope",VLOOKUP(Table4[[#This Row],[T ID]],Table5[#All],2,FALSE))</f>
        <v xml:space="preserve">Perform perimeter network reconnaissance/scanning. </v>
      </c>
      <c r="D9" s="45" t="s">
        <v>139</v>
      </c>
      <c r="E9" s="202" t="str">
        <f>IF(VLOOKUP(Table4[[#This Row],[V ID]],Vulnerabilities[#All],3,FALSE)="No","Not in scope",VLOOKUP(Table4[[#This Row],[V ID]],Vulnerabilities[#All],2,FALSE))</f>
        <v>Unprotected network port</v>
      </c>
      <c r="F9" s="45" t="s">
        <v>110</v>
      </c>
      <c r="G9" s="202" t="str">
        <f>VLOOKUP(Table4[[#This Row],[A ID]],Assets[#All],3,FALSE)</f>
        <v>Computer/OS network identification</v>
      </c>
      <c r="H9" s="45" t="s">
        <v>146</v>
      </c>
      <c r="I9" s="224"/>
      <c r="J9" s="85" t="s">
        <v>55</v>
      </c>
      <c r="K9" s="85" t="s">
        <v>76</v>
      </c>
      <c r="L9" s="85" t="s">
        <v>55</v>
      </c>
      <c r="M9" s="85" t="s">
        <v>77</v>
      </c>
      <c r="N9" s="85" t="s">
        <v>64</v>
      </c>
      <c r="O9" s="85" t="s">
        <v>76</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9" s="178" t="s">
        <v>54</v>
      </c>
      <c r="W9" s="206">
        <f>VLOOKUP(Table4[[#This Row],[Threat Event Initiation]],NIST_Scale_LOAI[],2,FALSE)</f>
        <v>0.5</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325" t="s">
        <v>596</v>
      </c>
      <c r="AA9" s="326" t="s">
        <v>635</v>
      </c>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327.75" x14ac:dyDescent="0.25">
      <c r="A10" s="330">
        <v>6</v>
      </c>
      <c r="B10" s="45" t="s">
        <v>122</v>
      </c>
      <c r="C10" s="202" t="str">
        <f>IF(VLOOKUP(Table4[[#This Row],[T ID]],Table5[#All],5,FALSE)="No","Not in scope",VLOOKUP(Table4[[#This Row],[T ID]],Table5[#All],2,FALSE))</f>
        <v xml:space="preserve">Conduct scavenging of ePHI at rest </v>
      </c>
      <c r="D10" s="45" t="s">
        <v>113</v>
      </c>
      <c r="E10" s="202" t="str">
        <f>IF(VLOOKUP(Table4[[#This Row],[V ID]],Vulnerabilities[#All],3,FALSE)="No","Not in scope",VLOOKUP(Table4[[#This Row],[V ID]],Vulnerabilities[#All],2,FALSE))</f>
        <v>Ineffective management of user credentials</v>
      </c>
      <c r="F10" s="223" t="s">
        <v>109</v>
      </c>
      <c r="G10" s="202" t="str">
        <f>VLOOKUP(Table4[[#This Row],[A ID]],Assets[#All],3,FALSE)</f>
        <v>Patient health information at rest (PHI)</v>
      </c>
      <c r="H10" s="45" t="s">
        <v>290</v>
      </c>
      <c r="I10" s="53"/>
      <c r="J10" s="85" t="s">
        <v>55</v>
      </c>
      <c r="K10" s="85" t="s">
        <v>76</v>
      </c>
      <c r="L10" s="85" t="s">
        <v>55</v>
      </c>
      <c r="M10" s="85" t="s">
        <v>77</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0" s="178" t="s">
        <v>55</v>
      </c>
      <c r="W10" s="206">
        <f>VLOOKUP(Table4[[#This Row],[Threat Event Initiation]],NIST_Scale_LOAI[],2,FALSE)</f>
        <v>0.2</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326" t="s">
        <v>599</v>
      </c>
      <c r="AA10" s="326" t="s">
        <v>636</v>
      </c>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128.25" x14ac:dyDescent="0.25">
      <c r="A11" s="329">
        <v>7</v>
      </c>
      <c r="B11" s="45" t="s">
        <v>122</v>
      </c>
      <c r="C11" s="202" t="str">
        <f>IF(VLOOKUP(Table4[[#This Row],[T ID]],Table5[#All],5,FALSE)="No","Not in scope",VLOOKUP(Table4[[#This Row],[T ID]],Table5[#All],2,FALSE))</f>
        <v xml:space="preserve">Conduct scavenging of ePHI at rest </v>
      </c>
      <c r="D11" s="45" t="s">
        <v>284</v>
      </c>
      <c r="E11" s="202" t="str">
        <f>IF(VLOOKUP(Table4[[#This Row],[V ID]],Vulnerabilities[#All],3,FALSE)="No","Not in scope",VLOOKUP(Table4[[#This Row],[V ID]],Vulnerabilities[#All],2,FALSE))</f>
        <v>Unauthorized modification to system bios</v>
      </c>
      <c r="F11" s="223" t="s">
        <v>109</v>
      </c>
      <c r="G11" s="202" t="str">
        <f>VLOOKUP(Table4[[#This Row],[A ID]],Assets[#All],3,FALSE)</f>
        <v>Patient health information at rest (PHI)</v>
      </c>
      <c r="H11" s="45" t="s">
        <v>289</v>
      </c>
      <c r="I11" s="53"/>
      <c r="J11" s="85" t="s">
        <v>55</v>
      </c>
      <c r="K11" s="85" t="s">
        <v>55</v>
      </c>
      <c r="L11" s="85" t="s">
        <v>55</v>
      </c>
      <c r="M11" s="85" t="s">
        <v>78</v>
      </c>
      <c r="N11" s="85" t="s">
        <v>55</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206">
        <f>(1 - ((1 - VLOOKUP(Table4[[#This Row],[Confidentiality]],'Reference - CVSSv3.0'!$B$15:$C$17,2,FALSE)) * (1 - VLOOKUP(Table4[[#This Row],[Integrity]],'Reference - CVSSv3.0'!$B$15:$C$17,2,FALSE)) *  (1 - VLOOKUP(Table4[[#This Row],[Availability]],'Reference - CVSSv3.0'!$B$15:$C$17,2,FALSE))))</f>
        <v>0.52544799999999992</v>
      </c>
      <c r="T11" s="206">
        <f>IF(Table4[[#This Row],[Scope]]="Unchanged",6.42*Table4[[#This Row],[ISC Base]],IF(Table4[[#This Row],[Scope]]="Changed",7.52*(Table4[[#This Row],[ISC Base]] - 0.029) - 3.25 * POWER(Table4[[#This Row],[ISC Base]] - 0.02,15),NA()))</f>
        <v>3.3733761599999994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01"/>
      <c r="AA11" s="326" t="s">
        <v>637</v>
      </c>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85.5" x14ac:dyDescent="0.25">
      <c r="A12" s="64">
        <v>8</v>
      </c>
      <c r="B12" s="45" t="s">
        <v>220</v>
      </c>
      <c r="C12" s="83" t="str">
        <f>IF(VLOOKUP(Table4[[#This Row],[T ID]],Table5[#All],5,FALSE)="No","Not in scope",VLOOKUP(Table4[[#This Row],[T ID]],Table5[#All],2,FALSE))</f>
        <v>Theft of system or hard drives</v>
      </c>
      <c r="D12" s="45" t="s">
        <v>282</v>
      </c>
      <c r="E12" s="83" t="str">
        <f>IF(VLOOKUP(Table4[[#This Row],[V ID]],Vulnerabilities[#All],3,FALSE)="No","Not in scope",VLOOKUP(Table4[[#This Row],[V ID]],Vulnerabilities[#All],2,FALSE))</f>
        <v>Any unprotected hardware</v>
      </c>
      <c r="F12" s="223" t="s">
        <v>106</v>
      </c>
      <c r="G12" s="84" t="str">
        <f>VLOOKUP(Table4[[#This Row],[A ID]],Assets[#All],3,FALSE)</f>
        <v>Nav3,3i cart/ System running with windows 8.1</v>
      </c>
      <c r="H12" s="45" t="s">
        <v>305</v>
      </c>
      <c r="I12" s="53"/>
      <c r="J12" s="85" t="s">
        <v>55</v>
      </c>
      <c r="K12" s="85" t="s">
        <v>76</v>
      </c>
      <c r="L12" s="85" t="s">
        <v>55</v>
      </c>
      <c r="M12" s="85" t="s">
        <v>74</v>
      </c>
      <c r="N12" s="85" t="s">
        <v>314</v>
      </c>
      <c r="O12" s="85" t="s">
        <v>314</v>
      </c>
      <c r="P12" s="85" t="s">
        <v>313</v>
      </c>
      <c r="Q12" s="85" t="s">
        <v>315</v>
      </c>
      <c r="R12"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2" s="158">
        <f>(1 - ((1 - VLOOKUP(Table4[[#This Row],[Confidentiality]],'Reference - CVSSv3.0'!$B$15:$C$17,2,FALSE)) * (1 - VLOOKUP(Table4[[#This Row],[Integrity]],'Reference - CVSSv3.0'!$B$15:$C$17,2,FALSE)) *  (1 - VLOOKUP(Table4[[#This Row],[Availability]],'Reference - CVSSv3.0'!$B$15:$C$17,2,FALSE))))</f>
        <v>0.39159999999999995</v>
      </c>
      <c r="T12" s="158">
        <f>IF(Table4[[#This Row],[Scope]]="Unchanged",6.42*Table4[[#This Row],[ISC Base]],IF(Table4[[#This Row],[Scope]]="Changed",7.52*(Table4[[#This Row],[ISC Base]] - 0.029) - 3.25 * POWER(Table4[[#This Row],[ISC Base]] - 0.02,15),NA()))</f>
        <v>2.5140719999999996</v>
      </c>
      <c r="U12" s="158">
        <f>IF(Table4[[#This Row],[Impact Sub Score]]&lt;=0,0,IF(Table4[[#This Row],[Scope]]="Unchanged",ROUNDUP(MIN((Table4[[#This Row],[Impact Sub Score]]+Table4[[#This Row],[Exploitability Sub Score]]),10),1),IF(Table4[[#This Row],[Scope]]="Changed",ROUNDUP(MIN((1.08*(Table4[[#This Row],[Impact Sub Score]]+Table4[[#This Row],[Exploitability Sub Score]])),10),1),NA())))</f>
        <v>3.2</v>
      </c>
      <c r="V12" s="178" t="s">
        <v>55</v>
      </c>
      <c r="W12" s="179">
        <f>VLOOKUP(Table4[[#This Row],[Threat Event Initiation]],NIST_Scale_LOAI[],2,FALSE)</f>
        <v>0.2</v>
      </c>
      <c r="X12"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326" t="s">
        <v>595</v>
      </c>
      <c r="AA12" s="326" t="s">
        <v>638</v>
      </c>
      <c r="AB12" s="86"/>
      <c r="AC12" s="85"/>
      <c r="AD12" s="85"/>
      <c r="AE12" s="85"/>
      <c r="AF12" s="154"/>
      <c r="AG12" s="154"/>
      <c r="AH12" s="154"/>
      <c r="AI12" s="154"/>
      <c r="AJ12" s="154"/>
      <c r="AK12"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58" t="e">
        <f>(1 - ((1 - VLOOKUP(Table4[[#This Row],[ConfidentialityP]],'Reference - CVSSv3.0'!$B$15:$C$17,2,FALSE)) * (1 - VLOOKUP(Table4[[#This Row],[IntegrityP]],'Reference - CVSSv3.0'!$B$15:$C$17,2,FALSE)) *  (1 - VLOOKUP(Table4[[#This Row],[AvailabilityP]],'Reference - CVSSv3.0'!$B$15:$C$17,2,FALSE))))</f>
        <v>#N/A</v>
      </c>
      <c r="AM12" s="158" t="e">
        <f>IF(Table4[[#This Row],[ScopeP]]="Unchanged",6.42*Table4[[#This Row],[ISC BaseP]],IF(Table4[[#This Row],[ScopeP]]="Changed",7.52*(Table4[[#This Row],[ISC BaseP]] - 0.029) - 3.25 * POWER(Table4[[#This Row],[ISC BaseP]] - 0.02,15),NA()))</f>
        <v>#N/A</v>
      </c>
      <c r="AN12"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53"/>
    </row>
    <row r="13" spans="1:45" ht="114" x14ac:dyDescent="0.25">
      <c r="A13" s="330">
        <v>9</v>
      </c>
      <c r="B13" s="45" t="s">
        <v>223</v>
      </c>
      <c r="C13" s="202" t="str">
        <f>IF(VLOOKUP(Table4[[#This Row],[T ID]],Table5[#All],5,FALSE)="No","Not in scope",VLOOKUP(Table4[[#This Row],[T ID]],Table5[#All],2,FALSE))</f>
        <v>Data theft via physical media</v>
      </c>
      <c r="D13" s="45" t="s">
        <v>140</v>
      </c>
      <c r="E13" s="202" t="str">
        <f>IF(VLOOKUP(Table4[[#This Row],[V ID]],Vulnerabilities[#All],3,FALSE)="No","Not in scope",VLOOKUP(Table4[[#This Row],[V ID]],Vulnerabilities[#All],2,FALSE))</f>
        <v>Unprotected external USB Port</v>
      </c>
      <c r="F13" s="223" t="s">
        <v>109</v>
      </c>
      <c r="G13" s="202" t="str">
        <f>VLOOKUP(Table4[[#This Row],[A ID]],Assets[#All],3,FALSE)</f>
        <v>Patient health information at rest (PHI)</v>
      </c>
      <c r="H13" s="45" t="s">
        <v>306</v>
      </c>
      <c r="I13" s="53"/>
      <c r="J13" s="85" t="s">
        <v>64</v>
      </c>
      <c r="K13" s="85" t="s">
        <v>76</v>
      </c>
      <c r="L13" s="85" t="s">
        <v>76</v>
      </c>
      <c r="M13" s="85" t="s">
        <v>74</v>
      </c>
      <c r="N13" s="85" t="s">
        <v>314</v>
      </c>
      <c r="O13" s="85" t="s">
        <v>314</v>
      </c>
      <c r="P13" s="85" t="s">
        <v>313</v>
      </c>
      <c r="Q13" s="85" t="s">
        <v>315</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206">
        <f>(1 - ((1 - VLOOKUP(Table4[[#This Row],[Confidentiality]],'Reference - CVSSv3.0'!$B$15:$C$17,2,FALSE)) * (1 - VLOOKUP(Table4[[#This Row],[Integrity]],'Reference - CVSSv3.0'!$B$15:$C$17,2,FALSE)) *  (1 - VLOOKUP(Table4[[#This Row],[Availability]],'Reference - CVSSv3.0'!$B$15:$C$17,2,FALSE))))</f>
        <v>0.56000000000000005</v>
      </c>
      <c r="T13" s="206">
        <f>IF(Table4[[#This Row],[Scope]]="Unchanged",6.42*Table4[[#This Row],[ISC Base]],IF(Table4[[#This Row],[Scope]]="Changed",7.52*(Table4[[#This Row],[ISC Base]] - 0.029) - 3.25 * POWER(Table4[[#This Row],[ISC Base]] - 0.02,15),NA()))</f>
        <v>3.5952000000000002</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326" t="s">
        <v>600</v>
      </c>
      <c r="AA13" s="326" t="s">
        <v>639</v>
      </c>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s="47" customFormat="1" ht="120.75" customHeight="1" x14ac:dyDescent="0.25">
      <c r="A14" s="200">
        <v>10</v>
      </c>
      <c r="B14" s="45" t="s">
        <v>226</v>
      </c>
      <c r="C14" s="202" t="str">
        <f>IF(VLOOKUP(Table4[[#This Row],[T ID]],Table5[#All],5,FALSE)="No","Not in scope",VLOOKUP(Table4[[#This Row],[T ID]],Table5[#All],2,FALSE))</f>
        <v>Network-based denial of service (DoS) attack</v>
      </c>
      <c r="D14" s="45" t="s">
        <v>139</v>
      </c>
      <c r="E14" s="202" t="str">
        <f>IF(VLOOKUP(Table4[[#This Row],[V ID]],Vulnerabilities[#All],3,FALSE)="No","Not in scope",VLOOKUP(Table4[[#This Row],[V ID]],Vulnerabilities[#All],2,FALSE))</f>
        <v>Unprotected network port</v>
      </c>
      <c r="F14" s="223" t="s">
        <v>106</v>
      </c>
      <c r="G14" s="202" t="str">
        <f>VLOOKUP(Table4[[#This Row],[A ID]],Assets[#All],3,FALSE)</f>
        <v>Nav3,3i cart/ System running with windows 8.1</v>
      </c>
      <c r="H14" s="45" t="s">
        <v>300</v>
      </c>
      <c r="I14" s="53"/>
      <c r="J14" s="85" t="s">
        <v>76</v>
      </c>
      <c r="K14" s="85" t="s">
        <v>76</v>
      </c>
      <c r="L14" s="85" t="s">
        <v>55</v>
      </c>
      <c r="M14" s="85" t="s">
        <v>77</v>
      </c>
      <c r="N14" s="85" t="s">
        <v>55</v>
      </c>
      <c r="O14" s="85" t="s">
        <v>64</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4" s="206">
        <f>(1 - ((1 - VLOOKUP(Table4[[#This Row],[Confidentiality]],'Reference - CVSSv3.0'!$B$15:$C$17,2,FALSE)) * (1 - VLOOKUP(Table4[[#This Row],[Integrity]],'Reference - CVSSv3.0'!$B$15:$C$17,2,FALSE)) *  (1 - VLOOKUP(Table4[[#This Row],[Availability]],'Reference - CVSSv3.0'!$B$15:$C$17,2,FALSE))))</f>
        <v>0.21999999999999997</v>
      </c>
      <c r="T14" s="206">
        <f>IF(Table4[[#This Row],[Scope]]="Unchanged",6.42*Table4[[#This Row],[ISC Base]],IF(Table4[[#This Row],[Scope]]="Changed",7.52*(Table4[[#This Row],[ISC Base]] - 0.029) - 3.25 * POWER(Table4[[#This Row],[ISC Base]] - 0.02,15),NA()))</f>
        <v>1.4123999999999999</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2.7</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2.1</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325" t="s">
        <v>596</v>
      </c>
      <c r="AA14" s="326" t="s">
        <v>640</v>
      </c>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142.5" x14ac:dyDescent="0.25">
      <c r="A15" s="328">
        <v>11</v>
      </c>
      <c r="B15" s="45" t="s">
        <v>234</v>
      </c>
      <c r="C15" s="83" t="str">
        <f>IF(VLOOKUP(Table4[[#This Row],[T ID]],Table5[#All],5,FALSE)="No","Not in scope",VLOOKUP(Table4[[#This Row],[T ID]],Table5[#All],2,FALSE))</f>
        <v>Mis-configuration by user</v>
      </c>
      <c r="D15" s="45" t="s">
        <v>283</v>
      </c>
      <c r="E15" s="83" t="str">
        <f>IF(VLOOKUP(Table4[[#This Row],[V ID]],Vulnerabilities[#All],3,FALSE)="No","Not in scope",VLOOKUP(Table4[[#This Row],[V ID]],Vulnerabilities[#All],2,FALSE))</f>
        <v>Untrained/Malicious User</v>
      </c>
      <c r="F15" s="223" t="s">
        <v>107</v>
      </c>
      <c r="G15" s="84" t="str">
        <f>VLOOKUP(Table4[[#This Row],[A ID]],Assets[#All],3,FALSE)</f>
        <v>Admin Password / Credentials / System Configuration / Certificates</v>
      </c>
      <c r="H15" s="45" t="s">
        <v>299</v>
      </c>
      <c r="I15" s="224"/>
      <c r="J15" s="85" t="s">
        <v>76</v>
      </c>
      <c r="K15" s="85" t="s">
        <v>55</v>
      </c>
      <c r="L15" s="85" t="s">
        <v>55</v>
      </c>
      <c r="M15" s="85" t="s">
        <v>78</v>
      </c>
      <c r="N15" s="85" t="s">
        <v>55</v>
      </c>
      <c r="O15" s="85" t="s">
        <v>55</v>
      </c>
      <c r="P15" s="85" t="s">
        <v>75</v>
      </c>
      <c r="Q15" s="85" t="s">
        <v>73</v>
      </c>
      <c r="R1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5" s="158">
        <f>(1 - ((1 - VLOOKUP(Table4[[#This Row],[Confidentiality]],'Reference - CVSSv3.0'!$B$15:$C$17,2,FALSE)) * (1 - VLOOKUP(Table4[[#This Row],[Integrity]],'Reference - CVSSv3.0'!$B$15:$C$17,2,FALSE)) *  (1 - VLOOKUP(Table4[[#This Row],[Availability]],'Reference - CVSSv3.0'!$B$15:$C$17,2,FALSE))))</f>
        <v>0.39159999999999995</v>
      </c>
      <c r="T15" s="158">
        <f>IF(Table4[[#This Row],[Scope]]="Unchanged",6.42*Table4[[#This Row],[ISC Base]],IF(Table4[[#This Row],[Scope]]="Changed",7.52*(Table4[[#This Row],[ISC Base]] - 0.029) - 3.25 * POWER(Table4[[#This Row],[ISC Base]] - 0.02,15),NA()))</f>
        <v>2.5140719999999996</v>
      </c>
      <c r="U15"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5" s="178" t="s">
        <v>55</v>
      </c>
      <c r="W15" s="179">
        <f>VLOOKUP(Table4[[#This Row],[Threat Event Initiation]],NIST_Scale_LOAI[],2,FALSE)</f>
        <v>0.2</v>
      </c>
      <c r="X1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326" t="s">
        <v>594</v>
      </c>
      <c r="AA15" s="326" t="s">
        <v>641</v>
      </c>
      <c r="AB15" s="86"/>
      <c r="AC15" s="85"/>
      <c r="AD15" s="85"/>
      <c r="AE15" s="85"/>
      <c r="AF15" s="154"/>
      <c r="AG15" s="154"/>
      <c r="AH15" s="154"/>
      <c r="AI15" s="154"/>
      <c r="AJ15" s="154"/>
      <c r="AK1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8" t="e">
        <f>(1 - ((1 - VLOOKUP(Table4[[#This Row],[ConfidentialityP]],'Reference - CVSSv3.0'!$B$15:$C$17,2,FALSE)) * (1 - VLOOKUP(Table4[[#This Row],[IntegrityP]],'Reference - CVSSv3.0'!$B$15:$C$17,2,FALSE)) *  (1 - VLOOKUP(Table4[[#This Row],[AvailabilityP]],'Reference - CVSSv3.0'!$B$15:$C$17,2,FALSE))))</f>
        <v>#N/A</v>
      </c>
      <c r="AM15" s="158" t="e">
        <f>IF(Table4[[#This Row],[ScopeP]]="Unchanged",6.42*Table4[[#This Row],[ISC BaseP]],IF(Table4[[#This Row],[ScopeP]]="Changed",7.52*(Table4[[#This Row],[ISC BaseP]] - 0.029) - 3.25 * POWER(Table4[[#This Row],[ISC BaseP]] - 0.02,15),NA()))</f>
        <v>#N/A</v>
      </c>
      <c r="AN1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ht="171" x14ac:dyDescent="0.25">
      <c r="A16" s="328">
        <v>12</v>
      </c>
      <c r="B16" s="45" t="s">
        <v>238</v>
      </c>
      <c r="C16" s="202" t="str">
        <f>IF(VLOOKUP(Table4[[#This Row],[T ID]],Table5[#All],5,FALSE)="No","Not in scope",VLOOKUP(Table4[[#This Row],[T ID]],Table5[#All],2,FALSE))</f>
        <v>Remote exploitation</v>
      </c>
      <c r="D16" s="45" t="s">
        <v>139</v>
      </c>
      <c r="E16" s="202" t="str">
        <f>IF(VLOOKUP(Table4[[#This Row],[V ID]],Vulnerabilities[#All],3,FALSE)="No","Not in scope",VLOOKUP(Table4[[#This Row],[V ID]],Vulnerabilities[#All],2,FALSE))</f>
        <v>Unprotected network port</v>
      </c>
      <c r="F16" s="223" t="s">
        <v>112</v>
      </c>
      <c r="G16" s="202" t="str">
        <f>VLOOKUP(Table4[[#This Row],[A ID]],Assets[#All],3,FALSE)</f>
        <v>Navigation Accuracy</v>
      </c>
      <c r="H16" s="45" t="s">
        <v>301</v>
      </c>
      <c r="I16" s="53"/>
      <c r="J16" s="85" t="s">
        <v>76</v>
      </c>
      <c r="K16" s="85" t="s">
        <v>55</v>
      </c>
      <c r="L16" s="85" t="s">
        <v>55</v>
      </c>
      <c r="M16" s="85" t="s">
        <v>77</v>
      </c>
      <c r="N16" s="85" t="s">
        <v>64</v>
      </c>
      <c r="O16" s="85" t="s">
        <v>55</v>
      </c>
      <c r="P16" s="85" t="s">
        <v>76</v>
      </c>
      <c r="Q16" s="85" t="s">
        <v>98</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6" s="206">
        <f>(1 - ((1 - VLOOKUP(Table4[[#This Row],[Confidentiality]],'Reference - CVSSv3.0'!$B$15:$C$17,2,FALSE)) * (1 - VLOOKUP(Table4[[#This Row],[Integrity]],'Reference - CVSSv3.0'!$B$15:$C$17,2,FALSE)) *  (1 - VLOOKUP(Table4[[#This Row],[Availability]],'Reference - CVSSv3.0'!$B$15:$C$17,2,FALSE))))</f>
        <v>0.39159999999999995</v>
      </c>
      <c r="T16" s="206">
        <f>IF(Table4[[#This Row],[Scope]]="Unchanged",6.42*Table4[[#This Row],[ISC Base]],IF(Table4[[#This Row],[Scope]]="Changed",7.52*(Table4[[#This Row],[ISC Base]] - 0.029) - 3.25 * POWER(Table4[[#This Row],[ISC Base]] - 0.02,15),NA()))</f>
        <v>2.7267508438373347</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325" t="s">
        <v>596</v>
      </c>
      <c r="AA16" s="326" t="s">
        <v>642</v>
      </c>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128.25" x14ac:dyDescent="0.25">
      <c r="A17" s="64">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106</v>
      </c>
      <c r="G17" s="202" t="str">
        <f>VLOOKUP(Table4[[#This Row],[A ID]],Assets[#All],3,FALSE)</f>
        <v>Nav3,3i cart/ System running with windows 8.1</v>
      </c>
      <c r="H17" s="45" t="s">
        <v>302</v>
      </c>
      <c r="I17" s="53"/>
      <c r="J17" s="85" t="s">
        <v>76</v>
      </c>
      <c r="K17" s="85" t="s">
        <v>55</v>
      </c>
      <c r="L17" s="85" t="s">
        <v>55</v>
      </c>
      <c r="M17" s="85" t="s">
        <v>77</v>
      </c>
      <c r="N17" s="85" t="s">
        <v>64</v>
      </c>
      <c r="O17" s="85" t="s">
        <v>55</v>
      </c>
      <c r="P17" s="85" t="s">
        <v>76</v>
      </c>
      <c r="Q17" s="85" t="s">
        <v>73</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7" s="206">
        <f>(1 - ((1 - VLOOKUP(Table4[[#This Row],[Confidentiality]],'Reference - CVSSv3.0'!$B$15:$C$17,2,FALSE)) * (1 - VLOOKUP(Table4[[#This Row],[Integrity]],'Reference - CVSSv3.0'!$B$15:$C$17,2,FALSE)) *  (1 - VLOOKUP(Table4[[#This Row],[Availability]],'Reference - CVSSv3.0'!$B$15:$C$17,2,FALSE))))</f>
        <v>0.39159999999999995</v>
      </c>
      <c r="T17" s="206">
        <f>IF(Table4[[#This Row],[Scope]]="Unchanged",6.42*Table4[[#This Row],[ISC Base]],IF(Table4[[#This Row],[Scope]]="Changed",7.52*(Table4[[#This Row],[ISC Base]] - 0.029) - 3.25 * POWER(Table4[[#This Row],[ISC Base]] - 0.02,15),NA()))</f>
        <v>2.5140719999999996</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7" s="178" t="s">
        <v>54</v>
      </c>
      <c r="W17" s="206">
        <f>VLOOKUP(Table4[[#This Row],[Threat Event Initiation]],NIST_Scale_LOAI[],2,FALSE)</f>
        <v>0.5</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325" t="s">
        <v>596</v>
      </c>
      <c r="AA17" s="326" t="s">
        <v>643</v>
      </c>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71.25" x14ac:dyDescent="0.25">
      <c r="A18" s="330">
        <v>14</v>
      </c>
      <c r="B18" s="45" t="s">
        <v>238</v>
      </c>
      <c r="C18" s="202" t="str">
        <f>IF(VLOOKUP(Table4[[#This Row],[T ID]],Table5[#All],5,FALSE)="No","Not in scope",VLOOKUP(Table4[[#This Row],[T ID]],Table5[#All],2,FALSE))</f>
        <v>Remote exploitation</v>
      </c>
      <c r="D18" s="45" t="s">
        <v>138</v>
      </c>
      <c r="E18" s="202" t="str">
        <f>IF(VLOOKUP(Table4[[#This Row],[V ID]],Vulnerabilities[#All],3,FALSE)="No","Not in scope",VLOOKUP(Table4[[#This Row],[V ID]],Vulnerabilities[#All],2,FALSE))</f>
        <v>Unpatched OS</v>
      </c>
      <c r="F18" s="223" t="s">
        <v>107</v>
      </c>
      <c r="G18" s="202" t="str">
        <f>VLOOKUP(Table4[[#This Row],[A ID]],Assets[#All],3,FALSE)</f>
        <v>Admin Password / Credentials / System Configuration / Certificates</v>
      </c>
      <c r="H18" s="45" t="s">
        <v>303</v>
      </c>
      <c r="I18" s="53"/>
      <c r="J18" s="85" t="s">
        <v>55</v>
      </c>
      <c r="K18" s="85" t="s">
        <v>55</v>
      </c>
      <c r="L18" s="85" t="s">
        <v>55</v>
      </c>
      <c r="M18" s="85" t="s">
        <v>77</v>
      </c>
      <c r="N18" s="85" t="s">
        <v>55</v>
      </c>
      <c r="O18" s="85" t="s">
        <v>64</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206">
        <f>(1 - ((1 - VLOOKUP(Table4[[#This Row],[Confidentiality]],'Reference - CVSSv3.0'!$B$15:$C$17,2,FALSE)) * (1 - VLOOKUP(Table4[[#This Row],[Integrity]],'Reference - CVSSv3.0'!$B$15:$C$17,2,FALSE)) *  (1 - VLOOKUP(Table4[[#This Row],[Availability]],'Reference - CVSSv3.0'!$B$15:$C$17,2,FALSE))))</f>
        <v>0.52544799999999992</v>
      </c>
      <c r="T18" s="206">
        <f>IF(Table4[[#This Row],[Scope]]="Unchanged",6.42*Table4[[#This Row],[ISC Base]],IF(Table4[[#This Row],[Scope]]="Changed",7.52*(Table4[[#This Row],[ISC Base]] - 0.029) - 3.25 * POWER(Table4[[#This Row],[ISC Base]] - 0.02,15),NA()))</f>
        <v>3.3733761599999994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4.6999999999999993</v>
      </c>
      <c r="V18" s="178" t="s">
        <v>55</v>
      </c>
      <c r="W18" s="206">
        <f>VLOOKUP(Table4[[#This Row],[Threat Event Initiation]],NIST_Scale_LOAI[],2,FALSE)</f>
        <v>0.2</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325" t="s">
        <v>598</v>
      </c>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156.75" x14ac:dyDescent="0.25">
      <c r="A19" s="328">
        <v>15</v>
      </c>
      <c r="B19" s="45" t="s">
        <v>240</v>
      </c>
      <c r="C19" s="202" t="str">
        <f>IF(VLOOKUP(Table4[[#This Row],[T ID]],Table5[#All],5,FALSE)="No","Not in scope",VLOOKUP(Table4[[#This Row],[T ID]],Table5[#All],2,FALSE))</f>
        <v>Improper disposal of hard disks</v>
      </c>
      <c r="D19" s="45" t="s">
        <v>282</v>
      </c>
      <c r="E19" s="202" t="str">
        <f>IF(VLOOKUP(Table4[[#This Row],[V ID]],Vulnerabilities[#All],3,FALSE)="No","Not in scope",VLOOKUP(Table4[[#This Row],[V ID]],Vulnerabilities[#All],2,FALSE))</f>
        <v>Any unprotected hardware</v>
      </c>
      <c r="F19" s="223" t="s">
        <v>109</v>
      </c>
      <c r="G19" s="202" t="str">
        <f>VLOOKUP(Table4[[#This Row],[A ID]],Assets[#All],3,FALSE)</f>
        <v>Patient health information at rest (PHI)</v>
      </c>
      <c r="H19" s="45" t="s">
        <v>304</v>
      </c>
      <c r="I19" s="53"/>
      <c r="J19" s="85" t="s">
        <v>64</v>
      </c>
      <c r="K19" s="85" t="s">
        <v>76</v>
      </c>
      <c r="L19" s="85" t="s">
        <v>76</v>
      </c>
      <c r="M19" s="85" t="s">
        <v>74</v>
      </c>
      <c r="N19" s="85" t="s">
        <v>55</v>
      </c>
      <c r="O19" s="85" t="s">
        <v>55</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9" s="206">
        <f>(1 - ((1 - VLOOKUP(Table4[[#This Row],[Confidentiality]],'Reference - CVSSv3.0'!$B$15:$C$17,2,FALSE)) * (1 - VLOOKUP(Table4[[#This Row],[Integrity]],'Reference - CVSSv3.0'!$B$15:$C$17,2,FALSE)) *  (1 - VLOOKUP(Table4[[#This Row],[Availability]],'Reference - CVSSv3.0'!$B$15:$C$17,2,FALSE))))</f>
        <v>0.56000000000000005</v>
      </c>
      <c r="T19" s="206">
        <f>IF(Table4[[#This Row],[Scope]]="Unchanged",6.42*Table4[[#This Row],[ISC Base]],IF(Table4[[#This Row],[Scope]]="Changed",7.52*(Table4[[#This Row],[ISC Base]] - 0.029) - 3.25 * POWER(Table4[[#This Row],[ISC Base]] - 0.02,15),NA()))</f>
        <v>3.5952000000000002</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326" t="s">
        <v>613</v>
      </c>
      <c r="AA19" s="326" t="s">
        <v>644</v>
      </c>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409.5" x14ac:dyDescent="0.25">
      <c r="A20" s="329">
        <v>16</v>
      </c>
      <c r="B20" s="45" t="s">
        <v>243</v>
      </c>
      <c r="C20" s="202" t="str">
        <f>IF(VLOOKUP(Table4[[#This Row],[T ID]],Table5[#All],5,FALSE)="No","Not in scope",VLOOKUP(Table4[[#This Row],[T ID]],Table5[#All],2,FALSE))</f>
        <v>Man-in-the middle attack / intercept Navigation communication</v>
      </c>
      <c r="D20" s="45" t="s">
        <v>282</v>
      </c>
      <c r="E20" s="202" t="str">
        <f>IF(VLOOKUP(Table4[[#This Row],[V ID]],Vulnerabilities[#All],3,FALSE)="No","Not in scope",VLOOKUP(Table4[[#This Row],[V ID]],Vulnerabilities[#All],2,FALSE))</f>
        <v>Any unprotected hardware</v>
      </c>
      <c r="F20" s="223" t="s">
        <v>112</v>
      </c>
      <c r="G20" s="202" t="str">
        <f>VLOOKUP(Table4[[#This Row],[A ID]],Assets[#All],3,FALSE)</f>
        <v>Navigation Accuracy</v>
      </c>
      <c r="H20" s="45" t="s">
        <v>317</v>
      </c>
      <c r="I20" s="53"/>
      <c r="J20" s="85" t="s">
        <v>76</v>
      </c>
      <c r="K20" s="85" t="s">
        <v>55</v>
      </c>
      <c r="L20" s="85" t="s">
        <v>55</v>
      </c>
      <c r="M20" s="85" t="s">
        <v>77</v>
      </c>
      <c r="N20" s="85" t="s">
        <v>64</v>
      </c>
      <c r="O20" s="85" t="s">
        <v>64</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0" s="206">
        <f>(1 - ((1 - VLOOKUP(Table4[[#This Row],[Confidentiality]],'Reference - CVSSv3.0'!$B$15:$C$17,2,FALSE)) * (1 - VLOOKUP(Table4[[#This Row],[Integrity]],'Reference - CVSSv3.0'!$B$15:$C$17,2,FALSE)) *  (1 - VLOOKUP(Table4[[#This Row],[Availability]],'Reference - CVSSv3.0'!$B$15:$C$17,2,FALSE))))</f>
        <v>0.39159999999999995</v>
      </c>
      <c r="T20" s="206">
        <f>IF(Table4[[#This Row],[Scope]]="Unchanged",6.42*Table4[[#This Row],[ISC Base]],IF(Table4[[#This Row],[Scope]]="Changed",7.52*(Table4[[#This Row],[ISC Base]] - 0.029) - 3.25 * POWER(Table4[[#This Row],[ISC Base]] - 0.02,15),NA()))</f>
        <v>2.5140719999999996</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326" t="s">
        <v>602</v>
      </c>
      <c r="AA20" s="326" t="s">
        <v>645</v>
      </c>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4" x14ac:dyDescent="0.25">
      <c r="A21" s="328">
        <v>17</v>
      </c>
      <c r="B21" s="45" t="s">
        <v>251</v>
      </c>
      <c r="C21" s="202" t="str">
        <f>IF(VLOOKUP(Table4[[#This Row],[T ID]],Table5[#All],5,FALSE)="No","Not in scope",VLOOKUP(Table4[[#This Row],[T ID]],Table5[#All],2,FALSE))</f>
        <v>Physical Manipulation of Hardware</v>
      </c>
      <c r="D21" s="45" t="s">
        <v>282</v>
      </c>
      <c r="E21" s="202" t="str">
        <f>IF(VLOOKUP(Table4[[#This Row],[V ID]],Vulnerabilities[#All],3,FALSE)="No","Not in scope",VLOOKUP(Table4[[#This Row],[V ID]],Vulnerabilities[#All],2,FALSE))</f>
        <v>Any unprotected hardware</v>
      </c>
      <c r="F21" s="223" t="s">
        <v>107</v>
      </c>
      <c r="G21" s="202" t="str">
        <f>VLOOKUP(Table4[[#This Row],[A ID]],Assets[#All],3,FALSE)</f>
        <v>Admin Password / Credentials / System Configuration / Certificates</v>
      </c>
      <c r="H21" s="45" t="s">
        <v>307</v>
      </c>
      <c r="I21" s="53"/>
      <c r="J21" s="85" t="s">
        <v>55</v>
      </c>
      <c r="K21" s="85" t="s">
        <v>55</v>
      </c>
      <c r="L21" s="85" t="s">
        <v>313</v>
      </c>
      <c r="M21" s="85" t="s">
        <v>74</v>
      </c>
      <c r="N21" s="85" t="s">
        <v>55</v>
      </c>
      <c r="O21" s="85" t="s">
        <v>64</v>
      </c>
      <c r="P21" s="85" t="s">
        <v>313</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1" s="206">
        <f>(1 - ((1 - VLOOKUP(Table4[[#This Row],[Confidentiality]],'Reference - CVSSv3.0'!$B$15:$C$17,2,FALSE)) * (1 - VLOOKUP(Table4[[#This Row],[Integrity]],'Reference - CVSSv3.0'!$B$15:$C$17,2,FALSE)) *  (1 - VLOOKUP(Table4[[#This Row],[Availability]],'Reference - CVSSv3.0'!$B$15:$C$17,2,FALSE))))</f>
        <v>0.39159999999999995</v>
      </c>
      <c r="T21" s="206">
        <f>IF(Table4[[#This Row],[Scope]]="Unchanged",6.42*Table4[[#This Row],[ISC Base]],IF(Table4[[#This Row],[Scope]]="Changed",7.52*(Table4[[#This Row],[ISC Base]] - 0.029) - 3.25 * POWER(Table4[[#This Row],[ISC Base]] - 0.02,15),NA()))</f>
        <v>2.5140719999999996</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2.9</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01"/>
      <c r="AA21" s="326" t="s">
        <v>638</v>
      </c>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99.5" x14ac:dyDescent="0.25">
      <c r="A22" s="328">
        <v>18</v>
      </c>
      <c r="B22" s="213" t="s">
        <v>251</v>
      </c>
      <c r="C22" s="214" t="str">
        <f>IF(VLOOKUP(Table4[[#This Row],[T ID]],Table5[#All],5,FALSE)="No","Not in scope",VLOOKUP(Table4[[#This Row],[T ID]],Table5[#All],2,FALSE))</f>
        <v>Physical Manipulation of Hardware</v>
      </c>
      <c r="D22" s="45" t="s">
        <v>282</v>
      </c>
      <c r="E22" s="214" t="str">
        <f>IF(VLOOKUP(Table4[[#This Row],[V ID]],Vulnerabilities[#All],3,FALSE)="No","Not in scope",VLOOKUP(Table4[[#This Row],[V ID]],Vulnerabilities[#All],2,FALSE))</f>
        <v>Any unprotected hardware</v>
      </c>
      <c r="F22" s="223" t="s">
        <v>112</v>
      </c>
      <c r="G22" s="214" t="str">
        <f>VLOOKUP(Table4[[#This Row],[A ID]],Assets[#All],3,FALSE)</f>
        <v>Navigation Accuracy</v>
      </c>
      <c r="H22" s="45" t="s">
        <v>312</v>
      </c>
      <c r="I22" s="53"/>
      <c r="J22" s="85" t="s">
        <v>55</v>
      </c>
      <c r="K22" s="85" t="s">
        <v>55</v>
      </c>
      <c r="L22" s="85" t="s">
        <v>313</v>
      </c>
      <c r="M22" s="85" t="s">
        <v>74</v>
      </c>
      <c r="N22" s="85" t="s">
        <v>55</v>
      </c>
      <c r="O22" s="85" t="s">
        <v>64</v>
      </c>
      <c r="P22" s="85" t="s">
        <v>76</v>
      </c>
      <c r="Q22" s="85" t="s">
        <v>73</v>
      </c>
      <c r="R2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18">
        <f>(1 - ((1 - VLOOKUP(Table4[[#This Row],[Confidentiality]],'Reference - CVSSv3.0'!$B$15:$C$17,2,FALSE)) * (1 - VLOOKUP(Table4[[#This Row],[Integrity]],'Reference - CVSSv3.0'!$B$15:$C$17,2,FALSE)) *  (1 - VLOOKUP(Table4[[#This Row],[Availability]],'Reference - CVSSv3.0'!$B$15:$C$17,2,FALSE))))</f>
        <v>0.39159999999999995</v>
      </c>
      <c r="T22" s="218">
        <f>IF(Table4[[#This Row],[Scope]]="Unchanged",6.42*Table4[[#This Row],[ISC Base]],IF(Table4[[#This Row],[Scope]]="Changed",7.52*(Table4[[#This Row],[ISC Base]] - 0.029) - 3.25 * POWER(Table4[[#This Row],[ISC Base]] - 0.02,15),NA()))</f>
        <v>2.5140719999999996</v>
      </c>
      <c r="U22" s="218">
        <f>IF(Table4[[#This Row],[Impact Sub Score]]&lt;=0,0,IF(Table4[[#This Row],[Scope]]="Unchanged",ROUNDUP(MIN((Table4[[#This Row],[Impact Sub Score]]+Table4[[#This Row],[Exploitability Sub Score]]),10),1),IF(Table4[[#This Row],[Scope]]="Changed",ROUNDUP(MIN((1.08*(Table4[[#This Row],[Impact Sub Score]]+Table4[[#This Row],[Exploitability Sub Score]])),10),1),NA())))</f>
        <v>2.9</v>
      </c>
      <c r="V22" s="178" t="s">
        <v>55</v>
      </c>
      <c r="W22" s="218">
        <f>VLOOKUP(Table4[[#This Row],[Threat Event Initiation]],NIST_Scale_LOAI[],2,FALSE)</f>
        <v>0.2</v>
      </c>
      <c r="X2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5"/>
      <c r="AA22" s="326" t="s">
        <v>646</v>
      </c>
      <c r="AB22" s="220"/>
      <c r="AC22" s="215"/>
      <c r="AD22" s="215"/>
      <c r="AE22" s="215"/>
      <c r="AF22" s="216"/>
      <c r="AG22" s="216"/>
      <c r="AH22" s="216"/>
      <c r="AI22" s="216"/>
      <c r="AJ22" s="221"/>
      <c r="AK22"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8" t="e">
        <f>(1 - ((1 - VLOOKUP(Table4[[#This Row],[ConfidentialityP]],'Reference - CVSSv3.0'!$B$15:$C$17,2,FALSE)) * (1 - VLOOKUP(Table4[[#This Row],[IntegrityP]],'Reference - CVSSv3.0'!$B$15:$C$17,2,FALSE)) *  (1 - VLOOKUP(Table4[[#This Row],[AvailabilityP]],'Reference - CVSSv3.0'!$B$15:$C$17,2,FALSE))))</f>
        <v>#N/A</v>
      </c>
      <c r="AM22" s="218" t="e">
        <f>IF(Table4[[#This Row],[ScopeP]]="Unchanged",6.42*Table4[[#This Row],[ISC BaseP]],IF(Table4[[#This Row],[ScopeP]]="Changed",7.52*(Table4[[#This Row],[ISC BaseP]] - 0.029) - 3.25 * POWER(Table4[[#This Row],[ISC BaseP]] - 0.02,15),NA()))</f>
        <v>#N/A</v>
      </c>
      <c r="AN22"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5"/>
    </row>
    <row r="23" spans="1:43" ht="114" x14ac:dyDescent="0.25">
      <c r="A23" s="200">
        <v>19</v>
      </c>
      <c r="B23" s="45" t="s">
        <v>255</v>
      </c>
      <c r="C23" s="202" t="str">
        <f>IF(VLOOKUP(Table4[[#This Row],[T ID]],Table5[#All],5,FALSE)="No","Not in scope",VLOOKUP(Table4[[#This Row],[T ID]],Table5[#All],2,FALSE))</f>
        <v>Gather information using open source discovery of organizational information</v>
      </c>
      <c r="D23" s="45" t="s">
        <v>509</v>
      </c>
      <c r="E23" s="202" t="str">
        <f>IF(VLOOKUP(Table4[[#This Row],[V ID]],Vulnerabilities[#All],3,FALSE)="No","Not in scope",VLOOKUP(Table4[[#This Row],[V ID]],Vulnerabilities[#All],2,FALSE))</f>
        <v>Exposure of sensitive product information</v>
      </c>
      <c r="F23" s="223" t="s">
        <v>106</v>
      </c>
      <c r="G23" s="202" t="str">
        <f>VLOOKUP(Table4[[#This Row],[A ID]],Assets[#All],3,FALSE)</f>
        <v>Nav3,3i cart/ System running with windows 8.1</v>
      </c>
      <c r="H23" s="45" t="s">
        <v>309</v>
      </c>
      <c r="I23" s="53"/>
      <c r="J23" s="85" t="s">
        <v>55</v>
      </c>
      <c r="K23" s="85" t="s">
        <v>55</v>
      </c>
      <c r="L23" s="85" t="s">
        <v>64</v>
      </c>
      <c r="M23" s="85" t="s">
        <v>77</v>
      </c>
      <c r="N23" s="85" t="s">
        <v>64</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326" t="s">
        <v>597</v>
      </c>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85.5" x14ac:dyDescent="0.25">
      <c r="A24" s="64">
        <v>20</v>
      </c>
      <c r="B24" s="45" t="s">
        <v>266</v>
      </c>
      <c r="C24" s="202" t="str">
        <f>IF(VLOOKUP(Table4[[#This Row],[T ID]],Table5[#All],5,FALSE)="No","Not in scope",VLOOKUP(Table4[[#This Row],[T ID]],Table5[#All],2,FALSE))</f>
        <v>Power Failure at primary facility</v>
      </c>
      <c r="D24" s="45" t="s">
        <v>282</v>
      </c>
      <c r="E24" s="202" t="str">
        <f>IF(VLOOKUP(Table4[[#This Row],[V ID]],Vulnerabilities[#All],3,FALSE)="No","Not in scope",VLOOKUP(Table4[[#This Row],[V ID]],Vulnerabilities[#All],2,FALSE))</f>
        <v>Any unprotected hardware</v>
      </c>
      <c r="F24" s="223" t="s">
        <v>106</v>
      </c>
      <c r="G24" s="202" t="str">
        <f>VLOOKUP(Table4[[#This Row],[A ID]],Assets[#All],3,FALSE)</f>
        <v>Nav3,3i cart/ System running with windows 8.1</v>
      </c>
      <c r="H24" s="45" t="s">
        <v>308</v>
      </c>
      <c r="I24" s="53"/>
      <c r="J24" s="85" t="s">
        <v>76</v>
      </c>
      <c r="K24" s="85" t="s">
        <v>76</v>
      </c>
      <c r="L24" s="85" t="s">
        <v>64</v>
      </c>
      <c r="M24" s="85" t="s">
        <v>78</v>
      </c>
      <c r="N24" s="85" t="s">
        <v>55</v>
      </c>
      <c r="O24" s="85" t="s">
        <v>76</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4" s="206">
        <f>(1 - ((1 - VLOOKUP(Table4[[#This Row],[Confidentiality]],'Reference - CVSSv3.0'!$B$15:$C$17,2,FALSE)) * (1 - VLOOKUP(Table4[[#This Row],[Integrity]],'Reference - CVSSv3.0'!$B$15:$C$17,2,FALSE)) *  (1 - VLOOKUP(Table4[[#This Row],[Availability]],'Reference - CVSSv3.0'!$B$15:$C$17,2,FALSE))))</f>
        <v>0.56000000000000005</v>
      </c>
      <c r="T24" s="206">
        <f>IF(Table4[[#This Row],[Scope]]="Unchanged",6.42*Table4[[#This Row],[ISC Base]],IF(Table4[[#This Row],[Scope]]="Changed",7.52*(Table4[[#This Row],[ISC Base]] - 0.029) - 3.25 * POWER(Table4[[#This Row],[ISC Base]] - 0.02,15),NA()))</f>
        <v>3.5952000000000002</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4" s="178" t="s">
        <v>48</v>
      </c>
      <c r="W24" s="206">
        <f>VLOOKUP(Table4[[#This Row],[Threat Event Initiation]],NIST_Scale_LOAI[],2,FALSE)</f>
        <v>0.04</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326" t="s">
        <v>591</v>
      </c>
      <c r="AA24" s="326" t="s">
        <v>647</v>
      </c>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171" x14ac:dyDescent="0.25">
      <c r="A25" s="330">
        <v>21</v>
      </c>
      <c r="B25" s="45" t="s">
        <v>276</v>
      </c>
      <c r="C25" s="202" t="str">
        <f>IF(VLOOKUP(Table4[[#This Row],[T ID]],Table5[#All],5,FALSE)="No","Not in scope",VLOOKUP(Table4[[#This Row],[T ID]],Table5[#All],2,FALSE))</f>
        <v>Manipulation of navigation camera firmware / memory</v>
      </c>
      <c r="D25" s="45" t="s">
        <v>282</v>
      </c>
      <c r="E25" s="202" t="str">
        <f>IF(VLOOKUP(Table4[[#This Row],[V ID]],Vulnerabilities[#All],3,FALSE)="No","Not in scope",VLOOKUP(Table4[[#This Row],[V ID]],Vulnerabilities[#All],2,FALSE))</f>
        <v>Any unprotected hardware</v>
      </c>
      <c r="F25" s="223" t="s">
        <v>112</v>
      </c>
      <c r="G25" s="202" t="str">
        <f>VLOOKUP(Table4[[#This Row],[A ID]],Assets[#All],3,FALSE)</f>
        <v>Navigation Accuracy</v>
      </c>
      <c r="H25" s="45" t="s">
        <v>311</v>
      </c>
      <c r="I25" s="53"/>
      <c r="J25" s="85" t="s">
        <v>55</v>
      </c>
      <c r="K25" s="85" t="s">
        <v>55</v>
      </c>
      <c r="L25" s="85" t="s">
        <v>55</v>
      </c>
      <c r="M25" s="85" t="s">
        <v>78</v>
      </c>
      <c r="N25" s="85" t="s">
        <v>64</v>
      </c>
      <c r="O25" s="85" t="s">
        <v>55</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5" s="206">
        <f>(1 - ((1 - VLOOKUP(Table4[[#This Row],[Confidentiality]],'Reference - CVSSv3.0'!$B$15:$C$17,2,FALSE)) * (1 - VLOOKUP(Table4[[#This Row],[Integrity]],'Reference - CVSSv3.0'!$B$15:$C$17,2,FALSE)) *  (1 - VLOOKUP(Table4[[#This Row],[Availability]],'Reference - CVSSv3.0'!$B$15:$C$17,2,FALSE))))</f>
        <v>0.52544799999999992</v>
      </c>
      <c r="T25" s="206">
        <f>IF(Table4[[#This Row],[Scope]]="Unchanged",6.42*Table4[[#This Row],[ISC Base]],IF(Table4[[#This Row],[Scope]]="Changed",7.52*(Table4[[#This Row],[ISC Base]] - 0.029) - 3.25 * POWER(Table4[[#This Row],[ISC Base]] - 0.02,15),NA()))</f>
        <v>3.3733761599999994</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25" s="178" t="s">
        <v>55</v>
      </c>
      <c r="W25" s="206">
        <f>VLOOKUP(Table4[[#This Row],[Threat Event Initiation]],NIST_Scale_LOAI[],2,FALSE)</f>
        <v>0.2</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1"/>
      <c r="AA25" s="326" t="s">
        <v>642</v>
      </c>
      <c r="AB25" s="212"/>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85.5" x14ac:dyDescent="0.25">
      <c r="A26" s="331">
        <v>22</v>
      </c>
      <c r="B26" s="235" t="s">
        <v>341</v>
      </c>
      <c r="C26" s="253" t="str">
        <f>IF(VLOOKUP(Table4[[#This Row],[T ID]],Table5[#All],5,FALSE)="No","Not in scope",VLOOKUP(Table4[[#This Row],[T ID]],Table5[#All],2,FALSE))</f>
        <v xml:space="preserve">Unexpected/Damaged input to CT Knee Intra-op </v>
      </c>
      <c r="D26" s="235" t="s">
        <v>346</v>
      </c>
      <c r="E26" s="253" t="str">
        <f>IF(VLOOKUP(Table4[[#This Row],[V ID]],Vulnerabilities[#All],3,FALSE)="No","Not in scope",VLOOKUP(Table4[[#This Row],[V ID]],Vulnerabilities[#All],2,FALSE))</f>
        <v>Lack of input sanitization in knee intra-op application</v>
      </c>
      <c r="F26" s="254" t="s">
        <v>343</v>
      </c>
      <c r="G26" s="253" t="str">
        <f>VLOOKUP(Table4[[#This Row],[A ID]],Assets[#All],3,FALSE)</f>
        <v>Patient Health Information in transit (PHI)</v>
      </c>
      <c r="H26" s="264" t="s">
        <v>444</v>
      </c>
      <c r="I26" s="235"/>
      <c r="J26" s="285" t="s">
        <v>76</v>
      </c>
      <c r="K26" s="285" t="s">
        <v>64</v>
      </c>
      <c r="L26" s="285" t="s">
        <v>55</v>
      </c>
      <c r="M26" s="255" t="s">
        <v>74</v>
      </c>
      <c r="N26" s="255" t="s">
        <v>55</v>
      </c>
      <c r="O26" s="255" t="s">
        <v>55</v>
      </c>
      <c r="P26" s="85" t="s">
        <v>76</v>
      </c>
      <c r="Q26" s="255" t="s">
        <v>73</v>
      </c>
      <c r="R2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7">
        <f>(1 - ((1 - VLOOKUP(Table4[[#This Row],[Confidentiality]],'Reference - CVSSv3.0'!$B$15:$C$17,2,FALSE)) * (1 - VLOOKUP(Table4[[#This Row],[Integrity]],'Reference - CVSSv3.0'!$B$15:$C$17,2,FALSE)) *  (1 - VLOOKUP(Table4[[#This Row],[Availability]],'Reference - CVSSv3.0'!$B$15:$C$17,2,FALSE))))</f>
        <v>0.65680000000000005</v>
      </c>
      <c r="T26" s="257">
        <f>IF(Table4[[#This Row],[Scope]]="Unchanged",6.42*Table4[[#This Row],[ISC Base]],IF(Table4[[#This Row],[Scope]]="Changed",7.52*(Table4[[#This Row],[ISC Base]] - 0.029) - 3.25 * POWER(Table4[[#This Row],[ISC Base]] - 0.02,15),NA()))</f>
        <v>4.2166560000000004</v>
      </c>
      <c r="U26"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6" s="258" t="s">
        <v>55</v>
      </c>
      <c r="W26" s="257">
        <f>VLOOKUP(Table4[[#This Row],[Threat Event Initiation]],NIST_Scale_LOAI[],2,FALSE)</f>
        <v>0.2</v>
      </c>
      <c r="X2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325" t="s">
        <v>603</v>
      </c>
      <c r="AA26" s="235"/>
      <c r="AB26" s="260"/>
      <c r="AC26" s="235"/>
      <c r="AD26" s="235"/>
      <c r="AE26" s="235"/>
      <c r="AF26" s="255"/>
      <c r="AG26" s="255"/>
      <c r="AH26" s="255"/>
      <c r="AI26" s="255"/>
      <c r="AJ26" s="261"/>
      <c r="AK2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7" t="e">
        <f>(1 - ((1 - VLOOKUP(Table4[[#This Row],[ConfidentialityP]],'Reference - CVSSv3.0'!$B$15:$C$17,2,FALSE)) * (1 - VLOOKUP(Table4[[#This Row],[IntegrityP]],'Reference - CVSSv3.0'!$B$15:$C$17,2,FALSE)) *  (1 - VLOOKUP(Table4[[#This Row],[AvailabilityP]],'Reference - CVSSv3.0'!$B$15:$C$17,2,FALSE))))</f>
        <v>#N/A</v>
      </c>
      <c r="AM26" s="257" t="e">
        <f>IF(Table4[[#This Row],[ScopeP]]="Unchanged",6.42*Table4[[#This Row],[ISC BaseP]],IF(Table4[[#This Row],[ScopeP]]="Changed",7.52*(Table4[[#This Row],[ISC BaseP]] - 0.029) - 3.25 * POWER(Table4[[#This Row],[ISC BaseP]] - 0.02,15),NA()))</f>
        <v>#N/A</v>
      </c>
      <c r="AN2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5"/>
    </row>
    <row r="27" spans="1:43" ht="71.25" x14ac:dyDescent="0.25">
      <c r="A27" s="331">
        <v>23</v>
      </c>
      <c r="B27" s="235" t="s">
        <v>347</v>
      </c>
      <c r="C27" s="253" t="str">
        <f>IF(VLOOKUP(Table4[[#This Row],[T ID]],Table5[#All],5,FALSE)="No","Not in scope",VLOOKUP(Table4[[#This Row],[T ID]],Table5[#All],2,FALSE))</f>
        <v>Malware affected input device</v>
      </c>
      <c r="D27" s="235" t="s">
        <v>140</v>
      </c>
      <c r="E27" s="253" t="str">
        <f>IF(VLOOKUP(Table4[[#This Row],[V ID]],Vulnerabilities[#All],3,FALSE)="No","Not in scope",VLOOKUP(Table4[[#This Row],[V ID]],Vulnerabilities[#All],2,FALSE))</f>
        <v>Unprotected external USB Port</v>
      </c>
      <c r="F27" s="254" t="s">
        <v>321</v>
      </c>
      <c r="G27" s="253" t="str">
        <f>VLOOKUP(Table4[[#This Row],[A ID]],Assets[#All],3,FALSE)</f>
        <v>Input device to Intra-OP</v>
      </c>
      <c r="H27" s="264" t="s">
        <v>445</v>
      </c>
      <c r="I27" s="235"/>
      <c r="J27" s="285" t="s">
        <v>76</v>
      </c>
      <c r="K27" s="285" t="s">
        <v>55</v>
      </c>
      <c r="L27" s="285" t="s">
        <v>64</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326" t="s">
        <v>600</v>
      </c>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142.5" x14ac:dyDescent="0.25">
      <c r="A28" s="331">
        <v>24</v>
      </c>
      <c r="B28" s="235" t="s">
        <v>350</v>
      </c>
      <c r="C28" s="253" t="str">
        <f>IF(VLOOKUP(Table4[[#This Row],[T ID]],Table5[#All],5,FALSE)="No","Not in scope",VLOOKUP(Table4[[#This Row],[T ID]],Table5[#All],2,FALSE))</f>
        <v>Critical data transfer involving the removable device</v>
      </c>
      <c r="D28" s="235" t="s">
        <v>140</v>
      </c>
      <c r="E28" s="253" t="str">
        <f>IF(VLOOKUP(Table4[[#This Row],[V ID]],Vulnerabilities[#All],3,FALSE)="No","Not in scope",VLOOKUP(Table4[[#This Row],[V ID]],Vulnerabilities[#All],2,FALSE))</f>
        <v>Unprotected external USB Port</v>
      </c>
      <c r="F28" s="254" t="s">
        <v>343</v>
      </c>
      <c r="G28" s="253" t="str">
        <f>VLOOKUP(Table4[[#This Row],[A ID]],Assets[#All],3,FALSE)</f>
        <v>Patient Health Information in transit (PHI)</v>
      </c>
      <c r="H28" s="264" t="s">
        <v>446</v>
      </c>
      <c r="I28" s="235"/>
      <c r="J28" s="285" t="s">
        <v>55</v>
      </c>
      <c r="K28" s="285" t="s">
        <v>55</v>
      </c>
      <c r="L28" s="285" t="s">
        <v>76</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0.39159999999999995</v>
      </c>
      <c r="T28" s="257">
        <f>IF(Table4[[#This Row],[Scope]]="Unchanged",6.42*Table4[[#This Row],[ISC Base]],IF(Table4[[#This Row],[Scope]]="Changed",7.52*(Table4[[#This Row],[ISC Base]] - 0.029) - 3.25 * POWER(Table4[[#This Row],[ISC Base]] - 0.02,15),NA()))</f>
        <v>2.5140719999999996</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325" t="s">
        <v>604</v>
      </c>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99.75" x14ac:dyDescent="0.25">
      <c r="A29" s="331">
        <v>25</v>
      </c>
      <c r="B29" s="235" t="s">
        <v>350</v>
      </c>
      <c r="C29" s="253" t="str">
        <f>IF(VLOOKUP(Table4[[#This Row],[T ID]],Table5[#All],5,FALSE)="No","Not in scope",VLOOKUP(Table4[[#This Row],[T ID]],Table5[#All],2,FALSE))</f>
        <v>Critical data transfer involving the removable device</v>
      </c>
      <c r="D29" s="235" t="s">
        <v>332</v>
      </c>
      <c r="E29" s="253" t="str">
        <f>IF(VLOOKUP(Table4[[#This Row],[V ID]],Vulnerabilities[#All],3,FALSE)="No","Not in scope",VLOOKUP(Table4[[#This Row],[V ID]],Vulnerabilities[#All],2,FALSE))</f>
        <v>Malicious activities not being recorded in administrator/user logs</v>
      </c>
      <c r="F29" s="254" t="s">
        <v>343</v>
      </c>
      <c r="G29" s="253" t="str">
        <f>VLOOKUP(Table4[[#This Row],[A ID]],Assets[#All],3,FALSE)</f>
        <v>Patient Health Information in transit (PHI)</v>
      </c>
      <c r="H29" s="264" t="s">
        <v>446</v>
      </c>
      <c r="I29" s="235"/>
      <c r="J29" s="285" t="s">
        <v>64</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0.65680000000000005</v>
      </c>
      <c r="T29" s="257">
        <f>IF(Table4[[#This Row],[Scope]]="Unchanged",6.42*Table4[[#This Row],[ISC Base]],IF(Table4[[#This Row],[Scope]]="Changed",7.52*(Table4[[#This Row],[ISC Base]] - 0.029) - 3.25 * POWER(Table4[[#This Row],[ISC Base]] - 0.02,15),NA()))</f>
        <v>4.2166560000000004</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9" s="258" t="s">
        <v>48</v>
      </c>
      <c r="W29" s="257">
        <f>VLOOKUP(Table4[[#This Row],[Threat Event Initiation]],NIST_Scale_LOAI[],2,FALSE)</f>
        <v>0.04</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325" t="s">
        <v>605</v>
      </c>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85.5" x14ac:dyDescent="0.25">
      <c r="A30" s="331">
        <v>26</v>
      </c>
      <c r="B30" s="235" t="s">
        <v>352</v>
      </c>
      <c r="C30" s="253" t="str">
        <f>IF(VLOOKUP(Table4[[#This Row],[T ID]],Table5[#All],5,FALSE)="No","Not in scope",VLOOKUP(Table4[[#This Row],[T ID]],Table5[#All],2,FALSE))</f>
        <v>Lack of encryption for input data to Intra-op</v>
      </c>
      <c r="D30" s="235" t="s">
        <v>328</v>
      </c>
      <c r="E30" s="253" t="str">
        <f>IF(VLOOKUP(Table4[[#This Row],[V ID]],Vulnerabilities[#All],3,FALSE)="No","Not in scope",VLOOKUP(Table4[[#This Row],[V ID]],Vulnerabilities[#All],2,FALSE))</f>
        <v>Unencrypted ePHI in transit (as output, input)</v>
      </c>
      <c r="F30" s="254" t="s">
        <v>343</v>
      </c>
      <c r="G30" s="253" t="str">
        <f>VLOOKUP(Table4[[#This Row],[A ID]],Assets[#All],3,FALSE)</f>
        <v>Patient Health Information in transit (PHI)</v>
      </c>
      <c r="H30" s="264" t="s">
        <v>447</v>
      </c>
      <c r="I30" s="235"/>
      <c r="J30" s="285" t="s">
        <v>64</v>
      </c>
      <c r="K30" s="285" t="s">
        <v>64</v>
      </c>
      <c r="L30" s="285" t="s">
        <v>76</v>
      </c>
      <c r="M30" s="255" t="s">
        <v>78</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7">
        <f>(1 - ((1 - VLOOKUP(Table4[[#This Row],[Confidentiality]],'Reference - CVSSv3.0'!$B$15:$C$17,2,FALSE)) * (1 - VLOOKUP(Table4[[#This Row],[Integrity]],'Reference - CVSSv3.0'!$B$15:$C$17,2,FALSE)) *  (1 - VLOOKUP(Table4[[#This Row],[Availability]],'Reference - CVSSv3.0'!$B$15:$C$17,2,FALSE))))</f>
        <v>0.80640000000000001</v>
      </c>
      <c r="T30" s="257">
        <f>IF(Table4[[#This Row],[Scope]]="Unchanged",6.42*Table4[[#This Row],[ISC Base]],IF(Table4[[#This Row],[Scope]]="Changed",7.52*(Table4[[#This Row],[ISC Base]] - 0.029) - 3.25 * POWER(Table4[[#This Row],[ISC Base]] - 0.02,15),NA()))</f>
        <v>5.1770880000000004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8" t="s">
        <v>55</v>
      </c>
      <c r="W30" s="257">
        <f>VLOOKUP(Table4[[#This Row],[Threat Event Initiation]],NIST_Scale_LOAI[],2,FALSE)</f>
        <v>0.2</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325" t="s">
        <v>606</v>
      </c>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31">
        <v>27</v>
      </c>
      <c r="B31" s="235" t="s">
        <v>352</v>
      </c>
      <c r="C31" s="253" t="str">
        <f>IF(VLOOKUP(Table4[[#This Row],[T ID]],Table5[#All],5,FALSE)="No","Not in scope",VLOOKUP(Table4[[#This Row],[T ID]],Table5[#All],2,FALSE))</f>
        <v>Lack of encryption for input data to Intra-op</v>
      </c>
      <c r="D31" s="235" t="s">
        <v>330</v>
      </c>
      <c r="E31" s="253" t="str">
        <f>IF(VLOOKUP(Table4[[#This Row],[V ID]],Vulnerabilities[#All],3,FALSE)="No","Not in scope",VLOOKUP(Table4[[#This Row],[V ID]],Vulnerabilities[#All],2,FALSE))</f>
        <v>Use of a Broken or Risky Cryptographic Algorithm or Inadequate encryption strength in Intra-op application</v>
      </c>
      <c r="F31" s="254" t="s">
        <v>343</v>
      </c>
      <c r="G31" s="253" t="str">
        <f>VLOOKUP(Table4[[#This Row],[A ID]],Assets[#All],3,FALSE)</f>
        <v>Patient Health Information in transit (PHI)</v>
      </c>
      <c r="H31" s="264" t="s">
        <v>447</v>
      </c>
      <c r="I31" s="235"/>
      <c r="J31" s="285" t="s">
        <v>64</v>
      </c>
      <c r="K31" s="285" t="s">
        <v>55</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0.65680000000000005</v>
      </c>
      <c r="T31" s="257">
        <f>IF(Table4[[#This Row],[Scope]]="Unchanged",6.42*Table4[[#This Row],[ISC Base]],IF(Table4[[#This Row],[Scope]]="Changed",7.52*(Table4[[#This Row],[ISC Base]] - 0.029) - 3.25 * POWER(Table4[[#This Row],[ISC Base]] - 0.02,15),NA()))</f>
        <v>4.2166560000000004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325" t="s">
        <v>606</v>
      </c>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71.25" x14ac:dyDescent="0.25">
      <c r="A32" s="331">
        <v>28</v>
      </c>
      <c r="B32" s="235" t="s">
        <v>354</v>
      </c>
      <c r="C32" s="253" t="str">
        <f>IF(VLOOKUP(Table4[[#This Row],[T ID]],Table5[#All],5,FALSE)="No","Not in scope",VLOOKUP(Table4[[#This Row],[T ID]],Table5[#All],2,FALSE))</f>
        <v>Lack of authentication for the connected removable device</v>
      </c>
      <c r="D32" s="235" t="s">
        <v>403</v>
      </c>
      <c r="E32" s="253" t="str">
        <f>IF(VLOOKUP(Table4[[#This Row],[V ID]],Vulnerabilities[#All],3,FALSE)="No","Not in scope",VLOOKUP(Table4[[#This Row],[V ID]],Vulnerabilities[#All],2,FALSE))</f>
        <v>No proper validation for the removable devices</v>
      </c>
      <c r="F32" s="254" t="s">
        <v>321</v>
      </c>
      <c r="G32" s="253" t="str">
        <f>VLOOKUP(Table4[[#This Row],[A ID]],Assets[#All],3,FALSE)</f>
        <v>Input device to Intra-OP</v>
      </c>
      <c r="H32" s="264" t="s">
        <v>448</v>
      </c>
      <c r="I32" s="235"/>
      <c r="J32" s="285" t="s">
        <v>76</v>
      </c>
      <c r="K32" s="285" t="s">
        <v>55</v>
      </c>
      <c r="L32" s="285" t="s">
        <v>64</v>
      </c>
      <c r="M32" s="255" t="s">
        <v>74</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325" t="s">
        <v>607</v>
      </c>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85.5" x14ac:dyDescent="0.25">
      <c r="A33" s="331">
        <v>29</v>
      </c>
      <c r="B33" s="235" t="s">
        <v>356</v>
      </c>
      <c r="C33" s="253" t="str">
        <f>IF(VLOOKUP(Table4[[#This Row],[T ID]],Table5[#All],5,FALSE)="No","Not in scope",VLOOKUP(Table4[[#This Row],[T ID]],Table5[#All],2,FALSE))</f>
        <v>Absence of data validation</v>
      </c>
      <c r="D33" s="235" t="s">
        <v>346</v>
      </c>
      <c r="E33" s="253" t="str">
        <f>IF(VLOOKUP(Table4[[#This Row],[V ID]],Vulnerabilities[#All],3,FALSE)="No","Not in scope",VLOOKUP(Table4[[#This Row],[V ID]],Vulnerabilities[#All],2,FALSE))</f>
        <v>Lack of input sanitization in knee intra-op application</v>
      </c>
      <c r="F33" s="254" t="s">
        <v>343</v>
      </c>
      <c r="G33" s="253" t="str">
        <f>VLOOKUP(Table4[[#This Row],[A ID]],Assets[#All],3,FALSE)</f>
        <v>Patient Health Information in transit (PHI)</v>
      </c>
      <c r="H33" s="264" t="s">
        <v>444</v>
      </c>
      <c r="I33" s="235"/>
      <c r="J33" s="285" t="s">
        <v>76</v>
      </c>
      <c r="K33" s="285" t="s">
        <v>55</v>
      </c>
      <c r="L33" s="285" t="s">
        <v>64</v>
      </c>
      <c r="M33" s="255" t="s">
        <v>78</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325" t="s">
        <v>603</v>
      </c>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71.25" x14ac:dyDescent="0.25">
      <c r="A34" s="331">
        <v>30</v>
      </c>
      <c r="B34" s="235" t="s">
        <v>362</v>
      </c>
      <c r="C34" s="253" t="str">
        <f>IF(VLOOKUP(Table4[[#This Row],[T ID]],Table5[#All],5,FALSE)="No","Not in scope",VLOOKUP(Table4[[#This Row],[T ID]],Table5[#All],2,FALSE))</f>
        <v>Broken authentication (user name, password…)</v>
      </c>
      <c r="D34" s="235" t="s">
        <v>406</v>
      </c>
      <c r="E34" s="253" t="str">
        <f>IF(VLOOKUP(Table4[[#This Row],[V ID]],Vulnerabilities[#All],3,FALSE)="No","Not in scope",VLOOKUP(Table4[[#This Row],[V ID]],Vulnerabilities[#All],2,FALSE))</f>
        <v>Lack of multi-factor authentication</v>
      </c>
      <c r="F34" s="254" t="s">
        <v>318</v>
      </c>
      <c r="G34" s="253" t="str">
        <f>VLOOKUP(Table4[[#This Row],[A ID]],Assets[#All],3,FALSE)</f>
        <v>THOR Knee Intra-op Application</v>
      </c>
      <c r="H34" s="264" t="s">
        <v>449</v>
      </c>
      <c r="I34" s="235"/>
      <c r="J34" s="285" t="s">
        <v>76</v>
      </c>
      <c r="K34" s="285" t="s">
        <v>55</v>
      </c>
      <c r="L34" s="285" t="s">
        <v>55</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0.39159999999999995</v>
      </c>
      <c r="T34" s="257">
        <f>IF(Table4[[#This Row],[Scope]]="Unchanged",6.42*Table4[[#This Row],[ISC Base]],IF(Table4[[#This Row],[Scope]]="Changed",7.52*(Table4[[#This Row],[ISC Base]] - 0.029) - 3.25 * POWER(Table4[[#This Row],[ISC Base]] - 0.02,15),NA()))</f>
        <v>2.5140719999999996</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4" s="258" t="s">
        <v>48</v>
      </c>
      <c r="W34" s="257">
        <f>VLOOKUP(Table4[[#This Row],[Threat Event Initiation]],NIST_Scale_LOAI[],2,FALSE)</f>
        <v>0.04</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326" t="s">
        <v>612</v>
      </c>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31">
        <v>31</v>
      </c>
      <c r="B35" s="235" t="s">
        <v>363</v>
      </c>
      <c r="C35" s="253" t="str">
        <f>IF(VLOOKUP(Table4[[#This Row],[T ID]],Table5[#All],5,FALSE)="No","Not in scope",VLOOKUP(Table4[[#This Row],[T ID]],Table5[#All],2,FALSE))</f>
        <v>BRUTE force/Dictonary attacks</v>
      </c>
      <c r="D35" s="235" t="s">
        <v>406</v>
      </c>
      <c r="E35" s="253" t="str">
        <f>IF(VLOOKUP(Table4[[#This Row],[V ID]],Vulnerabilities[#All],3,FALSE)="No","Not in scope",VLOOKUP(Table4[[#This Row],[V ID]],Vulnerabilities[#All],2,FALSE))</f>
        <v>Lack of multi-factor authentication</v>
      </c>
      <c r="F35" s="254" t="s">
        <v>318</v>
      </c>
      <c r="G35" s="253" t="str">
        <f>VLOOKUP(Table4[[#This Row],[A ID]],Assets[#All],3,FALSE)</f>
        <v>THOR Knee Intra-op Application</v>
      </c>
      <c r="H35" s="264" t="s">
        <v>451</v>
      </c>
      <c r="I35" s="235"/>
      <c r="J35" s="285" t="s">
        <v>76</v>
      </c>
      <c r="K35" s="285" t="s">
        <v>55</v>
      </c>
      <c r="L35" s="285" t="s">
        <v>55</v>
      </c>
      <c r="M35" s="255" t="s">
        <v>77</v>
      </c>
      <c r="N35" s="255" t="s">
        <v>64</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5" s="258" t="s">
        <v>54</v>
      </c>
      <c r="W35" s="257">
        <f>VLOOKUP(Table4[[#This Row],[Threat Event Initiation]],NIST_Scale_LOAI[],2,FALSE)</f>
        <v>0.5</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326" t="s">
        <v>612</v>
      </c>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71.25" x14ac:dyDescent="0.25">
      <c r="A36" s="331">
        <v>32</v>
      </c>
      <c r="B36" s="235" t="s">
        <v>363</v>
      </c>
      <c r="C36" s="253" t="str">
        <f>IF(VLOOKUP(Table4[[#This Row],[T ID]],Table5[#All],5,FALSE)="No","Not in scope",VLOOKUP(Table4[[#This Row],[T ID]],Table5[#All],2,FALSE))</f>
        <v>BRUTE force/Dictonary attacks</v>
      </c>
      <c r="D36" s="235" t="s">
        <v>408</v>
      </c>
      <c r="E36" s="253" t="str">
        <f>IF(VLOOKUP(Table4[[#This Row],[V ID]],Vulnerabilities[#All],3,FALSE)="No","Not in scope",VLOOKUP(Table4[[#This Row],[V ID]],Vulnerabilities[#All],2,FALSE))</f>
        <v>Application allowing unlimited login attempts</v>
      </c>
      <c r="F36" s="254" t="s">
        <v>318</v>
      </c>
      <c r="G36" s="253" t="str">
        <f>VLOOKUP(Table4[[#This Row],[A ID]],Assets[#All],3,FALSE)</f>
        <v>THOR Knee Intra-op Application</v>
      </c>
      <c r="H36" s="264" t="s">
        <v>451</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326" t="s">
        <v>612</v>
      </c>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71.25" x14ac:dyDescent="0.25">
      <c r="A37" s="331">
        <v>33</v>
      </c>
      <c r="B37" s="235" t="s">
        <v>363</v>
      </c>
      <c r="C37" s="253" t="str">
        <f>IF(VLOOKUP(Table4[[#This Row],[T ID]],Table5[#All],5,FALSE)="No","Not in scope",VLOOKUP(Table4[[#This Row],[T ID]],Table5[#All],2,FALSE))</f>
        <v>BRUTE force/Dictonary attacks</v>
      </c>
      <c r="D37" s="235" t="s">
        <v>332</v>
      </c>
      <c r="E37" s="253" t="str">
        <f>IF(VLOOKUP(Table4[[#This Row],[V ID]],Vulnerabilities[#All],3,FALSE)="No","Not in scope",VLOOKUP(Table4[[#This Row],[V ID]],Vulnerabilities[#All],2,FALSE))</f>
        <v>Malicious activities not being recorded in administrator/user logs</v>
      </c>
      <c r="F37" s="254" t="s">
        <v>318</v>
      </c>
      <c r="G37" s="253" t="str">
        <f>VLOOKUP(Table4[[#This Row],[A ID]],Assets[#All],3,FALSE)</f>
        <v>THOR Knee Intra-op Application</v>
      </c>
      <c r="H37" s="264" t="s">
        <v>451</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325" t="s">
        <v>608</v>
      </c>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71.25" x14ac:dyDescent="0.25">
      <c r="A38" s="331">
        <v>34</v>
      </c>
      <c r="B38" s="235" t="s">
        <v>365</v>
      </c>
      <c r="C38" s="253" t="str">
        <f>IF(VLOOKUP(Table4[[#This Row],[T ID]],Table5[#All],5,FALSE)="No","Not in scope",VLOOKUP(Table4[[#This Row],[T ID]],Table5[#All],2,FALSE))</f>
        <v>Unauthorized modification of application resources</v>
      </c>
      <c r="D38" s="235" t="s">
        <v>332</v>
      </c>
      <c r="E38" s="253" t="str">
        <f>IF(VLOOKUP(Table4[[#This Row],[V ID]],Vulnerabilities[#All],3,FALSE)="No","Not in scope",VLOOKUP(Table4[[#This Row],[V ID]],Vulnerabilities[#All],2,FALSE))</f>
        <v>Malicious activities not being recorded in administrator/user logs</v>
      </c>
      <c r="F38" s="254" t="s">
        <v>318</v>
      </c>
      <c r="G38" s="253" t="str">
        <f>VLOOKUP(Table4[[#This Row],[A ID]],Assets[#All],3,FALSE)</f>
        <v>THOR Knee Intra-op Application</v>
      </c>
      <c r="H38" s="264" t="s">
        <v>452</v>
      </c>
      <c r="I38" s="235"/>
      <c r="J38" s="285" t="s">
        <v>76</v>
      </c>
      <c r="K38" s="285" t="s">
        <v>64</v>
      </c>
      <c r="L38" s="285" t="s">
        <v>55</v>
      </c>
      <c r="M38" s="255" t="s">
        <v>78</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7">
        <f>(1 - ((1 - VLOOKUP(Table4[[#This Row],[Confidentiality]],'Reference - CVSSv3.0'!$B$15:$C$17,2,FALSE)) * (1 - VLOOKUP(Table4[[#This Row],[Integrity]],'Reference - CVSSv3.0'!$B$15:$C$17,2,FALSE)) *  (1 - VLOOKUP(Table4[[#This Row],[Availability]],'Reference - CVSSv3.0'!$B$15:$C$17,2,FALSE))))</f>
        <v>0.65680000000000005</v>
      </c>
      <c r="T38" s="257">
        <f>IF(Table4[[#This Row],[Scope]]="Unchanged",6.42*Table4[[#This Row],[ISC Base]],IF(Table4[[#This Row],[Scope]]="Changed",7.52*(Table4[[#This Row],[ISC Base]] - 0.029) - 3.25 * POWER(Table4[[#This Row],[ISC Base]] - 0.02,15),NA()))</f>
        <v>4.2166560000000004</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8" s="258" t="s">
        <v>48</v>
      </c>
      <c r="W38" s="257">
        <f>VLOOKUP(Table4[[#This Row],[Threat Event Initiation]],NIST_Scale_LOAI[],2,FALSE)</f>
        <v>0.04</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31"/>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7">
        <v>35</v>
      </c>
      <c r="B39" s="235" t="s">
        <v>366</v>
      </c>
      <c r="C39" s="253" t="str">
        <f>IF(VLOOKUP(Table4[[#This Row],[T ID]],Table5[#All],5,FALSE)="No","Not in scope",VLOOKUP(Table4[[#This Row],[T ID]],Table5[#All],2,FALSE))</f>
        <v>Unpatched/Unmanaged SOUP's</v>
      </c>
      <c r="D39" s="235" t="s">
        <v>138</v>
      </c>
      <c r="E39" s="253" t="str">
        <f>IF(VLOOKUP(Table4[[#This Row],[V ID]],Vulnerabilities[#All],3,FALSE)="No","Not in scope",VLOOKUP(Table4[[#This Row],[V ID]],Vulnerabilities[#All],2,FALSE))</f>
        <v>Unpatched OS</v>
      </c>
      <c r="F39" s="254" t="s">
        <v>106</v>
      </c>
      <c r="G39" s="253" t="str">
        <f>VLOOKUP(Table4[[#This Row],[A ID]],Assets[#All],3,FALSE)</f>
        <v>Nav3,3i cart/ System running with windows 8.1</v>
      </c>
      <c r="H39" s="264" t="s">
        <v>453</v>
      </c>
      <c r="I39" s="235"/>
      <c r="J39" s="285" t="s">
        <v>76</v>
      </c>
      <c r="K39" s="285" t="s">
        <v>76</v>
      </c>
      <c r="L39" s="285" t="s">
        <v>64</v>
      </c>
      <c r="M39" s="255" t="s">
        <v>78</v>
      </c>
      <c r="N39" s="255" t="s">
        <v>55</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7">
        <f>(1 - ((1 - VLOOKUP(Table4[[#This Row],[Confidentiality]],'Reference - CVSSv3.0'!$B$15:$C$17,2,FALSE)) * (1 - VLOOKUP(Table4[[#This Row],[Integrity]],'Reference - CVSSv3.0'!$B$15:$C$17,2,FALSE)) *  (1 - VLOOKUP(Table4[[#This Row],[Availability]],'Reference - CVSSv3.0'!$B$15:$C$17,2,FALSE))))</f>
        <v>0.56000000000000005</v>
      </c>
      <c r="T39" s="257">
        <f>IF(Table4[[#This Row],[Scope]]="Unchanged",6.42*Table4[[#This Row],[ISC Base]],IF(Table4[[#This Row],[Scope]]="Changed",7.52*(Table4[[#This Row],[ISC Base]] - 0.029) - 3.25 * POWER(Table4[[#This Row],[ISC Base]] - 0.02,15),NA()))</f>
        <v>3.5952000000000002</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8" t="s">
        <v>54</v>
      </c>
      <c r="W39" s="257">
        <f>VLOOKUP(Table4[[#This Row],[Threat Event Initiation]],NIST_Scale_LOAI[],2,FALSE)</f>
        <v>0.5</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325" t="s">
        <v>598</v>
      </c>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31">
        <v>36</v>
      </c>
      <c r="B40" s="235" t="s">
        <v>366</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318</v>
      </c>
      <c r="G40" s="253" t="str">
        <f>VLOOKUP(Table4[[#This Row],[A ID]],Assets[#All],3,FALSE)</f>
        <v>THOR Knee Intra-op Application</v>
      </c>
      <c r="H40" s="264" t="s">
        <v>453</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325" t="s">
        <v>598</v>
      </c>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85.5" x14ac:dyDescent="0.25">
      <c r="A41" s="307">
        <v>37</v>
      </c>
      <c r="B41" s="235" t="s">
        <v>366</v>
      </c>
      <c r="C41" s="253" t="str">
        <f>IF(VLOOKUP(Table4[[#This Row],[T ID]],Table5[#All],5,FALSE)="No","Not in scope",VLOOKUP(Table4[[#This Row],[T ID]],Table5[#All],2,FALSE))</f>
        <v>Unpatched/Unmanaged SOUP's</v>
      </c>
      <c r="D41" s="235" t="s">
        <v>285</v>
      </c>
      <c r="E41" s="253" t="str">
        <f>IF(VLOOKUP(Table4[[#This Row],[V ID]],Vulnerabilities[#All],3,FALSE)="No","Not in scope",VLOOKUP(Table4[[#This Row],[V ID]],Vulnerabilities[#All],2,FALSE))</f>
        <v>Potentially outdated SW-Library SOUPs</v>
      </c>
      <c r="F41" s="254" t="s">
        <v>106</v>
      </c>
      <c r="G41" s="253" t="str">
        <f>VLOOKUP(Table4[[#This Row],[A ID]],Assets[#All],3,FALSE)</f>
        <v>Nav3,3i cart/ System running with windows 8.1</v>
      </c>
      <c r="H41" s="264" t="s">
        <v>453</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325" t="s">
        <v>590</v>
      </c>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85.5" x14ac:dyDescent="0.25">
      <c r="A42" s="331">
        <v>38</v>
      </c>
      <c r="B42" s="235" t="s">
        <v>366</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318</v>
      </c>
      <c r="G42" s="253" t="str">
        <f>VLOOKUP(Table4[[#This Row],[A ID]],Assets[#All],3,FALSE)</f>
        <v>THOR Knee Intra-op Application</v>
      </c>
      <c r="H42" s="264" t="s">
        <v>453</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325" t="s">
        <v>590</v>
      </c>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128.25" x14ac:dyDescent="0.25">
      <c r="A43" s="307">
        <v>39</v>
      </c>
      <c r="B43" s="235" t="s">
        <v>366</v>
      </c>
      <c r="C43" s="253" t="str">
        <f>IF(VLOOKUP(Table4[[#This Row],[T ID]],Table5[#All],5,FALSE)="No","Not in scope",VLOOKUP(Table4[[#This Row],[T ID]],Table5[#All],2,FALSE))</f>
        <v>Unpatched/Unmanaged SOUP's</v>
      </c>
      <c r="D43" s="235" t="s">
        <v>324</v>
      </c>
      <c r="E43" s="253" t="str">
        <f>IF(VLOOKUP(Table4[[#This Row],[V ID]],Vulnerabilities[#All],3,FALSE)="No","Not in scope",VLOOKUP(Table4[[#This Row],[V ID]],Vulnerabilities[#All],2,FALSE))</f>
        <v>3rd Party Component/SOUP Risk/Dependency not validated</v>
      </c>
      <c r="F43" s="254" t="s">
        <v>106</v>
      </c>
      <c r="G43" s="253" t="str">
        <f>VLOOKUP(Table4[[#This Row],[A ID]],Assets[#All],3,FALSE)</f>
        <v>Nav3,3i cart/ System running with windows 8.1</v>
      </c>
      <c r="H43" s="264" t="s">
        <v>453</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326" t="s">
        <v>593</v>
      </c>
      <c r="AA43" s="327"/>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128.25" x14ac:dyDescent="0.25">
      <c r="A44" s="331">
        <v>40</v>
      </c>
      <c r="B44" s="235" t="s">
        <v>366</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318</v>
      </c>
      <c r="G44" s="253" t="str">
        <f>VLOOKUP(Table4[[#This Row],[A ID]],Assets[#All],3,FALSE)</f>
        <v>THOR Knee Intra-op Application</v>
      </c>
      <c r="H44" s="264" t="s">
        <v>453</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326" t="s">
        <v>593</v>
      </c>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85.5" x14ac:dyDescent="0.25">
      <c r="A45" s="307">
        <v>41</v>
      </c>
      <c r="B45" s="235" t="s">
        <v>366</v>
      </c>
      <c r="C45" s="253" t="str">
        <f>IF(VLOOKUP(Table4[[#This Row],[T ID]],Table5[#All],5,FALSE)="No","Not in scope",VLOOKUP(Table4[[#This Row],[T ID]],Table5[#All],2,FALSE))</f>
        <v>Unpatched/Unmanaged SOUP's</v>
      </c>
      <c r="D45" s="235" t="s">
        <v>326</v>
      </c>
      <c r="E45" s="253" t="str">
        <f>IF(VLOOKUP(Table4[[#This Row],[V ID]],Vulnerabilities[#All],3,FALSE)="No","Not in scope",VLOOKUP(Table4[[#This Row],[V ID]],Vulnerabilities[#All],2,FALSE))</f>
        <v>Legacy Systems (outdated HW/SW) being used</v>
      </c>
      <c r="F45" s="254" t="s">
        <v>106</v>
      </c>
      <c r="G45" s="253" t="str">
        <f>VLOOKUP(Table4[[#This Row],[A ID]],Assets[#All],3,FALSE)</f>
        <v>Nav3,3i cart/ System running with windows 8.1</v>
      </c>
      <c r="H45" s="264" t="s">
        <v>453</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324" t="s">
        <v>590</v>
      </c>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85.5" x14ac:dyDescent="0.25">
      <c r="A46" s="331">
        <v>42</v>
      </c>
      <c r="B46" s="235" t="s">
        <v>366</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318</v>
      </c>
      <c r="G46" s="253" t="str">
        <f>VLOOKUP(Table4[[#This Row],[A ID]],Assets[#All],3,FALSE)</f>
        <v>THOR Knee Intra-op Application</v>
      </c>
      <c r="H46" s="264" t="s">
        <v>453</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325" t="s">
        <v>590</v>
      </c>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114" x14ac:dyDescent="0.25">
      <c r="A47" s="331">
        <v>43</v>
      </c>
      <c r="B47" s="235" t="s">
        <v>367</v>
      </c>
      <c r="C47" s="253" t="str">
        <f>IF(VLOOKUP(Table4[[#This Row],[T ID]],Table5[#All],5,FALSE)="No","Not in scope",VLOOKUP(Table4[[#This Row],[T ID]],Table5[#All],2,FALSE))</f>
        <v>Exploitation of unsecured network elements</v>
      </c>
      <c r="D47" s="235" t="s">
        <v>139</v>
      </c>
      <c r="E47" s="253" t="str">
        <f>IF(VLOOKUP(Table4[[#This Row],[V ID]],Vulnerabilities[#All],3,FALSE)="No","Not in scope",VLOOKUP(Table4[[#This Row],[V ID]],Vulnerabilities[#All],2,FALSE))</f>
        <v>Unprotected network port</v>
      </c>
      <c r="F47" s="254" t="s">
        <v>110</v>
      </c>
      <c r="G47" s="253" t="str">
        <f>VLOOKUP(Table4[[#This Row],[A ID]],Assets[#All],3,FALSE)</f>
        <v>Computer/OS network identification</v>
      </c>
      <c r="H47" s="264" t="s">
        <v>454</v>
      </c>
      <c r="I47" s="235"/>
      <c r="J47" s="285" t="s">
        <v>76</v>
      </c>
      <c r="K47" s="285" t="s">
        <v>55</v>
      </c>
      <c r="L47" s="285" t="s">
        <v>64</v>
      </c>
      <c r="M47" s="255" t="s">
        <v>74</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7">
        <f>(1 - ((1 - VLOOKUP(Table4[[#This Row],[Confidentiality]],'Reference - CVSSv3.0'!$B$15:$C$17,2,FALSE)) * (1 - VLOOKUP(Table4[[#This Row],[Integrity]],'Reference - CVSSv3.0'!$B$15:$C$17,2,FALSE)) *  (1 - VLOOKUP(Table4[[#This Row],[Availability]],'Reference - CVSSv3.0'!$B$15:$C$17,2,FALSE))))</f>
        <v>0.65680000000000005</v>
      </c>
      <c r="T47" s="257">
        <f>IF(Table4[[#This Row],[Scope]]="Unchanged",6.42*Table4[[#This Row],[ISC Base]],IF(Table4[[#This Row],[Scope]]="Changed",7.52*(Table4[[#This Row],[ISC Base]] - 0.029) - 3.25 * POWER(Table4[[#This Row],[ISC Base]] - 0.02,15),NA()))</f>
        <v>4.2166560000000004</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8" t="s">
        <v>55</v>
      </c>
      <c r="W47" s="257">
        <f>VLOOKUP(Table4[[#This Row],[Threat Event Initiation]],NIST_Scale_LOAI[],2,FALSE)</f>
        <v>0.2</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325" t="s">
        <v>596</v>
      </c>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71.25" x14ac:dyDescent="0.25">
      <c r="A48" s="331">
        <v>44</v>
      </c>
      <c r="B48" s="235" t="s">
        <v>367</v>
      </c>
      <c r="C48" s="253" t="str">
        <f>IF(VLOOKUP(Table4[[#This Row],[T ID]],Table5[#All],5,FALSE)="No","Not in scope",VLOOKUP(Table4[[#This Row],[T ID]],Table5[#All],2,FALSE))</f>
        <v>Exploitation of unsecured network elements</v>
      </c>
      <c r="D48" s="235" t="s">
        <v>140</v>
      </c>
      <c r="E48" s="253" t="str">
        <f>IF(VLOOKUP(Table4[[#This Row],[V ID]],Vulnerabilities[#All],3,FALSE)="No","Not in scope",VLOOKUP(Table4[[#This Row],[V ID]],Vulnerabilities[#All],2,FALSE))</f>
        <v>Unprotected external USB Port</v>
      </c>
      <c r="F48" s="254" t="s">
        <v>110</v>
      </c>
      <c r="G48" s="253" t="str">
        <f>VLOOKUP(Table4[[#This Row],[A ID]],Assets[#All],3,FALSE)</f>
        <v>Computer/OS network identification</v>
      </c>
      <c r="H48" s="264" t="s">
        <v>454</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326" t="s">
        <v>600</v>
      </c>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114" x14ac:dyDescent="0.25">
      <c r="A49" s="331">
        <v>45</v>
      </c>
      <c r="B49" s="235" t="s">
        <v>367</v>
      </c>
      <c r="C49" s="253" t="str">
        <f>IF(VLOOKUP(Table4[[#This Row],[T ID]],Table5[#All],5,FALSE)="No","Not in scope",VLOOKUP(Table4[[#This Row],[T ID]],Table5[#All],2,FALSE))</f>
        <v>Exploitation of unsecured network elements</v>
      </c>
      <c r="D49" s="235" t="s">
        <v>327</v>
      </c>
      <c r="E49" s="253" t="str">
        <f>IF(VLOOKUP(Table4[[#This Row],[V ID]],Vulnerabilities[#All],3,FALSE)="No","Not in scope",VLOOKUP(Table4[[#This Row],[V ID]],Vulnerabilities[#All],2,FALSE))</f>
        <v>Non-Tracing of unused external Interfaces (ports etc., )</v>
      </c>
      <c r="F49" s="254" t="s">
        <v>110</v>
      </c>
      <c r="G49" s="253" t="str">
        <f>VLOOKUP(Table4[[#This Row],[A ID]],Assets[#All],3,FALSE)</f>
        <v>Computer/OS network identification</v>
      </c>
      <c r="H49" s="264" t="s">
        <v>454</v>
      </c>
      <c r="I49" s="235"/>
      <c r="J49" s="285" t="s">
        <v>76</v>
      </c>
      <c r="K49" s="285" t="s">
        <v>55</v>
      </c>
      <c r="L49" s="285" t="s">
        <v>55</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0.39159999999999995</v>
      </c>
      <c r="T49" s="257">
        <f>IF(Table4[[#This Row],[Scope]]="Unchanged",6.42*Table4[[#This Row],[ISC Base]],IF(Table4[[#This Row],[Scope]]="Changed",7.52*(Table4[[#This Row],[ISC Base]] - 0.029) - 3.25 * POWER(Table4[[#This Row],[ISC Base]] - 0.02,15),NA()))</f>
        <v>2.5140719999999996</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49" s="258" t="s">
        <v>48</v>
      </c>
      <c r="W49" s="257">
        <f>VLOOKUP(Table4[[#This Row],[Threat Event Initiation]],NIST_Scale_LOAI[],2,FALSE)</f>
        <v>0.04</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325" t="s">
        <v>601</v>
      </c>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85.5" x14ac:dyDescent="0.25">
      <c r="A50" s="331">
        <v>46</v>
      </c>
      <c r="B50" s="235" t="s">
        <v>369</v>
      </c>
      <c r="C50" s="253" t="str">
        <f>IF(VLOOKUP(Table4[[#This Row],[T ID]],Table5[#All],5,FALSE)="No","Not in scope",VLOOKUP(Table4[[#This Row],[T ID]],Table5[#All],2,FALSE))</f>
        <v>Outdated cryptographic components &amp; techniques</v>
      </c>
      <c r="D50" s="235" t="s">
        <v>147</v>
      </c>
      <c r="E50" s="253" t="str">
        <f>IF(VLOOKUP(Table4[[#This Row],[V ID]],Vulnerabilities[#All],3,FALSE)="No","Not in scope",VLOOKUP(Table4[[#This Row],[V ID]],Vulnerabilities[#All],2,FALSE))</f>
        <v>Unencrypted ePHI at rest</v>
      </c>
      <c r="F50" s="254" t="s">
        <v>109</v>
      </c>
      <c r="G50" s="253" t="str">
        <f>VLOOKUP(Table4[[#This Row],[A ID]],Assets[#All],3,FALSE)</f>
        <v>Patient health information at rest (PHI)</v>
      </c>
      <c r="H50" s="264" t="s">
        <v>455</v>
      </c>
      <c r="I50" s="235"/>
      <c r="J50" s="285" t="s">
        <v>64</v>
      </c>
      <c r="K50" s="285" t="s">
        <v>55</v>
      </c>
      <c r="L50" s="285" t="s">
        <v>55</v>
      </c>
      <c r="M50" s="255" t="s">
        <v>78</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7">
        <f>(1 - ((1 - VLOOKUP(Table4[[#This Row],[Confidentiality]],'Reference - CVSSv3.0'!$B$15:$C$17,2,FALSE)) * (1 - VLOOKUP(Table4[[#This Row],[Integrity]],'Reference - CVSSv3.0'!$B$15:$C$17,2,FALSE)) *  (1 - VLOOKUP(Table4[[#This Row],[Availability]],'Reference - CVSSv3.0'!$B$15:$C$17,2,FALSE))))</f>
        <v>0.73230400000000007</v>
      </c>
      <c r="T50" s="257">
        <f>IF(Table4[[#This Row],[Scope]]="Unchanged",6.42*Table4[[#This Row],[ISC Base]],IF(Table4[[#This Row],[Scope]]="Changed",7.52*(Table4[[#This Row],[ISC Base]] - 0.029) - 3.25 * POWER(Table4[[#This Row],[ISC Base]] - 0.02,15),NA()))</f>
        <v>4.7013916800000004</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8" t="s">
        <v>54</v>
      </c>
      <c r="W50" s="257">
        <f>VLOOKUP(Table4[[#This Row],[Threat Event Initiation]],NIST_Scale_LOAI[],2,FALSE)</f>
        <v>0.5</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325" t="s">
        <v>609</v>
      </c>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31">
        <v>47</v>
      </c>
      <c r="B51" s="235" t="s">
        <v>369</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254" t="s">
        <v>318</v>
      </c>
      <c r="G51" s="253" t="str">
        <f>VLOOKUP(Table4[[#This Row],[A ID]],Assets[#All],3,FALSE)</f>
        <v>THOR Knee Intra-op Application</v>
      </c>
      <c r="H51" s="264" t="s">
        <v>455</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325" t="s">
        <v>609</v>
      </c>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31">
        <v>48</v>
      </c>
      <c r="B52" s="235" t="s">
        <v>369</v>
      </c>
      <c r="C52" s="253" t="str">
        <f>IF(VLOOKUP(Table4[[#This Row],[T ID]],Table5[#All],5,FALSE)="No","Not in scope",VLOOKUP(Table4[[#This Row],[T ID]],Table5[#All],2,FALSE))</f>
        <v>Outdated cryptographic components &amp; techniques</v>
      </c>
      <c r="D52" s="235" t="s">
        <v>329</v>
      </c>
      <c r="E52" s="253" t="str">
        <f>IF(VLOOKUP(Table4[[#This Row],[V ID]],Vulnerabilities[#All],3,FALSE)="No","Not in scope",VLOOKUP(Table4[[#This Row],[V ID]],Vulnerabilities[#All],2,FALSE))</f>
        <v>Insecure Storage of Sensitive Information by application</v>
      </c>
      <c r="F52" s="254" t="s">
        <v>109</v>
      </c>
      <c r="G52" s="253" t="str">
        <f>VLOOKUP(Table4[[#This Row],[A ID]],Assets[#All],3,FALSE)</f>
        <v>Patient health information at rest (PHI)</v>
      </c>
      <c r="H52" s="264" t="s">
        <v>455</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325"/>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31">
        <v>49</v>
      </c>
      <c r="B53" s="235" t="s">
        <v>369</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254" t="s">
        <v>318</v>
      </c>
      <c r="G53" s="253" t="str">
        <f>VLOOKUP(Table4[[#This Row],[A ID]],Assets[#All],3,FALSE)</f>
        <v>THOR Knee Intra-op Application</v>
      </c>
      <c r="H53" s="264" t="s">
        <v>455</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325"/>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31">
        <v>50</v>
      </c>
      <c r="B54" s="235" t="s">
        <v>369</v>
      </c>
      <c r="C54" s="253" t="str">
        <f>IF(VLOOKUP(Table4[[#This Row],[T ID]],Table5[#All],5,FALSE)="No","Not in scope",VLOOKUP(Table4[[#This Row],[T ID]],Table5[#All],2,FALSE))</f>
        <v>Outdated cryptographic components &amp; techniques</v>
      </c>
      <c r="D54" s="235" t="s">
        <v>330</v>
      </c>
      <c r="E54" s="253" t="str">
        <f>IF(VLOOKUP(Table4[[#This Row],[V ID]],Vulnerabilities[#All],3,FALSE)="No","Not in scope",VLOOKUP(Table4[[#This Row],[V ID]],Vulnerabilities[#All],2,FALSE))</f>
        <v>Use of a Broken or Risky Cryptographic Algorithm or Inadequate encryption strength in Intra-op application</v>
      </c>
      <c r="F54" s="254" t="s">
        <v>109</v>
      </c>
      <c r="G54" s="253" t="str">
        <f>VLOOKUP(Table4[[#This Row],[A ID]],Assets[#All],3,FALSE)</f>
        <v>Patient health information at rest (PHI)</v>
      </c>
      <c r="H54" s="264" t="s">
        <v>455</v>
      </c>
      <c r="I54" s="235"/>
      <c r="J54" s="285" t="s">
        <v>64</v>
      </c>
      <c r="K54" s="285" t="s">
        <v>55</v>
      </c>
      <c r="L54" s="285" t="s">
        <v>76</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0.65680000000000005</v>
      </c>
      <c r="T54" s="257">
        <f>IF(Table4[[#This Row],[Scope]]="Unchanged",6.42*Table4[[#This Row],[ISC Base]],IF(Table4[[#This Row],[Scope]]="Changed",7.52*(Table4[[#This Row],[ISC Base]] - 0.029) - 3.25 * POWER(Table4[[#This Row],[ISC Base]] - 0.02,15),NA()))</f>
        <v>4.2166560000000004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325"/>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31">
        <v>51</v>
      </c>
      <c r="B55" s="235" t="s">
        <v>369</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254" t="s">
        <v>318</v>
      </c>
      <c r="G55" s="253" t="str">
        <f>VLOOKUP(Table4[[#This Row],[A ID]],Assets[#All],3,FALSE)</f>
        <v>THOR Knee Intra-op Application</v>
      </c>
      <c r="H55" s="264" t="s">
        <v>455</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325"/>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99.75" x14ac:dyDescent="0.25">
      <c r="A56" s="331">
        <v>52</v>
      </c>
      <c r="B56" s="235" t="s">
        <v>374</v>
      </c>
      <c r="C56" s="253" t="str">
        <f>IF(VLOOKUP(Table4[[#This Row],[T ID]],Table5[#All],5,FALSE)="No","Not in scope",VLOOKUP(Table4[[#This Row],[T ID]],Table5[#All],2,FALSE))</f>
        <v>Unauthorized access/modification of secure data</v>
      </c>
      <c r="D56" s="235" t="s">
        <v>333</v>
      </c>
      <c r="E56" s="253" t="str">
        <f>IF(VLOOKUP(Table4[[#This Row],[V ID]],Vulnerabilities[#All],3,FALSE)="No","Not in scope",VLOOKUP(Table4[[#This Row],[V ID]],Vulnerabilities[#All],2,FALSE))</f>
        <v>Unauthorized Audit Log Manipulation, Log Injection-Tampering-Forging</v>
      </c>
      <c r="F56" s="254" t="s">
        <v>318</v>
      </c>
      <c r="G56" s="253" t="str">
        <f>VLOOKUP(Table4[[#This Row],[A ID]],Assets[#All],3,FALSE)</f>
        <v>THOR Knee Intra-op Application</v>
      </c>
      <c r="H56" s="264" t="s">
        <v>456</v>
      </c>
      <c r="I56" s="235"/>
      <c r="J56" s="285" t="s">
        <v>55</v>
      </c>
      <c r="K56" s="285" t="s">
        <v>64</v>
      </c>
      <c r="L56" s="285" t="s">
        <v>55</v>
      </c>
      <c r="M56" s="255" t="s">
        <v>78</v>
      </c>
      <c r="N56" s="255" t="s">
        <v>55</v>
      </c>
      <c r="O56" s="255" t="s">
        <v>64</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7">
        <f>(1 - ((1 - VLOOKUP(Table4[[#This Row],[Confidentiality]],'Reference - CVSSv3.0'!$B$15:$C$17,2,FALSE)) * (1 - VLOOKUP(Table4[[#This Row],[Integrity]],'Reference - CVSSv3.0'!$B$15:$C$17,2,FALSE)) *  (1 - VLOOKUP(Table4[[#This Row],[Availability]],'Reference - CVSSv3.0'!$B$15:$C$17,2,FALSE))))</f>
        <v>0.73230400000000007</v>
      </c>
      <c r="T56" s="257">
        <f>IF(Table4[[#This Row],[Scope]]="Unchanged",6.42*Table4[[#This Row],[ISC Base]],IF(Table4[[#This Row],[Scope]]="Changed",7.52*(Table4[[#This Row],[ISC Base]] - 0.029) - 3.25 * POWER(Table4[[#This Row],[ISC Base]] - 0.02,15),NA()))</f>
        <v>4.7013916800000004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8" t="s">
        <v>55</v>
      </c>
      <c r="W56" s="257">
        <f>VLOOKUP(Table4[[#This Row],[Threat Event Initiation]],NIST_Scale_LOAI[],2,FALSE)</f>
        <v>0.2</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325" t="s">
        <v>610</v>
      </c>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08">
        <v>53</v>
      </c>
      <c r="B57" s="251" t="s">
        <v>426</v>
      </c>
      <c r="C57" s="274" t="str">
        <f>IF(VLOOKUP(Table4[[#This Row],[T ID]],Table5[#All],5,FALSE)="No","Not in scope",VLOOKUP(Table4[[#This Row],[T ID]],Table5[#All],2,FALSE))</f>
        <v>Risk of using windows 8.1</v>
      </c>
      <c r="D57" s="251" t="s">
        <v>414</v>
      </c>
      <c r="E57" s="274" t="str">
        <f>IF(VLOOKUP(Table4[[#This Row],[V ID]],Vulnerabilities[#All],3,FALSE)="No","Not in scope",VLOOKUP(Table4[[#This Row],[V ID]],Vulnerabilities[#All],2,FALSE))</f>
        <v>Unsupported OS from vendor</v>
      </c>
      <c r="F57" s="275" t="s">
        <v>106</v>
      </c>
      <c r="G57" s="274" t="str">
        <f>VLOOKUP(Table4[[#This Row],[A ID]],Assets[#All],3,FALSE)</f>
        <v>Nav3,3i cart/ System running with windows 8.1</v>
      </c>
      <c r="H57" s="264" t="s">
        <v>457</v>
      </c>
      <c r="I57" s="251"/>
      <c r="J57" s="286" t="s">
        <v>76</v>
      </c>
      <c r="K57" s="286" t="s">
        <v>55</v>
      </c>
      <c r="L57" s="286" t="s">
        <v>64</v>
      </c>
      <c r="M57" s="276" t="s">
        <v>78</v>
      </c>
      <c r="N57" s="276" t="s">
        <v>55</v>
      </c>
      <c r="O57" s="276" t="s">
        <v>55</v>
      </c>
      <c r="P57" s="276" t="s">
        <v>76</v>
      </c>
      <c r="Q57" s="276" t="s">
        <v>73</v>
      </c>
      <c r="R5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78">
        <f>(1 - ((1 - VLOOKUP(Table4[[#This Row],[Confidentiality]],'Reference - CVSSv3.0'!$B$15:$C$17,2,FALSE)) * (1 - VLOOKUP(Table4[[#This Row],[Integrity]],'Reference - CVSSv3.0'!$B$15:$C$17,2,FALSE)) *  (1 - VLOOKUP(Table4[[#This Row],[Availability]],'Reference - CVSSv3.0'!$B$15:$C$17,2,FALSE))))</f>
        <v>0.65680000000000005</v>
      </c>
      <c r="T57" s="278">
        <f>IF(Table4[[#This Row],[Scope]]="Unchanged",6.42*Table4[[#This Row],[ISC Base]],IF(Table4[[#This Row],[Scope]]="Changed",7.52*(Table4[[#This Row],[ISC Base]] - 0.029) - 3.25 * POWER(Table4[[#This Row],[ISC Base]] - 0.02,15),NA()))</f>
        <v>4.2166560000000004</v>
      </c>
      <c r="U57"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79" t="s">
        <v>54</v>
      </c>
      <c r="W57" s="278">
        <f>VLOOKUP(Table4[[#This Row],[Threat Event Initiation]],NIST_Scale_LOAI[],2,FALSE)</f>
        <v>0.5</v>
      </c>
      <c r="X5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325" t="s">
        <v>624</v>
      </c>
      <c r="AA57" s="251"/>
      <c r="AB57" s="281"/>
      <c r="AC57" s="251"/>
      <c r="AD57" s="251"/>
      <c r="AE57" s="251"/>
      <c r="AF57" s="276"/>
      <c r="AG57" s="276"/>
      <c r="AH57" s="276"/>
      <c r="AI57" s="276"/>
      <c r="AJ57" s="282"/>
      <c r="AK5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78" t="e">
        <f>(1 - ((1 - VLOOKUP(Table4[[#This Row],[ConfidentialityP]],'Reference - CVSSv3.0'!$B$15:$C$17,2,FALSE)) * (1 - VLOOKUP(Table4[[#This Row],[IntegrityP]],'Reference - CVSSv3.0'!$B$15:$C$17,2,FALSE)) *  (1 - VLOOKUP(Table4[[#This Row],[AvailabilityP]],'Reference - CVSSv3.0'!$B$15:$C$17,2,FALSE))))</f>
        <v>#N/A</v>
      </c>
      <c r="AM57" s="278" t="e">
        <f>IF(Table4[[#This Row],[ScopeP]]="Unchanged",6.42*Table4[[#This Row],[ISC BaseP]],IF(Table4[[#This Row],[ScopeP]]="Changed",7.52*(Table4[[#This Row],[ISC BaseP]] - 0.029) - 3.25 * POWER(Table4[[#This Row],[ISC BaseP]] - 0.02,15),NA()))</f>
        <v>#N/A</v>
      </c>
      <c r="AN5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1"/>
    </row>
    <row r="58" spans="1:43" ht="99.75" x14ac:dyDescent="0.25">
      <c r="A58" s="309">
        <v>54</v>
      </c>
      <c r="B58" s="249" t="s">
        <v>426</v>
      </c>
      <c r="C58" s="265" t="str">
        <f>IF(VLOOKUP(Table4[[#This Row],[T ID]],Table5[#All],5,FALSE)="No","Not in scope",VLOOKUP(Table4[[#This Row],[T ID]],Table5[#All],2,FALSE))</f>
        <v>Risk of using windows 8.1</v>
      </c>
      <c r="D58" s="249" t="s">
        <v>415</v>
      </c>
      <c r="E58" s="265" t="str">
        <f>IF(VLOOKUP(Table4[[#This Row],[V ID]],Vulnerabilities[#All],3,FALSE)="No","Not in scope",VLOOKUP(Table4[[#This Row],[V ID]],Vulnerabilities[#All],2,FALSE))</f>
        <v xml:space="preserve">Unavailability of support from 3rd party tools for outdated OS </v>
      </c>
      <c r="F58" s="266" t="s">
        <v>106</v>
      </c>
      <c r="G58" s="265" t="str">
        <f>VLOOKUP(Table4[[#This Row],[A ID]],Assets[#All],3,FALSE)</f>
        <v>Nav3,3i cart/ System running with windows 8.1</v>
      </c>
      <c r="H58" s="264" t="s">
        <v>457</v>
      </c>
      <c r="I58" s="249"/>
      <c r="J58" s="286" t="s">
        <v>76</v>
      </c>
      <c r="K58" s="286" t="s">
        <v>55</v>
      </c>
      <c r="L58" s="286" t="s">
        <v>64</v>
      </c>
      <c r="M58" s="276" t="s">
        <v>78</v>
      </c>
      <c r="N58" s="276" t="s">
        <v>55</v>
      </c>
      <c r="O58" s="276" t="s">
        <v>55</v>
      </c>
      <c r="P58" s="276" t="s">
        <v>76</v>
      </c>
      <c r="Q58" s="276" t="s">
        <v>73</v>
      </c>
      <c r="R5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69">
        <f>(1 - ((1 - VLOOKUP(Table4[[#This Row],[Confidentiality]],'Reference - CVSSv3.0'!$B$15:$C$17,2,FALSE)) * (1 - VLOOKUP(Table4[[#This Row],[Integrity]],'Reference - CVSSv3.0'!$B$15:$C$17,2,FALSE)) *  (1 - VLOOKUP(Table4[[#This Row],[Availability]],'Reference - CVSSv3.0'!$B$15:$C$17,2,FALSE))))</f>
        <v>0.65680000000000005</v>
      </c>
      <c r="T58" s="269">
        <f>IF(Table4[[#This Row],[Scope]]="Unchanged",6.42*Table4[[#This Row],[ISC Base]],IF(Table4[[#This Row],[Scope]]="Changed",7.52*(Table4[[#This Row],[ISC Base]] - 0.029) - 3.25 * POWER(Table4[[#This Row],[ISC Base]] - 0.02,15),NA()))</f>
        <v>4.2166560000000004</v>
      </c>
      <c r="U5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69">
        <f>VLOOKUP(Table4[[#This Row],[Threat Event Initiation]],NIST_Scale_LOAI[],2,FALSE)</f>
        <v>0.5</v>
      </c>
      <c r="X5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326" t="s">
        <v>625</v>
      </c>
      <c r="AA58" s="249"/>
      <c r="AB58" s="271"/>
      <c r="AC58" s="249"/>
      <c r="AD58" s="249"/>
      <c r="AE58" s="249"/>
      <c r="AF58" s="267"/>
      <c r="AG58" s="267"/>
      <c r="AH58" s="267"/>
      <c r="AI58" s="267"/>
      <c r="AJ58" s="272"/>
      <c r="AK5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69" t="e">
        <f>(1 - ((1 - VLOOKUP(Table4[[#This Row],[ConfidentialityP]],'Reference - CVSSv3.0'!$B$15:$C$17,2,FALSE)) * (1 - VLOOKUP(Table4[[#This Row],[IntegrityP]],'Reference - CVSSv3.0'!$B$15:$C$17,2,FALSE)) *  (1 - VLOOKUP(Table4[[#This Row],[AvailabilityP]],'Reference - CVSSv3.0'!$B$15:$C$17,2,FALSE))))</f>
        <v>#N/A</v>
      </c>
      <c r="AM58" s="269" t="e">
        <f>IF(Table4[[#This Row],[ScopeP]]="Unchanged",6.42*Table4[[#This Row],[ISC BaseP]],IF(Table4[[#This Row],[ScopeP]]="Changed",7.52*(Table4[[#This Row],[ISC BaseP]] - 0.029) - 3.25 * POWER(Table4[[#This Row],[ISC BaseP]] - 0.02,15),NA()))</f>
        <v>#N/A</v>
      </c>
      <c r="AN5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9"/>
    </row>
    <row r="59" spans="1:43" ht="114" x14ac:dyDescent="0.25">
      <c r="A59" s="309">
        <v>55</v>
      </c>
      <c r="B59" s="249" t="s">
        <v>426</v>
      </c>
      <c r="C59" s="265" t="str">
        <f>IF(VLOOKUP(Table4[[#This Row],[T ID]],Table5[#All],5,FALSE)="No","Not in scope",VLOOKUP(Table4[[#This Row],[T ID]],Table5[#All],2,FALSE))</f>
        <v>Risk of using windows 8.1</v>
      </c>
      <c r="D59" s="249" t="s">
        <v>416</v>
      </c>
      <c r="E59" s="265" t="str">
        <f>IF(VLOOKUP(Table4[[#This Row],[V ID]],Vulnerabilities[#All],3,FALSE)="No","Not in scope",VLOOKUP(Table4[[#This Row],[V ID]],Vulnerabilities[#All],2,FALSE))</f>
        <v>OS Security tools from vendor not getting updated</v>
      </c>
      <c r="F59" s="266" t="s">
        <v>106</v>
      </c>
      <c r="G59" s="265" t="str">
        <f>VLOOKUP(Table4[[#This Row],[A ID]],Assets[#All],3,FALSE)</f>
        <v>Nav3,3i cart/ System running with windows 8.1</v>
      </c>
      <c r="H59" s="264" t="s">
        <v>457</v>
      </c>
      <c r="I59" s="249"/>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326" t="s">
        <v>626</v>
      </c>
      <c r="AA59" s="249"/>
      <c r="AB59" s="271"/>
      <c r="AC59" s="249"/>
      <c r="AD59" s="249"/>
      <c r="AE59" s="249"/>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9"/>
    </row>
    <row r="60" spans="1:43" ht="85.5" x14ac:dyDescent="0.25">
      <c r="A60" s="309">
        <v>56</v>
      </c>
      <c r="B60" s="249" t="s">
        <v>426</v>
      </c>
      <c r="C60" s="265" t="str">
        <f>IF(VLOOKUP(Table4[[#This Row],[T ID]],Table5[#All],5,FALSE)="No","Not in scope",VLOOKUP(Table4[[#This Row],[T ID]],Table5[#All],2,FALSE))</f>
        <v>Risk of using windows 8.1</v>
      </c>
      <c r="D60" s="249" t="s">
        <v>419</v>
      </c>
      <c r="E60" s="265" t="str">
        <f>IF(VLOOKUP(Table4[[#This Row],[V ID]],Vulnerabilities[#All],3,FALSE)="No","Not in scope",VLOOKUP(Table4[[#This Row],[V ID]],Vulnerabilities[#All],2,FALSE))</f>
        <v>Absence of periodic backup plan</v>
      </c>
      <c r="F60" s="266" t="s">
        <v>106</v>
      </c>
      <c r="G60" s="265" t="str">
        <f>VLOOKUP(Table4[[#This Row],[A ID]],Assets[#All],3,FALSE)</f>
        <v>Nav3,3i cart/ System running with windows 8.1</v>
      </c>
      <c r="H60" s="264" t="s">
        <v>457</v>
      </c>
      <c r="I60" s="249"/>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326" t="s">
        <v>627</v>
      </c>
      <c r="AA60" s="249"/>
      <c r="AB60" s="271"/>
      <c r="AC60" s="249"/>
      <c r="AD60" s="249"/>
      <c r="AE60" s="249"/>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9"/>
    </row>
    <row r="61" spans="1:43" ht="71.25" x14ac:dyDescent="0.25">
      <c r="A61" s="309">
        <v>57</v>
      </c>
      <c r="B61" s="249" t="s">
        <v>426</v>
      </c>
      <c r="C61" s="265" t="str">
        <f>IF(VLOOKUP(Table4[[#This Row],[T ID]],Table5[#All],5,FALSE)="No","Not in scope",VLOOKUP(Table4[[#This Row],[T ID]],Table5[#All],2,FALSE))</f>
        <v>Risk of using windows 8.1</v>
      </c>
      <c r="D61" s="249" t="s">
        <v>423</v>
      </c>
      <c r="E61" s="265" t="str">
        <f>IF(VLOOKUP(Table4[[#This Row],[V ID]],Vulnerabilities[#All],3,FALSE)="No","Not in scope",VLOOKUP(Table4[[#This Row],[V ID]],Vulnerabilities[#All],2,FALSE))</f>
        <v>Corrupted OS and absence of restore points</v>
      </c>
      <c r="F61" s="266" t="s">
        <v>106</v>
      </c>
      <c r="G61" s="265" t="str">
        <f>VLOOKUP(Table4[[#This Row],[A ID]],Assets[#All],3,FALSE)</f>
        <v>Nav3,3i cart/ System running with windows 8.1</v>
      </c>
      <c r="H61" s="264" t="s">
        <v>457</v>
      </c>
      <c r="I61" s="249"/>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326" t="s">
        <v>628</v>
      </c>
      <c r="AA61" s="249"/>
      <c r="AB61" s="271"/>
      <c r="AC61" s="249"/>
      <c r="AD61" s="249"/>
      <c r="AE61" s="249"/>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49"/>
    </row>
    <row r="62" spans="1:43" ht="71.25" x14ac:dyDescent="0.25">
      <c r="A62" s="308">
        <v>58</v>
      </c>
      <c r="B62" s="251" t="s">
        <v>426</v>
      </c>
      <c r="C62" s="274" t="str">
        <f>IF(VLOOKUP(Table4[[#This Row],[T ID]],Table5[#All],5,FALSE)="No","Not in scope",VLOOKUP(Table4[[#This Row],[T ID]],Table5[#All],2,FALSE))</f>
        <v>Risk of using windows 8.1</v>
      </c>
      <c r="D62" s="251" t="s">
        <v>420</v>
      </c>
      <c r="E62" s="274" t="str">
        <f>IF(VLOOKUP(Table4[[#This Row],[V ID]],Vulnerabilities[#All],3,FALSE)="No","Not in scope",VLOOKUP(Table4[[#This Row],[V ID]],Vulnerabilities[#All],2,FALSE))</f>
        <v>Remote exploitation of the system through network</v>
      </c>
      <c r="F62" s="275" t="s">
        <v>106</v>
      </c>
      <c r="G62" s="274" t="str">
        <f>VLOOKUP(Table4[[#This Row],[A ID]],Assets[#All],3,FALSE)</f>
        <v>Nav3,3i cart/ System running with windows 8.1</v>
      </c>
      <c r="H62" s="264" t="s">
        <v>457</v>
      </c>
      <c r="I62" s="251"/>
      <c r="J62" s="286" t="s">
        <v>76</v>
      </c>
      <c r="K62" s="286" t="s">
        <v>55</v>
      </c>
      <c r="L62" s="286" t="s">
        <v>64</v>
      </c>
      <c r="M62" s="276" t="s">
        <v>77</v>
      </c>
      <c r="N62" s="276" t="s">
        <v>55</v>
      </c>
      <c r="O62" s="276" t="s">
        <v>55</v>
      </c>
      <c r="P62" s="276" t="s">
        <v>76</v>
      </c>
      <c r="Q62" s="276" t="s">
        <v>73</v>
      </c>
      <c r="R62"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78">
        <f>(1 - ((1 - VLOOKUP(Table4[[#This Row],[Confidentiality]],'Reference - CVSSv3.0'!$B$15:$C$17,2,FALSE)) * (1 - VLOOKUP(Table4[[#This Row],[Integrity]],'Reference - CVSSv3.0'!$B$15:$C$17,2,FALSE)) *  (1 - VLOOKUP(Table4[[#This Row],[Availability]],'Reference - CVSSv3.0'!$B$15:$C$17,2,FALSE))))</f>
        <v>0.65680000000000005</v>
      </c>
      <c r="T62" s="278">
        <f>IF(Table4[[#This Row],[Scope]]="Unchanged",6.42*Table4[[#This Row],[ISC Base]],IF(Table4[[#This Row],[Scope]]="Changed",7.52*(Table4[[#This Row],[ISC Base]] - 0.029) - 3.25 * POWER(Table4[[#This Row],[ISC Base]] - 0.02,15),NA()))</f>
        <v>4.2166560000000004</v>
      </c>
      <c r="U62"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79" t="s">
        <v>54</v>
      </c>
      <c r="W62" s="278">
        <f>VLOOKUP(Table4[[#This Row],[Threat Event Initiation]],NIST_Scale_LOAI[],2,FALSE)</f>
        <v>0.5</v>
      </c>
      <c r="X62"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325" t="s">
        <v>629</v>
      </c>
      <c r="AA62" s="251"/>
      <c r="AB62" s="281"/>
      <c r="AC62" s="251"/>
      <c r="AD62" s="251"/>
      <c r="AE62" s="251"/>
      <c r="AF62" s="276"/>
      <c r="AG62" s="276"/>
      <c r="AH62" s="276"/>
      <c r="AI62" s="276"/>
      <c r="AJ62" s="282"/>
      <c r="AK62"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78" t="e">
        <f>(1 - ((1 - VLOOKUP(Table4[[#This Row],[ConfidentialityP]],'Reference - CVSSv3.0'!$B$15:$C$17,2,FALSE)) * (1 - VLOOKUP(Table4[[#This Row],[IntegrityP]],'Reference - CVSSv3.0'!$B$15:$C$17,2,FALSE)) *  (1 - VLOOKUP(Table4[[#This Row],[AvailabilityP]],'Reference - CVSSv3.0'!$B$15:$C$17,2,FALSE))))</f>
        <v>#N/A</v>
      </c>
      <c r="AM62" s="278" t="e">
        <f>IF(Table4[[#This Row],[ScopeP]]="Unchanged",6.42*Table4[[#This Row],[ISC BaseP]],IF(Table4[[#This Row],[ScopeP]]="Changed",7.52*(Table4[[#This Row],[ISC BaseP]] - 0.029) - 3.25 * POWER(Table4[[#This Row],[ISC BaseP]] - 0.02,15),NA()))</f>
        <v>#N/A</v>
      </c>
      <c r="AN62"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1"/>
    </row>
    <row r="63" spans="1:43" ht="85.5" x14ac:dyDescent="0.25">
      <c r="A63" s="308">
        <v>59</v>
      </c>
      <c r="B63" s="251" t="s">
        <v>426</v>
      </c>
      <c r="C63" s="274" t="str">
        <f>IF(VLOOKUP(Table4[[#This Row],[T ID]],Table5[#All],5,FALSE)="No","Not in scope",VLOOKUP(Table4[[#This Row],[T ID]],Table5[#All],2,FALSE))</f>
        <v>Risk of using windows 8.1</v>
      </c>
      <c r="D63" s="251" t="s">
        <v>422</v>
      </c>
      <c r="E63" s="274" t="str">
        <f>IF(VLOOKUP(Table4[[#This Row],[V ID]],Vulnerabilities[#All],3,FALSE)="No","Not in scope",VLOOKUP(Table4[[#This Row],[V ID]],Vulnerabilities[#All],2,FALSE))</f>
        <v>Any malicious service running in the system without being identified</v>
      </c>
      <c r="F63" s="275" t="s">
        <v>106</v>
      </c>
      <c r="G63" s="274" t="str">
        <f>VLOOKUP(Table4[[#This Row],[A ID]],Assets[#All],3,FALSE)</f>
        <v>Nav3,3i cart/ System running with windows 8.1</v>
      </c>
      <c r="H63" s="264" t="s">
        <v>457</v>
      </c>
      <c r="I63" s="251"/>
      <c r="J63" s="286" t="s">
        <v>76</v>
      </c>
      <c r="K63" s="286" t="s">
        <v>55</v>
      </c>
      <c r="L63" s="286" t="s">
        <v>64</v>
      </c>
      <c r="M63" s="276" t="s">
        <v>78</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325" t="s">
        <v>630</v>
      </c>
      <c r="AA63" s="251"/>
      <c r="AB63" s="281"/>
      <c r="AC63" s="251"/>
      <c r="AD63" s="251"/>
      <c r="AE63" s="251"/>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1"/>
    </row>
    <row r="64" spans="1:43" ht="99.75" x14ac:dyDescent="0.25">
      <c r="A64" s="308">
        <v>60</v>
      </c>
      <c r="B64" s="251" t="s">
        <v>426</v>
      </c>
      <c r="C64" s="274" t="str">
        <f>IF(VLOOKUP(Table4[[#This Row],[T ID]],Table5[#All],5,FALSE)="No","Not in scope",VLOOKUP(Table4[[#This Row],[T ID]],Table5[#All],2,FALSE))</f>
        <v>Risk of using windows 8.1</v>
      </c>
      <c r="D64" s="251" t="s">
        <v>427</v>
      </c>
      <c r="E64" s="274" t="str">
        <f>IF(VLOOKUP(Table4[[#This Row],[V ID]],Vulnerabilities[#All],3,FALSE)="No","Not in scope",VLOOKUP(Table4[[#This Row],[V ID]],Vulnerabilities[#All],2,FALSE))</f>
        <v>Unhardened OS and network interfaces</v>
      </c>
      <c r="F64" s="275" t="s">
        <v>106</v>
      </c>
      <c r="G64" s="274" t="str">
        <f>VLOOKUP(Table4[[#This Row],[A ID]],Assets[#All],3,FALSE)</f>
        <v>Nav3,3i cart/ System running with windows 8.1</v>
      </c>
      <c r="H64" s="264" t="s">
        <v>457</v>
      </c>
      <c r="I64" s="251"/>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325" t="s">
        <v>632</v>
      </c>
      <c r="AA64" s="251"/>
      <c r="AB64" s="281"/>
      <c r="AC64" s="251"/>
      <c r="AD64" s="251"/>
      <c r="AE64" s="251"/>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1"/>
    </row>
    <row r="65" spans="1:43" ht="57" x14ac:dyDescent="0.25">
      <c r="A65" s="332">
        <v>61</v>
      </c>
      <c r="B65" s="251" t="s">
        <v>471</v>
      </c>
      <c r="C65" s="274" t="str">
        <f>IF(VLOOKUP(Table4[[#This Row],[T ID]],Table5[#All],5,FALSE)="No","Not in scope",VLOOKUP(Table4[[#This Row],[T ID]],Table5[#All],2,FALSE))</f>
        <v>Application failed to restore data after any abnormal activity</v>
      </c>
      <c r="D65" s="251" t="s">
        <v>336</v>
      </c>
      <c r="E65" s="274" t="str">
        <f>IF(VLOOKUP(Table4[[#This Row],[V ID]],Vulnerabilities[#All],3,FALSE)="No","Not in scope",VLOOKUP(Table4[[#This Row],[V ID]],Vulnerabilities[#All],2,FALSE))</f>
        <v>Application not having periodic data backup &amp; restore plan</v>
      </c>
      <c r="F65" s="275" t="s">
        <v>318</v>
      </c>
      <c r="G65" s="274" t="str">
        <f>VLOOKUP(Table4[[#This Row],[A ID]],Assets[#All],3,FALSE)</f>
        <v>THOR Knee Intra-op Application</v>
      </c>
      <c r="H65" s="244" t="s">
        <v>475</v>
      </c>
      <c r="I65" s="251"/>
      <c r="J65" s="286" t="s">
        <v>55</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0.73230400000000007</v>
      </c>
      <c r="T65" s="278">
        <f>IF(Table4[[#This Row],[Scope]]="Unchanged",6.42*Table4[[#This Row],[ISC Base]],IF(Table4[[#This Row],[Scope]]="Changed",7.52*(Table4[[#This Row],[ISC Base]] - 0.029) - 3.25 * POWER(Table4[[#This Row],[ISC Base]] - 0.02,15),NA()))</f>
        <v>4.7013916800000004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5" s="279" t="s">
        <v>64</v>
      </c>
      <c r="W65" s="278">
        <f>VLOOKUP(Table4[[#This Row],[Threat Event Initiation]],NIST_Scale_LOAI[],2,FALSE)</f>
        <v>0.8</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326" t="s">
        <v>631</v>
      </c>
      <c r="AA65" s="251"/>
      <c r="AB65" s="281"/>
      <c r="AC65" s="251"/>
      <c r="AD65" s="251"/>
      <c r="AE65" s="251"/>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1"/>
    </row>
    <row r="66" spans="1:43" ht="71.25" x14ac:dyDescent="0.25">
      <c r="A66" s="317">
        <v>62</v>
      </c>
      <c r="B66" s="251" t="s">
        <v>528</v>
      </c>
      <c r="C66" s="274" t="str">
        <f>IF(VLOOKUP(Table4[[#This Row],[T ID]],Table5[#All],5,FALSE)="No","Not in scope",VLOOKUP(Table4[[#This Row],[T ID]],Table5[#All],2,FALSE))</f>
        <v>Authentication bypass</v>
      </c>
      <c r="D66" s="251" t="s">
        <v>511</v>
      </c>
      <c r="E66" s="274" t="str">
        <f>IF(VLOOKUP(Table4[[#This Row],[V ID]],Vulnerabilities[#All],3,FALSE)="No","Not in scope",VLOOKUP(Table4[[#This Row],[V ID]],Vulnerabilities[#All],2,FALSE))</f>
        <v>Lack of Mandatory password policy for User(s)</v>
      </c>
      <c r="F66" s="275" t="s">
        <v>106</v>
      </c>
      <c r="G66" s="274" t="str">
        <f>VLOOKUP(Table4[[#This Row],[A ID]],Assets[#All],3,FALSE)</f>
        <v>Nav3,3i cart/ System running with windows 8.1</v>
      </c>
      <c r="H66" s="244" t="s">
        <v>559</v>
      </c>
      <c r="I66" s="251"/>
      <c r="J66" s="286" t="s">
        <v>64</v>
      </c>
      <c r="K66" s="286" t="s">
        <v>64</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0.91481600000000007</v>
      </c>
      <c r="T66" s="278">
        <f>IF(Table4[[#This Row],[Scope]]="Unchanged",6.42*Table4[[#This Row],[ISC Base]],IF(Table4[[#This Row],[Scope]]="Changed",7.52*(Table4[[#This Row],[ISC Base]] - 0.029) - 3.25 * POWER(Table4[[#This Row],[ISC Base]] - 0.02,15),NA()))</f>
        <v>5.8731187200000008</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6" s="264" t="s">
        <v>614</v>
      </c>
      <c r="AA66" s="251"/>
      <c r="AB66" s="281"/>
      <c r="AC66" s="251"/>
      <c r="AD66" s="251"/>
      <c r="AE66" s="251"/>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1"/>
    </row>
    <row r="67" spans="1:43" ht="85.5" x14ac:dyDescent="0.25">
      <c r="A67" s="316">
        <v>63</v>
      </c>
      <c r="B67" s="251" t="s">
        <v>533</v>
      </c>
      <c r="C67" s="265" t="str">
        <f>IF(VLOOKUP(Table4[[#This Row],[T ID]],Table5[#All],5,FALSE)="No","Not in scope",VLOOKUP(Table4[[#This Row],[T ID]],Table5[#All],2,FALSE))</f>
        <v>Complete file system access</v>
      </c>
      <c r="D67" s="251" t="s">
        <v>512</v>
      </c>
      <c r="E67" s="265" t="str">
        <f>IF(VLOOKUP(Table4[[#This Row],[V ID]],Vulnerabilities[#All],3,FALSE)="No","Not in scope",VLOOKUP(Table4[[#This Row],[V ID]],Vulnerabilities[#All],2,FALSE))</f>
        <v>Unrestricted FileSystem Access &amp; Modification</v>
      </c>
      <c r="F67" s="275" t="s">
        <v>106</v>
      </c>
      <c r="G67" s="265" t="str">
        <f>VLOOKUP(Table4[[#This Row],[A ID]],Assets[#All],3,FALSE)</f>
        <v>Nav3,3i cart/ System running with windows 8.1</v>
      </c>
      <c r="H67" s="243" t="s">
        <v>561</v>
      </c>
      <c r="I67" s="249"/>
      <c r="J67" s="286" t="s">
        <v>76</v>
      </c>
      <c r="K67" s="286" t="s">
        <v>64</v>
      </c>
      <c r="L67" s="286" t="s">
        <v>55</v>
      </c>
      <c r="M67" s="267" t="s">
        <v>78</v>
      </c>
      <c r="N67" s="276" t="s">
        <v>55</v>
      </c>
      <c r="O67" s="276" t="s">
        <v>55</v>
      </c>
      <c r="P67" s="276" t="s">
        <v>76</v>
      </c>
      <c r="Q67" s="276" t="s">
        <v>73</v>
      </c>
      <c r="R6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69">
        <f>(1 - ((1 - VLOOKUP(Table4[[#This Row],[Confidentiality]],'Reference - CVSSv3.0'!$B$15:$C$17,2,FALSE)) * (1 - VLOOKUP(Table4[[#This Row],[Integrity]],'Reference - CVSSv3.0'!$B$15:$C$17,2,FALSE)) *  (1 - VLOOKUP(Table4[[#This Row],[Availability]],'Reference - CVSSv3.0'!$B$15:$C$17,2,FALSE))))</f>
        <v>0.65680000000000005</v>
      </c>
      <c r="T67" s="269">
        <f>IF(Table4[[#This Row],[Scope]]="Unchanged",6.42*Table4[[#This Row],[ISC Base]],IF(Table4[[#This Row],[Scope]]="Changed",7.52*(Table4[[#This Row],[ISC Base]] - 0.029) - 3.25 * POWER(Table4[[#This Row],[ISC Base]] - 0.02,15),NA()))</f>
        <v>4.2166560000000004</v>
      </c>
      <c r="U67"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7" s="279" t="s">
        <v>54</v>
      </c>
      <c r="W67" s="269">
        <f>VLOOKUP(Table4[[#This Row],[Threat Event Initiation]],NIST_Scale_LOAI[],2,FALSE)</f>
        <v>0.5</v>
      </c>
      <c r="X6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63" t="s">
        <v>615</v>
      </c>
      <c r="AA67" s="249"/>
      <c r="AB67" s="271"/>
      <c r="AC67" s="249"/>
      <c r="AD67" s="249"/>
      <c r="AE67" s="249"/>
      <c r="AF67" s="267"/>
      <c r="AG67" s="267"/>
      <c r="AH67" s="267"/>
      <c r="AI67" s="267"/>
      <c r="AJ67" s="272"/>
      <c r="AK6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69" t="e">
        <f>(1 - ((1 - VLOOKUP(Table4[[#This Row],[ConfidentialityP]],'Reference - CVSSv3.0'!$B$15:$C$17,2,FALSE)) * (1 - VLOOKUP(Table4[[#This Row],[IntegrityP]],'Reference - CVSSv3.0'!$B$15:$C$17,2,FALSE)) *  (1 - VLOOKUP(Table4[[#This Row],[AvailabilityP]],'Reference - CVSSv3.0'!$B$15:$C$17,2,FALSE))))</f>
        <v>#N/A</v>
      </c>
      <c r="AM67" s="269" t="e">
        <f>IF(Table4[[#This Row],[ScopeP]]="Unchanged",6.42*Table4[[#This Row],[ISC BaseP]],IF(Table4[[#This Row],[ScopeP]]="Changed",7.52*(Table4[[#This Row],[ISC BaseP]] - 0.029) - 3.25 * POWER(Table4[[#This Row],[ISC BaseP]] - 0.02,15),NA()))</f>
        <v>#N/A</v>
      </c>
      <c r="AN6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49"/>
    </row>
    <row r="68" spans="1:43" ht="85.5" x14ac:dyDescent="0.25">
      <c r="A68" s="316">
        <v>64</v>
      </c>
      <c r="B68" s="251" t="s">
        <v>534</v>
      </c>
      <c r="C68" s="265" t="str">
        <f>IF(VLOOKUP(Table4[[#This Row],[T ID]],Table5[#All],5,FALSE)="No","Not in scope",VLOOKUP(Table4[[#This Row],[T ID]],Table5[#All],2,FALSE))</f>
        <v>All kinds of applications/scripts running</v>
      </c>
      <c r="D68" s="251" t="s">
        <v>514</v>
      </c>
      <c r="E68" s="265" t="str">
        <f>IF(VLOOKUP(Table4[[#This Row],[V ID]],Vulnerabilities[#All],3,FALSE)="No","Not in scope",VLOOKUP(Table4[[#This Row],[V ID]],Vulnerabilities[#All],2,FALSE))</f>
        <v xml:space="preserve">Uniform privilege for all Installables </v>
      </c>
      <c r="F68" s="275" t="s">
        <v>106</v>
      </c>
      <c r="G68" s="265" t="str">
        <f>VLOOKUP(Table4[[#This Row],[A ID]],Assets[#All],3,FALSE)</f>
        <v>Nav3,3i cart/ System running with windows 8.1</v>
      </c>
      <c r="H68" s="243" t="s">
        <v>563</v>
      </c>
      <c r="I68" s="249"/>
      <c r="J68" s="286" t="s">
        <v>76</v>
      </c>
      <c r="K68" s="286" t="s">
        <v>76</v>
      </c>
      <c r="L68" s="286" t="s">
        <v>64</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0.56000000000000005</v>
      </c>
      <c r="T68" s="269">
        <f>IF(Table4[[#This Row],[Scope]]="Unchanged",6.42*Table4[[#This Row],[ISC Base]],IF(Table4[[#This Row],[Scope]]="Changed",7.52*(Table4[[#This Row],[ISC Base]] - 0.029) - 3.25 * POWER(Table4[[#This Row],[ISC Base]] - 0.02,15),NA()))</f>
        <v>3.5952000000000002</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63" t="s">
        <v>616</v>
      </c>
      <c r="AA68" s="249"/>
      <c r="AB68" s="271"/>
      <c r="AC68" s="249"/>
      <c r="AD68" s="249"/>
      <c r="AE68" s="249"/>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49"/>
    </row>
    <row r="69" spans="1:43" ht="85.5" x14ac:dyDescent="0.25">
      <c r="A69" s="316">
        <v>65</v>
      </c>
      <c r="B69" s="251" t="s">
        <v>535</v>
      </c>
      <c r="C69" s="265" t="str">
        <f>IF(VLOOKUP(Table4[[#This Row],[T ID]],Table5[#All],5,FALSE)="No","Not in scope",VLOOKUP(Table4[[#This Row],[T ID]],Table5[#All],2,FALSE))</f>
        <v>Unidentified virus existence</v>
      </c>
      <c r="D69" s="251" t="s">
        <v>515</v>
      </c>
      <c r="E69" s="265" t="str">
        <f>IF(VLOOKUP(Table4[[#This Row],[V ID]],Vulnerabilities[#All],3,FALSE)="No","Not in scope",VLOOKUP(Table4[[#This Row],[V ID]],Vulnerabilities[#All],2,FALSE))</f>
        <v>No Manual AV Scanning/Signature Update Option provided</v>
      </c>
      <c r="F69" s="275" t="s">
        <v>106</v>
      </c>
      <c r="G69" s="265" t="str">
        <f>VLOOKUP(Table4[[#This Row],[A ID]],Assets[#All],3,FALSE)</f>
        <v>Nav3,3i cart/ System running with windows 8.1</v>
      </c>
      <c r="H69" s="243" t="s">
        <v>556</v>
      </c>
      <c r="I69" s="249"/>
      <c r="J69" s="286" t="s">
        <v>55</v>
      </c>
      <c r="K69" s="286" t="s">
        <v>64</v>
      </c>
      <c r="L69" s="286" t="s">
        <v>76</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0.65680000000000005</v>
      </c>
      <c r="T69" s="269">
        <f>IF(Table4[[#This Row],[Scope]]="Unchanged",6.42*Table4[[#This Row],[ISC Base]],IF(Table4[[#This Row],[Scope]]="Changed",7.52*(Table4[[#This Row],[ISC Base]] - 0.029) - 3.25 * POWER(Table4[[#This Row],[ISC Base]] - 0.02,15),NA()))</f>
        <v>4.2166560000000004</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63" t="s">
        <v>617</v>
      </c>
      <c r="AA69" s="249"/>
      <c r="AB69" s="271"/>
      <c r="AC69" s="249"/>
      <c r="AD69" s="249"/>
      <c r="AE69" s="249"/>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49"/>
    </row>
    <row r="70" spans="1:43" ht="114" x14ac:dyDescent="0.25">
      <c r="A70" s="316">
        <v>66</v>
      </c>
      <c r="B70" s="251" t="s">
        <v>536</v>
      </c>
      <c r="C70" s="265" t="str">
        <f>IF(VLOOKUP(Table4[[#This Row],[T ID]],Table5[#All],5,FALSE)="No","Not in scope",VLOOKUP(Table4[[#This Row],[T ID]],Table5[#All],2,FALSE))</f>
        <v>All time system settings modification (during running &amp; bootup)</v>
      </c>
      <c r="D70" s="251" t="s">
        <v>516</v>
      </c>
      <c r="E70" s="265" t="str">
        <f>IF(VLOOKUP(Table4[[#This Row],[V ID]],Vulnerabilities[#All],3,FALSE)="No","Not in scope",VLOOKUP(Table4[[#This Row],[V ID]],Vulnerabilities[#All],2,FALSE))</f>
        <v>Unauthorized Modification to Registry &amp; System Settings</v>
      </c>
      <c r="F70" s="254" t="s">
        <v>378</v>
      </c>
      <c r="G70" s="265" t="str">
        <f>VLOOKUP(Table4[[#This Row],[A ID]],Assets[#All],3,FALSE)</f>
        <v>Nav3,3i device configurable information (for eg: bios, etc.,)</v>
      </c>
      <c r="H70" s="243" t="s">
        <v>562</v>
      </c>
      <c r="I70" s="249"/>
      <c r="J70" s="286" t="s">
        <v>76</v>
      </c>
      <c r="K70" s="286" t="s">
        <v>64</v>
      </c>
      <c r="L70" s="286" t="s">
        <v>55</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63" t="s">
        <v>618</v>
      </c>
      <c r="AA70" s="249"/>
      <c r="AB70" s="271"/>
      <c r="AC70" s="249"/>
      <c r="AD70" s="249"/>
      <c r="AE70" s="249"/>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9"/>
    </row>
    <row r="71" spans="1:43" ht="114" x14ac:dyDescent="0.25">
      <c r="A71" s="316">
        <v>67</v>
      </c>
      <c r="B71" s="251" t="s">
        <v>537</v>
      </c>
      <c r="C71" s="265" t="str">
        <f>IF(VLOOKUP(Table4[[#This Row],[T ID]],Table5[#All],5,FALSE)="No","Not in scope",VLOOKUP(Table4[[#This Row],[T ID]],Table5[#All],2,FALSE))</f>
        <v>Deletion of critical/sensitive data</v>
      </c>
      <c r="D71" s="251" t="s">
        <v>519</v>
      </c>
      <c r="E71" s="265" t="str">
        <f>IF(VLOOKUP(Table4[[#This Row],[V ID]],Vulnerabilities[#All],3,FALSE)="No","Not in scope",VLOOKUP(Table4[[#This Row],[V ID]],Vulnerabilities[#All],2,FALSE))</f>
        <v>Open access for Application data (resources, logs, case data etc., )</v>
      </c>
      <c r="F71" s="275" t="s">
        <v>106</v>
      </c>
      <c r="G71" s="265" t="str">
        <f>VLOOKUP(Table4[[#This Row],[A ID]],Assets[#All],3,FALSE)</f>
        <v>Nav3,3i cart/ System running with windows 8.1</v>
      </c>
      <c r="H71" s="243" t="s">
        <v>564</v>
      </c>
      <c r="I71" s="249"/>
      <c r="J71" s="286" t="s">
        <v>64</v>
      </c>
      <c r="K71" s="286" t="s">
        <v>64</v>
      </c>
      <c r="L71" s="286" t="s">
        <v>76</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0.80640000000000001</v>
      </c>
      <c r="T71" s="269">
        <f>IF(Table4[[#This Row],[Scope]]="Unchanged",6.42*Table4[[#This Row],[ISC Base]],IF(Table4[[#This Row],[Scope]]="Changed",7.52*(Table4[[#This Row],[ISC Base]] - 0.029) - 3.25 * POWER(Table4[[#This Row],[ISC Base]] - 0.02,15),NA()))</f>
        <v>5.1770880000000004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326" t="s">
        <v>619</v>
      </c>
      <c r="AA71" s="249"/>
      <c r="AB71" s="271"/>
      <c r="AC71" s="249"/>
      <c r="AD71" s="249"/>
      <c r="AE71" s="249"/>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49"/>
    </row>
    <row r="72" spans="1:43" ht="85.5" x14ac:dyDescent="0.25">
      <c r="A72" s="316">
        <v>68</v>
      </c>
      <c r="B72" s="251" t="s">
        <v>538</v>
      </c>
      <c r="C72" s="265" t="str">
        <f>IF(VLOOKUP(Table4[[#This Row],[T ID]],Table5[#All],5,FALSE)="No","Not in scope",VLOOKUP(Table4[[#This Row],[T ID]],Table5[#All],2,FALSE))</f>
        <v>Illegal OS services access</v>
      </c>
      <c r="D72" s="251" t="s">
        <v>520</v>
      </c>
      <c r="E72" s="265" t="str">
        <f>IF(VLOOKUP(Table4[[#This Row],[V ID]],Vulnerabilities[#All],3,FALSE)="No","Not in scope",VLOOKUP(Table4[[#This Row],[V ID]],Vulnerabilities[#All],2,FALSE))</f>
        <v>Daemon access by unauthorized resources (ex., RDP, etc., )</v>
      </c>
      <c r="F72" s="275" t="s">
        <v>106</v>
      </c>
      <c r="G72" s="265" t="str">
        <f>VLOOKUP(Table4[[#This Row],[A ID]],Assets[#All],3,FALSE)</f>
        <v>Nav3,3i cart/ System running with windows 8.1</v>
      </c>
      <c r="H72" s="243" t="s">
        <v>573</v>
      </c>
      <c r="I72" s="249"/>
      <c r="J72" s="286" t="s">
        <v>76</v>
      </c>
      <c r="K72" s="286" t="s">
        <v>64</v>
      </c>
      <c r="L72" s="286" t="s">
        <v>55</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0.65680000000000005</v>
      </c>
      <c r="T72" s="269">
        <f>IF(Table4[[#This Row],[Scope]]="Unchanged",6.42*Table4[[#This Row],[ISC Base]],IF(Table4[[#This Row],[Scope]]="Changed",7.52*(Table4[[#This Row],[ISC Base]] - 0.029) - 3.25 * POWER(Table4[[#This Row],[ISC Base]] - 0.02,15),NA()))</f>
        <v>4.2166560000000004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63" t="s">
        <v>621</v>
      </c>
      <c r="AA72" s="249"/>
      <c r="AB72" s="271"/>
      <c r="AC72" s="249"/>
      <c r="AD72" s="249"/>
      <c r="AE72" s="249"/>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49"/>
    </row>
    <row r="73" spans="1:43" ht="71.25" x14ac:dyDescent="0.25">
      <c r="A73" s="316">
        <v>69</v>
      </c>
      <c r="B73" s="251" t="s">
        <v>539</v>
      </c>
      <c r="C73" s="265" t="str">
        <f>IF(VLOOKUP(Table4[[#This Row],[T ID]],Table5[#All],5,FALSE)="No","Not in scope",VLOOKUP(Table4[[#This Row],[T ID]],Table5[#All],2,FALSE))</f>
        <v>Injection of latest malware/virus</v>
      </c>
      <c r="D73" s="251" t="s">
        <v>521</v>
      </c>
      <c r="E73" s="265" t="str">
        <f>IF(VLOOKUP(Table4[[#This Row],[V ID]],Vulnerabilities[#All],3,FALSE)="No","Not in scope",VLOOKUP(Table4[[#This Row],[V ID]],Vulnerabilities[#All],2,FALSE))</f>
        <v>No Notification mentioning outdated AV Definitions</v>
      </c>
      <c r="F73" s="275" t="s">
        <v>106</v>
      </c>
      <c r="G73" s="265" t="str">
        <f>VLOOKUP(Table4[[#This Row],[A ID]],Assets[#All],3,FALSE)</f>
        <v>Nav3,3i cart/ System running with windows 8.1</v>
      </c>
      <c r="H73" s="243" t="s">
        <v>556</v>
      </c>
      <c r="I73" s="249"/>
      <c r="J73" s="286" t="s">
        <v>55</v>
      </c>
      <c r="K73" s="286" t="s">
        <v>64</v>
      </c>
      <c r="L73" s="286" t="s">
        <v>76</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263" t="s">
        <v>620</v>
      </c>
      <c r="AA73" s="249"/>
      <c r="AB73" s="271"/>
      <c r="AC73" s="249"/>
      <c r="AD73" s="249"/>
      <c r="AE73" s="249"/>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49"/>
    </row>
    <row r="74" spans="1:43" ht="71.25" x14ac:dyDescent="0.25">
      <c r="A74" s="316">
        <v>70</v>
      </c>
      <c r="B74" s="251" t="s">
        <v>540</v>
      </c>
      <c r="C74" s="265" t="str">
        <f>IF(VLOOKUP(Table4[[#This Row],[T ID]],Table5[#All],5,FALSE)="No","Not in scope",VLOOKUP(Table4[[#This Row],[T ID]],Table5[#All],2,FALSE))</f>
        <v>Deliver direct/undirect malware</v>
      </c>
      <c r="D74" s="251" t="s">
        <v>523</v>
      </c>
      <c r="E74" s="265" t="str">
        <f>IF(VLOOKUP(Table4[[#This Row],[V ID]],Vulnerabilities[#All],3,FALSE)="No","Not in scope",VLOOKUP(Table4[[#This Row],[V ID]],Vulnerabilities[#All],2,FALSE))</f>
        <v>No "on access" Scanning triggered for removable devices</v>
      </c>
      <c r="F74" s="275" t="s">
        <v>106</v>
      </c>
      <c r="G74" s="265" t="str">
        <f>VLOOKUP(Table4[[#This Row],[A ID]],Assets[#All],3,FALSE)</f>
        <v>Nav3,3i cart/ System running with windows 8.1</v>
      </c>
      <c r="H74" s="263" t="s">
        <v>557</v>
      </c>
      <c r="I74" s="249"/>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263" t="s">
        <v>622</v>
      </c>
      <c r="AA74" s="249"/>
      <c r="AB74" s="271"/>
      <c r="AC74" s="249"/>
      <c r="AD74" s="249"/>
      <c r="AE74" s="249"/>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49"/>
    </row>
    <row r="75" spans="1:43" ht="114" x14ac:dyDescent="0.25">
      <c r="A75" s="316">
        <v>71</v>
      </c>
      <c r="B75" s="251" t="s">
        <v>541</v>
      </c>
      <c r="C75" s="265" t="str">
        <f>IF(VLOOKUP(Table4[[#This Row],[T ID]],Table5[#All],5,FALSE)="No","Not in scope",VLOOKUP(Table4[[#This Row],[T ID]],Table5[#All],2,FALSE))</f>
        <v>Unvalidated external connected devices</v>
      </c>
      <c r="D75" s="251" t="s">
        <v>525</v>
      </c>
      <c r="E75" s="265" t="str">
        <f>IF(VLOOKUP(Table4[[#This Row],[V ID]],Vulnerabilities[#All],3,FALSE)="No","Not in scope",VLOOKUP(Table4[[#This Row],[V ID]],Vulnerabilities[#All],2,FALSE))</f>
        <v>Lack of authentication for externally connected devices (camera, etc.,)</v>
      </c>
      <c r="F75" s="266" t="s">
        <v>106</v>
      </c>
      <c r="G75" s="265" t="str">
        <f>VLOOKUP(Table4[[#This Row],[A ID]],Assets[#All],3,FALSE)</f>
        <v>Nav3,3i cart/ System running with windows 8.1</v>
      </c>
      <c r="H75" s="264" t="s">
        <v>558</v>
      </c>
      <c r="I75" s="249"/>
      <c r="J75" s="286" t="s">
        <v>76</v>
      </c>
      <c r="K75" s="286" t="s">
        <v>55</v>
      </c>
      <c r="L75" s="286" t="s">
        <v>64</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63" t="s">
        <v>623</v>
      </c>
      <c r="AA75" s="323"/>
      <c r="AB75" s="271"/>
      <c r="AC75" s="249"/>
      <c r="AD75" s="249"/>
      <c r="AE75" s="249"/>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49"/>
    </row>
  </sheetData>
  <mergeCells count="4">
    <mergeCell ref="AC3:AQ3"/>
    <mergeCell ref="Z3:AB3"/>
    <mergeCell ref="F3:I3"/>
    <mergeCell ref="J3:Y3"/>
  </mergeCells>
  <phoneticPr fontId="51" type="noConversion"/>
  <conditionalFormatting sqref="AP6 AP8:AP14 AP16:AP24 Y5:Y75">
    <cfRule type="cellIs" dxfId="162" priority="26" operator="equal">
      <formula>"Critical"</formula>
    </cfRule>
    <cfRule type="cellIs" dxfId="161" priority="27" operator="equal">
      <formula>"HIGH"</formula>
    </cfRule>
    <cfRule type="cellIs" dxfId="160" priority="28" operator="equal">
      <formula>"Medium"</formula>
    </cfRule>
    <cfRule type="cellIs" dxfId="159" priority="29" operator="equal">
      <formula>"None"</formula>
    </cfRule>
    <cfRule type="cellIs" dxfId="158" priority="30" operator="equal">
      <formula>"Low"</formula>
    </cfRule>
  </conditionalFormatting>
  <conditionalFormatting sqref="AP5:AP15">
    <cfRule type="cellIs" dxfId="157" priority="11" operator="equal">
      <formula>"Critical"</formula>
    </cfRule>
    <cfRule type="cellIs" dxfId="156" priority="12" operator="equal">
      <formula>"HIGH"</formula>
    </cfRule>
    <cfRule type="cellIs" dxfId="155" priority="13" operator="equal">
      <formula>"Medium"</formula>
    </cfRule>
    <cfRule type="cellIs" dxfId="154" priority="14" operator="equal">
      <formula>"None"</formula>
    </cfRule>
    <cfRule type="cellIs" dxfId="153"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AJ5:AJ75 Q5:Q75</xm:sqref>
        </x14:dataValidation>
        <x14:dataValidation type="list" allowBlank="1" showInputMessage="1" showErrorMessage="1" xr:uid="{00000000-0002-0000-0400-00000A000000}">
          <x14:formula1>
            <xm:f>'Reference - CVSSv3.0'!$B$15:$B$18</xm:f>
          </x14:formula1>
          <xm:sqref>AC5:AE75 J5:L75</xm:sqref>
        </x14:dataValidation>
        <x14:dataValidation type="list" allowBlank="1" showInputMessage="1" showErrorMessage="1" xr:uid="{00000000-0002-0000-0400-00000B000000}">
          <x14:formula1>
            <xm:f>'Reference - CVSSv3.0'!$B$6:$B$10</xm:f>
          </x14:formula1>
          <xm:sqref>AF5:AF75 M5:M75</xm:sqref>
        </x14:dataValidation>
        <x14:dataValidation type="list" allowBlank="1" showInputMessage="1" showErrorMessage="1" xr:uid="{00000000-0002-0000-0400-00000C000000}">
          <x14:formula1>
            <xm:f>'Reference - CVSSv3.0'!$E$6:$E$8</xm:f>
          </x14:formula1>
          <xm:sqref>AG5:AG75 N5:N75</xm:sqref>
        </x14:dataValidation>
        <x14:dataValidation type="list" allowBlank="1" showInputMessage="1" showErrorMessage="1" xr:uid="{00000000-0002-0000-0400-00000D000000}">
          <x14:formula1>
            <xm:f>'Reference - CVSSv3.0'!$H$6:$H$9</xm:f>
          </x14:formula1>
          <xm:sqref>AH5:AH75 O5:O75</xm:sqref>
        </x14:dataValidation>
        <x14:dataValidation type="list" allowBlank="1" showInputMessage="1" showErrorMessage="1" xr:uid="{00000000-0002-0000-0400-00000E000000}">
          <x14:formula1>
            <xm:f>'Reference - CVSSv3.0'!$L$6:$L$8</xm:f>
          </x14:formula1>
          <xm:sqref>AI5:AI75 P5:P75</xm:sqref>
        </x14:dataValidation>
        <x14:dataValidation type="list" allowBlank="1" showInputMessage="1" showErrorMessage="1" xr:uid="{00000000-0002-0000-0400-00000F000000}">
          <x14:formula1>
            <xm:f>'Reference - CVSSv3.0'!$Q$5:$Q$10</xm:f>
          </x14:formula1>
          <xm:sqref>V5:V75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38" t="s">
        <v>187</v>
      </c>
      <c r="B1" s="338"/>
      <c r="C1" s="338"/>
      <c r="D1" s="338"/>
      <c r="E1" s="338"/>
      <c r="F1" s="338"/>
      <c r="G1" s="338"/>
    </row>
    <row r="2" spans="1:7" x14ac:dyDescent="0.25">
      <c r="A2" s="339"/>
      <c r="B2" s="339"/>
      <c r="C2" s="339"/>
      <c r="D2" s="339"/>
      <c r="E2" s="339"/>
      <c r="F2" s="339"/>
      <c r="G2" s="339"/>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1. All the removable devices should not be allowed to connect with the systsem
2. Validation of input device should be mandate.</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xml:space="preserve">Performing static code analysis (such as sonarqube) for identification of deviation from the coding standards and vulnerabilities on developed code.
</v>
      </c>
      <c r="L6" s="85" t="str">
        <f>Table4[[#This Row],[Security Risk LevelP]]</f>
        <v/>
      </c>
      <c r="M6" s="53" t="str">
        <f>IF(Table4[[#This Row],[Residual Security Risk Acceptability Justification]]&gt;0,Table4[[#This Row],[Residual Security Risk Acceptability Justification]],"")</f>
        <v/>
      </c>
      <c r="N6"/>
    </row>
    <row r="7" spans="1:14" s="47" customFormat="1" ht="85.5" x14ac:dyDescent="0.25">
      <c r="A7" s="63">
        <f>Table4[[#This Row],[
ID '#]]</f>
        <v>3</v>
      </c>
      <c r="B7" s="51" t="str">
        <f>IF(Table4[[#This Row],[A ID]]&gt;0,Table4[[#This Row],[T ID]],"")</f>
        <v>T02</v>
      </c>
      <c r="C7" s="45" t="str">
        <f>Table4[[#This Row],[Threat Event(s)]]</f>
        <v>Deliver directed malware
(CAPEC-185)</v>
      </c>
      <c r="D7" s="53" t="str">
        <f>IF(Table4[[#This Row],[V ID]]&gt;0,Table4[[#This Row],[V ID]],"")</f>
        <v>V03</v>
      </c>
      <c r="E7" s="45" t="str">
        <f>Table4[[#This Row],[Vulnerabilities]]</f>
        <v>Untrained/Malicious User</v>
      </c>
      <c r="F7" s="53" t="str">
        <f>IF(Table4[[#This Row],[A ID]]&gt;0,Table4[[#This Row],[A ID]],"")</f>
        <v>A01</v>
      </c>
      <c r="G7" s="45" t="str">
        <f>Table4[[#This Row],[Asset]]</f>
        <v>Nav3,3i cart/ System running with windows 8.1</v>
      </c>
      <c r="H7"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7" s="53" t="str">
        <f>IF(Table4[[#This Row],[Safety Impact 
(Risk ID'# or N/A)]]&gt;0,Table4[[#This Row],[Safety Impact 
(Risk ID'# or N/A)]],"")</f>
        <v/>
      </c>
      <c r="J7" s="85" t="str">
        <f>Table4[[#This Row],[Security 
Risk 
Level]]</f>
        <v>LOW</v>
      </c>
      <c r="K7" s="53" t="str">
        <f>IF(Table4[[#This Row],[Security Risk Control Measures]]&gt;0,Table4[[#This Row],[Security Risk Control Measures]],"")</f>
        <v>1. Set strong password policy for all users.
2. Anti-virus with updated virus definitions</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v02</v>
      </c>
      <c r="E8" s="45" t="str">
        <f>Table4[[#This Row],[Vulnerabilities]]</f>
        <v>Ineffective management of admin credentials</v>
      </c>
      <c r="F8" s="53" t="str">
        <f>IF(Table4[[#This Row],[A ID]]&gt;0,Table4[[#This Row],[A ID]],"")</f>
        <v>A02</v>
      </c>
      <c r="G8" s="45" t="str">
        <f>Table4[[#This Row],[Asset]]</f>
        <v>Admin Password / Credentials / System Configuration / Certificates</v>
      </c>
      <c r="H8" s="45" t="str">
        <f>IF(Table4[[#This Row],[Impact Description]]&gt;0,Table4[[#This Row],[Impact Description]],"")</f>
        <v>Adversary with direct mal-intent gains local access to the navigation flex cart platform and installs malware in order to gain admin credentials</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1. The admin credentials should not be stored unencrypted.
2. The certificates, passwords/credentials should be stored in encrypted form.</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T03</v>
      </c>
      <c r="C9" s="45" t="str">
        <f>Table4[[#This Row],[Threat Event(s)]]</f>
        <v xml:space="preserve">Perform perimeter network reconnaissance/scanning. </v>
      </c>
      <c r="D9" s="53" t="str">
        <f>IF(Table4[[#This Row],[V ID]]&gt;0,Table4[[#This Row],[V ID]],"")</f>
        <v>V21</v>
      </c>
      <c r="E9" s="45" t="str">
        <f>Table4[[#This Row],[Vulnerabilities]]</f>
        <v>Unprotected network port</v>
      </c>
      <c r="F9" s="53" t="str">
        <f>IF(Table4[[#This Row],[A ID]]&gt;0,Table4[[#This Row],[A ID]],"")</f>
        <v>A07</v>
      </c>
      <c r="G9" s="45" t="str">
        <f>Table4[[#This Row],[Asset]]</f>
        <v>Computer/OS network identification</v>
      </c>
      <c r="H9" s="45" t="str">
        <f>IF(Table4[[#This Row],[Impact Description]]&gt;0,Table4[[#This Row],[Impact Description]],"")</f>
        <v>Obtain knowledge about system internals in an attempt to find attack vectors and possibilities for exploitation of publicly known Vulnerabilities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1. All the network components should be listed and unused should be identified
2. Unused ports &amp; services should be properly disabled/limited 
3. System security elements such as firewall, antivirus etc.. should be properly maintained.</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45" t="s">
        <v>163</v>
      </c>
      <c r="C13" s="345"/>
      <c r="D13" s="345"/>
      <c r="E13" s="345"/>
      <c r="F13" s="345"/>
      <c r="G13" s="345"/>
      <c r="H13" s="345"/>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56" t="s">
        <v>80</v>
      </c>
      <c r="C3" s="357"/>
      <c r="D3" s="357"/>
      <c r="E3" s="357"/>
      <c r="F3" s="357"/>
      <c r="G3" s="357"/>
      <c r="H3" s="357"/>
      <c r="I3" s="357"/>
      <c r="J3" s="357"/>
      <c r="K3" s="357"/>
      <c r="L3" s="357"/>
      <c r="M3" s="357"/>
      <c r="N3" s="358"/>
      <c r="P3" s="356" t="s">
        <v>65</v>
      </c>
      <c r="Q3" s="357"/>
      <c r="R3" s="358"/>
    </row>
    <row r="4" spans="2:18" s="69" customFormat="1" ht="16.5" thickBot="1" x14ac:dyDescent="0.25">
      <c r="B4" s="363" t="s">
        <v>81</v>
      </c>
      <c r="C4" s="364"/>
      <c r="D4" s="365"/>
      <c r="E4" s="363" t="s">
        <v>82</v>
      </c>
      <c r="F4" s="364"/>
      <c r="G4" s="365"/>
      <c r="H4" s="363" t="s">
        <v>83</v>
      </c>
      <c r="I4" s="364"/>
      <c r="J4" s="364"/>
      <c r="K4" s="365"/>
      <c r="L4" s="366" t="s">
        <v>84</v>
      </c>
      <c r="M4" s="367"/>
      <c r="N4" s="368"/>
      <c r="P4" s="88"/>
      <c r="Q4" s="89" t="s">
        <v>126</v>
      </c>
      <c r="R4" s="90" t="s">
        <v>72</v>
      </c>
    </row>
    <row r="5" spans="2:18" s="69" customFormat="1" ht="16.5" thickBot="1" x14ac:dyDescent="0.25">
      <c r="B5" s="91" t="s">
        <v>85</v>
      </c>
      <c r="C5" s="91" t="s">
        <v>86</v>
      </c>
      <c r="D5" s="91" t="s">
        <v>87</v>
      </c>
      <c r="E5" s="91" t="s">
        <v>88</v>
      </c>
      <c r="F5" s="91" t="s">
        <v>86</v>
      </c>
      <c r="G5" s="91" t="s">
        <v>87</v>
      </c>
      <c r="H5" s="91" t="s">
        <v>85</v>
      </c>
      <c r="I5" s="370" t="s">
        <v>86</v>
      </c>
      <c r="J5" s="371"/>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56" t="s">
        <v>94</v>
      </c>
      <c r="C12" s="357"/>
      <c r="D12" s="357"/>
      <c r="E12" s="357"/>
      <c r="F12" s="357"/>
      <c r="G12" s="357"/>
      <c r="H12" s="357"/>
      <c r="I12" s="357"/>
      <c r="J12" s="357"/>
      <c r="K12" s="357"/>
      <c r="L12" s="357"/>
      <c r="M12" s="357"/>
      <c r="N12" s="358"/>
      <c r="P12" s="157" t="s">
        <v>168</v>
      </c>
      <c r="Q12" s="121" t="s">
        <v>124</v>
      </c>
    </row>
    <row r="13" spans="2:18" s="69" customFormat="1" ht="16.5" thickBot="1" x14ac:dyDescent="0.25">
      <c r="B13" s="359" t="s">
        <v>95</v>
      </c>
      <c r="C13" s="360"/>
      <c r="D13" s="360"/>
      <c r="E13" s="360"/>
      <c r="F13" s="360"/>
      <c r="G13" s="361"/>
      <c r="H13" s="360"/>
      <c r="I13" s="360"/>
      <c r="J13" s="360"/>
      <c r="K13" s="360"/>
      <c r="L13" s="360"/>
      <c r="M13" s="360"/>
      <c r="N13" s="362"/>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56" t="s">
        <v>68</v>
      </c>
      <c r="C20" s="357"/>
      <c r="D20" s="357"/>
      <c r="E20" s="357"/>
      <c r="F20" s="357"/>
      <c r="G20" s="357"/>
      <c r="H20" s="357"/>
      <c r="I20" s="357"/>
      <c r="J20" s="357"/>
      <c r="K20" s="357"/>
      <c r="L20" s="357"/>
      <c r="M20" s="357"/>
      <c r="N20" s="358"/>
    </row>
    <row r="21" spans="2:17" s="69" customFormat="1" ht="42.6" customHeight="1" thickBot="1" x14ac:dyDescent="0.25">
      <c r="B21" s="129" t="s">
        <v>73</v>
      </c>
      <c r="C21" s="372" t="s">
        <v>96</v>
      </c>
      <c r="D21" s="373"/>
      <c r="E21" s="373"/>
      <c r="F21" s="373"/>
      <c r="G21" s="373"/>
      <c r="H21" s="373"/>
      <c r="I21" s="373"/>
      <c r="J21" s="373"/>
      <c r="K21" s="373"/>
      <c r="L21" s="373"/>
      <c r="M21" s="374"/>
      <c r="N21" s="130" t="s">
        <v>97</v>
      </c>
    </row>
    <row r="22" spans="2:17" s="69" customFormat="1" ht="44.1" customHeight="1" thickBot="1" x14ac:dyDescent="0.25">
      <c r="B22" s="131" t="s">
        <v>98</v>
      </c>
      <c r="C22" s="375" t="s">
        <v>99</v>
      </c>
      <c r="D22" s="373"/>
      <c r="E22" s="373"/>
      <c r="F22" s="373"/>
      <c r="G22" s="373"/>
      <c r="H22" s="373"/>
      <c r="I22" s="373"/>
      <c r="J22" s="373"/>
      <c r="K22" s="373"/>
      <c r="L22" s="373"/>
      <c r="M22" s="374"/>
      <c r="N22" s="132" t="s">
        <v>100</v>
      </c>
      <c r="O22" s="133"/>
      <c r="P22" s="133"/>
      <c r="Q22" s="133"/>
    </row>
    <row r="23" spans="2:17" s="69" customFormat="1" ht="16.5" thickBot="1" x14ac:dyDescent="0.25">
      <c r="B23" s="131"/>
      <c r="C23" s="375"/>
      <c r="D23" s="373"/>
      <c r="E23" s="373"/>
      <c r="F23" s="373"/>
      <c r="G23" s="373"/>
      <c r="H23" s="373"/>
      <c r="I23" s="373"/>
      <c r="J23" s="373"/>
      <c r="K23" s="373"/>
      <c r="L23" s="373"/>
      <c r="M23" s="374"/>
      <c r="N23" s="132"/>
    </row>
    <row r="24" spans="2:17" s="69" customFormat="1" ht="14.25" x14ac:dyDescent="0.2"/>
    <row r="25" spans="2:17" s="69" customFormat="1" ht="14.25" x14ac:dyDescent="0.2">
      <c r="B25" s="69" t="s">
        <v>101</v>
      </c>
    </row>
    <row r="26" spans="2:17" s="69" customFormat="1" ht="262.5" customHeight="1" x14ac:dyDescent="0.2">
      <c r="B26" s="47" t="s">
        <v>102</v>
      </c>
      <c r="C26" s="369" t="s">
        <v>103</v>
      </c>
      <c r="D26" s="369"/>
      <c r="E26" s="369"/>
      <c r="F26" s="369"/>
      <c r="G26" s="369"/>
      <c r="H26" s="369"/>
      <c r="I26" s="369"/>
      <c r="J26" s="369"/>
    </row>
    <row r="29" spans="2:17" x14ac:dyDescent="0.25">
      <c r="B29" s="29" t="s">
        <v>162</v>
      </c>
    </row>
    <row r="30" spans="2:17" ht="48" customHeight="1" x14ac:dyDescent="0.25">
      <c r="C30" s="345" t="s">
        <v>163</v>
      </c>
      <c r="D30" s="345"/>
      <c r="E30" s="345"/>
      <c r="F30" s="345"/>
      <c r="G30" s="345"/>
      <c r="H30" s="345"/>
      <c r="I30" s="345"/>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76" t="s">
        <v>24</v>
      </c>
      <c r="B3" s="377"/>
      <c r="C3" s="377"/>
      <c r="E3" s="378" t="s">
        <v>26</v>
      </c>
      <c r="F3" s="379"/>
      <c r="G3" s="379"/>
    </row>
    <row r="4" spans="1:8" s="47" customFormat="1" ht="14.25" x14ac:dyDescent="0.25">
      <c r="A4" s="134" t="s">
        <v>39</v>
      </c>
      <c r="B4" s="135" t="s">
        <v>15</v>
      </c>
      <c r="C4" s="136" t="s">
        <v>25</v>
      </c>
      <c r="E4" s="137" t="s">
        <v>39</v>
      </c>
      <c r="F4" s="138" t="s">
        <v>27</v>
      </c>
      <c r="G4" s="139" t="s">
        <v>25</v>
      </c>
    </row>
    <row r="5" spans="1:8" s="47" customFormat="1" ht="42.75"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45" t="s">
        <v>163</v>
      </c>
      <c r="C15" s="345"/>
      <c r="D15" s="345"/>
      <c r="E15" s="345"/>
      <c r="F15" s="345"/>
      <c r="G15" s="345"/>
      <c r="H15" s="345"/>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http://purl.org/dc/terms/"/>
    <ds:schemaRef ds:uri="http://schemas.microsoft.com/office/2006/metadata/properties"/>
    <ds:schemaRef ds:uri="http://schemas.microsoft.com/office/2006/documentManagement/types"/>
    <ds:schemaRef ds:uri="d49d3b1b-cb78-42c7-8f23-4406c6678d59"/>
    <ds:schemaRef ds:uri="http://purl.org/dc/elements/1.1/"/>
    <ds:schemaRef ds:uri="f7280c85-4820-46e1-84ed-adade287bb5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2022-08-05T08:31:32Z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