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showInkAnnotation="0"/>
  <mc:AlternateContent xmlns:mc="http://schemas.openxmlformats.org/markup-compatibility/2006">
    <mc:Choice Requires="x15">
      <x15ac:absPath xmlns:x15ac="http://schemas.microsoft.com/office/spreadsheetml/2010/11/ac" url="D:\Stryker\Knee intra-op\"/>
    </mc:Choice>
  </mc:AlternateContent>
  <xr:revisionPtr revIDLastSave="0" documentId="13_ncr:1_{69F63BD9-3AF2-4CFF-88EF-62C6F2BD8168}" xr6:coauthVersionLast="47" xr6:coauthVersionMax="47" xr10:uidLastSave="{00000000-0000-0000-0000-000000000000}"/>
  <bookViews>
    <workbookView xWindow="-110" yWindow="-110" windowWidth="19420" windowHeight="10420" tabRatio="891" firstSheet="1" activeTab="5" xr2:uid="{00000000-000D-0000-FFFF-FFFF00000000}"/>
  </bookViews>
  <sheets>
    <sheet name="Header (Optional)" sheetId="22" r:id="rId1"/>
    <sheet name="Document References (Optional)" sheetId="23" r:id="rId2"/>
    <sheet name="System &amp; Asset Identification" sheetId="10" r:id="rId3"/>
    <sheet name="Vulnerability Identification" sheetId="11" r:id="rId4"/>
    <sheet name="Threat Assessment" sheetId="16" r:id="rId5"/>
    <sheet name="Security Risk Assess" sheetId="12" r:id="rId6"/>
    <sheet name="Security Risk Control Measures" sheetId="24" r:id="rId7"/>
    <sheet name="Summary" sheetId="21" r:id="rId8"/>
    <sheet name="Reference - CVSSv3.0" sheetId="19" r:id="rId9"/>
    <sheet name="Reference - Threat Source" sheetId="15" r:id="rId10"/>
    <sheet name="OLD - Threat Assessment" sheetId="14" state="hidden" r:id="rId11"/>
    <sheet name="OLD - Risk Controls" sheetId="13" state="hidden" r:id="rId12"/>
  </sheets>
  <definedNames>
    <definedName name="_OT_Project">'Header (Optional)'!$C$15</definedName>
    <definedName name="Attack" localSheetId="8">'Reference - CVSSv3.0'!$B$6:$B$9</definedName>
    <definedName name="Author">'Header (Optional)'!$C$12</definedName>
    <definedName name="CIA" localSheetId="8">'Reference - CVSSv3.0'!$B$15:$B$17</definedName>
    <definedName name="Comp" localSheetId="8">'Reference - CVSSv3.0'!$E$6:$E$7</definedName>
    <definedName name="Form_Name">'Header (Optional)'!$A$4</definedName>
    <definedName name="NamedRange_1_Author">'Header (Optional)'!$C$12</definedName>
    <definedName name="NamedRange_1_OT_DocumentNumber">'Header (Optional)'!$C$13</definedName>
    <definedName name="NamedRange_1_OT_Project">'Header (Optional)'!$C$15</definedName>
    <definedName name="NamedRange_1_OT_ProjectLead">'Header (Optional)'!$C$16</definedName>
    <definedName name="NamedRange_1_OT_ProjectNumber">'Header (Optional)'!$E$15</definedName>
    <definedName name="NamedRange_1_OT_RevisionNumber">'Header (Optional)'!$C$14</definedName>
    <definedName name="NamedRange_1_OT_SubSystemName">'Header (Optional)'!$B$8</definedName>
    <definedName name="NamedRange_1_OT_SystemName">'Header (Optional)'!$B$7</definedName>
    <definedName name="OT_1">'Security Risk Control Measures'!$A$7</definedName>
    <definedName name="OT_2">'Security Risk Control Measures'!$A$8</definedName>
    <definedName name="OT_3">'Security Risk Control Measures'!$A$9</definedName>
    <definedName name="OT_4">'Security Risk Control Measures'!#REF!</definedName>
    <definedName name="OT_DocumentNumber">'Header (Optional)'!$C$13</definedName>
    <definedName name="OT_documentReferences_1§0?OT_documentNumber">'Document References (Optional)'!$D$8</definedName>
    <definedName name="OT_documentReferences_1§0?OT_documentRevision">'Document References (Optional)'!$C$8</definedName>
    <definedName name="OT_documentReferences_1§0?OT_documentTitle">'Document References (Optional)'!$B$8</definedName>
    <definedName name="OT_documentReferences_1§0?OT_id">'Document References (Optional)'!$A$8</definedName>
    <definedName name="OT_Project">'Header (Optional)'!$C$15</definedName>
    <definedName name="OT_ProjectLead">'Header (Optional)'!$C$16</definedName>
    <definedName name="OT_ProjectNumber">'Header (Optional)'!$E$15</definedName>
    <definedName name="OT_RevisionNumber">'Header (Optional)'!$C$14</definedName>
    <definedName name="OT_securityRiskControls_1§0?OT_description">'Security Risk Control Measures'!$B$6</definedName>
    <definedName name="OT_securityRiskControls_1§0?OT_id">'Security Risk Control Measures'!$A$6</definedName>
    <definedName name="OT_SubSystemName">'Header (Optional)'!$B$8</definedName>
    <definedName name="OT_SystemName">'Header (Optional)'!$B$7</definedName>
    <definedName name="_xlnm.Print_Area" localSheetId="0">'Header (Optional)'!$A$1:$G$24</definedName>
    <definedName name="_xlnm.Print_Area" localSheetId="5">'Security Risk Assess'!$A$1:$AQ$91</definedName>
    <definedName name="_xlnm.Print_Area" localSheetId="2">'System &amp; Asset Identification'!$A$1:$J$42</definedName>
    <definedName name="_xlnm.Print_Area" localSheetId="4">'Threat Assessment'!$A$1:$O$66</definedName>
    <definedName name="_xlnm.Print_Area" localSheetId="3">'Vulnerability Identification'!$A$1:$I$78</definedName>
    <definedName name="Priv" localSheetId="8">'Reference - CVSSv3.0'!$H$6:$H$8</definedName>
    <definedName name="Scope" localSheetId="8">'Reference - CVSSv3.0'!$B$21:$B$22</definedName>
    <definedName name="Ux" localSheetId="8">'Reference - CVSSv3.0'!$L$6:$L$7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5" i="12" l="1"/>
  <c r="E75" i="12"/>
  <c r="G75" i="12"/>
  <c r="R75" i="12"/>
  <c r="S75" i="12"/>
  <c r="T75" i="12"/>
  <c r="W75" i="12"/>
  <c r="AK75" i="12"/>
  <c r="AL75" i="12"/>
  <c r="AM75" i="12"/>
  <c r="AN75" i="12" s="1"/>
  <c r="C70" i="12"/>
  <c r="C71" i="12"/>
  <c r="C72" i="12"/>
  <c r="C73" i="12"/>
  <c r="C74" i="12"/>
  <c r="E70" i="12"/>
  <c r="E71" i="12"/>
  <c r="E72" i="12"/>
  <c r="E73" i="12"/>
  <c r="E74" i="12"/>
  <c r="G70" i="12"/>
  <c r="G71" i="12"/>
  <c r="G72" i="12"/>
  <c r="G73" i="12"/>
  <c r="G74" i="12"/>
  <c r="R70" i="12"/>
  <c r="X70" i="12" s="1"/>
  <c r="Y70" i="12" s="1"/>
  <c r="R71" i="12"/>
  <c r="U71" i="12" s="1"/>
  <c r="R72" i="12"/>
  <c r="R73" i="12"/>
  <c r="R74" i="12"/>
  <c r="S70" i="12"/>
  <c r="S71" i="12"/>
  <c r="S72" i="12"/>
  <c r="S73" i="12"/>
  <c r="S74" i="12"/>
  <c r="T70" i="12"/>
  <c r="T71" i="12"/>
  <c r="T72" i="12"/>
  <c r="U72" i="12" s="1"/>
  <c r="T73" i="12"/>
  <c r="U73" i="12" s="1"/>
  <c r="T74" i="12"/>
  <c r="W70" i="12"/>
  <c r="W71" i="12"/>
  <c r="W72" i="12"/>
  <c r="W73" i="12"/>
  <c r="W74" i="12"/>
  <c r="AK70" i="12"/>
  <c r="AK71" i="12"/>
  <c r="AK72" i="12"/>
  <c r="AK73" i="12"/>
  <c r="AK74" i="12"/>
  <c r="AL70" i="12"/>
  <c r="AL71" i="12"/>
  <c r="AL72" i="12"/>
  <c r="AL73" i="12"/>
  <c r="AL74" i="12"/>
  <c r="AM70" i="12"/>
  <c r="AN70" i="12" s="1"/>
  <c r="AM71" i="12"/>
  <c r="AM72" i="12"/>
  <c r="AO72" i="12" s="1"/>
  <c r="AP72" i="12" s="1"/>
  <c r="AM73" i="12"/>
  <c r="AO73" i="12" s="1"/>
  <c r="AP73" i="12" s="1"/>
  <c r="AM74" i="12"/>
  <c r="AN74" i="12" s="1"/>
  <c r="AN71" i="12"/>
  <c r="AN72" i="12"/>
  <c r="AO70" i="12"/>
  <c r="AP70" i="12" s="1"/>
  <c r="AO71" i="12"/>
  <c r="AP71" i="12" s="1"/>
  <c r="AO74" i="12"/>
  <c r="AP74" i="12" s="1"/>
  <c r="C69" i="12"/>
  <c r="E69" i="12"/>
  <c r="G69" i="12"/>
  <c r="R69" i="12"/>
  <c r="U69" i="12" s="1"/>
  <c r="S69" i="12"/>
  <c r="T69" i="12"/>
  <c r="W69" i="12"/>
  <c r="AK69" i="12"/>
  <c r="AL69" i="12"/>
  <c r="AM69" i="12"/>
  <c r="AN69" i="12" s="1"/>
  <c r="C68" i="12"/>
  <c r="E68" i="12"/>
  <c r="G68" i="12"/>
  <c r="R68" i="12"/>
  <c r="S68" i="12"/>
  <c r="T68" i="12"/>
  <c r="W68" i="12"/>
  <c r="AK68" i="12"/>
  <c r="AL68" i="12"/>
  <c r="AM68" i="12"/>
  <c r="AN68" i="12" s="1"/>
  <c r="C67" i="12"/>
  <c r="E67" i="12"/>
  <c r="G67" i="12"/>
  <c r="R67" i="12"/>
  <c r="S67" i="12"/>
  <c r="T67" i="12"/>
  <c r="W67" i="12"/>
  <c r="AK67" i="12"/>
  <c r="AL67" i="12"/>
  <c r="AM67" i="12"/>
  <c r="AN67" i="12" s="1"/>
  <c r="C62" i="12"/>
  <c r="C63" i="12"/>
  <c r="C64" i="12"/>
  <c r="C65" i="12"/>
  <c r="C66" i="12"/>
  <c r="E62" i="12"/>
  <c r="E63" i="12"/>
  <c r="E64" i="12"/>
  <c r="E65" i="12"/>
  <c r="E66" i="12"/>
  <c r="G62" i="12"/>
  <c r="G63" i="12"/>
  <c r="G64" i="12"/>
  <c r="G65" i="12"/>
  <c r="G66" i="12"/>
  <c r="R62" i="12"/>
  <c r="R63" i="12"/>
  <c r="R64" i="12"/>
  <c r="R65" i="12"/>
  <c r="R66" i="12"/>
  <c r="S62" i="12"/>
  <c r="S63" i="12"/>
  <c r="S64" i="12"/>
  <c r="S65" i="12"/>
  <c r="S66" i="12"/>
  <c r="T62" i="12"/>
  <c r="T63" i="12"/>
  <c r="T64" i="12"/>
  <c r="U64" i="12" s="1"/>
  <c r="T65" i="12"/>
  <c r="T66" i="12"/>
  <c r="W62" i="12"/>
  <c r="W63" i="12"/>
  <c r="W64" i="12"/>
  <c r="W65" i="12"/>
  <c r="W66" i="12"/>
  <c r="AK62" i="12"/>
  <c r="AK63" i="12"/>
  <c r="AK64" i="12"/>
  <c r="AK65" i="12"/>
  <c r="AK66" i="12"/>
  <c r="AL62" i="12"/>
  <c r="AL63" i="12"/>
  <c r="AL64" i="12"/>
  <c r="AL65" i="12"/>
  <c r="AL66" i="12"/>
  <c r="AM62" i="12"/>
  <c r="AN62" i="12" s="1"/>
  <c r="AM63" i="12"/>
  <c r="AO63" i="12" s="1"/>
  <c r="AP63" i="12" s="1"/>
  <c r="AM64" i="12"/>
  <c r="AO64" i="12" s="1"/>
  <c r="AP64" i="12" s="1"/>
  <c r="AM65" i="12"/>
  <c r="AO65" i="12" s="1"/>
  <c r="AP65" i="12" s="1"/>
  <c r="AM66" i="12"/>
  <c r="AN66" i="12" s="1"/>
  <c r="C61" i="12"/>
  <c r="E61" i="12"/>
  <c r="G61" i="12"/>
  <c r="R61" i="12"/>
  <c r="S61" i="12"/>
  <c r="T61" i="12"/>
  <c r="W61" i="12"/>
  <c r="AK61" i="12"/>
  <c r="AL61" i="12"/>
  <c r="AM61" i="12"/>
  <c r="AN61" i="12" s="1"/>
  <c r="C60" i="12"/>
  <c r="E60" i="12"/>
  <c r="G60" i="12"/>
  <c r="R60" i="12"/>
  <c r="S60" i="12"/>
  <c r="T60" i="12" s="1"/>
  <c r="W60" i="12"/>
  <c r="AK60" i="12"/>
  <c r="AL60" i="12"/>
  <c r="AM60" i="12"/>
  <c r="AN60" i="12" s="1"/>
  <c r="C59" i="12"/>
  <c r="E59" i="12"/>
  <c r="G59" i="12"/>
  <c r="R59" i="12"/>
  <c r="S59" i="12"/>
  <c r="T59" i="12" s="1"/>
  <c r="W59" i="12"/>
  <c r="AK59" i="12"/>
  <c r="AL59" i="12"/>
  <c r="AM59" i="12"/>
  <c r="AN59" i="12" s="1"/>
  <c r="C58" i="12"/>
  <c r="E58" i="12"/>
  <c r="G58" i="12"/>
  <c r="R58" i="12"/>
  <c r="S58" i="12"/>
  <c r="T58" i="12" s="1"/>
  <c r="W58" i="12"/>
  <c r="AK58" i="12"/>
  <c r="AL58" i="12"/>
  <c r="AM58" i="12"/>
  <c r="AO58" i="12" s="1"/>
  <c r="AP58" i="12" s="1"/>
  <c r="C57" i="12"/>
  <c r="E57" i="12"/>
  <c r="G57" i="12"/>
  <c r="R57" i="12"/>
  <c r="S57" i="12"/>
  <c r="T57" i="12" s="1"/>
  <c r="W57" i="12"/>
  <c r="AK57" i="12"/>
  <c r="AL57" i="12"/>
  <c r="AM57" i="12"/>
  <c r="AO57" i="12" s="1"/>
  <c r="AP57" i="12" s="1"/>
  <c r="C56" i="12"/>
  <c r="E56" i="12"/>
  <c r="G56" i="12"/>
  <c r="R56" i="12"/>
  <c r="S56" i="12"/>
  <c r="T56" i="12" s="1"/>
  <c r="W56" i="12"/>
  <c r="AK56" i="12"/>
  <c r="AL56" i="12"/>
  <c r="AM56" i="12"/>
  <c r="AO56" i="12" s="1"/>
  <c r="AP56" i="12" s="1"/>
  <c r="C55" i="12"/>
  <c r="E55" i="12"/>
  <c r="G55" i="12"/>
  <c r="R55" i="12"/>
  <c r="S55" i="12"/>
  <c r="T55" i="12" s="1"/>
  <c r="W55" i="12"/>
  <c r="AK55" i="12"/>
  <c r="AL55" i="12"/>
  <c r="AM55" i="12"/>
  <c r="AO55" i="12" s="1"/>
  <c r="AP55" i="12" s="1"/>
  <c r="C54" i="12"/>
  <c r="E54" i="12"/>
  <c r="G54" i="12"/>
  <c r="R54" i="12"/>
  <c r="S54" i="12"/>
  <c r="T54" i="12" s="1"/>
  <c r="W54" i="12"/>
  <c r="AK54" i="12"/>
  <c r="AL54" i="12"/>
  <c r="AM54" i="12"/>
  <c r="AO54" i="12" s="1"/>
  <c r="AP54" i="12" s="1"/>
  <c r="C53" i="12"/>
  <c r="E53" i="12"/>
  <c r="G53" i="12"/>
  <c r="R53" i="12"/>
  <c r="S53" i="12"/>
  <c r="T53" i="12" s="1"/>
  <c r="W53" i="12"/>
  <c r="AK53" i="12"/>
  <c r="AL53" i="12"/>
  <c r="AM53" i="12"/>
  <c r="AO53" i="12" s="1"/>
  <c r="AP53" i="12" s="1"/>
  <c r="C52" i="12"/>
  <c r="E52" i="12"/>
  <c r="G52" i="12"/>
  <c r="R52" i="12"/>
  <c r="S52" i="12"/>
  <c r="T52" i="12" s="1"/>
  <c r="W52" i="12"/>
  <c r="AK52" i="12"/>
  <c r="AL52" i="12"/>
  <c r="AM52" i="12"/>
  <c r="AO52" i="12" s="1"/>
  <c r="AP52" i="12" s="1"/>
  <c r="C51" i="12"/>
  <c r="E51" i="12"/>
  <c r="G51" i="12"/>
  <c r="R51" i="12"/>
  <c r="S51" i="12"/>
  <c r="T51" i="12" s="1"/>
  <c r="W51" i="12"/>
  <c r="AK51" i="12"/>
  <c r="AL51" i="12"/>
  <c r="AM51" i="12"/>
  <c r="AO51" i="12" s="1"/>
  <c r="AP51" i="12" s="1"/>
  <c r="C50" i="12"/>
  <c r="E50" i="12"/>
  <c r="G50" i="12"/>
  <c r="R50" i="12"/>
  <c r="S50" i="12"/>
  <c r="T50" i="12" s="1"/>
  <c r="W50" i="12"/>
  <c r="AK50" i="12"/>
  <c r="AL50" i="12"/>
  <c r="AM50" i="12"/>
  <c r="AN50" i="12" s="1"/>
  <c r="C49" i="12"/>
  <c r="E49" i="12"/>
  <c r="G49" i="12"/>
  <c r="R49" i="12"/>
  <c r="S49" i="12"/>
  <c r="T49" i="12" s="1"/>
  <c r="W49" i="12"/>
  <c r="AK49" i="12"/>
  <c r="AL49" i="12"/>
  <c r="AM49" i="12"/>
  <c r="AN49" i="12" s="1"/>
  <c r="C48" i="12"/>
  <c r="E48" i="12"/>
  <c r="G48" i="12"/>
  <c r="R48" i="12"/>
  <c r="S48" i="12"/>
  <c r="T48" i="12" s="1"/>
  <c r="W48" i="12"/>
  <c r="AK48" i="12"/>
  <c r="AL48" i="12"/>
  <c r="AM48" i="12"/>
  <c r="AO48" i="12" s="1"/>
  <c r="AP48" i="12" s="1"/>
  <c r="C47" i="12"/>
  <c r="E47" i="12"/>
  <c r="G47" i="12"/>
  <c r="R47" i="12"/>
  <c r="S47" i="12"/>
  <c r="T47" i="12" s="1"/>
  <c r="W47" i="12"/>
  <c r="AK47" i="12"/>
  <c r="AL47" i="12"/>
  <c r="AM47" i="12"/>
  <c r="AN47" i="12" s="1"/>
  <c r="C46" i="12"/>
  <c r="E46" i="12"/>
  <c r="G46" i="12"/>
  <c r="R46" i="12"/>
  <c r="S46" i="12"/>
  <c r="T46" i="12" s="1"/>
  <c r="W46" i="12"/>
  <c r="AK46" i="12"/>
  <c r="AL46" i="12"/>
  <c r="AM46" i="12"/>
  <c r="AN46" i="12" s="1"/>
  <c r="C45" i="12"/>
  <c r="E45" i="12"/>
  <c r="G45" i="12"/>
  <c r="R45" i="12"/>
  <c r="S45" i="12"/>
  <c r="T45" i="12" s="1"/>
  <c r="W45" i="12"/>
  <c r="AK45" i="12"/>
  <c r="AL45" i="12"/>
  <c r="AM45" i="12"/>
  <c r="AO45" i="12" s="1"/>
  <c r="AP45" i="12" s="1"/>
  <c r="C44" i="12"/>
  <c r="E44" i="12"/>
  <c r="G44" i="12"/>
  <c r="R44" i="12"/>
  <c r="S44" i="12"/>
  <c r="T44" i="12" s="1"/>
  <c r="W44" i="12"/>
  <c r="AK44" i="12"/>
  <c r="AL44" i="12"/>
  <c r="AM44" i="12"/>
  <c r="AO44" i="12" s="1"/>
  <c r="AP44" i="12" s="1"/>
  <c r="C43" i="12"/>
  <c r="E43" i="12"/>
  <c r="G43" i="12"/>
  <c r="R43" i="12"/>
  <c r="S43" i="12"/>
  <c r="T43" i="12"/>
  <c r="W43" i="12"/>
  <c r="AK43" i="12"/>
  <c r="AL43" i="12"/>
  <c r="AM43" i="12"/>
  <c r="AO43" i="12" s="1"/>
  <c r="AP43" i="12" s="1"/>
  <c r="C42" i="12"/>
  <c r="E42" i="12"/>
  <c r="G42" i="12"/>
  <c r="R42" i="12"/>
  <c r="S42" i="12"/>
  <c r="T42" i="12" s="1"/>
  <c r="W42" i="12"/>
  <c r="AK42" i="12"/>
  <c r="AL42" i="12"/>
  <c r="AM42" i="12"/>
  <c r="AN42" i="12" s="1"/>
  <c r="C41" i="12"/>
  <c r="E41" i="12"/>
  <c r="G41" i="12"/>
  <c r="R41" i="12"/>
  <c r="S41" i="12"/>
  <c r="T41" i="12" s="1"/>
  <c r="W41" i="12"/>
  <c r="AK41" i="12"/>
  <c r="AL41" i="12"/>
  <c r="AM41" i="12"/>
  <c r="AO41" i="12" s="1"/>
  <c r="AP41" i="12" s="1"/>
  <c r="C40" i="12"/>
  <c r="E40" i="12"/>
  <c r="G40" i="12"/>
  <c r="R40" i="12"/>
  <c r="S40" i="12"/>
  <c r="T40" i="12" s="1"/>
  <c r="W40" i="12"/>
  <c r="AK40" i="12"/>
  <c r="AL40" i="12"/>
  <c r="AM40" i="12"/>
  <c r="AO40" i="12" s="1"/>
  <c r="AP40" i="12" s="1"/>
  <c r="C39" i="12"/>
  <c r="E39" i="12"/>
  <c r="G39" i="12"/>
  <c r="R39" i="12"/>
  <c r="S39" i="12"/>
  <c r="T39" i="12" s="1"/>
  <c r="W39" i="12"/>
  <c r="AK39" i="12"/>
  <c r="AL39" i="12"/>
  <c r="AM39" i="12"/>
  <c r="AO39" i="12" s="1"/>
  <c r="AP39" i="12" s="1"/>
  <c r="C38" i="12"/>
  <c r="E38" i="12"/>
  <c r="G38" i="12"/>
  <c r="R38" i="12"/>
  <c r="S38" i="12"/>
  <c r="T38" i="12" s="1"/>
  <c r="W38" i="12"/>
  <c r="AK38" i="12"/>
  <c r="AL38" i="12"/>
  <c r="AM38" i="12"/>
  <c r="AO38" i="12" s="1"/>
  <c r="AP38" i="12" s="1"/>
  <c r="C37" i="12"/>
  <c r="E37" i="12"/>
  <c r="G37" i="12"/>
  <c r="R37" i="12"/>
  <c r="S37" i="12"/>
  <c r="T37" i="12" s="1"/>
  <c r="W37" i="12"/>
  <c r="AK37" i="12"/>
  <c r="AL37" i="12"/>
  <c r="AM37" i="12"/>
  <c r="AO37" i="12" s="1"/>
  <c r="AP37" i="12" s="1"/>
  <c r="C36" i="12"/>
  <c r="E36" i="12"/>
  <c r="G36" i="12"/>
  <c r="R36" i="12"/>
  <c r="S36" i="12"/>
  <c r="T36" i="12" s="1"/>
  <c r="W36" i="12"/>
  <c r="AK36" i="12"/>
  <c r="AL36" i="12"/>
  <c r="AM36" i="12"/>
  <c r="AO36" i="12" s="1"/>
  <c r="AP36" i="12" s="1"/>
  <c r="C35" i="12"/>
  <c r="E35" i="12"/>
  <c r="G35" i="12"/>
  <c r="R35" i="12"/>
  <c r="S35" i="12"/>
  <c r="T35" i="12" s="1"/>
  <c r="W35" i="12"/>
  <c r="AK35" i="12"/>
  <c r="AL35" i="12"/>
  <c r="AM35" i="12"/>
  <c r="AN35" i="12" s="1"/>
  <c r="C34" i="12"/>
  <c r="E34" i="12"/>
  <c r="G34" i="12"/>
  <c r="R34" i="12"/>
  <c r="S34" i="12"/>
  <c r="T34" i="12" s="1"/>
  <c r="W34" i="12"/>
  <c r="AK34" i="12"/>
  <c r="AL34" i="12"/>
  <c r="AM34" i="12"/>
  <c r="AN34" i="12" s="1"/>
  <c r="C33" i="12"/>
  <c r="E33" i="12"/>
  <c r="G33" i="12"/>
  <c r="R33" i="12"/>
  <c r="S33" i="12"/>
  <c r="T33" i="12" s="1"/>
  <c r="W33" i="12"/>
  <c r="AK33" i="12"/>
  <c r="AL33" i="12"/>
  <c r="AM33" i="12"/>
  <c r="AN33" i="12" s="1"/>
  <c r="C32" i="12"/>
  <c r="E32" i="12"/>
  <c r="G32" i="12"/>
  <c r="R32" i="12"/>
  <c r="S32" i="12"/>
  <c r="T32" i="12" s="1"/>
  <c r="U32" i="12" s="1"/>
  <c r="W32" i="12"/>
  <c r="AK32" i="12"/>
  <c r="AL32" i="12"/>
  <c r="AM32" i="12"/>
  <c r="AN32" i="12" s="1"/>
  <c r="C31" i="12"/>
  <c r="E31" i="12"/>
  <c r="G31" i="12"/>
  <c r="R31" i="12"/>
  <c r="S31" i="12"/>
  <c r="T31" i="12" s="1"/>
  <c r="U31" i="12" s="1"/>
  <c r="W31" i="12"/>
  <c r="AK31" i="12"/>
  <c r="AL31" i="12"/>
  <c r="AM31" i="12"/>
  <c r="AN31" i="12" s="1"/>
  <c r="C30" i="12"/>
  <c r="E30" i="12"/>
  <c r="G30" i="12"/>
  <c r="R30" i="12"/>
  <c r="S30" i="12"/>
  <c r="T30" i="12" s="1"/>
  <c r="W30" i="12"/>
  <c r="AK30" i="12"/>
  <c r="AL30" i="12"/>
  <c r="AM30" i="12"/>
  <c r="AO30" i="12" s="1"/>
  <c r="AP30" i="12" s="1"/>
  <c r="C29" i="12"/>
  <c r="E29" i="12"/>
  <c r="G29" i="12"/>
  <c r="R29" i="12"/>
  <c r="S29" i="12"/>
  <c r="T29" i="12" s="1"/>
  <c r="W29" i="12"/>
  <c r="AK29" i="12"/>
  <c r="AL29" i="12"/>
  <c r="AM29" i="12"/>
  <c r="AN29" i="12" s="1"/>
  <c r="C28" i="12"/>
  <c r="E28" i="12"/>
  <c r="G28" i="12"/>
  <c r="R28" i="12"/>
  <c r="S28" i="12"/>
  <c r="T28" i="12" s="1"/>
  <c r="W28" i="12"/>
  <c r="AK28" i="12"/>
  <c r="AL28" i="12"/>
  <c r="AM28" i="12"/>
  <c r="AO28" i="12" s="1"/>
  <c r="AP28" i="12" s="1"/>
  <c r="C27" i="12"/>
  <c r="E27" i="12"/>
  <c r="G27" i="12"/>
  <c r="R27" i="12"/>
  <c r="S27" i="12"/>
  <c r="T27" i="12" s="1"/>
  <c r="W27" i="12"/>
  <c r="AK27" i="12"/>
  <c r="AL27" i="12"/>
  <c r="AM27" i="12"/>
  <c r="AO27" i="12" s="1"/>
  <c r="AP27" i="12" s="1"/>
  <c r="C26" i="12"/>
  <c r="E26" i="12"/>
  <c r="G26" i="12"/>
  <c r="R26" i="12"/>
  <c r="S26" i="12"/>
  <c r="T26" i="12" s="1"/>
  <c r="W26" i="12"/>
  <c r="AK26" i="12"/>
  <c r="AL26" i="12"/>
  <c r="AM26" i="12"/>
  <c r="AN26" i="12" s="1"/>
  <c r="X75" i="12" l="1"/>
  <c r="Y75" i="12" s="1"/>
  <c r="AO75" i="12"/>
  <c r="AP75" i="12" s="1"/>
  <c r="U75" i="12"/>
  <c r="X71" i="12"/>
  <c r="Y71" i="12" s="1"/>
  <c r="X68" i="12"/>
  <c r="Y68" i="12" s="1"/>
  <c r="X67" i="12"/>
  <c r="Y67" i="12" s="1"/>
  <c r="X63" i="12"/>
  <c r="Y63" i="12" s="1"/>
  <c r="U70" i="12"/>
  <c r="X62" i="12"/>
  <c r="Y62" i="12" s="1"/>
  <c r="U68" i="12"/>
  <c r="X74" i="12"/>
  <c r="Y74" i="12" s="1"/>
  <c r="U66" i="12"/>
  <c r="X69" i="12"/>
  <c r="Y69" i="12" s="1"/>
  <c r="U65" i="12"/>
  <c r="U61" i="12"/>
  <c r="X73" i="12"/>
  <c r="Y73" i="12" s="1"/>
  <c r="U74" i="12"/>
  <c r="X66" i="12"/>
  <c r="Y66" i="12" s="1"/>
  <c r="X72" i="12"/>
  <c r="Y72" i="12" s="1"/>
  <c r="U63" i="12"/>
  <c r="AO67" i="12"/>
  <c r="AP67" i="12" s="1"/>
  <c r="AN63" i="12"/>
  <c r="AN73" i="12"/>
  <c r="AO68" i="12"/>
  <c r="AP68" i="12" s="1"/>
  <c r="AO69" i="12"/>
  <c r="AP69" i="12" s="1"/>
  <c r="U62" i="12"/>
  <c r="U67" i="12"/>
  <c r="X61" i="12"/>
  <c r="Y61" i="12" s="1"/>
  <c r="AN65" i="12"/>
  <c r="U53" i="12"/>
  <c r="U47" i="12"/>
  <c r="AO66" i="12"/>
  <c r="AP66" i="12" s="1"/>
  <c r="U57" i="12"/>
  <c r="U37" i="12"/>
  <c r="U51" i="12"/>
  <c r="AN64" i="12"/>
  <c r="AO62" i="12"/>
  <c r="AP62" i="12" s="1"/>
  <c r="U49" i="12"/>
  <c r="U55" i="12"/>
  <c r="X65" i="12"/>
  <c r="Y65" i="12" s="1"/>
  <c r="X64" i="12"/>
  <c r="Y64" i="12" s="1"/>
  <c r="U59" i="12"/>
  <c r="U41" i="12"/>
  <c r="AO61" i="12"/>
  <c r="AP61" i="12" s="1"/>
  <c r="X35" i="12"/>
  <c r="Y35" i="12" s="1"/>
  <c r="X33" i="12"/>
  <c r="Y33" i="12" s="1"/>
  <c r="X45" i="12"/>
  <c r="Y45" i="12" s="1"/>
  <c r="X43" i="12"/>
  <c r="Y43" i="12" s="1"/>
  <c r="X39" i="12"/>
  <c r="Y39" i="12" s="1"/>
  <c r="U36" i="12"/>
  <c r="X40" i="12"/>
  <c r="Y40" i="12" s="1"/>
  <c r="U44" i="12"/>
  <c r="U48" i="12"/>
  <c r="U52" i="12"/>
  <c r="U56" i="12"/>
  <c r="U60" i="12"/>
  <c r="X38" i="12"/>
  <c r="Y38" i="12" s="1"/>
  <c r="U34" i="12"/>
  <c r="U42" i="12"/>
  <c r="U46" i="12"/>
  <c r="U50" i="12"/>
  <c r="X54" i="12"/>
  <c r="Y54" i="12" s="1"/>
  <c r="U58" i="12"/>
  <c r="X30" i="12"/>
  <c r="Y30" i="12" s="1"/>
  <c r="X28" i="12"/>
  <c r="Y28" i="12" s="1"/>
  <c r="X27" i="12"/>
  <c r="Y27" i="12" s="1"/>
  <c r="U26" i="12"/>
  <c r="U29" i="12"/>
  <c r="AN56" i="12"/>
  <c r="X57" i="12"/>
  <c r="Y57" i="12" s="1"/>
  <c r="X60" i="12"/>
  <c r="Y60" i="12" s="1"/>
  <c r="U54" i="12"/>
  <c r="X58" i="12"/>
  <c r="Y58" i="12" s="1"/>
  <c r="AN58" i="12"/>
  <c r="AO60" i="12"/>
  <c r="AP60" i="12" s="1"/>
  <c r="AO59" i="12"/>
  <c r="AP59" i="12" s="1"/>
  <c r="X59" i="12"/>
  <c r="Y59" i="12" s="1"/>
  <c r="AN51" i="12"/>
  <c r="AN54" i="12"/>
  <c r="AN55" i="12"/>
  <c r="AN57" i="12"/>
  <c r="AN52" i="12"/>
  <c r="U30" i="12"/>
  <c r="X56" i="12"/>
  <c r="Y56" i="12" s="1"/>
  <c r="X55" i="12"/>
  <c r="Y55" i="12" s="1"/>
  <c r="X51" i="12"/>
  <c r="Y51" i="12" s="1"/>
  <c r="AN53" i="12"/>
  <c r="U43" i="12"/>
  <c r="X53" i="12"/>
  <c r="Y53" i="12" s="1"/>
  <c r="U45" i="12"/>
  <c r="X48" i="12"/>
  <c r="Y48" i="12" s="1"/>
  <c r="X52" i="12"/>
  <c r="Y52" i="12" s="1"/>
  <c r="AO50" i="12"/>
  <c r="AP50" i="12" s="1"/>
  <c r="X50" i="12"/>
  <c r="Y50" i="12" s="1"/>
  <c r="X46" i="12"/>
  <c r="Y46" i="12" s="1"/>
  <c r="AN43" i="12"/>
  <c r="AO46" i="12"/>
  <c r="AP46" i="12" s="1"/>
  <c r="AN48" i="12"/>
  <c r="AO49" i="12"/>
  <c r="AP49" i="12" s="1"/>
  <c r="X49" i="12"/>
  <c r="Y49" i="12" s="1"/>
  <c r="AN45" i="12"/>
  <c r="AO47" i="12"/>
  <c r="AP47" i="12" s="1"/>
  <c r="X47" i="12"/>
  <c r="Y47" i="12" s="1"/>
  <c r="AN38" i="12"/>
  <c r="AN39" i="12"/>
  <c r="U39" i="12"/>
  <c r="X36" i="12"/>
  <c r="Y36" i="12" s="1"/>
  <c r="AN44" i="12"/>
  <c r="U35" i="12"/>
  <c r="AN37" i="12"/>
  <c r="X41" i="12"/>
  <c r="Y41" i="12" s="1"/>
  <c r="X44" i="12"/>
  <c r="Y44" i="12" s="1"/>
  <c r="AN41" i="12"/>
  <c r="X37" i="12"/>
  <c r="Y37" i="12" s="1"/>
  <c r="AO42" i="12"/>
  <c r="AP42" i="12" s="1"/>
  <c r="X42" i="12"/>
  <c r="Y42" i="12" s="1"/>
  <c r="U38" i="12"/>
  <c r="U40" i="12"/>
  <c r="AO32" i="12"/>
  <c r="AP32" i="12" s="1"/>
  <c r="AN40" i="12"/>
  <c r="AO35" i="12"/>
  <c r="AP35" i="12" s="1"/>
  <c r="U33" i="12"/>
  <c r="AN36" i="12"/>
  <c r="AN30" i="12"/>
  <c r="X32" i="12"/>
  <c r="Y32" i="12" s="1"/>
  <c r="AO34" i="12"/>
  <c r="AP34" i="12" s="1"/>
  <c r="X34" i="12"/>
  <c r="Y34" i="12" s="1"/>
  <c r="AO29" i="12"/>
  <c r="AP29" i="12" s="1"/>
  <c r="X26" i="12"/>
  <c r="Y26" i="12" s="1"/>
  <c r="AN28" i="12"/>
  <c r="U27" i="12"/>
  <c r="X29" i="12"/>
  <c r="Y29" i="12" s="1"/>
  <c r="AO33" i="12"/>
  <c r="AP33" i="12" s="1"/>
  <c r="AO31" i="12"/>
  <c r="AP31" i="12" s="1"/>
  <c r="X31" i="12"/>
  <c r="Y31" i="12" s="1"/>
  <c r="AN27" i="12"/>
  <c r="U28" i="12"/>
  <c r="AO26" i="12"/>
  <c r="AP26" i="12" s="1"/>
  <c r="C17" i="12" l="1"/>
  <c r="R5" i="12" l="1"/>
  <c r="S5" i="12"/>
  <c r="T5" i="12" s="1"/>
  <c r="W5" i="12"/>
  <c r="R6" i="12"/>
  <c r="S6" i="12"/>
  <c r="T6" i="12" s="1"/>
  <c r="W6" i="12"/>
  <c r="R7" i="12"/>
  <c r="S7" i="12"/>
  <c r="T7" i="12" s="1"/>
  <c r="W7" i="12"/>
  <c r="R8" i="12"/>
  <c r="S8" i="12"/>
  <c r="T8" i="12" s="1"/>
  <c r="W8" i="12"/>
  <c r="R9" i="12"/>
  <c r="S9" i="12"/>
  <c r="T9" i="12" s="1"/>
  <c r="W9" i="12"/>
  <c r="R10" i="12"/>
  <c r="S10" i="12"/>
  <c r="T10" i="12" s="1"/>
  <c r="W10" i="12"/>
  <c r="R11" i="12"/>
  <c r="S11" i="12"/>
  <c r="T11" i="12" s="1"/>
  <c r="W11" i="12"/>
  <c r="R12" i="12"/>
  <c r="S12" i="12"/>
  <c r="T12" i="12" s="1"/>
  <c r="W12" i="12"/>
  <c r="R13" i="12"/>
  <c r="S13" i="12"/>
  <c r="T13" i="12" s="1"/>
  <c r="W13" i="12"/>
  <c r="R14" i="12"/>
  <c r="S14" i="12"/>
  <c r="T14" i="12" s="1"/>
  <c r="W14" i="12"/>
  <c r="R15" i="12"/>
  <c r="S15" i="12"/>
  <c r="T15" i="12" s="1"/>
  <c r="W15" i="12"/>
  <c r="R16" i="12"/>
  <c r="S16" i="12"/>
  <c r="T16" i="12" s="1"/>
  <c r="W16" i="12"/>
  <c r="R17" i="12"/>
  <c r="S17" i="12"/>
  <c r="T17" i="12" s="1"/>
  <c r="W17" i="12"/>
  <c r="R18" i="12"/>
  <c r="S18" i="12"/>
  <c r="T18" i="12" s="1"/>
  <c r="W18" i="12"/>
  <c r="R19" i="12"/>
  <c r="S19" i="12"/>
  <c r="T19" i="12" s="1"/>
  <c r="W19" i="12"/>
  <c r="R20" i="12"/>
  <c r="S20" i="12"/>
  <c r="T20" i="12" s="1"/>
  <c r="W20" i="12"/>
  <c r="R21" i="12"/>
  <c r="S21" i="12"/>
  <c r="T21" i="12" s="1"/>
  <c r="W21" i="12"/>
  <c r="R22" i="12"/>
  <c r="S22" i="12"/>
  <c r="T22" i="12" s="1"/>
  <c r="W22" i="12"/>
  <c r="R23" i="12"/>
  <c r="S23" i="12"/>
  <c r="T23" i="12" s="1"/>
  <c r="W23" i="12"/>
  <c r="R24" i="12"/>
  <c r="S24" i="12"/>
  <c r="T24" i="12" s="1"/>
  <c r="W24" i="12"/>
  <c r="R25" i="12"/>
  <c r="S25" i="12"/>
  <c r="T25" i="12" s="1"/>
  <c r="W25" i="12"/>
  <c r="C25" i="12"/>
  <c r="E25" i="12"/>
  <c r="G25" i="12"/>
  <c r="AK25" i="12"/>
  <c r="AL25" i="12"/>
  <c r="AM25" i="12"/>
  <c r="AN25" i="12" s="1"/>
  <c r="C24" i="12"/>
  <c r="E24" i="12"/>
  <c r="G24" i="12"/>
  <c r="AK24" i="12"/>
  <c r="AL24" i="12"/>
  <c r="AM24" i="12"/>
  <c r="AN24" i="12" s="1"/>
  <c r="C11" i="12"/>
  <c r="E11" i="12"/>
  <c r="G11" i="12"/>
  <c r="AK11" i="12"/>
  <c r="AL11" i="12"/>
  <c r="AM11" i="12"/>
  <c r="AO11" i="12" s="1"/>
  <c r="AP11" i="12" s="1"/>
  <c r="C8" i="12"/>
  <c r="E8" i="12"/>
  <c r="G8" i="12"/>
  <c r="AK8" i="12"/>
  <c r="AL8" i="12"/>
  <c r="AM8" i="12"/>
  <c r="AN8" i="12" s="1"/>
  <c r="C6" i="12"/>
  <c r="E6" i="12"/>
  <c r="G6" i="12"/>
  <c r="AK6" i="12"/>
  <c r="AL6" i="12"/>
  <c r="AM6" i="12"/>
  <c r="AO6" i="12" s="1"/>
  <c r="AP6" i="12" s="1"/>
  <c r="C18" i="12"/>
  <c r="E18" i="12"/>
  <c r="G18" i="12"/>
  <c r="AK18" i="12"/>
  <c r="AL18" i="12"/>
  <c r="AM18" i="12"/>
  <c r="AN18" i="12" s="1"/>
  <c r="C19" i="12"/>
  <c r="E19" i="12"/>
  <c r="G19" i="12"/>
  <c r="AK19" i="12"/>
  <c r="AL19" i="12"/>
  <c r="AM19" i="12"/>
  <c r="AN19" i="12" s="1"/>
  <c r="C20" i="12"/>
  <c r="E20" i="12"/>
  <c r="G20" i="12"/>
  <c r="AK20" i="12"/>
  <c r="AL20" i="12"/>
  <c r="AM20" i="12"/>
  <c r="AN20" i="12" s="1"/>
  <c r="C21" i="12"/>
  <c r="E21" i="12"/>
  <c r="G21" i="12"/>
  <c r="AK21" i="12"/>
  <c r="AL21" i="12"/>
  <c r="AM21" i="12"/>
  <c r="AN21" i="12" s="1"/>
  <c r="C22" i="12"/>
  <c r="E22" i="12"/>
  <c r="G22" i="12"/>
  <c r="AK22" i="12"/>
  <c r="AL22" i="12"/>
  <c r="AM22" i="12"/>
  <c r="AN22" i="12" s="1"/>
  <c r="C23" i="12"/>
  <c r="E23" i="12"/>
  <c r="G23" i="12"/>
  <c r="AK23" i="12"/>
  <c r="AL23" i="12"/>
  <c r="AM23" i="12"/>
  <c r="AN23" i="12" s="1"/>
  <c r="C10" i="12"/>
  <c r="E10" i="12"/>
  <c r="G10" i="12"/>
  <c r="AK10" i="12"/>
  <c r="AL10" i="12"/>
  <c r="AM10" i="12"/>
  <c r="AO10" i="12" s="1"/>
  <c r="AP10" i="12" s="1"/>
  <c r="C12" i="12"/>
  <c r="E12" i="12"/>
  <c r="G12" i="12"/>
  <c r="AK12" i="12"/>
  <c r="AL12" i="12"/>
  <c r="AM12" i="12"/>
  <c r="AN12" i="12" s="1"/>
  <c r="C13" i="12"/>
  <c r="E13" i="12"/>
  <c r="G13" i="12"/>
  <c r="AK13" i="12"/>
  <c r="AL13" i="12"/>
  <c r="AM13" i="12"/>
  <c r="AN13" i="12" s="1"/>
  <c r="C14" i="12"/>
  <c r="E14" i="12"/>
  <c r="G14" i="12"/>
  <c r="AK14" i="12"/>
  <c r="AL14" i="12"/>
  <c r="AM14" i="12"/>
  <c r="AN14" i="12" s="1"/>
  <c r="C15" i="12"/>
  <c r="E15" i="12"/>
  <c r="G15" i="12"/>
  <c r="AK15" i="12"/>
  <c r="AL15" i="12"/>
  <c r="AM15" i="12"/>
  <c r="AO15" i="12" s="1"/>
  <c r="AP15" i="12" s="1"/>
  <c r="C16" i="12"/>
  <c r="E16" i="12"/>
  <c r="G16" i="12"/>
  <c r="AK16" i="12"/>
  <c r="AL16" i="12"/>
  <c r="AM16" i="12"/>
  <c r="AN16" i="12" s="1"/>
  <c r="C9" i="12"/>
  <c r="E9" i="12"/>
  <c r="G9" i="12"/>
  <c r="AK9" i="12"/>
  <c r="AL9" i="12"/>
  <c r="AM9" i="12"/>
  <c r="AN9" i="12" s="1"/>
  <c r="U8" i="12" l="1"/>
  <c r="U18" i="12"/>
  <c r="U14" i="12"/>
  <c r="U19" i="12"/>
  <c r="U15" i="12"/>
  <c r="U25" i="12"/>
  <c r="U22" i="12"/>
  <c r="X13" i="12"/>
  <c r="Y13" i="12" s="1"/>
  <c r="X11" i="12"/>
  <c r="Y11" i="12" s="1"/>
  <c r="U20" i="12"/>
  <c r="U16" i="12"/>
  <c r="U10" i="12"/>
  <c r="X23" i="12"/>
  <c r="Y23" i="12" s="1"/>
  <c r="U12" i="12"/>
  <c r="U9" i="12"/>
  <c r="U11" i="12"/>
  <c r="U13" i="12"/>
  <c r="U24" i="12"/>
  <c r="X24" i="12"/>
  <c r="Y24" i="12" s="1"/>
  <c r="U21" i="12"/>
  <c r="X21" i="12"/>
  <c r="Y21" i="12" s="1"/>
  <c r="U23" i="12"/>
  <c r="X20" i="12"/>
  <c r="Y20" i="12" s="1"/>
  <c r="X17" i="12"/>
  <c r="Y17" i="12" s="1"/>
  <c r="U6" i="12"/>
  <c r="X6" i="12"/>
  <c r="Y6" i="12" s="1"/>
  <c r="X9" i="12"/>
  <c r="Y9" i="12" s="1"/>
  <c r="X15" i="12"/>
  <c r="Y15" i="12" s="1"/>
  <c r="X22" i="12"/>
  <c r="Y22" i="12" s="1"/>
  <c r="X12" i="12"/>
  <c r="Y12" i="12" s="1"/>
  <c r="X10" i="12"/>
  <c r="Y10" i="12" s="1"/>
  <c r="U7" i="12"/>
  <c r="X7" i="12"/>
  <c r="Y7" i="12" s="1"/>
  <c r="U5" i="12"/>
  <c r="X5" i="12"/>
  <c r="Y5" i="12" s="1"/>
  <c r="U17" i="12"/>
  <c r="X18" i="12"/>
  <c r="Y18" i="12" s="1"/>
  <c r="X16" i="12"/>
  <c r="Y16" i="12" s="1"/>
  <c r="X25" i="12"/>
  <c r="Y25" i="12" s="1"/>
  <c r="X14" i="12"/>
  <c r="Y14" i="12" s="1"/>
  <c r="X19" i="12"/>
  <c r="Y19" i="12" s="1"/>
  <c r="X8" i="12"/>
  <c r="Y8" i="12" s="1"/>
  <c r="AO25" i="12"/>
  <c r="AP25" i="12" s="1"/>
  <c r="AO24" i="12"/>
  <c r="AP24" i="12" s="1"/>
  <c r="AN11" i="12"/>
  <c r="AN6" i="12"/>
  <c r="AO8" i="12"/>
  <c r="AP8" i="12" s="1"/>
  <c r="AN10" i="12"/>
  <c r="AO23" i="12"/>
  <c r="AP23" i="12" s="1"/>
  <c r="AO21" i="12"/>
  <c r="AP21" i="12" s="1"/>
  <c r="AO12" i="12"/>
  <c r="AP12" i="12" s="1"/>
  <c r="AN15" i="12"/>
  <c r="AO14" i="12"/>
  <c r="AP14" i="12" s="1"/>
  <c r="AO22" i="12"/>
  <c r="AP22" i="12" s="1"/>
  <c r="AO20" i="12"/>
  <c r="AP20" i="12" s="1"/>
  <c r="AO19" i="12"/>
  <c r="AP19" i="12" s="1"/>
  <c r="AO18" i="12"/>
  <c r="AP18" i="12" s="1"/>
  <c r="AO13" i="12"/>
  <c r="AP13" i="12" s="1"/>
  <c r="AO16" i="12"/>
  <c r="AP16" i="12" s="1"/>
  <c r="AO9" i="12"/>
  <c r="AP9" i="12" s="1"/>
  <c r="A4" i="23"/>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5" i="12" l="1"/>
  <c r="E5" i="21" s="1"/>
  <c r="E7" i="12"/>
  <c r="E17" i="12"/>
  <c r="E8" i="21" s="1"/>
  <c r="C5" i="12"/>
  <c r="C5" i="21" s="1"/>
  <c r="C7" i="12"/>
  <c r="C8" i="21"/>
  <c r="C7" i="21" l="1"/>
  <c r="C9" i="21"/>
  <c r="E9" i="21"/>
  <c r="E7" i="21"/>
  <c r="C6" i="21"/>
  <c r="E6" i="21"/>
  <c r="AL17" i="12" l="1"/>
  <c r="AL7" i="12"/>
  <c r="AK17" i="12"/>
  <c r="AK7" i="12"/>
  <c r="AK5" i="12" l="1"/>
  <c r="AM17" i="12" l="1"/>
  <c r="AM7" i="12"/>
  <c r="AL5" i="12"/>
  <c r="AM5" i="12" s="1"/>
  <c r="AN5" i="12" s="1"/>
  <c r="AN7" i="12" l="1"/>
  <c r="AN17" i="12"/>
  <c r="G17" i="12"/>
  <c r="G7" i="12"/>
  <c r="G7" i="21" l="1"/>
  <c r="G8" i="21"/>
  <c r="G9" i="21"/>
  <c r="AO17" i="12"/>
  <c r="AP17" i="12" s="1"/>
  <c r="AO7" i="12"/>
  <c r="AP7" i="12" s="1"/>
  <c r="L7" i="21" l="1"/>
  <c r="L8" i="21"/>
  <c r="L9" i="21"/>
  <c r="G5" i="12" l="1"/>
  <c r="G5" i="21" l="1"/>
  <c r="G6" i="21"/>
  <c r="AO5" i="12"/>
  <c r="AP5" i="12" s="1"/>
  <c r="L5" i="21" l="1"/>
  <c r="L6" i="21"/>
  <c r="J5" i="21"/>
  <c r="J7" i="21" l="1"/>
  <c r="J6" i="21"/>
  <c r="J8" i="21"/>
  <c r="J9"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Franitza, Florian</author>
  </authors>
  <commentList>
    <comment ref="B19" authorId="0" shapeId="0" xr:uid="{00000000-0006-0000-0000-000001000000}">
      <text>
        <r>
          <rPr>
            <b/>
            <sz val="9"/>
            <color indexed="81"/>
            <rFont val="Arial"/>
            <family val="2"/>
          </rPr>
          <t>This table is only required if OfficeTrace is used.
This sheet can be removed from the form if not 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Franitza, Florian</author>
  </authors>
  <commentList>
    <comment ref="A7" authorId="0" shapeId="0" xr:uid="{00000000-0006-0000-0100-000001000000}">
      <text>
        <r>
          <rPr>
            <b/>
            <sz val="9"/>
            <color indexed="81"/>
            <rFont val="Segoe UI"/>
            <family val="2"/>
          </rPr>
          <t>This table is only required if OfficeTrace is used.
This sheet can be removed from the form if not required.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Franitza, Florian</author>
  </authors>
  <commentList>
    <comment ref="A5" authorId="0" shapeId="0" xr:uid="{00000000-0006-0000-0600-000001000000}">
      <text>
        <r>
          <rPr>
            <b/>
            <sz val="9"/>
            <color indexed="81"/>
            <rFont val="Segoe UI"/>
            <family val="2"/>
          </rPr>
          <t>This table is only required if OfficeTrace is used.
This sheet can be removed from the form if not required.</t>
        </r>
      </text>
    </comment>
  </commentList>
</comments>
</file>

<file path=xl/sharedStrings.xml><?xml version="1.0" encoding="utf-8"?>
<sst xmlns="http://schemas.openxmlformats.org/spreadsheetml/2006/main" count="1804" uniqueCount="553">
  <si>
    <t>Asset</t>
  </si>
  <si>
    <t xml:space="preserve">
ID #</t>
  </si>
  <si>
    <t>Threat Event(s)</t>
  </si>
  <si>
    <t>Adverse Impact</t>
  </si>
  <si>
    <t>Residual Security Risk Acceptability Justification</t>
  </si>
  <si>
    <t>Security Controls/Mitigations</t>
  </si>
  <si>
    <t>Impact Description</t>
  </si>
  <si>
    <t>Vuln. ID</t>
  </si>
  <si>
    <t>ID #</t>
  </si>
  <si>
    <t>Physical Asset</t>
  </si>
  <si>
    <t>Information asset</t>
  </si>
  <si>
    <t>Asset Description</t>
  </si>
  <si>
    <t>Access points</t>
  </si>
  <si>
    <t>Vulnerability Description</t>
  </si>
  <si>
    <t>Vulnerabilities</t>
  </si>
  <si>
    <t>Threat Source</t>
  </si>
  <si>
    <t>Verification of Risk Control Measures (Effectiveness)</t>
  </si>
  <si>
    <t>Feature/Function</t>
  </si>
  <si>
    <t>Risk Controls</t>
  </si>
  <si>
    <t>Adversarial Threat Events</t>
  </si>
  <si>
    <t>#</t>
  </si>
  <si>
    <t xml:space="preserve">Description </t>
  </si>
  <si>
    <t>Overall Likelihood of Threat Event</t>
  </si>
  <si>
    <t xml:space="preserve">Threat Event </t>
  </si>
  <si>
    <t>Adversarial Threat</t>
  </si>
  <si>
    <t>In Scope (Y/N)</t>
  </si>
  <si>
    <t>Non-Adverserial Threat</t>
  </si>
  <si>
    <t>Source</t>
  </si>
  <si>
    <t>Organization (Competitor, Supplier, Partner, Customer, Researcher)</t>
  </si>
  <si>
    <t>Script Kiddies</t>
  </si>
  <si>
    <t>Political Activists (Hactivists, Anonymous, Wikileaks)</t>
  </si>
  <si>
    <t>Organized Crime (Cyber Terrorists)</t>
  </si>
  <si>
    <t>Nation States</t>
  </si>
  <si>
    <t>Accidental (Priveleged User/Administrator, inexperienced user, inexperienced installer, inexperienced maintainer, unintentional misuse)</t>
  </si>
  <si>
    <t>Researchers (Professional Security, Academic)</t>
  </si>
  <si>
    <t>Vulnerable systems/devices connected to device (e.g., via RS-232, USB, or other connections)</t>
  </si>
  <si>
    <t>Incompatible Software (OS, Networking, Applications)</t>
  </si>
  <si>
    <t>Environmental Impact (IT equipment, Temperature/Humidity Controls, RF Interference)</t>
  </si>
  <si>
    <t>Natural/Man-Made Disaster (Fire, Flood/Tsunami, Windstorm/Tornado, Earthquake, Bombing, Telecommunications/Power Failure)</t>
  </si>
  <si>
    <t>ID#</t>
  </si>
  <si>
    <t>Relevance of Threat Event (L/M/H)</t>
  </si>
  <si>
    <t>Liklihood of Threat Event Initiation
(L/M/H)</t>
  </si>
  <si>
    <t>Liklihood of Threat Event Resulting in Adverse Impacts
(L/M/H)</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</si>
  <si>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</si>
  <si>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</si>
  <si>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</si>
  <si>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TSA-1</t>
  </si>
  <si>
    <t>Possible</t>
  </si>
  <si>
    <t>Very Low</t>
  </si>
  <si>
    <t>TSA-2</t>
  </si>
  <si>
    <t>TSA-3</t>
  </si>
  <si>
    <t>TSA-4</t>
  </si>
  <si>
    <t>TSA-5</t>
  </si>
  <si>
    <t>TSA-6</t>
  </si>
  <si>
    <t>Moderate</t>
  </si>
  <si>
    <t>Low</t>
  </si>
  <si>
    <t>Y</t>
  </si>
  <si>
    <t>N</t>
  </si>
  <si>
    <t>TSN-1</t>
  </si>
  <si>
    <t>TSN-2</t>
  </si>
  <si>
    <t>TSN-3</t>
  </si>
  <si>
    <t>TSN-4</t>
  </si>
  <si>
    <t>TSN-5</t>
  </si>
  <si>
    <t>TSN-6</t>
  </si>
  <si>
    <t>High</t>
  </si>
  <si>
    <t>Likelihood of Attack Initiation</t>
  </si>
  <si>
    <t>Applicable (Yes/No)</t>
  </si>
  <si>
    <t>Rationale (if Vulnerability not applicable)</t>
  </si>
  <si>
    <t>Scope</t>
  </si>
  <si>
    <t>Confidentiality</t>
  </si>
  <si>
    <t>Integrity</t>
  </si>
  <si>
    <t>Availability</t>
  </si>
  <si>
    <t>Score</t>
  </si>
  <si>
    <t>Unchanged</t>
  </si>
  <si>
    <t>Physical</t>
  </si>
  <si>
    <t>Required</t>
  </si>
  <si>
    <t>None</t>
  </si>
  <si>
    <t>Network</t>
  </si>
  <si>
    <t>Local</t>
  </si>
  <si>
    <t>Adjacent Network</t>
  </si>
  <si>
    <t>Exploitability Metrics</t>
  </si>
  <si>
    <t>Attack Vector</t>
  </si>
  <si>
    <t>Attack Complexity</t>
  </si>
  <si>
    <t>Privelege Required</t>
  </si>
  <si>
    <t>User Interaction</t>
  </si>
  <si>
    <t>Metric</t>
  </si>
  <si>
    <t>Value</t>
  </si>
  <si>
    <t>Code</t>
  </si>
  <si>
    <t xml:space="preserve">Metric </t>
  </si>
  <si>
    <t>L</t>
  </si>
  <si>
    <t>A</t>
  </si>
  <si>
    <t>H</t>
  </si>
  <si>
    <t>R</t>
  </si>
  <si>
    <t>P</t>
  </si>
  <si>
    <t>Technical Impact Metrics</t>
  </si>
  <si>
    <t>Confidentiality, Integrity, Availability Impact</t>
  </si>
  <si>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</si>
  <si>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</si>
  <si>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</si>
  <si>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</si>
  <si>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</si>
  <si>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</si>
  <si>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</si>
  <si>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</si>
  <si>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Very High</t>
  </si>
  <si>
    <t>A10</t>
  </si>
  <si>
    <t>A01</t>
  </si>
  <si>
    <t>A02</t>
  </si>
  <si>
    <t>A03</t>
  </si>
  <si>
    <t>A05</t>
  </si>
  <si>
    <t>A07</t>
  </si>
  <si>
    <t>A08</t>
  </si>
  <si>
    <t>A09</t>
  </si>
  <si>
    <t>V01</t>
  </si>
  <si>
    <t>V02</t>
  </si>
  <si>
    <t>V ID</t>
  </si>
  <si>
    <t>T ID</t>
  </si>
  <si>
    <t>A ID</t>
  </si>
  <si>
    <t>T01</t>
  </si>
  <si>
    <t>T02</t>
  </si>
  <si>
    <t>T03</t>
  </si>
  <si>
    <t>T04</t>
  </si>
  <si>
    <t>T05</t>
  </si>
  <si>
    <t>Unprotected network port</t>
  </si>
  <si>
    <t>Yes</t>
  </si>
  <si>
    <t>n/a</t>
  </si>
  <si>
    <t>Rating</t>
  </si>
  <si>
    <t>Pre-Implementation of Security Controls</t>
  </si>
  <si>
    <t>Post-Implementation of Security Controls</t>
  </si>
  <si>
    <t>Threat Event Initiation</t>
  </si>
  <si>
    <t>Threat Event Initiation
Score</t>
  </si>
  <si>
    <t>Security 
Risk 
Level</t>
  </si>
  <si>
    <t xml:space="preserve"> </t>
  </si>
  <si>
    <t>Patient health information at rest</t>
  </si>
  <si>
    <t>Information Asset</t>
  </si>
  <si>
    <t xml:space="preserve">User Passwords/Credentials provide access to ePHI, Software Binaries, read access to config files. </t>
  </si>
  <si>
    <t>Intercept network communication</t>
  </si>
  <si>
    <t xml:space="preserve">Conduct scavenging of ePHI at rest </t>
  </si>
  <si>
    <t>Adversary gains unauthorized access to the system and steals ePHI information</t>
  </si>
  <si>
    <t>Unencrypted ePHI at rest</t>
  </si>
  <si>
    <t>Unprotected external USB Port</t>
  </si>
  <si>
    <t>V11</t>
  </si>
  <si>
    <t>V21</t>
  </si>
  <si>
    <t>V22</t>
  </si>
  <si>
    <t>Data</t>
  </si>
  <si>
    <t>Ineffective management of user credentials</t>
  </si>
  <si>
    <t>Ineffective management of admin credentials</t>
  </si>
  <si>
    <t>Information about internals of the system (Device identification, software versions, supported protocols, etc.)</t>
  </si>
  <si>
    <t>Computer/OS network identification</t>
  </si>
  <si>
    <t xml:space="preserve">Malicious utilization of  computer resources and computing power, incl. denial of service attacks, ransomware deployment, Bitcoin mining, etc., ). </t>
  </si>
  <si>
    <t>Obtain knowledge about system internals in an attempt to find attack vectors and possibilities for exploitation of publicly known Vulnerabilities</t>
  </si>
  <si>
    <t>V31</t>
  </si>
  <si>
    <t>Application Whitelisting
Firewall
Virus Scan
User authentication</t>
  </si>
  <si>
    <t>Encrpyted ePHI in flight</t>
  </si>
  <si>
    <t xml:space="preserve">SRS.SR04
</t>
  </si>
  <si>
    <t>SRS.SR01
SRS.SR02
SRS.SR03
SRS.SR07</t>
  </si>
  <si>
    <t>System &amp; Asset Identification</t>
  </si>
  <si>
    <t xml:space="preserve">Medical Device / System: </t>
  </si>
  <si>
    <t>Date:</t>
  </si>
  <si>
    <t xml:space="preserve">Conducted by: </t>
  </si>
  <si>
    <t>&lt;yyyyy-mm-dd&gt;</t>
  </si>
  <si>
    <t>&lt;Author Name / Function / Organization&gt;
&lt;Author Name / Function / Organization&gt;</t>
  </si>
  <si>
    <t>Scope:</t>
  </si>
  <si>
    <t>TSA-2 Organization</t>
  </si>
  <si>
    <t>Vulnerability Identification</t>
  </si>
  <si>
    <t>Threat Assessment</t>
  </si>
  <si>
    <t>TSA-3 - Skript Kiddies</t>
  </si>
  <si>
    <t>Security Risk Assessment</t>
  </si>
  <si>
    <t>Common Vulnerability Scoring System (CVSS v3.0)</t>
  </si>
  <si>
    <t>Threat Sources</t>
  </si>
  <si>
    <t>Safety Impact 
(Risk ID# or N/A)</t>
  </si>
  <si>
    <t>TestReport #123</t>
  </si>
  <si>
    <t>TestReport #789</t>
  </si>
  <si>
    <t>Asset Type
(Information/Physical)</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</si>
  <si>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</si>
  <si>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</si>
  <si>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</si>
  <si>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Exploitability Sub Score</t>
  </si>
  <si>
    <t>ISC Base</t>
  </si>
  <si>
    <t>Impact Sub Score</t>
  </si>
  <si>
    <t>In Scope</t>
  </si>
  <si>
    <t>No</t>
  </si>
  <si>
    <t>In Scope (Yes/No)</t>
  </si>
  <si>
    <t>Rationale 
(if out of scope)</t>
  </si>
  <si>
    <t>Overall Risk Score</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</si>
  <si>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</si>
  <si>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</si>
  <si>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</si>
  <si>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</si>
  <si>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</si>
  <si>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</si>
  <si>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</si>
  <si>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</si>
  <si>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</si>
  <si>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</si>
  <si>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</si>
  <si>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</si>
  <si>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Pre-Controls 
Risk Level</t>
  </si>
  <si>
    <t>Post-Controls Risk Level</t>
  </si>
  <si>
    <t>Security Risk Control Measures</t>
  </si>
  <si>
    <t>Assets</t>
  </si>
  <si>
    <t>Security Risk Assessment Summary</t>
  </si>
  <si>
    <t>CVSS v3.0 Base Score</t>
  </si>
  <si>
    <r>
      <t>CVSS v3.0 Base Score</t>
    </r>
    <r>
      <rPr>
        <b/>
        <sz val="11"/>
        <color theme="9" tint="0.39997558519241921"/>
        <rFont val="Cambria"/>
        <family val="1"/>
      </rPr>
      <t>P</t>
    </r>
  </si>
  <si>
    <t>Privileges Required</t>
  </si>
  <si>
    <r>
      <t>Privileges Required</t>
    </r>
    <r>
      <rPr>
        <b/>
        <sz val="11"/>
        <color theme="9" tint="0.39997558519241921"/>
        <rFont val="Cambria"/>
        <family val="1"/>
      </rPr>
      <t>P</t>
    </r>
  </si>
  <si>
    <t xml:space="preserve">Implementation of Risk Control Measures </t>
  </si>
  <si>
    <t>Justification</t>
  </si>
  <si>
    <t>Product Security Risk Table</t>
  </si>
  <si>
    <t>Document Control</t>
  </si>
  <si>
    <t>Author:</t>
  </si>
  <si>
    <t>Author</t>
  </si>
  <si>
    <t>Document No.:</t>
  </si>
  <si>
    <t>Revision No.:</t>
  </si>
  <si>
    <t>Project:</t>
  </si>
  <si>
    <t>Project Lead:</t>
  </si>
  <si>
    <t>Change Records</t>
  </si>
  <si>
    <t>Rev. No.</t>
  </si>
  <si>
    <t>Comment</t>
  </si>
  <si>
    <t>Date</t>
  </si>
  <si>
    <t>ID</t>
  </si>
  <si>
    <t>Title</t>
  </si>
  <si>
    <t>Rev.*</t>
  </si>
  <si>
    <t>Doc. No.</t>
  </si>
  <si>
    <t>Risk Control Measure</t>
  </si>
  <si>
    <t>Reference to more detailed specification</t>
  </si>
  <si>
    <t>Category (optional)</t>
  </si>
  <si>
    <t>References</t>
  </si>
  <si>
    <t>Individual (Disgruntled/Ex-Employees, Outsider, Insider, Trusted Insider, Privileged Insider)</t>
  </si>
  <si>
    <t>D0000055902</t>
  </si>
  <si>
    <t>DC-0000002518</t>
  </si>
  <si>
    <t>AA</t>
  </si>
  <si>
    <t>Initial revision</t>
  </si>
  <si>
    <t>See onePLM</t>
  </si>
  <si>
    <t>D0000039056</t>
  </si>
  <si>
    <t>SRS</t>
  </si>
  <si>
    <t>Auto</t>
  </si>
  <si>
    <r>
      <t>SRS - OrthoMap® Precision Knee 6.0 Software -   (DC-0000002518 Precision Knee 6.0) [</t>
    </r>
    <r>
      <rPr>
        <u/>
        <sz val="11"/>
        <color rgb="FF000080"/>
        <rFont val="Calibri"/>
        <family val="2"/>
        <scheme val="minor"/>
      </rPr>
      <t>SRS</t>
    </r>
    <r>
      <rPr>
        <sz val="11"/>
        <color theme="1"/>
        <rFont val="Calibri"/>
        <family val="2"/>
        <scheme val="minor"/>
      </rPr>
      <t>]</t>
    </r>
  </si>
  <si>
    <t>OrthoMap Precision Knee</t>
  </si>
  <si>
    <t>Stryker Flex Cart Navigation System</t>
  </si>
  <si>
    <t>Threat source delivers malware by providing removable media prepared with malware. 
e.g. Removable media is left on a parking lot and picked up by hospital staff. USB stick finds its way to the Navigation System.
Malware exploits a known vulnerability in order to gain access to restricted data or to manipulate data. Undirected attack on computer systems.</t>
  </si>
  <si>
    <t>TSA-3 - Skript Kiddies, TSA-1 Individual</t>
  </si>
  <si>
    <t>Threat source delivers malicious software on a removable media which was designed to exploit a known vulnerability of the Navigation System. Directed attack on the Navigation System using knowledge of the Navigation System.</t>
  </si>
  <si>
    <t>TSA-3 - Skript Kiddies and TSA-1 Individual</t>
  </si>
  <si>
    <t xml:space="preserve">Adversary manipulates the network environment to intercept network communication to gain ePHI, passwords, credit card information etc. or to manipulate DICOM data etc. (man-in-the middle attack) </t>
  </si>
  <si>
    <t>TSA-1 - Individual</t>
  </si>
  <si>
    <t>T06</t>
  </si>
  <si>
    <t>Theft of system or hard drives</t>
  </si>
  <si>
    <t>A thief steals the navigation system and/or the hard drives as loot, which can lead to unavailability of the navigation system and/or leak of Protected Health Information (PHI).</t>
  </si>
  <si>
    <t>T07</t>
  </si>
  <si>
    <t>Data theft via physical media</t>
  </si>
  <si>
    <t>The malicious or inadvertent copy of ePHI on portable media (USB Sticks, DVD drives) from the navigation system.</t>
  </si>
  <si>
    <t>T08</t>
  </si>
  <si>
    <t>Network-based denial of service (DoS) attack</t>
  </si>
  <si>
    <t>A threat actor seeks to make a machine or network resource unavailable to its intended users by overloading the network resource, the network or target services with malicious data traffic.</t>
  </si>
  <si>
    <t xml:space="preserve">TSA-3 - Skript Kiddies
TSN-4 Malfunctioning Software / OS 
TSN-3 Malfunctioning device
</t>
  </si>
  <si>
    <t>T09</t>
  </si>
  <si>
    <t>Exploit physical access of authorized staff to gain access to organizational facilities.</t>
  </si>
  <si>
    <t>Adversary follows (“tailgates”) authorized individuals into secure/controlled locations with the goal of gaining access to facilities, circumventing physical security checks.</t>
  </si>
  <si>
    <t>TSA-1 Individual</t>
  </si>
  <si>
    <t>HDO responsible for physical security controls</t>
  </si>
  <si>
    <t>T10</t>
  </si>
  <si>
    <t>Mis-configuration by user</t>
  </si>
  <si>
    <t>A user unknowingly or maliciously mis-configures the system so that it malfunctions or no longer functions at all.</t>
  </si>
  <si>
    <t>TSN-1 Accidental</t>
  </si>
  <si>
    <t>T11</t>
  </si>
  <si>
    <t>A threat actor uses the network connection of the device to target a vulnerability in the operating system and/or software to gain access to the navigation system. This is likely inadvertent, targetting general vulnerability in popular operating systems. After successful exploit, continues as malware threat.</t>
  </si>
  <si>
    <t xml:space="preserve">TSA-1 Individual </t>
  </si>
  <si>
    <t>T12</t>
  </si>
  <si>
    <t>Improper disposal of hard disks</t>
  </si>
  <si>
    <t>A user disposes the entire system or the hard disks (for instance after a service issue or at the end of the service life of the product). The hard disks still contain patient data.</t>
  </si>
  <si>
    <t>T13</t>
  </si>
  <si>
    <t>Man-in-the middle attack / intercept Navigation communication</t>
  </si>
  <si>
    <t>T14</t>
  </si>
  <si>
    <t>Conduct scavenging of IP at rest</t>
  </si>
  <si>
    <t>Adversary gains unauthorized access to the system and steals IP off the system</t>
  </si>
  <si>
    <t>T15</t>
  </si>
  <si>
    <t>Frequency Jamming or Destruction of Wireless Communication</t>
  </si>
  <si>
    <t>Adversary manipulates the wireless network environment in order to render the service unavailable.</t>
  </si>
  <si>
    <t>T16</t>
  </si>
  <si>
    <t>Physical Manipulation of Hardware</t>
  </si>
  <si>
    <t>Adversary with direct mal-intent gains local access to the navigation flex cart platform and installs hardware in order to spy and manipulate. Installed hardware may include HDMI, USB Splitters or even Keyloggers.</t>
  </si>
  <si>
    <t>TSA-2 Organization or TSA-1 Individual</t>
  </si>
  <si>
    <t>T17</t>
  </si>
  <si>
    <t>Gather information using open source discovery of organizational information</t>
  </si>
  <si>
    <t>Adversary mines publiclly accessible information togather information about organizational information systems, business processes, users or personnel, or external relationships that the adversary can subsequently employ in support of an attack.</t>
  </si>
  <si>
    <t>T18</t>
  </si>
  <si>
    <t xml:space="preserve">Craft counterfeit certificates. </t>
  </si>
  <si>
    <t>Adversary counterfeits or compromises a certificate authority, so that malware or connections will appear legitimate.</t>
  </si>
  <si>
    <t>Device is a pass through of data in transit from end point devices.  The certificate validation is the responsibility of the end points.</t>
  </si>
  <si>
    <t>T19</t>
  </si>
  <si>
    <t>Install persistent and targeted sniffers on organizational information systems and networks.</t>
  </si>
  <si>
    <t xml:space="preserve">Adversary places within internal organizational information systems or networks software designed to (over a continuous period of time) collect (sniff) network traffic. </t>
  </si>
  <si>
    <t>Device operates within the HDO trust boundary, overall network security is responsibility of the customer.</t>
  </si>
  <si>
    <t>T20</t>
  </si>
  <si>
    <t>Insert malicious scanning devices (e.g., wireless sniffers) inside facilities.</t>
  </si>
  <si>
    <t>Adversary uses postal service or other commercial delivery services to deliver to organizational mailrooms a device that is able to scan wireless communications accessible from within the mailrooms and then wirelessly transmit information back to adversary.</t>
  </si>
  <si>
    <t>T21</t>
  </si>
  <si>
    <t>Power Failure at primary facility</t>
  </si>
  <si>
    <t>Power Failure at primary facility makes facility including the navigation sytem inoperable</t>
  </si>
  <si>
    <t>TSN-7 Power Failure</t>
  </si>
  <si>
    <t>T22</t>
  </si>
  <si>
    <t>Theft of SSH key for root access of Navigation Systems</t>
  </si>
  <si>
    <t>Adverary uses SSH root key to get unauthorized access to the full system.</t>
  </si>
  <si>
    <t>SSH root key is stored safely at Stryker facility and never delivered to the HDO / customer.</t>
  </si>
  <si>
    <t>T23</t>
  </si>
  <si>
    <t>Manipulation of tool firmware / memory</t>
  </si>
  <si>
    <t>Adversary manipulates the tool related calibration data - thereby influencing the navigation accuracy</t>
  </si>
  <si>
    <t>T24</t>
  </si>
  <si>
    <t>Manipulation of navigation camera firmware / memory</t>
  </si>
  <si>
    <t>Adversary manipulates the navgation camera related calibration data - thereby influencing the navigation accuracy</t>
  </si>
  <si>
    <t>T25</t>
  </si>
  <si>
    <t>Manipulation of EM box firmware / memory</t>
  </si>
  <si>
    <t>Adversary manipulates the EM box firmware - thereby influencing the navigation accuracy</t>
  </si>
  <si>
    <t>EM is not used by Ortho Imageless applications</t>
  </si>
  <si>
    <t>Ortho Imageless application
will not be impacted due to
unavailability of wireless 
network</t>
  </si>
  <si>
    <t>V24</t>
  </si>
  <si>
    <t>V03</t>
  </si>
  <si>
    <t>V04</t>
  </si>
  <si>
    <t>V12</t>
  </si>
  <si>
    <t>Potentially outdated SW-Library SOUPs</t>
  </si>
  <si>
    <t>V13</t>
  </si>
  <si>
    <t>Adversary with direct mal-intent gains local access to the navigation flex cart platform and installs malware in order to gain admin credentials</t>
  </si>
  <si>
    <t>The threat actor actively steals data  off the navigation unit by booting the system with an manipulated / self owned operating system to access the harddrive data and bypass the user role system provided by the original Stryker operating system.</t>
  </si>
  <si>
    <t>ePHI stored on Navigation System is exposed to third parties.</t>
  </si>
  <si>
    <t>Admin Password / Credentials / System Configuration / Certificates</t>
  </si>
  <si>
    <t>Admin Passwords/Credentials allow modifying config files, accessing ePHI, software binaries, computer configuration files, log files, and computer resources as well as installing applications, security certificates, OS updates.</t>
  </si>
  <si>
    <t xml:space="preserve">User Password / Credentials / System Configuration </t>
  </si>
  <si>
    <t>Intellectual Property</t>
  </si>
  <si>
    <t>Algorithms and other core-elements of interest to competitors.</t>
  </si>
  <si>
    <t>Navigation Accuracy</t>
  </si>
  <si>
    <t>SSH credentials for system admin access</t>
  </si>
  <si>
    <t>Only using an 2048bit SSH key allows full access to all system functions. That SSH key is not provided to the customer and can be used by Stryker internals only.</t>
  </si>
  <si>
    <t>v02</t>
  </si>
  <si>
    <t>Malicious utilization of  computer resources and computing power, incl. denial of service attacks, ransomware deployment, Bitcoin mining, etc., ) by exploiting vulnarabilities such as bypassing the Operating System.</t>
  </si>
  <si>
    <t xml:space="preserve">If a user misconfigures the system, this might lead to unavailability of the navigation system or make the system less performant for the user. </t>
  </si>
  <si>
    <t>The navigation system is attacked using a DoS attack. In the worst case the system is unavailable to the user.</t>
  </si>
  <si>
    <t>A threat actor uses the hospital network connection of the device to target a vulnerability in the operating system and/or software to gain access to the navigation system in order to manipulate navigation accuracy.</t>
  </si>
  <si>
    <t>A threat actor uses the network connection of the device to target a vulnerability in the operating system and/or software to gain access to the navigation system. In the worst case the system is unavailable to the user.</t>
  </si>
  <si>
    <t>If a remote exploit (e.g. "worm") is able to circumvent the operating system defenses to gain local access, then several other attack scenarios are enabled. In the worst case the system is unavailable to the user.</t>
  </si>
  <si>
    <t>ePHI might be exposed to third parties if the storage medium of the navigation unit is improperly disposed of.</t>
  </si>
  <si>
    <t>When parts of the Navigation system are stolen the navigation system might be rendered unavailable for use.</t>
  </si>
  <si>
    <t xml:space="preserve">The threat actor actively steals data  off the navigation unit by inserting physical media such as USB Sticks or External Drives. </t>
  </si>
  <si>
    <t xml:space="preserve">Adversary with direct mal-intent gains local access to the navigation flex cart platform and installs hardware in order to spy and manipulate. Installed hardware may include HDMI, USB Splitters or even Keyloggers.  Once defenses are circumvented in order to gain local access, several other Assets such as user credentials or PHI may be threatened. </t>
  </si>
  <si>
    <t>Adversary attacks power supply of the hospital or OR member cuts of power supply of navigation system by acccident. In both cases navigation system goes off to missing power.</t>
  </si>
  <si>
    <t>Adversary mines publiclly accessible information togather information about organizational information systems, business processes, users or personnel, or external relationships that the adversary can subsequently employ in support of an attack. That information is used for an attack via network.</t>
  </si>
  <si>
    <t xml:space="preserve">Malicious utilization of  computer resources and computing power, incl. denial of service attacks, ransomware deployment, Bitcoin mining, etc., ) due to discovered defect or bug in Stryker software. </t>
  </si>
  <si>
    <t xml:space="preserve">The threat actor manipulates the memory / firmware of navigation camera with the goal to bring the calibration off / manipulate the firmware to reduce navigation accuracy. </t>
  </si>
  <si>
    <t>Adversary with direct mal-intent gains local access to the navigation flex cart platform and manipulates hardware such as tools and navigation camera.</t>
  </si>
  <si>
    <t>none</t>
  </si>
  <si>
    <t>low</t>
  </si>
  <si>
    <t>unchanged</t>
  </si>
  <si>
    <t>For Imageless applications,
data is never transferred over network.</t>
  </si>
  <si>
    <t>For Imageless applications,
no tool is calibrated.</t>
  </si>
  <si>
    <t>Datastored on hard disk after import. Contains patient identity, DOB, Age/Gender, image data</t>
  </si>
  <si>
    <t>Navigation Accuracy of FP8000 Camera, critical components for essential performance</t>
  </si>
  <si>
    <t>Adversary manipulates the localization communication such as infrared - thereby influencing the navigation accuracy</t>
  </si>
  <si>
    <t>Ortho Guidance Precision Knee 6.0 Software</t>
  </si>
  <si>
    <t>D0000039062</t>
  </si>
  <si>
    <t>RARC</t>
  </si>
  <si>
    <r>
      <t>Risk Assessment - Ortho Guidance Precision Knee 6.0 Software -   (DC-0000002518 Precision Knee 6.0) [</t>
    </r>
    <r>
      <rPr>
        <u/>
        <sz val="11"/>
        <color rgb="FF000080"/>
        <rFont val="Calibri"/>
        <family val="2"/>
        <scheme val="minor"/>
      </rPr>
      <t>RARC</t>
    </r>
    <r>
      <rPr>
        <sz val="11"/>
        <color theme="1"/>
        <rFont val="Calibri"/>
        <family val="2"/>
        <scheme val="minor"/>
      </rPr>
      <t>]</t>
    </r>
  </si>
  <si>
    <r>
      <t>[</t>
    </r>
    <r>
      <rPr>
        <u/>
        <sz val="11"/>
        <color rgb="FF000080"/>
        <rFont val="Cambria"/>
        <family val="1"/>
      </rPr>
      <t>RARC.RI040</t>
    </r>
    <r>
      <rPr>
        <sz val="11"/>
        <color theme="1"/>
        <rFont val="Cambria"/>
        <family val="1"/>
      </rPr>
      <t>]</t>
    </r>
  </si>
  <si>
    <t>Man-in-middle attack on localization communication such as infrared - Adversary manipulates navigation accuracy</t>
  </si>
  <si>
    <r>
      <t>[</t>
    </r>
    <r>
      <rPr>
        <u/>
        <sz val="11"/>
        <color rgb="FF000080"/>
        <rFont val="Cambria"/>
        <family val="1"/>
      </rPr>
      <t>RARC.RI110</t>
    </r>
    <r>
      <rPr>
        <sz val="11"/>
        <color theme="1"/>
        <rFont val="Cambria"/>
        <family val="1"/>
      </rPr>
      <t>]</t>
    </r>
  </si>
  <si>
    <t>N/A</t>
  </si>
  <si>
    <r>
      <t>[</t>
    </r>
    <r>
      <rPr>
        <u/>
        <sz val="11"/>
        <color rgb="FF000080"/>
        <rFont val="Cambria"/>
        <family val="1"/>
      </rPr>
      <t>RARC.RI180</t>
    </r>
    <r>
      <rPr>
        <sz val="11"/>
        <color theme="1"/>
        <rFont val="Cambria"/>
        <family val="1"/>
      </rPr>
      <t>]</t>
    </r>
  </si>
  <si>
    <t>A11</t>
  </si>
  <si>
    <t>Contains software module which controls the overall functionality  of Knee System i.e. intra-operative planning and guidance.</t>
  </si>
  <si>
    <t>A12</t>
  </si>
  <si>
    <t>A13</t>
  </si>
  <si>
    <t>V14</t>
  </si>
  <si>
    <t>V15</t>
  </si>
  <si>
    <t>V16</t>
  </si>
  <si>
    <t>UnSafely Compiled Application software</t>
  </si>
  <si>
    <t>V17</t>
  </si>
  <si>
    <t>Developed code not validated using static/Dynamic Tools</t>
  </si>
  <si>
    <t>V25</t>
  </si>
  <si>
    <t>V32</t>
  </si>
  <si>
    <t>V33</t>
  </si>
  <si>
    <t>V34</t>
  </si>
  <si>
    <t>V35</t>
  </si>
  <si>
    <t>V36</t>
  </si>
  <si>
    <t>V37</t>
  </si>
  <si>
    <t>V38</t>
  </si>
  <si>
    <t>InSecure Configurations of Resources</t>
  </si>
  <si>
    <t>V40</t>
  </si>
  <si>
    <t>V41</t>
  </si>
  <si>
    <t>V42</t>
  </si>
  <si>
    <t>V43</t>
  </si>
  <si>
    <t>External Control of System or Configuration Setting</t>
  </si>
  <si>
    <t>T26</t>
  </si>
  <si>
    <t>Input from the Knee planning got modified in transit and unexpected input received by Intra-Op</t>
  </si>
  <si>
    <t>A14</t>
  </si>
  <si>
    <t>Akhil Gupta</t>
  </si>
  <si>
    <t>CT Knee Intra-Op</t>
  </si>
  <si>
    <t xml:space="preserve">Siva Kumar </t>
  </si>
  <si>
    <t>V39</t>
  </si>
  <si>
    <t>T27</t>
  </si>
  <si>
    <t>Malware affected input device</t>
  </si>
  <si>
    <t>An unscanned input device can inject a malware into the intra-op device</t>
  </si>
  <si>
    <t>T28</t>
  </si>
  <si>
    <t>Write protect should be enable to avoid the transfer of critical data</t>
  </si>
  <si>
    <t>T29</t>
  </si>
  <si>
    <t>If input data is not encrypted then data can be easily accessible by anyone</t>
  </si>
  <si>
    <t>T30</t>
  </si>
  <si>
    <t>All the connected devices should not be allowed to provide input. Proper authentication should be carried out</t>
  </si>
  <si>
    <t>T31</t>
  </si>
  <si>
    <t>Absence of data validation</t>
  </si>
  <si>
    <t>Any input data provided to the Intra-op should be properly validated</t>
  </si>
  <si>
    <t>T32</t>
  </si>
  <si>
    <t>Unsecured API interface</t>
  </si>
  <si>
    <t>All API request need to have a secure header  implementation</t>
  </si>
  <si>
    <t>T33</t>
  </si>
  <si>
    <t>T34</t>
  </si>
  <si>
    <t>BRUTE force/Dictonary attacks are possible if system not locked after certain retries</t>
  </si>
  <si>
    <t>T35</t>
  </si>
  <si>
    <t>Session should get terminated after specified time-out</t>
  </si>
  <si>
    <t>T36</t>
  </si>
  <si>
    <t>T37</t>
  </si>
  <si>
    <t>Unpatched OS/SOUP's</t>
  </si>
  <si>
    <t>Outdated/Unpatched softwares can be easily exploited</t>
  </si>
  <si>
    <t>T38</t>
  </si>
  <si>
    <t>Exploitation of unsecured network elements</t>
  </si>
  <si>
    <t>Unused ports/other network interfaces has to be identified</t>
  </si>
  <si>
    <t>Outdated cryptographic components &amp; techniques</t>
  </si>
  <si>
    <t>Keys, certificates, hashing techniques, etc... should be up-to-date with the latest standards</t>
  </si>
  <si>
    <t>T39</t>
  </si>
  <si>
    <t>THOR Knee Intra-op Application</t>
  </si>
  <si>
    <t>Contains Knee intra-op software which controls the overall features for segmentation, landmark planning, implant size calculation etc.</t>
  </si>
  <si>
    <t>Patient Personal data</t>
  </si>
  <si>
    <t>Contains patient personal details such as patient identity, DOB, Age/Gender, image data</t>
  </si>
  <si>
    <t>Input to Intra-Op</t>
  </si>
  <si>
    <t>Any kind of removable device which is connected from knee intra-op to knee planning application</t>
  </si>
  <si>
    <t>Removable Devices</t>
  </si>
  <si>
    <t>A15</t>
  </si>
  <si>
    <t>System with hw resources/configurable bios</t>
  </si>
  <si>
    <t>Unauthorized modification to system bios</t>
  </si>
  <si>
    <t>Untrained/Malicious User</t>
  </si>
  <si>
    <t>SBOM/Software Management</t>
  </si>
  <si>
    <t>Unpatched OS</t>
  </si>
  <si>
    <t>Lack of periodic software vulnerability management</t>
  </si>
  <si>
    <t>3rd Party Component/SOUP Risk/Dependency not validated</t>
  </si>
  <si>
    <t>Legacy Systems (outdated HW/SW) being used</t>
  </si>
  <si>
    <t>Any unprotected hardware</t>
  </si>
  <si>
    <t>Non-Tracing of unused external Interfaces (ports etc., )</t>
  </si>
  <si>
    <t>Unencrypted ePHI in flight (as output, input)</t>
  </si>
  <si>
    <t>Insecure Storage of Sensitive Information by application</t>
  </si>
  <si>
    <t>Use of a Broken or Risky Cryptographic Algorithm or Inadequate encryption strength in Intra-op application</t>
  </si>
  <si>
    <t>Exposure of Private Information (Health/Personal data)</t>
  </si>
  <si>
    <t>Malicious activities not being recorded in administrator/user logs</t>
  </si>
  <si>
    <t>Unauthorized Audit Log Manipulation, Log Injection-Tampering-Forging</t>
  </si>
  <si>
    <t>Information Exposure through Log Files</t>
  </si>
  <si>
    <t>Lack of input sanitization in knee intra-op application</t>
  </si>
  <si>
    <t>Lack of validation for the changed configuration controls</t>
  </si>
  <si>
    <t>Software Download from malicious source</t>
  </si>
  <si>
    <t>Lack of control over the Automated Software Update</t>
  </si>
  <si>
    <t>Deliver undirected malware
(CAPEC-185)</t>
  </si>
  <si>
    <t>Deliver directed malware
(CAPEC-185)</t>
  </si>
  <si>
    <t>Remote exploitation</t>
  </si>
  <si>
    <t>Critical data transfer to the removable device</t>
  </si>
  <si>
    <t>Lack of encryption for input data to Intra-op</t>
  </si>
  <si>
    <t>Lack of authentication for the connected removable device</t>
  </si>
  <si>
    <t xml:space="preserve">Unexpected/Damaged input to CT Knee Intra-op </t>
  </si>
  <si>
    <t>V05</t>
  </si>
  <si>
    <t>No proper validation for the removable devices</t>
  </si>
  <si>
    <t>BRUTE force/Dictonary attacks are possible</t>
  </si>
  <si>
    <t>V06</t>
  </si>
  <si>
    <t>Lack of multi-factor authentication</t>
  </si>
  <si>
    <t>V07</t>
  </si>
  <si>
    <t>BRUTE force/Dictonary attacks</t>
  </si>
  <si>
    <t>Application allowing unlimited login attempts</t>
  </si>
  <si>
    <t>V08</t>
  </si>
  <si>
    <t>No session time out implemented for the application</t>
  </si>
  <si>
    <t>Unauthorized access/modification of secure data</t>
  </si>
  <si>
    <t>All removable devices connecting to the system should be scanned</t>
  </si>
  <si>
    <t>1. Critical/Sensitive data should be protected.
2. Data transfer to the removable devices should happen with proper authentication.</t>
  </si>
  <si>
    <t>1. Critical/Sensitive data should be protected.
2. Data transfer from one device to another device should be encrypted.</t>
  </si>
  <si>
    <t>1. All the removable devices should not be allowed to connect with the systsem
2. Authentication/Validation of input device should be mandatory</t>
  </si>
  <si>
    <t>1. Application should validate the input data
2. Data format and expected input should be properly documented</t>
  </si>
  <si>
    <t>1. Require multi-factor authentication
2. Limit authentication attempts (rate Limiting)
3. Maintain Access Logs
4. Maintain Server Security Logs
5. Stronger authentication methods</t>
  </si>
  <si>
    <t>1. Require multi-factor authentication
2. Limit authentication attempts (rate Limiting)
3. Maintain Access Logs
4. Maintain Server Security Logs"</t>
  </si>
  <si>
    <t>1. User configuration settings should be properly validated from security perspective
2. There should be limit/control over the user settings.</t>
  </si>
  <si>
    <t xml:space="preserve">1. OS updates should be properly planned for running the Intra-op application
2. Automatic/Manual pulling of the patches for severe vulnerabilities should be planned. </t>
  </si>
  <si>
    <t>1. Cryptography should be properly maintained for sensitive data
2. Latest crypto algorithms should be selected for ensuring proper security</t>
  </si>
  <si>
    <t>1. All the provided physical network components should be identified and unused should be identified
2. Unused componens should be properly disabled/limited 
3. System security elements such as firewall, antivirus etc.. should be properly identified</t>
  </si>
  <si>
    <t>1. Critical/Sensitive data should be protected.
2. Data transfer to the removable devices should happen with proper authentication.
3. System security elements such as firewall, antivirus etc.. should be properly identified</t>
  </si>
  <si>
    <t>1. Audit log data should be maintained for security
2. Access with proper authentication is needed
3. Unauthorized modification/copying should not be allowed</t>
  </si>
  <si>
    <t>A00</t>
  </si>
  <si>
    <t>New cart  running with Linux OS</t>
  </si>
  <si>
    <t>Nav3i cart/ System running with windows 8.1</t>
  </si>
  <si>
    <t>OS vulnerabilities</t>
  </si>
  <si>
    <t>Unsupported OS from vendor</t>
  </si>
  <si>
    <t>V51</t>
  </si>
  <si>
    <t>V52</t>
  </si>
  <si>
    <t>OS tools from vendor not getting updated</t>
  </si>
  <si>
    <t>V53</t>
  </si>
  <si>
    <t>Absence of periodic backup plan</t>
  </si>
  <si>
    <t>Corrupted OS and absence of restore points</t>
  </si>
  <si>
    <t>V54</t>
  </si>
  <si>
    <t>V56</t>
  </si>
  <si>
    <t>Remote exploitation of the system from intranet</t>
  </si>
  <si>
    <t>V57</t>
  </si>
  <si>
    <t>V55</t>
  </si>
  <si>
    <t>Any malicious service running in the system without being identified</t>
  </si>
  <si>
    <t>Risk of using windows 8.1</t>
  </si>
  <si>
    <t>T40</t>
  </si>
  <si>
    <t>V58</t>
  </si>
  <si>
    <t>Unhardened OS and network interfaces</t>
  </si>
  <si>
    <t>Linux OS</t>
  </si>
  <si>
    <t>V61</t>
  </si>
  <si>
    <t>V62</t>
  </si>
  <si>
    <t>V63</t>
  </si>
  <si>
    <t>V64</t>
  </si>
  <si>
    <t>V65</t>
  </si>
  <si>
    <t>Securtiy packages not properly configured during OS build</t>
  </si>
  <si>
    <t>V66</t>
  </si>
  <si>
    <t>T41</t>
  </si>
  <si>
    <t>Risk of using Linux</t>
  </si>
  <si>
    <t>1. MDM should provide the details of updating the virus definitions, firewall rules etc… for the cart management.
2. Hospital IT staff should manage the same</t>
  </si>
  <si>
    <t xml:space="preserve">Unavailability of support from 3rd party tools for outdated OS </t>
  </si>
  <si>
    <t>1. List down all the 3rd party components and their EOL support
2.Assess the risk &amp; find the replacement for outdated/unsupported 3rd parties based on their dependency</t>
  </si>
  <si>
    <t>1. List down all the OS tools/components and their EOL support
2.Assess the risk &amp; find the alternatives for outdated/unsupported vendor tools based on their dependency</t>
  </si>
  <si>
    <t>1. Configure the restore points based on timeline from vendor if available
2. Design &amp; enable the plan for multiple restore points if vendor not supporting
3. Planning for the restore points should be suggested from MDM for the hospital
4. Ensure a safe and secure restore points design if vendor not supporting</t>
  </si>
  <si>
    <t>1. Configure the backup plan based on timeline from vendor if available
2. Design &amp; enable the plan for backup if vendor not supporting
3. Ensure a safe and secure backup design done if vendor not supporting</t>
  </si>
  <si>
    <t>1. Firewall rules/other resources should be properly maintained
2. Incoming network traffic should be monitored with the help of tools</t>
  </si>
  <si>
    <t>1. Audit logs should be enabled and capture all the user, network etc... activities
2. Periodic monitoring should not be ignored
3. Periodic plan for monitoring should be designed</t>
  </si>
  <si>
    <t>1. The vendor provided OS (8.1) should not be used as it is provided in the market
2. Customization of OS is required
3. OS services, frameworks &amp; network interfaces which are not being used can be avoided from running
4. Unnecessary OS services, frameworks &amp; network interfaces should be hardened or has to limited in functionality</t>
  </si>
  <si>
    <t>Packages like ip tables, ep tables, firewall-D &amp; other services that can provide a stronger security environment should be identified/enabled for linux OS</t>
  </si>
  <si>
    <t>Removable devices provide input to  knee intra-op</t>
  </si>
  <si>
    <t>Knee Intra-Op running Cart/System having HW resources and Configurable Bios</t>
  </si>
  <si>
    <t>Audit (log) data is considered as a sensitive data. It should be secured with proper access control</t>
  </si>
  <si>
    <t>Windows 8.1 &amp; prior versions are considered as an EOL OS. Vendor no more provide support for these OS's</t>
  </si>
  <si>
    <t>Linux is an open-source OS. Some vendors has linux flavors which still needs to be considered for risk analysis</t>
  </si>
  <si>
    <t>Deviation from the desired input data affects functionality and also creates major risk to patient health during surgery</t>
  </si>
  <si>
    <t>Device should be sanitized before connecting to the cart/system. Malware in the input device can cause severe threats</t>
  </si>
  <si>
    <t>The removable devices shoud be restricted based on their purpose i.e, either as an input/output device. The input device should not take any data from the system intentionally/unintentionally</t>
  </si>
  <si>
    <t>Data should not get modified in transit between two applications. The output from one application should maintain integrity in transition before reaching the other application</t>
  </si>
  <si>
    <t>Only hospital authenticated devices should be allowed to connect with the Intra-op application. If authentication is not enabled, any removable device can be connected to the system and trust can't be established</t>
  </si>
  <si>
    <t xml:space="preserve">Automated/robotic attacks are possible if only single factor (user id, password) or with any other login. Broken authentication threat can happen with single factor authentication </t>
  </si>
  <si>
    <t>Broken authentication (user name, password…)</t>
  </si>
  <si>
    <t xml:space="preserve">Automated/robotic attacks are possible if only single factor (user id, password) or with any other login. BRUTE force attacks are possible with single factor authentication </t>
  </si>
  <si>
    <t>No session expiry</t>
  </si>
  <si>
    <t>Every session has to get timed-out after certain period. If this is not enabled, then a continuous session exists without reauthentication and whole objective of authentication is bypassed</t>
  </si>
  <si>
    <t>Every OS has to get latest security patches based on the vulnerabilities logged into the CVE database &amp; CVSS score. If this is not provided then extreme care has to be taken in protecting the resource (system)</t>
  </si>
  <si>
    <t>Adversary uses different kinds of tools to exploit the unused/unprotected network resouces should be scanned and protection should be enabled to safeguard from attacks</t>
  </si>
  <si>
    <t>Encryption/cryptographic techniques are important in securing the sensitive data. Outdated cryptographic algorithms should be avoided to improve the attack complexity, as this can be easily cracked by the adversary</t>
  </si>
  <si>
    <t xml:space="preserve">Audit log data should be maintained to identify security breaches. With no proper authentication to the access of audit logs the content can be modified/deleted. </t>
  </si>
  <si>
    <t>EOL OS, outdated tools/components, no patches/updates from vendor, automatic updation of virus definitions, firewall rules  not available</t>
  </si>
  <si>
    <t>All security packages to be included during OS build. In absence of inbuilt security tools, security breaches can occur. Patch management should be palnned in reference to vulnerable database. If not planned then vulnerabilities can enable the attacker to compromise the system. Hardening checklist to be designed &amp; ensure it has been enforced. If not provided then exploitation of vulnerabilities can make the system unstable</t>
  </si>
  <si>
    <t>V67</t>
  </si>
  <si>
    <t>Critical patches not identified and integrated within timeline</t>
  </si>
  <si>
    <t>Patch management should be palnned in reference to vulnerable database. If not planned then vulnerabilities can enable the attacker to compromise the system. Hardening checklist to be designed &amp; ensure it has been enforced. If not provided then exploitation of vulnerabilities can make the system unstable</t>
  </si>
  <si>
    <t xml:space="preserve">Automatic/Manual pulling of the patches for severe vulnerabilities should be planned.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</si>
</sst>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60"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8"/>
      <name val="Arial"/>
      <family val="2"/>
    </font>
    <font>
      <b/>
      <sz val="14"/>
      <color indexed="8"/>
      <name val="Arial"/>
      <family val="2"/>
    </font>
    <font>
      <b/>
      <sz val="11"/>
      <color theme="3"/>
      <name val="Arial"/>
      <family val="2"/>
    </font>
    <font>
      <sz val="10"/>
      <color indexed="8"/>
      <name val="Arial"/>
      <family val="2"/>
    </font>
    <font>
      <b/>
      <sz val="10"/>
      <color indexed="8"/>
      <name val="Arial"/>
      <family val="2"/>
    </font>
    <font>
      <sz val="10"/>
      <name val="Arial"/>
      <family val="2"/>
    </font>
    <font>
      <b/>
      <sz val="18"/>
      <color indexed="8"/>
      <name val="Arial"/>
      <family val="2"/>
    </font>
    <font>
      <b/>
      <sz val="9"/>
      <color indexed="81"/>
      <name val="Arial"/>
      <family val="2"/>
    </font>
    <font>
      <b/>
      <sz val="9"/>
      <color indexed="81"/>
      <name val="Segoe UI"/>
      <family val="2"/>
    </font>
    <font>
      <sz val="10"/>
      <color theme="1"/>
      <name val="Arial"/>
      <family val="2"/>
    </font>
    <font>
      <sz val="10"/>
      <color theme="1"/>
      <name val="Calibri"/>
      <family val="2"/>
      <scheme val="minor"/>
    </font>
    <font>
      <u/>
      <sz val="11"/>
      <color rgb="FF000080"/>
      <name val="Calibri"/>
      <family val="2"/>
      <scheme val="minor"/>
    </font>
    <font>
      <sz val="11"/>
      <color theme="1"/>
      <name val="Cambria"/>
      <family val="1"/>
    </font>
    <font>
      <sz val="11"/>
      <color rgb="FF0000FF"/>
      <name val="Cambria"/>
      <family val="1"/>
    </font>
    <font>
      <sz val="11"/>
      <name val="Cambria"/>
      <family val="1"/>
    </font>
    <font>
      <sz val="8"/>
      <name val="Calibri"/>
      <family val="2"/>
      <scheme val="minor"/>
    </font>
    <font>
      <u/>
      <sz val="11"/>
      <color rgb="FF000080"/>
      <name val="Cambria"/>
      <family val="1"/>
    </font>
    <font>
      <sz val="11"/>
      <color rgb="FF000000"/>
      <name val="Calibri"/>
      <family val="2"/>
      <charset val="1"/>
    </font>
    <font>
      <sz val="11"/>
      <color theme="1"/>
      <name val="Cambria"/>
    </font>
    <font>
      <sz val="11"/>
      <color theme="1"/>
      <name val="Calibri"/>
      <scheme val="minor"/>
    </font>
    <font>
      <sz val="11"/>
      <color rgb="FF0000FF"/>
      <name val="Cambria"/>
    </font>
    <font>
      <sz val="11"/>
      <name val="Cambria"/>
    </font>
    <font>
      <sz val="11"/>
      <color theme="1"/>
      <name val="Calibri"/>
      <family val="2"/>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64"/>
      </right>
      <top style="thin">
        <color indexed="64"/>
      </top>
      <bottom/>
      <diagonal/>
    </border>
  </borders>
  <cellStyleXfs count="6">
    <xf numFmtId="0" fontId="0" fillId="0" borderId="0"/>
    <xf numFmtId="0" fontId="1" fillId="0" borderId="0"/>
    <xf numFmtId="0" fontId="14" fillId="0" borderId="0"/>
    <xf numFmtId="0" fontId="42" fillId="0" borderId="0"/>
    <xf numFmtId="0" fontId="42" fillId="0" borderId="0">
      <protection locked="0"/>
    </xf>
    <xf numFmtId="0" fontId="54" fillId="0" borderId="0"/>
  </cellStyleXfs>
  <cellXfs count="378">
    <xf numFmtId="0" fontId="0" fillId="0" borderId="0" xfId="0"/>
    <xf numFmtId="0" fontId="0" fillId="0" borderId="1" xfId="0" applyBorder="1"/>
    <xf numFmtId="0" fontId="0" fillId="0" borderId="0" xfId="0" applyFont="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0" fillId="0" borderId="0" xfId="0" applyFont="1" applyAlignment="1">
      <alignment vertical="top"/>
    </xf>
    <xf numFmtId="0" fontId="0" fillId="0" borderId="0" xfId="0" applyFont="1" applyAlignment="1">
      <alignment horizontal="center" vertical="top"/>
    </xf>
    <xf numFmtId="0" fontId="3" fillId="0" borderId="0" xfId="0" applyFont="1" applyAlignment="1">
      <alignment vertical="top" wrapText="1"/>
    </xf>
    <xf numFmtId="0" fontId="17" fillId="0" borderId="0" xfId="0" applyFont="1"/>
    <xf numFmtId="0" fontId="17" fillId="0" borderId="0" xfId="0" applyFont="1" applyAlignment="1">
      <alignment wrapText="1"/>
    </xf>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5"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5" xfId="0" applyFont="1" applyBorder="1" applyAlignment="1">
      <alignment vertical="top"/>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15" fillId="0" borderId="7" xfId="0" applyFont="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15" fillId="19" borderId="7" xfId="0" applyFont="1" applyFill="1" applyBorder="1" applyAlignment="1">
      <alignment horizontal="center" vertical="top" wrapText="1"/>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Border="1" applyAlignment="1">
      <alignment horizontal="center" vertical="center"/>
    </xf>
    <xf numFmtId="2" fontId="23" fillId="0" borderId="0" xfId="0" applyNumberFormat="1" applyFont="1" applyBorder="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0" xfId="0" applyFont="1" applyFill="1" applyBorder="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Border="1" applyAlignment="1">
      <alignment horizontal="center" vertical="center"/>
    </xf>
    <xf numFmtId="0" fontId="15" fillId="13" borderId="0" xfId="0" applyFont="1" applyFill="1" applyBorder="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Border="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applyBorder="1"/>
    <xf numFmtId="0" fontId="15" fillId="0" borderId="0" xfId="0" applyFont="1" applyBorder="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applyAlignme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1" xfId="0" applyFont="1" applyBorder="1" applyAlignment="1">
      <alignment horizontal="left"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4" xfId="0" applyFont="1" applyFill="1" applyBorder="1" applyAlignment="1">
      <alignment horizontal="center" vertical="top" wrapText="1"/>
    </xf>
    <xf numFmtId="0" fontId="15" fillId="0" borderId="1" xfId="0" applyFont="1" applyFill="1" applyBorder="1" applyAlignment="1">
      <alignment horizontal="left" vertical="top" wrapText="1"/>
    </xf>
    <xf numFmtId="0" fontId="15" fillId="0" borderId="39" xfId="0" applyFont="1" applyFill="1" applyBorder="1" applyAlignment="1">
      <alignment horizontal="center" vertical="top" wrapText="1"/>
    </xf>
    <xf numFmtId="0" fontId="15" fillId="0" borderId="5" xfId="0" applyFont="1" applyFill="1" applyBorder="1" applyAlignment="1">
      <alignment horizontal="left" vertical="top" wrapText="1"/>
    </xf>
    <xf numFmtId="0" fontId="15" fillId="0" borderId="36" xfId="0" applyFont="1" applyBorder="1" applyAlignment="1">
      <alignment horizontal="center" vertical="top"/>
    </xf>
    <xf numFmtId="0" fontId="15" fillId="0" borderId="39" xfId="0" applyFont="1" applyBorder="1" applyAlignment="1">
      <alignment horizontal="center" vertical="top" wrapText="1"/>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17" fillId="0" borderId="0" xfId="0" applyFont="1" applyAlignment="1">
      <alignment wrapText="1"/>
    </xf>
    <xf numFmtId="0" fontId="37" fillId="0" borderId="0" xfId="0" applyFont="1" applyFill="1" applyBorder="1" applyAlignment="1">
      <alignment horizontal="left" vertical="center"/>
    </xf>
    <xf numFmtId="0" fontId="39" fillId="0" borderId="0" xfId="0" applyFont="1" applyAlignment="1">
      <alignment vertical="top"/>
    </xf>
    <xf numFmtId="0" fontId="0" fillId="0" borderId="0" xfId="0" applyBorder="1"/>
    <xf numFmtId="0" fontId="40" fillId="15" borderId="40" xfId="0" applyFont="1" applyFill="1" applyBorder="1" applyAlignment="1">
      <alignment horizontal="left" vertical="top" wrapText="1"/>
    </xf>
    <xf numFmtId="0" fontId="41" fillId="15" borderId="1" xfId="0" applyFont="1" applyFill="1" applyBorder="1" applyAlignment="1">
      <alignment vertical="top" wrapText="1"/>
    </xf>
    <xf numFmtId="49" fontId="40" fillId="0" borderId="1" xfId="0" applyNumberFormat="1" applyFont="1" applyBorder="1" applyAlignment="1">
      <alignment horizontal="left" vertical="top" wrapText="1"/>
    </xf>
    <xf numFmtId="49" fontId="40" fillId="0" borderId="1" xfId="0" applyNumberFormat="1" applyFont="1" applyBorder="1" applyAlignment="1">
      <alignment horizontal="right" vertical="top" wrapText="1"/>
    </xf>
    <xf numFmtId="0" fontId="0" fillId="0" borderId="0" xfId="0" applyAlignment="1">
      <alignment horizontal="left" vertical="top" wrapText="1"/>
    </xf>
    <xf numFmtId="0" fontId="42" fillId="0" borderId="0" xfId="0" applyFont="1" applyFill="1" applyAlignment="1">
      <alignment horizontal="left" vertical="top" wrapText="1"/>
    </xf>
    <xf numFmtId="0" fontId="0" fillId="0" borderId="0" xfId="0" applyFont="1" applyAlignment="1">
      <alignment horizontal="left" vertical="top" wrapText="1"/>
    </xf>
    <xf numFmtId="0" fontId="43" fillId="0" borderId="0" xfId="0" applyFont="1" applyAlignment="1">
      <alignment vertical="top"/>
    </xf>
    <xf numFmtId="0" fontId="46" fillId="0" borderId="0" xfId="0" applyFont="1" applyAlignment="1">
      <alignment horizontal="left"/>
    </xf>
    <xf numFmtId="0" fontId="46" fillId="0" borderId="0" xfId="0" applyFont="1" applyAlignment="1">
      <alignment horizontal="left" wrapText="1"/>
    </xf>
    <xf numFmtId="0" fontId="47" fillId="0" borderId="0" xfId="0" applyFont="1"/>
    <xf numFmtId="0" fontId="0" fillId="0" borderId="0" xfId="0" applyAlignment="1">
      <alignment wrapText="1"/>
    </xf>
    <xf numFmtId="0" fontId="0" fillId="0" borderId="5" xfId="0" applyBorder="1" applyAlignment="1">
      <alignment horizontal="center" vertical="center"/>
    </xf>
    <xf numFmtId="0" fontId="0" fillId="0" borderId="0" xfId="0" applyAlignment="1">
      <alignment vertical="top" wrapText="1"/>
    </xf>
    <xf numFmtId="0" fontId="0" fillId="0" borderId="5" xfId="0" applyBorder="1" applyAlignment="1">
      <alignment horizontal="center" vertical="top" wrapText="1"/>
    </xf>
    <xf numFmtId="0" fontId="0" fillId="0" borderId="36" xfId="0" applyBorder="1" applyAlignment="1">
      <alignment vertical="top" wrapText="1"/>
    </xf>
    <xf numFmtId="0" fontId="15" fillId="0" borderId="36" xfId="0" applyFont="1" applyBorder="1" applyAlignment="1">
      <alignment vertical="top"/>
    </xf>
    <xf numFmtId="0" fontId="15" fillId="0" borderId="1" xfId="0" applyFont="1" applyBorder="1" applyAlignment="1">
      <alignment horizontal="center" vertical="center"/>
    </xf>
    <xf numFmtId="0" fontId="0" fillId="0" borderId="7" xfId="0" applyBorder="1" applyAlignment="1">
      <alignment horizontal="center" vertical="center" wrapText="1"/>
    </xf>
    <xf numFmtId="0" fontId="0" fillId="0" borderId="1" xfId="0" applyBorder="1" applyAlignment="1">
      <alignment vertical="top" wrapText="1"/>
    </xf>
    <xf numFmtId="0" fontId="0" fillId="0" borderId="5" xfId="0" applyBorder="1" applyAlignment="1">
      <alignment vertical="top" wrapText="1"/>
    </xf>
    <xf numFmtId="0" fontId="15" fillId="0" borderId="7" xfId="0" applyFont="1" applyBorder="1" applyAlignment="1">
      <alignment horizontal="center" vertical="center" wrapText="1"/>
    </xf>
    <xf numFmtId="0" fontId="49" fillId="0" borderId="1" xfId="0" applyFont="1" applyBorder="1" applyAlignment="1">
      <alignment horizontal="center" vertical="top"/>
    </xf>
    <xf numFmtId="0" fontId="49" fillId="0" borderId="1" xfId="0" applyFont="1" applyBorder="1" applyAlignment="1">
      <alignment vertical="top"/>
    </xf>
    <xf numFmtId="0" fontId="49" fillId="15" borderId="1" xfId="0" applyNumberFormat="1" applyFont="1" applyFill="1" applyBorder="1" applyAlignment="1">
      <alignment vertical="top" wrapText="1"/>
    </xf>
    <xf numFmtId="0" fontId="49" fillId="0" borderId="1" xfId="0" applyFont="1" applyBorder="1" applyAlignment="1">
      <alignment vertical="top" wrapText="1"/>
    </xf>
    <xf numFmtId="0" fontId="49" fillId="19" borderId="1" xfId="0" applyFont="1" applyFill="1" applyBorder="1" applyAlignment="1">
      <alignment horizontal="center" vertical="center" wrapText="1"/>
    </xf>
    <xf numFmtId="164" fontId="49" fillId="15" borderId="1" xfId="0" applyNumberFormat="1" applyFont="1" applyFill="1" applyBorder="1" applyAlignment="1">
      <alignment horizontal="center" vertical="center" wrapText="1"/>
    </xf>
    <xf numFmtId="164" fontId="50" fillId="15" borderId="1" xfId="0" applyNumberFormat="1" applyFont="1" applyFill="1" applyBorder="1" applyAlignment="1">
      <alignment horizontal="center" vertical="center" wrapText="1"/>
    </xf>
    <xf numFmtId="0" fontId="49" fillId="0" borderId="1" xfId="0" applyNumberFormat="1" applyFont="1" applyBorder="1" applyAlignment="1">
      <alignment horizontal="center" vertical="top" wrapText="1"/>
    </xf>
    <xf numFmtId="0" fontId="51" fillId="0" borderId="1" xfId="0" applyFont="1" applyBorder="1" applyAlignment="1">
      <alignment vertical="top" wrapText="1"/>
    </xf>
    <xf numFmtId="0" fontId="49" fillId="19" borderId="1" xfId="0" applyNumberFormat="1" applyFont="1" applyFill="1" applyBorder="1" applyAlignment="1">
      <alignment horizontal="center" vertical="center" wrapText="1"/>
    </xf>
    <xf numFmtId="0" fontId="50" fillId="22" borderId="1" xfId="0" applyNumberFormat="1" applyFont="1" applyFill="1" applyBorder="1" applyAlignment="1">
      <alignment horizontal="center" vertical="center" wrapText="1"/>
    </xf>
    <xf numFmtId="0" fontId="15" fillId="0" borderId="6" xfId="0" applyFont="1" applyBorder="1" applyAlignment="1">
      <alignment vertical="top" wrapText="1"/>
    </xf>
    <xf numFmtId="0" fontId="51" fillId="0" borderId="1" xfId="0" applyFont="1" applyBorder="1" applyAlignment="1">
      <alignment vertical="top"/>
    </xf>
    <xf numFmtId="0" fontId="49" fillId="0" borderId="5" xfId="0" applyFont="1" applyBorder="1" applyAlignment="1">
      <alignment vertical="top" wrapText="1"/>
    </xf>
    <xf numFmtId="0" fontId="49" fillId="15" borderId="5" xfId="0" applyNumberFormat="1" applyFont="1" applyFill="1" applyBorder="1" applyAlignment="1">
      <alignment vertical="top" wrapText="1"/>
    </xf>
    <xf numFmtId="0" fontId="49" fillId="0" borderId="5" xfId="0" applyFont="1" applyBorder="1" applyAlignment="1">
      <alignment vertical="top"/>
    </xf>
    <xf numFmtId="0" fontId="49" fillId="19" borderId="5" xfId="0" applyFont="1" applyFill="1" applyBorder="1" applyAlignment="1">
      <alignment horizontal="center" vertical="center" wrapText="1"/>
    </xf>
    <xf numFmtId="164" fontId="49" fillId="15" borderId="5" xfId="0" applyNumberFormat="1" applyFont="1" applyFill="1" applyBorder="1" applyAlignment="1">
      <alignment horizontal="center" vertical="center" wrapText="1"/>
    </xf>
    <xf numFmtId="164" fontId="50" fillId="15" borderId="5" xfId="0" applyNumberFormat="1" applyFont="1" applyFill="1" applyBorder="1" applyAlignment="1">
      <alignment horizontal="center" vertical="center" wrapText="1"/>
    </xf>
    <xf numFmtId="0" fontId="49" fillId="0" borderId="5" xfId="0" applyNumberFormat="1" applyFont="1" applyBorder="1" applyAlignment="1">
      <alignment horizontal="center" vertical="top" wrapText="1"/>
    </xf>
    <xf numFmtId="0" fontId="51" fillId="0" borderId="5" xfId="0" applyFont="1" applyBorder="1" applyAlignment="1">
      <alignment vertical="top"/>
    </xf>
    <xf numFmtId="0" fontId="49" fillId="19" borderId="5" xfId="0" applyNumberFormat="1" applyFont="1" applyFill="1" applyBorder="1" applyAlignment="1">
      <alignment horizontal="center" vertical="center" wrapText="1"/>
    </xf>
    <xf numFmtId="0" fontId="50" fillId="22" borderId="5" xfId="0" applyNumberFormat="1" applyFont="1" applyFill="1" applyBorder="1" applyAlignment="1">
      <alignment horizontal="center" vertical="center" wrapText="1"/>
    </xf>
    <xf numFmtId="0" fontId="15" fillId="18" borderId="1" xfId="0" applyFont="1" applyFill="1" applyBorder="1" applyAlignment="1">
      <alignment vertical="top" wrapText="1"/>
    </xf>
    <xf numFmtId="0" fontId="15" fillId="0" borderId="1" xfId="0" applyFont="1" applyFill="1" applyBorder="1" applyAlignment="1">
      <alignment vertical="top"/>
    </xf>
    <xf numFmtId="0" fontId="15" fillId="0" borderId="1" xfId="0" applyFont="1" applyFill="1" applyBorder="1" applyAlignment="1">
      <alignment horizontal="center" vertical="top"/>
    </xf>
    <xf numFmtId="0" fontId="15" fillId="0" borderId="2" xfId="0" applyFont="1" applyFill="1" applyBorder="1" applyAlignment="1">
      <alignment vertical="top" wrapText="1"/>
    </xf>
    <xf numFmtId="0" fontId="15" fillId="0" borderId="5" xfId="0" applyFont="1" applyFill="1" applyBorder="1" applyAlignment="1">
      <alignment vertical="top" wrapText="1"/>
    </xf>
    <xf numFmtId="0" fontId="21" fillId="0" borderId="1" xfId="0" applyFont="1" applyFill="1" applyBorder="1" applyAlignment="1">
      <alignment vertical="top" wrapText="1"/>
    </xf>
    <xf numFmtId="0" fontId="3" fillId="0" borderId="0" xfId="0" applyFont="1" applyAlignment="1">
      <alignment vertical="top" wrapText="1"/>
    </xf>
    <xf numFmtId="0" fontId="15" fillId="0" borderId="0" xfId="0" applyFont="1" applyAlignment="1">
      <alignment vertical="top" wrapText="1"/>
    </xf>
    <xf numFmtId="0" fontId="15" fillId="0" borderId="0" xfId="0" applyFont="1" applyAlignment="1">
      <alignment vertical="top" wrapText="1"/>
    </xf>
    <xf numFmtId="0" fontId="15" fillId="0" borderId="0" xfId="0" applyFont="1" applyAlignment="1">
      <alignment vertical="top" wrapText="1"/>
    </xf>
    <xf numFmtId="0" fontId="15" fillId="0" borderId="0" xfId="0" applyFont="1" applyAlignment="1">
      <alignment vertical="top"/>
    </xf>
    <xf numFmtId="0" fontId="15" fillId="0" borderId="5"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0" borderId="4" xfId="0" applyFont="1" applyBorder="1" applyAlignment="1">
      <alignment vertical="top" wrapText="1"/>
    </xf>
    <xf numFmtId="0" fontId="15" fillId="0" borderId="5" xfId="0" applyFont="1" applyBorder="1" applyAlignment="1">
      <alignment vertical="top"/>
    </xf>
    <xf numFmtId="0" fontId="15" fillId="0" borderId="5" xfId="0" applyFont="1" applyBorder="1" applyAlignment="1">
      <alignment horizontal="center" vertical="top"/>
    </xf>
    <xf numFmtId="0" fontId="15" fillId="0" borderId="1" xfId="0" applyFont="1" applyBorder="1" applyAlignment="1">
      <alignment vertical="top" wrapText="1"/>
    </xf>
    <xf numFmtId="0" fontId="0" fillId="0" borderId="5" xfId="0" applyFont="1" applyBorder="1" applyAlignment="1">
      <alignment vertical="top" wrapText="1"/>
    </xf>
    <xf numFmtId="0" fontId="21" fillId="0" borderId="5" xfId="0" applyFont="1" applyBorder="1" applyAlignment="1">
      <alignment vertical="top" wrapText="1"/>
    </xf>
    <xf numFmtId="0" fontId="15" fillId="10" borderId="4" xfId="0" applyFont="1" applyFill="1" applyBorder="1" applyAlignment="1">
      <alignment vertical="top"/>
    </xf>
    <xf numFmtId="0" fontId="15" fillId="0" borderId="1"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55" fillId="0" borderId="1" xfId="0" applyFont="1" applyBorder="1" applyAlignment="1">
      <alignment vertical="top" wrapText="1"/>
    </xf>
    <xf numFmtId="0" fontId="55" fillId="0" borderId="5" xfId="0" applyFont="1" applyBorder="1" applyAlignment="1">
      <alignment vertical="top" wrapText="1"/>
    </xf>
    <xf numFmtId="0" fontId="15" fillId="10" borderId="48" xfId="0" applyFont="1" applyFill="1" applyBorder="1" applyAlignment="1">
      <alignment horizontal="center" vertical="top" wrapText="1"/>
    </xf>
    <xf numFmtId="0" fontId="15" fillId="10" borderId="7" xfId="0" applyFont="1" applyFill="1" applyBorder="1" applyAlignment="1">
      <alignment horizontal="center" vertical="top" wrapText="1"/>
    </xf>
    <xf numFmtId="0" fontId="0" fillId="0" borderId="5" xfId="0" applyFont="1" applyBorder="1" applyAlignment="1">
      <alignment horizontal="center" vertical="top" wrapText="1"/>
    </xf>
    <xf numFmtId="0" fontId="0" fillId="0" borderId="1" xfId="0" applyFont="1" applyBorder="1" applyAlignment="1">
      <alignment vertical="top" wrapText="1"/>
    </xf>
    <xf numFmtId="0" fontId="55" fillId="0" borderId="4" xfId="0" applyFont="1" applyBorder="1" applyAlignment="1">
      <alignment vertical="top"/>
    </xf>
    <xf numFmtId="0" fontId="55" fillId="3" borderId="4" xfId="0" applyFont="1" applyFill="1" applyBorder="1" applyAlignment="1">
      <alignment horizontal="left" vertical="top"/>
    </xf>
    <xf numFmtId="0" fontId="55" fillId="0" borderId="1" xfId="0" applyFont="1" applyBorder="1" applyAlignment="1">
      <alignment vertical="top"/>
    </xf>
    <xf numFmtId="0" fontId="55" fillId="3" borderId="1" xfId="0" applyFont="1" applyFill="1" applyBorder="1" applyAlignment="1">
      <alignment horizontal="left" vertical="top"/>
    </xf>
    <xf numFmtId="0" fontId="55" fillId="0" borderId="5" xfId="0" applyFont="1" applyBorder="1" applyAlignment="1">
      <alignment vertical="top"/>
    </xf>
    <xf numFmtId="0" fontId="56" fillId="0" borderId="4" xfId="0" applyFont="1" applyBorder="1" applyAlignment="1">
      <alignment horizontal="center" vertical="top" wrapText="1"/>
    </xf>
    <xf numFmtId="0" fontId="15" fillId="13" borderId="7" xfId="0" applyFont="1" applyFill="1" applyBorder="1" applyAlignment="1">
      <alignment horizontal="center" vertical="top" wrapText="1"/>
    </xf>
    <xf numFmtId="0" fontId="15" fillId="15" borderId="5" xfId="0" applyNumberFormat="1" applyFont="1" applyFill="1" applyBorder="1" applyAlignment="1">
      <alignment vertical="top" wrapText="1"/>
    </xf>
    <xf numFmtId="0" fontId="15" fillId="18" borderId="5" xfId="0" applyFont="1" applyFill="1" applyBorder="1" applyAlignment="1">
      <alignment vertical="top"/>
    </xf>
    <xf numFmtId="0" fontId="15" fillId="19" borderId="5" xfId="0" applyFont="1" applyFill="1" applyBorder="1" applyAlignment="1">
      <alignment horizontal="center" vertical="center" wrapText="1"/>
    </xf>
    <xf numFmtId="164" fontId="15" fillId="15" borderId="5" xfId="0" applyNumberFormat="1" applyFont="1" applyFill="1" applyBorder="1" applyAlignment="1">
      <alignment horizontal="center" vertical="center" wrapText="1"/>
    </xf>
    <xf numFmtId="164" fontId="24" fillId="15" borderId="5" xfId="0" applyNumberFormat="1" applyFont="1" applyFill="1" applyBorder="1" applyAlignment="1">
      <alignment horizontal="center" vertical="center" wrapText="1"/>
    </xf>
    <xf numFmtId="164" fontId="24" fillId="19" borderId="5" xfId="0" applyNumberFormat="1" applyFont="1" applyFill="1" applyBorder="1" applyAlignment="1">
      <alignment horizontal="center" vertical="center" wrapText="1"/>
    </xf>
    <xf numFmtId="0" fontId="15" fillId="0" borderId="5" xfId="0" applyNumberFormat="1" applyFont="1" applyBorder="1" applyAlignment="1">
      <alignment horizontal="center" vertical="top" wrapText="1"/>
    </xf>
    <xf numFmtId="0" fontId="23" fillId="0" borderId="5" xfId="0" applyFont="1" applyBorder="1" applyAlignment="1">
      <alignment vertical="top"/>
    </xf>
    <xf numFmtId="0" fontId="15" fillId="19" borderId="5" xfId="0" applyNumberFormat="1" applyFont="1" applyFill="1" applyBorder="1" applyAlignment="1">
      <alignment horizontal="center" vertical="center" wrapText="1"/>
    </xf>
    <xf numFmtId="0" fontId="24" fillId="22" borderId="5" xfId="0" applyNumberFormat="1" applyFont="1" applyFill="1" applyBorder="1" applyAlignment="1">
      <alignment horizontal="center" vertical="center" wrapText="1"/>
    </xf>
    <xf numFmtId="0" fontId="15" fillId="10" borderId="5" xfId="0" applyFont="1" applyFill="1" applyBorder="1" applyAlignment="1">
      <alignment horizontal="center" vertical="top"/>
    </xf>
    <xf numFmtId="0" fontId="0" fillId="10" borderId="1" xfId="0" applyFont="1" applyFill="1" applyBorder="1" applyAlignment="1">
      <alignment horizontal="center" vertical="top"/>
    </xf>
    <xf numFmtId="0" fontId="15" fillId="0" borderId="1" xfId="0" applyFont="1" applyBorder="1" applyAlignment="1">
      <alignment vertical="top" wrapText="1"/>
    </xf>
    <xf numFmtId="0" fontId="15" fillId="0" borderId="5" xfId="0" applyFont="1" applyBorder="1" applyAlignment="1">
      <alignment vertical="top" wrapText="1"/>
    </xf>
    <xf numFmtId="0" fontId="0" fillId="19" borderId="1" xfId="0" applyFont="1" applyFill="1" applyBorder="1" applyAlignment="1">
      <alignment horizontal="center" vertical="top" wrapText="1"/>
    </xf>
    <xf numFmtId="0" fontId="0" fillId="19" borderId="1" xfId="0" applyFont="1" applyFill="1" applyBorder="1" applyAlignment="1">
      <alignment vertical="top" wrapText="1"/>
    </xf>
    <xf numFmtId="0" fontId="55" fillId="10" borderId="39" xfId="0" applyFont="1" applyFill="1" applyBorder="1" applyAlignment="1">
      <alignment vertical="top"/>
    </xf>
    <xf numFmtId="0" fontId="55" fillId="10" borderId="4" xfId="0" applyFont="1" applyFill="1" applyBorder="1" applyAlignment="1">
      <alignment vertical="top"/>
    </xf>
    <xf numFmtId="0" fontId="55" fillId="15" borderId="1" xfId="0" applyNumberFormat="1" applyFont="1" applyFill="1" applyBorder="1" applyAlignment="1">
      <alignment vertical="top" wrapText="1"/>
    </xf>
    <xf numFmtId="0" fontId="55" fillId="18" borderId="1" xfId="0" applyFont="1" applyFill="1" applyBorder="1" applyAlignment="1">
      <alignment vertical="top"/>
    </xf>
    <xf numFmtId="0" fontId="55" fillId="19" borderId="1" xfId="0" applyFont="1" applyFill="1" applyBorder="1" applyAlignment="1">
      <alignment horizontal="center" vertical="center" wrapText="1"/>
    </xf>
    <xf numFmtId="164" fontId="55" fillId="15" borderId="1" xfId="0" applyNumberFormat="1" applyFont="1" applyFill="1" applyBorder="1" applyAlignment="1">
      <alignment horizontal="center" vertical="center" wrapText="1"/>
    </xf>
    <xf numFmtId="164" fontId="57" fillId="15" borderId="1" xfId="0" applyNumberFormat="1" applyFont="1" applyFill="1" applyBorder="1" applyAlignment="1">
      <alignment horizontal="center" vertical="center" wrapText="1"/>
    </xf>
    <xf numFmtId="0" fontId="55" fillId="0" borderId="1" xfId="0" applyNumberFormat="1" applyFont="1" applyBorder="1" applyAlignment="1">
      <alignment horizontal="center" vertical="top" wrapText="1"/>
    </xf>
    <xf numFmtId="0" fontId="58" fillId="0" borderId="1" xfId="0" applyFont="1" applyBorder="1" applyAlignment="1">
      <alignment vertical="top"/>
    </xf>
    <xf numFmtId="0" fontId="55" fillId="19" borderId="1" xfId="0" applyNumberFormat="1" applyFont="1" applyFill="1" applyBorder="1" applyAlignment="1">
      <alignment horizontal="center" vertical="center" wrapText="1"/>
    </xf>
    <xf numFmtId="0" fontId="57" fillId="22" borderId="1" xfId="0" applyNumberFormat="1" applyFont="1" applyFill="1" applyBorder="1" applyAlignment="1">
      <alignment horizontal="center" vertical="center" wrapText="1"/>
    </xf>
    <xf numFmtId="0" fontId="55" fillId="15" borderId="5" xfId="0" applyNumberFormat="1" applyFont="1" applyFill="1" applyBorder="1" applyAlignment="1">
      <alignment vertical="top" wrapText="1"/>
    </xf>
    <xf numFmtId="0" fontId="55" fillId="18" borderId="5" xfId="0" applyFont="1" applyFill="1" applyBorder="1" applyAlignment="1">
      <alignment vertical="top"/>
    </xf>
    <xf numFmtId="0" fontId="55" fillId="19" borderId="5" xfId="0" applyFont="1" applyFill="1" applyBorder="1" applyAlignment="1">
      <alignment horizontal="center" vertical="center" wrapText="1"/>
    </xf>
    <xf numFmtId="164" fontId="55" fillId="15" borderId="5" xfId="0" applyNumberFormat="1" applyFont="1" applyFill="1" applyBorder="1" applyAlignment="1">
      <alignment horizontal="center" vertical="center" wrapText="1"/>
    </xf>
    <xf numFmtId="164" fontId="57" fillId="15" borderId="5" xfId="0" applyNumberFormat="1" applyFont="1" applyFill="1" applyBorder="1" applyAlignment="1">
      <alignment horizontal="center" vertical="center" wrapText="1"/>
    </xf>
    <xf numFmtId="164" fontId="57" fillId="19" borderId="5" xfId="0" applyNumberFormat="1" applyFont="1" applyFill="1" applyBorder="1" applyAlignment="1">
      <alignment horizontal="center" vertical="center" wrapText="1"/>
    </xf>
    <xf numFmtId="0" fontId="55" fillId="0" borderId="5" xfId="0" applyNumberFormat="1" applyFont="1" applyBorder="1" applyAlignment="1">
      <alignment horizontal="center" vertical="top" wrapText="1"/>
    </xf>
    <xf numFmtId="0" fontId="58" fillId="0" borderId="5" xfId="0" applyFont="1" applyBorder="1" applyAlignment="1">
      <alignment vertical="top"/>
    </xf>
    <xf numFmtId="0" fontId="55" fillId="19" borderId="5" xfId="0" applyNumberFormat="1" applyFont="1" applyFill="1" applyBorder="1" applyAlignment="1">
      <alignment horizontal="center" vertical="center" wrapText="1"/>
    </xf>
    <xf numFmtId="0" fontId="57" fillId="22" borderId="5" xfId="0" applyNumberFormat="1" applyFont="1" applyFill="1" applyBorder="1" applyAlignment="1">
      <alignment horizontal="center" vertical="center" wrapText="1"/>
    </xf>
    <xf numFmtId="0" fontId="55" fillId="19" borderId="4" xfId="0" applyFont="1" applyFill="1" applyBorder="1" applyAlignment="1">
      <alignment vertical="top"/>
    </xf>
    <xf numFmtId="0" fontId="55" fillId="10" borderId="5" xfId="0" applyFont="1" applyFill="1" applyBorder="1" applyAlignment="1">
      <alignment horizontal="center" vertical="top"/>
    </xf>
    <xf numFmtId="0" fontId="55" fillId="10" borderId="1" xfId="0" applyFont="1" applyFill="1" applyBorder="1" applyAlignment="1">
      <alignment horizontal="center" vertical="top"/>
    </xf>
    <xf numFmtId="0" fontId="15" fillId="0" borderId="5" xfId="0" applyFont="1" applyBorder="1" applyAlignment="1">
      <alignment horizontal="center" vertical="center"/>
    </xf>
    <xf numFmtId="0" fontId="55" fillId="0" borderId="5" xfId="0" applyFont="1" applyBorder="1" applyAlignment="1">
      <alignment horizontal="center" vertical="center"/>
    </xf>
    <xf numFmtId="0" fontId="0" fillId="10" borderId="4" xfId="0" applyFont="1" applyFill="1" applyBorder="1" applyAlignment="1">
      <alignment horizontal="center" vertical="top" wrapText="1"/>
    </xf>
    <xf numFmtId="0" fontId="56" fillId="10" borderId="4" xfId="0" applyFont="1" applyFill="1" applyBorder="1" applyAlignment="1">
      <alignment horizontal="center" vertical="top" wrapText="1"/>
    </xf>
    <xf numFmtId="0" fontId="0" fillId="10" borderId="39" xfId="0" applyFont="1" applyFill="1" applyBorder="1" applyAlignment="1">
      <alignment horizontal="center" vertical="top" wrapText="1"/>
    </xf>
    <xf numFmtId="0" fontId="56" fillId="10" borderId="39" xfId="0" applyFont="1" applyFill="1" applyBorder="1" applyAlignment="1">
      <alignment horizontal="center" vertical="top" wrapText="1"/>
    </xf>
    <xf numFmtId="0" fontId="0" fillId="0" borderId="1" xfId="0" applyFont="1" applyBorder="1" applyAlignment="1">
      <alignment horizontal="center" vertical="top" wrapText="1"/>
    </xf>
    <xf numFmtId="0" fontId="0" fillId="0" borderId="1" xfId="0" applyFont="1" applyBorder="1" applyAlignment="1">
      <alignment horizontal="left" vertical="top" wrapText="1"/>
    </xf>
    <xf numFmtId="0" fontId="59" fillId="0" borderId="2" xfId="0" applyFont="1" applyFill="1" applyBorder="1" applyAlignment="1">
      <alignment horizontal="left" vertical="top" wrapText="1"/>
    </xf>
    <xf numFmtId="0" fontId="59" fillId="0" borderId="2" xfId="0" applyFont="1" applyBorder="1" applyAlignment="1">
      <alignment vertical="top" wrapText="1"/>
    </xf>
    <xf numFmtId="0" fontId="59" fillId="0" borderId="2" xfId="0" applyFont="1" applyBorder="1" applyAlignment="1">
      <alignment horizontal="left" vertical="top" wrapText="1"/>
    </xf>
    <xf numFmtId="0" fontId="59" fillId="0" borderId="1" xfId="0" applyFont="1" applyBorder="1" applyAlignment="1">
      <alignment vertical="top" wrapText="1"/>
    </xf>
    <xf numFmtId="0" fontId="59" fillId="0" borderId="1" xfId="0" applyFont="1" applyFill="1" applyBorder="1" applyAlignment="1">
      <alignment vertical="top" wrapText="1"/>
    </xf>
    <xf numFmtId="0" fontId="59" fillId="0" borderId="36" xfId="0" applyFont="1" applyBorder="1" applyAlignment="1">
      <alignment vertical="top" wrapText="1"/>
    </xf>
    <xf numFmtId="0" fontId="15" fillId="0" borderId="5" xfId="0" applyFont="1" applyBorder="1" applyAlignment="1">
      <alignment horizontal="center" vertical="top" wrapText="1"/>
    </xf>
    <xf numFmtId="0" fontId="15" fillId="0" borderId="36" xfId="0" applyFont="1" applyFill="1" applyBorder="1" applyAlignment="1">
      <alignment vertical="top" wrapText="1"/>
    </xf>
    <xf numFmtId="49" fontId="40" fillId="0" borderId="2" xfId="0" applyNumberFormat="1" applyFont="1" applyBorder="1" applyAlignment="1">
      <alignment horizontal="left" vertical="top" wrapText="1"/>
    </xf>
    <xf numFmtId="49" fontId="40" fillId="0" borderId="4" xfId="0" applyNumberFormat="1" applyFont="1" applyBorder="1" applyAlignment="1">
      <alignment horizontal="left" vertical="top" wrapText="1"/>
    </xf>
    <xf numFmtId="49" fontId="41" fillId="0" borderId="45" xfId="0" applyNumberFormat="1" applyFont="1" applyBorder="1" applyAlignment="1">
      <alignment horizontal="left" vertical="top" wrapText="1"/>
    </xf>
    <xf numFmtId="49" fontId="41" fillId="0" borderId="46" xfId="0" applyNumberFormat="1" applyFont="1" applyBorder="1" applyAlignment="1">
      <alignment horizontal="left" vertical="top" wrapText="1"/>
    </xf>
    <xf numFmtId="49" fontId="41" fillId="0" borderId="47" xfId="0" applyNumberFormat="1" applyFont="1" applyBorder="1" applyAlignment="1">
      <alignment horizontal="left" vertical="top" wrapText="1"/>
    </xf>
    <xf numFmtId="0" fontId="37" fillId="0" borderId="37" xfId="0" applyFont="1" applyFill="1" applyBorder="1" applyAlignment="1">
      <alignment horizontal="left" vertical="center"/>
    </xf>
    <xf numFmtId="0" fontId="37" fillId="0" borderId="41" xfId="0" applyFont="1" applyFill="1" applyBorder="1" applyAlignment="1">
      <alignment horizontal="left" vertical="center"/>
    </xf>
    <xf numFmtId="0" fontId="38" fillId="0" borderId="0" xfId="0" applyFont="1" applyAlignment="1">
      <alignment vertical="top"/>
    </xf>
    <xf numFmtId="0" fontId="0" fillId="0" borderId="0" xfId="0" applyAlignment="1"/>
    <xf numFmtId="0" fontId="41" fillId="15" borderId="2" xfId="0" applyFont="1" applyFill="1" applyBorder="1" applyAlignment="1">
      <alignment horizontal="left" vertical="top" wrapText="1"/>
    </xf>
    <xf numFmtId="0" fontId="41" fillId="15" borderId="4" xfId="0" applyFont="1" applyFill="1" applyBorder="1" applyAlignment="1">
      <alignment horizontal="left" vertical="top" wrapText="1"/>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cellXfs>
  <cellStyles count="6">
    <cellStyle name="Excel Built-in Normal" xfId="2" xr:uid="{00000000-0005-0000-0000-000000000000}"/>
    <cellStyle name="Normal" xfId="0" builtinId="0"/>
    <cellStyle name="Normal 2" xfId="1" xr:uid="{00000000-0005-0000-0000-000002000000}"/>
    <cellStyle name="Normal 3" xfId="5" xr:uid="{00000000-0005-0000-0000-000003000000}"/>
    <cellStyle name="Standard 2" xfId="4" xr:uid="{00000000-0005-0000-0000-000004000000}"/>
    <cellStyle name="Standard_Spreadsheet-Template(1)" xfId="3" xr:uid="{00000000-0005-0000-0000-000005000000}"/>
  </cellStyles>
  <dxfs count="193">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i val="0"/>
        <strike val="0"/>
        <outline val="0"/>
        <shadow val="0"/>
        <u val="none"/>
        <vertAlign val="baseline"/>
        <sz val="11"/>
        <name val="Cambria"/>
        <family val="1"/>
        <scheme val="none"/>
      </font>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mbria"/>
        <family val="1"/>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i val="0"/>
        <strike val="0"/>
        <outline val="0"/>
        <shadow val="0"/>
        <u val="none"/>
        <vertAlign val="baseline"/>
        <sz val="11"/>
        <color rgb="FF000000"/>
        <name val="Cambria"/>
        <family val="1"/>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family val="1"/>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i val="0"/>
        <strike val="0"/>
        <outline val="0"/>
        <shadow val="0"/>
        <u val="none"/>
        <vertAlign val="baseline"/>
        <sz val="11"/>
        <name val="Cambria"/>
        <family val="1"/>
        <scheme val="none"/>
      </font>
      <alignment horizontal="center" vertical="top"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b/>
        <i val="0"/>
      </font>
      <fill>
        <patternFill>
          <bgColor theme="4" tint="0.59996337778862885"/>
        </patternFill>
      </fill>
      <border>
        <left style="double">
          <color theme="4" tint="-0.24994659260841701"/>
        </left>
        <right style="double">
          <color theme="4" tint="-0.24994659260841701"/>
        </right>
        <top style="double">
          <color theme="4" tint="-0.24994659260841701"/>
        </top>
        <bottom style="thin">
          <color theme="4" tint="-0.24994659260841701"/>
        </bottom>
      </border>
    </dxf>
    <dxf>
      <border>
        <left style="double">
          <color theme="4" tint="-0.24994659260841701"/>
        </left>
        <right style="double">
          <color theme="4" tint="-0.24994659260841701"/>
        </right>
        <top style="double">
          <color theme="4" tint="-0.24994659260841701"/>
        </top>
        <bottom style="double">
          <color theme="4" tint="-0.24994659260841701"/>
        </bottom>
        <vertical style="hair">
          <color theme="4" tint="0.39994506668294322"/>
        </vertical>
        <horizontal style="hair">
          <color auto="1"/>
        </horizontal>
      </border>
    </dxf>
  </dxfs>
  <tableStyles count="1" defaultTableStyle="TableStyleMedium2" defaultPivotStyle="PivotStyleLight16">
    <tableStyle name="OfficeTrace Table" pivot="0" count="2" xr9:uid="{00000000-0011-0000-FFFF-FFFF00000000}">
      <tableStyleElement type="wholeTable" dxfId="192"/>
      <tableStyleElement type="headerRow" dxfId="191"/>
    </tableStyle>
  </tableStyles>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OT_documentReferences_1§0" displayName="OT_documentReferences_1§0" ref="A8:D14" totalsRowShown="0" dataDxfId="190">
  <autoFilter ref="A8:D14" xr:uid="{00000000-0009-0000-0100-000009000000}"/>
  <tableColumns count="4">
    <tableColumn id="1" xr3:uid="{00000000-0010-0000-0000-000001000000}" name="ID" dataDxfId="189"/>
    <tableColumn id="2" xr3:uid="{00000000-0010-0000-0000-000002000000}" name="Title" dataDxfId="188"/>
    <tableColumn id="3" xr3:uid="{00000000-0010-0000-0000-000003000000}" name="Rev.*" dataDxfId="187"/>
    <tableColumn id="4" xr3:uid="{00000000-0010-0000-0000-000004000000}" name="Doc. No." dataDxfId="186"/>
  </tableColumns>
  <tableStyleInfo name="OfficeTrace Tabl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Table8" displayName="Table8" ref="E4:G10" totalsRowShown="0" headerRowDxfId="5" dataDxfId="4" tableBorderDxfId="3">
  <autoFilter ref="E4:G10" xr:uid="{00000000-0009-0000-0100-000008000000}"/>
  <tableColumns count="3">
    <tableColumn id="1" xr3:uid="{00000000-0010-0000-0900-000001000000}" name="ID#" dataDxfId="2"/>
    <tableColumn id="2" xr3:uid="{00000000-0010-0000-0900-000002000000}" name="Source" dataDxfId="1"/>
    <tableColumn id="3" xr3:uid="{00000000-0010-0000-0900-000003000000}" name="In Scope (Y/N)" dataDxfId="0"/>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Assets" displayName="Assets" ref="A9:D23" totalsRowShown="0" headerRowDxfId="185" dataDxfId="183" headerRowBorderDxfId="184" tableBorderDxfId="182" totalsRowBorderDxfId="181">
  <autoFilter ref="A9:D23" xr:uid="{00000000-0009-0000-0100-000003000000}"/>
  <tableColumns count="4">
    <tableColumn id="1" xr3:uid="{00000000-0010-0000-0100-000001000000}" name="ID #" dataDxfId="180"/>
    <tableColumn id="2" xr3:uid="{00000000-0010-0000-0100-000002000000}" name="Asset Type_x000a_(Information/Physical)" dataDxfId="179"/>
    <tableColumn id="3" xr3:uid="{00000000-0010-0000-0100-000003000000}" name="Asset" dataDxfId="178"/>
    <tableColumn id="4" xr3:uid="{00000000-0010-0000-0100-000004000000}" name="Asset Description" dataDxfId="17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Vulnerabilities" displayName="Vulnerabilities" ref="A4:D62" totalsRowShown="0" headerRowDxfId="176" dataDxfId="174" headerRowBorderDxfId="175" tableBorderDxfId="173" totalsRowBorderDxfId="172">
  <autoFilter ref="A4:D62" xr:uid="{00000000-0009-0000-0100-000002000000}"/>
  <tableColumns count="4">
    <tableColumn id="1" xr3:uid="{00000000-0010-0000-0200-000001000000}" name="Vuln. ID" dataDxfId="171"/>
    <tableColumn id="4" xr3:uid="{00000000-0010-0000-0200-000004000000}" name="Vulnerability Description" dataDxfId="170"/>
    <tableColumn id="5" xr3:uid="{00000000-0010-0000-0200-000005000000}" name="Applicable (Yes/No)" dataDxfId="169"/>
    <tableColumn id="6" xr3:uid="{00000000-0010-0000-0200-000006000000}" name="Rationale (if Vulnerability not applicable)" dataDxfId="168"/>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3:F44" totalsRowShown="0" headerRowDxfId="167" headerRowBorderDxfId="166" tableBorderDxfId="165" totalsRowBorderDxfId="164">
  <autoFilter ref="A3:F44" xr:uid="{00000000-0009-0000-0100-000005000000}"/>
  <tableColumns count="6">
    <tableColumn id="1" xr3:uid="{00000000-0010-0000-0300-000001000000}" name="#" dataDxfId="163"/>
    <tableColumn id="2" xr3:uid="{00000000-0010-0000-0300-000002000000}" name="Threat Event " dataDxfId="162"/>
    <tableColumn id="3" xr3:uid="{00000000-0010-0000-0300-000003000000}" name="Description " dataDxfId="161"/>
    <tableColumn id="4" xr3:uid="{00000000-0010-0000-0300-000004000000}" name="Threat Source" dataDxfId="160"/>
    <tableColumn id="5" xr3:uid="{00000000-0010-0000-0300-000005000000}" name="In Scope (Yes/No)" dataDxfId="159"/>
    <tableColumn id="13" xr3:uid="{00000000-0010-0000-0300-00000D000000}" name="Rationale _x000a_(if out of scope)" dataDxfId="158"/>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 displayName="Table4" ref="A4:AQ75" totalsRowShown="0" headerRowDxfId="147" dataDxfId="146" tableBorderDxfId="145">
  <autoFilter ref="A4:AQ75" xr:uid="{00000000-0009-0000-0100-000004000000}"/>
  <tableColumns count="43">
    <tableColumn id="1" xr3:uid="{00000000-0010-0000-0400-000001000000}" name="_x000a_ID #" dataDxfId="144" totalsRowDxfId="143"/>
    <tableColumn id="23" xr3:uid="{00000000-0010-0000-0400-000017000000}" name="T ID" dataDxfId="142" totalsRowDxfId="141"/>
    <tableColumn id="2" xr3:uid="{00000000-0010-0000-0400-000002000000}" name="Threat Event(s)" dataDxfId="140" totalsRowDxfId="139">
      <calculatedColumnFormula>IF(VLOOKUP(Table4[[#This Row],[T ID]],Table5[#All],5,FALSE)="No","Not in scope",VLOOKUP(Table4[[#This Row],[T ID]],Table5[#All],2,FALSE))</calculatedColumnFormula>
    </tableColumn>
    <tableColumn id="22" xr3:uid="{00000000-0010-0000-0400-000016000000}" name="V ID" dataDxfId="138" totalsRowDxfId="137"/>
    <tableColumn id="3" xr3:uid="{00000000-0010-0000-0400-000003000000}" name="Vulnerabilities" dataDxfId="136" totalsRowDxfId="135">
      <calculatedColumnFormula>IF(VLOOKUP(Table4[[#This Row],[V ID]],Vulnerabilities[#All],3,FALSE)="No","Not in scope",VLOOKUP(Table4[[#This Row],[V ID]],Vulnerabilities[#All],2,FALSE))</calculatedColumnFormula>
    </tableColumn>
    <tableColumn id="24" xr3:uid="{00000000-0010-0000-0400-000018000000}" name="A ID" dataDxfId="134" totalsRowDxfId="133"/>
    <tableColumn id="4" xr3:uid="{00000000-0010-0000-0400-000004000000}" name="Asset" dataDxfId="132" totalsRowDxfId="131">
      <calculatedColumnFormula>VLOOKUP(Table4[[#This Row],[A ID]],Assets[#All],3,FALSE)</calculatedColumnFormula>
    </tableColumn>
    <tableColumn id="5" xr3:uid="{00000000-0010-0000-0400-000005000000}" name="Impact Description" dataDxfId="130" totalsRowDxfId="129"/>
    <tableColumn id="7" xr3:uid="{00000000-0010-0000-0400-000007000000}" name="Safety Impact _x000a_(Risk ID# or N/A)" dataDxfId="128" totalsRowDxfId="127"/>
    <tableColumn id="26" xr3:uid="{00000000-0010-0000-0400-00001A000000}" name="Confidentiality" dataDxfId="126" totalsRowDxfId="125"/>
    <tableColumn id="25" xr3:uid="{00000000-0010-0000-0400-000019000000}" name="Integrity" dataDxfId="124" totalsRowDxfId="123"/>
    <tableColumn id="21" xr3:uid="{00000000-0010-0000-0400-000015000000}" name="Availability" dataDxfId="122" totalsRowDxfId="121"/>
    <tableColumn id="44" xr3:uid="{00000000-0010-0000-0400-00002C000000}" name="Attack Vector" dataDxfId="120" totalsRowDxfId="119"/>
    <tableColumn id="45" xr3:uid="{00000000-0010-0000-0400-00002D000000}" name="Attack Complexity" dataDxfId="118" totalsRowDxfId="117"/>
    <tableColumn id="46" xr3:uid="{00000000-0010-0000-0400-00002E000000}" name="Privileges Required" dataDxfId="116" totalsRowDxfId="115"/>
    <tableColumn id="47" xr3:uid="{00000000-0010-0000-0400-00002F000000}" name="User Interaction" dataDxfId="114" totalsRowDxfId="113"/>
    <tableColumn id="43" xr3:uid="{00000000-0010-0000-0400-00002B000000}" name="Scope" dataDxfId="112" totalsRowDxfId="111"/>
    <tableColumn id="48" xr3:uid="{00000000-0010-0000-0400-000030000000}" name="Exploitability Sub Score" dataDxfId="110" totalsRowDxfId="109">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xr3:uid="{00000000-0010-0000-0400-000011000000}" name="ISC Base" dataDxfId="108" totalsRowDxfId="107">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xr3:uid="{00000000-0010-0000-0400-000020000000}" name="Impact Sub Score" dataDxfId="106" totalsRowDxfId="105">
      <calculatedColumnFormula>IF(Table4[[#This Row],[Scope]]="Unchanged",6.42*Table4[[#This Row],[ISC Base]],IF(Table4[[#This Row],[Scope]]="Changed",7.52*(Table4[[#This Row],[ISC Base]] - 0.029) - 3.25 * POWER(Table4[[#This Row],[ISC Base]] - 0.02,15),NA()))</calculatedColumnFormula>
    </tableColumn>
    <tableColumn id="34" xr3:uid="{00000000-0010-0000-0400-000022000000}" name="CVSS v3.0 Base Score" dataDxfId="104" totalsRowDxfId="103">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xr3:uid="{00000000-0010-0000-0400-000009000000}" name="Threat Event Initiation" dataDxfId="102"/>
    <tableColumn id="33" xr3:uid="{00000000-0010-0000-0400-000021000000}" name="Threat Event Initiation_x000a_Score" dataDxfId="101" totalsRowDxfId="100">
      <calculatedColumnFormula>VLOOKUP(Table4[[#This Row],[Threat Event Initiation]],NIST_Scale_LOAI[],2,FALSE)</calculatedColumnFormula>
    </tableColumn>
    <tableColumn id="10" xr3:uid="{00000000-0010-0000-0400-00000A000000}" name="Overall Risk Score" dataDxfId="99" totalsRowDxfId="98">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xr3:uid="{00000000-0010-0000-0400-00000B000000}" name="Security _x000a_Risk _x000a_Level" dataDxfId="97" totalsRowDxfId="96">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xr3:uid="{00000000-0010-0000-0400-00000C000000}" name="Security Risk Control Measures" dataDxfId="95" totalsRowDxfId="94"/>
    <tableColumn id="14" xr3:uid="{00000000-0010-0000-0400-00000E000000}" name="Implementation of Risk Control Measures " dataDxfId="93" totalsRowDxfId="92"/>
    <tableColumn id="15" xr3:uid="{00000000-0010-0000-0400-00000F000000}" name="Verification of Risk Control Measures (Effectiveness)" dataDxfId="91" totalsRowDxfId="90"/>
    <tableColumn id="13" xr3:uid="{00000000-0010-0000-0400-00000D000000}" name="ConfidentialityP" dataDxfId="89" totalsRowDxfId="88"/>
    <tableColumn id="27" xr3:uid="{00000000-0010-0000-0400-00001B000000}" name="IntegrityP" dataDxfId="87" totalsRowDxfId="86"/>
    <tableColumn id="28" xr3:uid="{00000000-0010-0000-0400-00001C000000}" name="AvailabilityP" dataDxfId="85" totalsRowDxfId="84"/>
    <tableColumn id="8" xr3:uid="{00000000-0010-0000-0400-000008000000}" name="Attack VectorP" dataDxfId="83" totalsRowDxfId="82"/>
    <tableColumn id="29" xr3:uid="{00000000-0010-0000-0400-00001D000000}" name="Attack ComplexityP" dataDxfId="81" totalsRowDxfId="80"/>
    <tableColumn id="30" xr3:uid="{00000000-0010-0000-0400-00001E000000}" name="Privileges RequiredP" dataDxfId="79" totalsRowDxfId="78"/>
    <tableColumn id="31" xr3:uid="{00000000-0010-0000-0400-00001F000000}" name="User InteractionP" dataDxfId="77"/>
    <tableColumn id="36" xr3:uid="{00000000-0010-0000-0400-000024000000}" name="ScopeP" dataDxfId="76" totalsRowDxfId="75"/>
    <tableColumn id="35" xr3:uid="{00000000-0010-0000-0400-000023000000}" name="Exploitability Sub ScoreP" dataDxfId="74" totalsRowDxfId="73">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xr3:uid="{00000000-0010-0000-0400-000028000000}" name="ISC BaseP" dataDxfId="72" totalsRowDxfId="71">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xr3:uid="{00000000-0010-0000-0400-000029000000}" name="Impact Sub ScoreP" dataDxfId="70" totalsRowDxfId="69">
      <calculatedColumnFormula>IF(Table4[[#This Row],[ScopeP]]="Unchanged",6.42*Table4[[#This Row],[ISC BaseP]],IF(Table4[[#This Row],[ScopeP]]="Changed",7.52*(Table4[[#This Row],[ISC BaseP]] - 0.029) - 3.25 * POWER(Table4[[#This Row],[ISC BaseP]] - 0.02,15),NA()))</calculatedColumnFormula>
    </tableColumn>
    <tableColumn id="42" xr3:uid="{00000000-0010-0000-0400-00002A000000}" name="CVSS v3.0 Base ScoreP" dataDxfId="68" totalsRowDxfId="67">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xr3:uid="{00000000-0010-0000-0400-000031000000}" name="Overall Risk ScoreP" dataDxfId="66" totalsRowDxfId="65">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xr3:uid="{00000000-0010-0000-0400-000032000000}" name="Security Risk LevelP" dataDxfId="64" totalsRowDxfId="63">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xr3:uid="{00000000-0010-0000-0400-000014000000}" name="Residual Security Risk Acceptability Justification" dataDxfId="62" totalsRowDxfId="61"/>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OT_securityRiskControls_1§0" displayName="OT_securityRiskControls_1§0" ref="A6:D9" totalsRowShown="0">
  <autoFilter ref="A6:D9" xr:uid="{00000000-0009-0000-0100-000001000000}"/>
  <tableColumns count="4">
    <tableColumn id="1" xr3:uid="{00000000-0010-0000-0500-000001000000}" name="ID"/>
    <tableColumn id="2" xr3:uid="{00000000-0010-0000-0500-000002000000}" name="Risk Control Measure"/>
    <tableColumn id="3" xr3:uid="{00000000-0010-0000-0500-000003000000}" name="Category (optional)"/>
    <tableColumn id="4" xr3:uid="{00000000-0010-0000-0500-000004000000}" name="Reference to more detailed specification"/>
  </tableColumns>
  <tableStyleInfo name="OfficeTrace Tab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6000000}" name="Table41415" displayName="Table41415" ref="A4:M9" totalsRowShown="0" headerRowDxfId="45" dataDxfId="44" tableBorderDxfId="43">
  <autoFilter ref="A4:M9" xr:uid="{00000000-0009-0000-0100-00000E000000}"/>
  <tableColumns count="13">
    <tableColumn id="1" xr3:uid="{00000000-0010-0000-0600-000001000000}" name="_x000a_ID #" dataDxfId="42" totalsRowDxfId="41">
      <calculatedColumnFormula>Table4[[#This Row],[
ID '#]]</calculatedColumnFormula>
    </tableColumn>
    <tableColumn id="23" xr3:uid="{00000000-0010-0000-0600-000017000000}" name="T ID" dataDxfId="40" totalsRowDxfId="39">
      <calculatedColumnFormula>IF(Table4[[#This Row],[A ID]]&gt;0,Table4[[#This Row],[T ID]],"")</calculatedColumnFormula>
    </tableColumn>
    <tableColumn id="2" xr3:uid="{00000000-0010-0000-0600-000002000000}" name="Threat Event(s)" dataDxfId="38" totalsRowDxfId="37">
      <calculatedColumnFormula>Table4[[#This Row],[Threat Event(s)]]</calculatedColumnFormula>
    </tableColumn>
    <tableColumn id="22" xr3:uid="{00000000-0010-0000-0600-000016000000}" name="V ID" dataDxfId="36" totalsRowDxfId="35">
      <calculatedColumnFormula>IF(Table4[[#This Row],[V ID]]&gt;0,Table4[[#This Row],[V ID]],"")</calculatedColumnFormula>
    </tableColumn>
    <tableColumn id="3" xr3:uid="{00000000-0010-0000-0600-000003000000}" name="Vulnerabilities" dataDxfId="34" totalsRowDxfId="33">
      <calculatedColumnFormula>Table4[[#This Row],[Vulnerabilities]]</calculatedColumnFormula>
    </tableColumn>
    <tableColumn id="24" xr3:uid="{00000000-0010-0000-0600-000018000000}" name="A ID" dataDxfId="32" totalsRowDxfId="31">
      <calculatedColumnFormula>IF(Table4[[#This Row],[A ID]]&gt;0,Table4[[#This Row],[A ID]],"")</calculatedColumnFormula>
    </tableColumn>
    <tableColumn id="4" xr3:uid="{00000000-0010-0000-0600-000004000000}" name="Assets" dataDxfId="30" totalsRowDxfId="29">
      <calculatedColumnFormula>Table4[[#This Row],[Asset]]</calculatedColumnFormula>
    </tableColumn>
    <tableColumn id="5" xr3:uid="{00000000-0010-0000-0600-000005000000}" name="Impact Description" dataDxfId="28" totalsRowDxfId="27">
      <calculatedColumnFormula>IF(Table4[[#This Row],[Impact Description]]&gt;0,Table4[[#This Row],[Impact Description]],"")</calculatedColumnFormula>
    </tableColumn>
    <tableColumn id="7" xr3:uid="{00000000-0010-0000-0600-000007000000}" name="Safety Impact _x000a_(Risk ID# or N/A)" dataDxfId="26" totalsRowDxfId="25">
      <calculatedColumnFormula>IF(Table4[[#This Row],[Safety Impact 
(Risk ID'# or N/A)]]&gt;0,Table4[[#This Row],[Safety Impact 
(Risk ID'# or N/A)]],"")</calculatedColumnFormula>
    </tableColumn>
    <tableColumn id="11" xr3:uid="{00000000-0010-0000-0600-00000B000000}" name="Pre-Controls _x000a_Risk Level" dataDxfId="24" totalsRowDxfId="23">
      <calculatedColumnFormula>Table4[[#This Row],[Security 
Risk 
Level]]</calculatedColumnFormula>
    </tableColumn>
    <tableColumn id="12" xr3:uid="{00000000-0010-0000-0600-00000C000000}" name="Security Risk Control Measures" dataDxfId="22" totalsRowDxfId="21">
      <calculatedColumnFormula>IF(Table4[[#This Row],[Security Risk Control Measures]]&gt;0,Table4[[#This Row],[Security Risk Control Measures]],"")</calculatedColumnFormula>
    </tableColumn>
    <tableColumn id="50" xr3:uid="{00000000-0010-0000-0600-000032000000}" name="Post-Controls Risk Level" dataDxfId="20" totalsRowDxfId="19">
      <calculatedColumnFormula>Table4[[#This Row],[Security Risk LevelP]]</calculatedColumnFormula>
    </tableColumn>
    <tableColumn id="20" xr3:uid="{00000000-0010-0000-0600-000014000000}" name="Residual Security Risk Acceptability Justification" dataDxfId="18" totalsRowDxfId="17">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NIST_Scale_LOAI" displayName="NIST_Scale_LOAI" ref="Q4:R10" totalsRowShown="0" headerRowDxfId="16" dataDxfId="15" tableBorderDxfId="14">
  <autoFilter ref="Q4:R10" xr:uid="{00000000-0009-0000-0100-000006000000}"/>
  <tableColumns count="2">
    <tableColumn id="1" xr3:uid="{00000000-0010-0000-0700-000001000000}" name="Rating" dataDxfId="13"/>
    <tableColumn id="2" xr3:uid="{00000000-0010-0000-0700-000002000000}" name="Score" dataDxfId="12"/>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7" displayName="Table7" ref="A4:C10" totalsRowShown="0" headerRowDxfId="11" dataDxfId="10" tableBorderDxfId="9">
  <autoFilter ref="A4:C10" xr:uid="{00000000-0009-0000-0100-000007000000}"/>
  <tableColumns count="3">
    <tableColumn id="1" xr3:uid="{00000000-0010-0000-0800-000001000000}" name="ID#" dataDxfId="8"/>
    <tableColumn id="2" xr3:uid="{00000000-0010-0000-0800-000002000000}" name="Threat Source" dataDxfId="7"/>
    <tableColumn id="3" xr3:uid="{00000000-0010-0000-0800-000003000000}" name="In Scope (Y/N)" dataDxfId="6"/>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7.bin"/><Relationship Id="rId5" Type="http://schemas.openxmlformats.org/officeDocument/2006/relationships/comments" Target="../comments3.xm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G23"/>
  <sheetViews>
    <sheetView view="pageBreakPreview" topLeftCell="A5" zoomScale="90" zoomScaleNormal="100" zoomScaleSheetLayoutView="90" workbookViewId="0">
      <selection activeCell="F22" sqref="F22"/>
    </sheetView>
  </sheetViews>
  <sheetFormatPr defaultColWidth="11.54296875" defaultRowHeight="14.5" x14ac:dyDescent="0.35"/>
  <cols>
    <col min="2" max="2" width="21.453125" customWidth="1"/>
    <col min="3" max="3" width="38.81640625" customWidth="1"/>
    <col min="4" max="4" width="10.81640625" customWidth="1"/>
    <col min="5" max="5" width="26.1796875" customWidth="1"/>
    <col min="6" max="6" width="18.1796875" customWidth="1"/>
  </cols>
  <sheetData>
    <row r="4" spans="1:7" x14ac:dyDescent="0.35">
      <c r="A4" s="332" t="s">
        <v>208</v>
      </c>
      <c r="B4" s="332"/>
      <c r="C4" s="332"/>
      <c r="D4" s="332"/>
      <c r="E4" s="332"/>
      <c r="F4" s="332"/>
      <c r="G4" s="332"/>
    </row>
    <row r="5" spans="1:7" x14ac:dyDescent="0.35">
      <c r="A5" s="333"/>
      <c r="B5" s="333"/>
      <c r="C5" s="333"/>
      <c r="D5" s="333"/>
      <c r="E5" s="333"/>
      <c r="F5" s="333"/>
      <c r="G5" s="333"/>
    </row>
    <row r="6" spans="1:7" ht="23" x14ac:dyDescent="0.35">
      <c r="A6" s="184"/>
      <c r="B6" s="184"/>
      <c r="C6" s="184"/>
      <c r="D6" s="184"/>
      <c r="E6" s="184"/>
      <c r="F6" s="184"/>
      <c r="G6" s="184"/>
    </row>
    <row r="7" spans="1:7" ht="18" x14ac:dyDescent="0.35">
      <c r="B7" s="334" t="s">
        <v>357</v>
      </c>
      <c r="C7" s="335"/>
    </row>
    <row r="8" spans="1:7" ht="18" x14ac:dyDescent="0.35">
      <c r="B8" s="334" t="s">
        <v>132</v>
      </c>
      <c r="C8" s="335"/>
    </row>
    <row r="9" spans="1:7" x14ac:dyDescent="0.35">
      <c r="B9" s="24"/>
    </row>
    <row r="10" spans="1:7" x14ac:dyDescent="0.35">
      <c r="B10" s="24"/>
    </row>
    <row r="11" spans="1:7" x14ac:dyDescent="0.35">
      <c r="B11" s="185" t="s">
        <v>209</v>
      </c>
      <c r="C11" s="186"/>
    </row>
    <row r="12" spans="1:7" x14ac:dyDescent="0.35">
      <c r="B12" s="187" t="s">
        <v>210</v>
      </c>
      <c r="C12" s="329" t="s">
        <v>395</v>
      </c>
      <c r="D12" s="330"/>
      <c r="E12" s="330"/>
      <c r="F12" s="331"/>
    </row>
    <row r="13" spans="1:7" x14ac:dyDescent="0.35">
      <c r="B13" s="187" t="s">
        <v>212</v>
      </c>
      <c r="C13" s="329" t="s">
        <v>229</v>
      </c>
      <c r="D13" s="330"/>
      <c r="E13" s="330"/>
      <c r="F13" s="331"/>
    </row>
    <row r="14" spans="1:7" x14ac:dyDescent="0.35">
      <c r="B14" s="187" t="s">
        <v>213</v>
      </c>
      <c r="C14" s="329"/>
      <c r="D14" s="330"/>
      <c r="E14" s="330"/>
      <c r="F14" s="331"/>
    </row>
    <row r="15" spans="1:7" x14ac:dyDescent="0.35">
      <c r="B15" s="187" t="s">
        <v>214</v>
      </c>
      <c r="C15" s="329" t="s">
        <v>394</v>
      </c>
      <c r="D15" s="330"/>
      <c r="E15" s="330" t="s">
        <v>230</v>
      </c>
      <c r="F15" s="331"/>
    </row>
    <row r="16" spans="1:7" x14ac:dyDescent="0.35">
      <c r="B16" s="187" t="s">
        <v>215</v>
      </c>
      <c r="C16" s="329" t="s">
        <v>393</v>
      </c>
      <c r="D16" s="330"/>
      <c r="E16" s="330"/>
      <c r="F16" s="331"/>
    </row>
    <row r="17" spans="2:6" x14ac:dyDescent="0.35">
      <c r="B17" s="24"/>
    </row>
    <row r="18" spans="2:6" x14ac:dyDescent="0.35">
      <c r="B18" s="24"/>
    </row>
    <row r="19" spans="2:6" x14ac:dyDescent="0.35">
      <c r="B19" s="185" t="s">
        <v>216</v>
      </c>
    </row>
    <row r="20" spans="2:6" x14ac:dyDescent="0.35">
      <c r="B20" s="188" t="s">
        <v>217</v>
      </c>
      <c r="C20" s="336" t="s">
        <v>218</v>
      </c>
      <c r="D20" s="337"/>
      <c r="E20" s="188" t="s">
        <v>219</v>
      </c>
      <c r="F20" s="188" t="s">
        <v>211</v>
      </c>
    </row>
    <row r="21" spans="2:6" x14ac:dyDescent="0.35">
      <c r="B21" s="189" t="s">
        <v>231</v>
      </c>
      <c r="C21" s="327" t="s">
        <v>232</v>
      </c>
      <c r="D21" s="328"/>
      <c r="E21" s="190" t="s">
        <v>233</v>
      </c>
      <c r="F21" s="189"/>
    </row>
    <row r="22" spans="2:6" ht="50.5" customHeight="1" x14ac:dyDescent="0.35">
      <c r="B22" s="189"/>
      <c r="C22" s="327"/>
      <c r="D22" s="328"/>
      <c r="E22" s="190"/>
      <c r="F22" s="189"/>
    </row>
    <row r="23" spans="2:6" x14ac:dyDescent="0.35">
      <c r="B23" s="189"/>
      <c r="C23" s="327"/>
      <c r="D23" s="328"/>
      <c r="E23" s="190"/>
      <c r="F23" s="189"/>
    </row>
  </sheetData>
  <mergeCells count="13">
    <mergeCell ref="C22:D22"/>
    <mergeCell ref="C23:D23"/>
    <mergeCell ref="C14:F14"/>
    <mergeCell ref="A4:G5"/>
    <mergeCell ref="B7:C7"/>
    <mergeCell ref="B8:C8"/>
    <mergeCell ref="C12:F12"/>
    <mergeCell ref="C13:F13"/>
    <mergeCell ref="C15:D15"/>
    <mergeCell ref="E15:F15"/>
    <mergeCell ref="C16:F16"/>
    <mergeCell ref="C20:D20"/>
    <mergeCell ref="C21:D21"/>
  </mergeCells>
  <pageMargins left="0.7" right="0.7" top="0.78740157499999996" bottom="0.78740157499999996" header="0.3" footer="0.3"/>
  <pageSetup scale="65" orientation="portrait" r:id="rId1"/>
  <headerFooter>
    <oddHeader xml:space="preserve">&amp;L&amp;G
&amp;"Cambria,Regular"Doc Number: D0000009182
Name: Product Security Risk Table&amp;"-,Regular"
&amp;"Cambria,Regular"Revision:  AA&amp;"-,Regular"
</oddHeader>
    <oddFooter>&amp;L&amp;"Cambria,Regular"&amp;9Stryker Confidential&amp;C&amp;"Cambria,Regular"&amp;9Scope: KZO, IRE, GER
Process Owner: Software Development Lifecycle Process Owner&amp;R&amp;"Cambria,Regular"&amp;9Page &amp;P of &amp;N</oddFooter>
  </headerFooter>
  <legacy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H15"/>
  <sheetViews>
    <sheetView view="pageBreakPreview" zoomScaleNormal="100" zoomScaleSheetLayoutView="100" workbookViewId="0"/>
  </sheetViews>
  <sheetFormatPr defaultColWidth="9.1796875" defaultRowHeight="14.5" x14ac:dyDescent="0.35"/>
  <cols>
    <col min="1" max="1" width="7.1796875" style="24" customWidth="1"/>
    <col min="2" max="2" width="34.81640625" style="24" customWidth="1"/>
    <col min="3" max="3" width="15.81640625" style="25" customWidth="1"/>
    <col min="4" max="4" width="2.81640625" style="24" customWidth="1"/>
    <col min="5" max="5" width="9.1796875" style="24"/>
    <col min="6" max="6" width="44.81640625" style="24" customWidth="1"/>
    <col min="7" max="7" width="15.81640625" style="24" customWidth="1"/>
    <col min="8" max="16384" width="9.1796875" style="24"/>
  </cols>
  <sheetData>
    <row r="1" spans="1:8" s="48" customFormat="1" ht="14" x14ac:dyDescent="0.35">
      <c r="A1" s="89" t="s">
        <v>169</v>
      </c>
      <c r="C1" s="58"/>
    </row>
    <row r="2" spans="1:8" s="48" customFormat="1" thickBot="1" x14ac:dyDescent="0.4">
      <c r="C2" s="58"/>
    </row>
    <row r="3" spans="1:8" s="48" customFormat="1" thickBot="1" x14ac:dyDescent="0.4">
      <c r="A3" s="370" t="s">
        <v>24</v>
      </c>
      <c r="B3" s="371"/>
      <c r="C3" s="371"/>
      <c r="E3" s="372" t="s">
        <v>26</v>
      </c>
      <c r="F3" s="373"/>
      <c r="G3" s="373"/>
    </row>
    <row r="4" spans="1:8" s="48" customFormat="1" ht="14" x14ac:dyDescent="0.35">
      <c r="A4" s="136" t="s">
        <v>39</v>
      </c>
      <c r="B4" s="137" t="s">
        <v>15</v>
      </c>
      <c r="C4" s="138" t="s">
        <v>25</v>
      </c>
      <c r="E4" s="139" t="s">
        <v>39</v>
      </c>
      <c r="F4" s="140" t="s">
        <v>27</v>
      </c>
      <c r="G4" s="141" t="s">
        <v>25</v>
      </c>
    </row>
    <row r="5" spans="1:8" s="48" customFormat="1" ht="42" x14ac:dyDescent="0.35">
      <c r="A5" s="142" t="s">
        <v>46</v>
      </c>
      <c r="B5" s="143" t="s">
        <v>228</v>
      </c>
      <c r="C5" s="144" t="s">
        <v>56</v>
      </c>
      <c r="E5" s="142" t="s">
        <v>58</v>
      </c>
      <c r="F5" s="145" t="s">
        <v>33</v>
      </c>
      <c r="G5" s="146" t="s">
        <v>56</v>
      </c>
    </row>
    <row r="6" spans="1:8" s="48" customFormat="1" ht="28" x14ac:dyDescent="0.35">
      <c r="A6" s="42" t="s">
        <v>49</v>
      </c>
      <c r="B6" s="143" t="s">
        <v>28</v>
      </c>
      <c r="C6" s="144" t="s">
        <v>56</v>
      </c>
      <c r="E6" s="42" t="s">
        <v>59</v>
      </c>
      <c r="F6" s="145" t="s">
        <v>34</v>
      </c>
      <c r="G6" s="147" t="s">
        <v>56</v>
      </c>
    </row>
    <row r="7" spans="1:8" s="48" customFormat="1" ht="28" x14ac:dyDescent="0.35">
      <c r="A7" s="42" t="s">
        <v>50</v>
      </c>
      <c r="B7" s="143" t="s">
        <v>29</v>
      </c>
      <c r="C7" s="144" t="s">
        <v>56</v>
      </c>
      <c r="E7" s="42" t="s">
        <v>60</v>
      </c>
      <c r="F7" s="145" t="s">
        <v>35</v>
      </c>
      <c r="G7" s="147" t="s">
        <v>56</v>
      </c>
    </row>
    <row r="8" spans="1:8" s="48" customFormat="1" ht="28" x14ac:dyDescent="0.35">
      <c r="A8" s="148" t="s">
        <v>51</v>
      </c>
      <c r="B8" s="149" t="s">
        <v>30</v>
      </c>
      <c r="C8" s="144" t="s">
        <v>57</v>
      </c>
      <c r="E8" s="42" t="s">
        <v>61</v>
      </c>
      <c r="F8" s="145" t="s">
        <v>36</v>
      </c>
      <c r="G8" s="147" t="s">
        <v>56</v>
      </c>
    </row>
    <row r="9" spans="1:8" s="48" customFormat="1" ht="28" x14ac:dyDescent="0.35">
      <c r="A9" s="148" t="s">
        <v>52</v>
      </c>
      <c r="B9" s="149" t="s">
        <v>31</v>
      </c>
      <c r="C9" s="144" t="s">
        <v>57</v>
      </c>
      <c r="E9" s="42" t="s">
        <v>62</v>
      </c>
      <c r="F9" s="145" t="s">
        <v>37</v>
      </c>
      <c r="G9" s="147" t="s">
        <v>56</v>
      </c>
    </row>
    <row r="10" spans="1:8" s="48" customFormat="1" ht="42" x14ac:dyDescent="0.35">
      <c r="A10" s="150" t="s">
        <v>53</v>
      </c>
      <c r="B10" s="151" t="s">
        <v>32</v>
      </c>
      <c r="C10" s="152" t="s">
        <v>57</v>
      </c>
      <c r="E10" s="153" t="s">
        <v>63</v>
      </c>
      <c r="F10" s="154" t="s">
        <v>38</v>
      </c>
      <c r="G10" s="155" t="s">
        <v>57</v>
      </c>
    </row>
    <row r="11" spans="1:8" s="48" customFormat="1" ht="14" x14ac:dyDescent="0.35">
      <c r="C11" s="58"/>
    </row>
    <row r="12" spans="1:8" s="48" customFormat="1" ht="14" x14ac:dyDescent="0.35">
      <c r="C12" s="58"/>
    </row>
    <row r="13" spans="1:8" s="48" customFormat="1" ht="14" x14ac:dyDescent="0.35">
      <c r="C13" s="58"/>
    </row>
    <row r="14" spans="1:8" s="48" customFormat="1" ht="14" x14ac:dyDescent="0.25">
      <c r="A14" s="29" t="s">
        <v>174</v>
      </c>
      <c r="C14" s="58"/>
    </row>
    <row r="15" spans="1:8" s="48" customFormat="1" ht="32.25" customHeight="1" x14ac:dyDescent="0.25">
      <c r="B15" s="339" t="s">
        <v>175</v>
      </c>
      <c r="C15" s="339"/>
      <c r="D15" s="339"/>
      <c r="E15" s="339"/>
      <c r="F15" s="339"/>
      <c r="G15" s="339"/>
      <c r="H15" s="339"/>
    </row>
  </sheetData>
  <mergeCells count="3">
    <mergeCell ref="A3:C3"/>
    <mergeCell ref="E3:G3"/>
    <mergeCell ref="B15:H15"/>
  </mergeCells>
  <pageMargins left="0.7" right="0.7" top="1.29375" bottom="0.75" header="0.3" footer="0.3"/>
  <pageSetup scale="64"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
  <sheetViews>
    <sheetView zoomScale="85" zoomScaleNormal="85" workbookViewId="0">
      <selection activeCell="H13" sqref="H13"/>
    </sheetView>
  </sheetViews>
  <sheetFormatPr defaultColWidth="9.1796875" defaultRowHeight="14.5" x14ac:dyDescent="0.35"/>
  <cols>
    <col min="1" max="1" width="6.1796875" customWidth="1"/>
    <col min="2" max="2" width="38.1796875" customWidth="1"/>
    <col min="3" max="3" width="49.453125" customWidth="1"/>
    <col min="4" max="4" width="27.81640625" customWidth="1"/>
    <col min="5" max="5" width="14.7265625" customWidth="1"/>
    <col min="6" max="6" width="16.26953125" customWidth="1"/>
    <col min="7" max="7" width="20.1796875" customWidth="1"/>
    <col min="8" max="8" width="20.26953125" customWidth="1"/>
  </cols>
  <sheetData>
    <row r="1" spans="1:8" x14ac:dyDescent="0.35">
      <c r="A1" s="374" t="s">
        <v>19</v>
      </c>
      <c r="B1" s="374"/>
      <c r="C1" s="374"/>
      <c r="D1" s="374"/>
      <c r="E1" s="374"/>
      <c r="F1" s="374"/>
      <c r="G1" s="374"/>
      <c r="H1" s="374"/>
    </row>
    <row r="2" spans="1:8" ht="58" x14ac:dyDescent="0.35">
      <c r="A2" s="12" t="s">
        <v>20</v>
      </c>
      <c r="B2" s="12" t="s">
        <v>23</v>
      </c>
      <c r="C2" s="12" t="s">
        <v>21</v>
      </c>
      <c r="D2" s="13" t="s">
        <v>15</v>
      </c>
      <c r="E2" s="21" t="s">
        <v>40</v>
      </c>
      <c r="F2" s="14" t="s">
        <v>41</v>
      </c>
      <c r="G2" s="14" t="s">
        <v>42</v>
      </c>
      <c r="H2" s="14" t="s">
        <v>22</v>
      </c>
    </row>
    <row r="3" spans="1:8" s="19" customFormat="1" ht="48" x14ac:dyDescent="0.35">
      <c r="A3" s="15" t="s">
        <v>43</v>
      </c>
      <c r="B3" s="16" t="s">
        <v>44</v>
      </c>
      <c r="C3" s="16" t="s">
        <v>45</v>
      </c>
      <c r="D3" s="17" t="s">
        <v>46</v>
      </c>
      <c r="E3" s="22" t="s">
        <v>47</v>
      </c>
      <c r="F3" s="18" t="s">
        <v>48</v>
      </c>
      <c r="G3" s="18" t="s">
        <v>48</v>
      </c>
      <c r="H3" s="20" t="s">
        <v>48</v>
      </c>
    </row>
    <row r="4" spans="1:8" x14ac:dyDescent="0.35">
      <c r="A4" s="1"/>
      <c r="B4" s="1"/>
      <c r="C4" s="1"/>
      <c r="D4" s="1"/>
      <c r="E4" s="23"/>
      <c r="F4" s="1"/>
      <c r="G4" s="1"/>
      <c r="H4" s="1"/>
    </row>
    <row r="5" spans="1:8" x14ac:dyDescent="0.35">
      <c r="A5" s="1"/>
      <c r="B5" s="1"/>
      <c r="C5" s="1"/>
      <c r="D5" s="1"/>
      <c r="E5" s="23"/>
      <c r="F5" s="1"/>
      <c r="G5" s="1"/>
      <c r="H5" s="1"/>
    </row>
    <row r="6" spans="1:8" x14ac:dyDescent="0.35">
      <c r="A6" s="1"/>
      <c r="B6" s="1"/>
      <c r="C6" s="1"/>
      <c r="D6" s="1"/>
      <c r="E6" s="23"/>
      <c r="F6" s="1"/>
      <c r="G6" s="1"/>
      <c r="H6" s="1"/>
    </row>
    <row r="7" spans="1:8" x14ac:dyDescent="0.35">
      <c r="A7" s="1"/>
      <c r="B7" s="1"/>
      <c r="C7" s="1"/>
      <c r="D7" s="1"/>
      <c r="E7" s="23"/>
      <c r="F7" s="1"/>
      <c r="G7" s="1"/>
      <c r="H7" s="1"/>
    </row>
    <row r="8" spans="1:8" x14ac:dyDescent="0.35">
      <c r="A8" s="1"/>
      <c r="B8" s="1"/>
      <c r="C8" s="1"/>
      <c r="D8" s="1"/>
      <c r="E8" s="23"/>
      <c r="F8" s="1"/>
      <c r="G8" s="1"/>
      <c r="H8" s="1"/>
    </row>
    <row r="9" spans="1:8" x14ac:dyDescent="0.35">
      <c r="A9" s="1"/>
      <c r="B9" s="1"/>
      <c r="C9" s="1"/>
      <c r="D9" s="1"/>
      <c r="E9" s="23"/>
      <c r="F9" s="1"/>
      <c r="G9" s="1"/>
      <c r="H9" s="1"/>
    </row>
    <row r="10" spans="1:8" x14ac:dyDescent="0.35">
      <c r="A10" s="1"/>
      <c r="B10" s="1"/>
      <c r="C10" s="1"/>
      <c r="D10" s="1"/>
      <c r="E10" s="23"/>
      <c r="F10" s="1"/>
      <c r="G10" s="1"/>
      <c r="H10" s="1"/>
    </row>
  </sheetData>
  <mergeCells count="1">
    <mergeCell ref="A1:H1"/>
  </mergeCells>
  <dataValidations count="2">
    <dataValidation type="list" allowBlank="1" showInputMessage="1" showErrorMessage="1" sqref="F3:H3" xr:uid="{00000000-0002-0000-0A00-000000000000}">
      <formula1>"Very High, High, Moderate, Low, Very Low"</formula1>
    </dataValidation>
    <dataValidation type="list" allowBlank="1" showInputMessage="1" showErrorMessage="1" sqref="E3" xr:uid="{00000000-0002-0000-0A00-000001000000}">
      <formula1>"Confirmed, Expected, Anticipated, Predicted, Possible, N/A"</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3"/>
  <sheetViews>
    <sheetView workbookViewId="0">
      <selection activeCell="H13" sqref="H13"/>
    </sheetView>
  </sheetViews>
  <sheetFormatPr defaultColWidth="9.1796875" defaultRowHeight="14.5" x14ac:dyDescent="0.35"/>
  <cols>
    <col min="1" max="1" width="27.7265625" customWidth="1"/>
    <col min="2" max="2" width="102.1796875" customWidth="1"/>
  </cols>
  <sheetData>
    <row r="1" spans="1:2" ht="19" thickBot="1" x14ac:dyDescent="0.4">
      <c r="A1" s="3"/>
      <c r="B1" s="4"/>
    </row>
    <row r="2" spans="1:2" ht="19" thickBot="1" x14ac:dyDescent="0.4">
      <c r="A2" s="5" t="s">
        <v>17</v>
      </c>
      <c r="B2" s="6" t="s">
        <v>18</v>
      </c>
    </row>
    <row r="3" spans="1:2" ht="19" thickBot="1" x14ac:dyDescent="0.4">
      <c r="A3" s="7"/>
      <c r="B3" s="8"/>
    </row>
    <row r="4" spans="1:2" x14ac:dyDescent="0.35">
      <c r="A4" s="375"/>
      <c r="B4" s="9"/>
    </row>
    <row r="5" spans="1:2" x14ac:dyDescent="0.35">
      <c r="A5" s="376"/>
      <c r="B5" s="10"/>
    </row>
    <row r="6" spans="1:2" x14ac:dyDescent="0.35">
      <c r="A6" s="376"/>
      <c r="B6" s="10"/>
    </row>
    <row r="7" spans="1:2" ht="15" thickBot="1" x14ac:dyDescent="0.4">
      <c r="A7" s="377"/>
      <c r="B7" s="11"/>
    </row>
    <row r="8" spans="1:2" ht="19" thickBot="1" x14ac:dyDescent="0.4">
      <c r="A8" s="3"/>
      <c r="B8" s="4"/>
    </row>
    <row r="9" spans="1:2" x14ac:dyDescent="0.35">
      <c r="A9" s="375"/>
      <c r="B9" s="9"/>
    </row>
    <row r="10" spans="1:2" x14ac:dyDescent="0.35">
      <c r="A10" s="376"/>
      <c r="B10" s="10"/>
    </row>
    <row r="11" spans="1:2" x14ac:dyDescent="0.35">
      <c r="A11" s="376"/>
      <c r="B11" s="10"/>
    </row>
    <row r="12" spans="1:2" x14ac:dyDescent="0.35">
      <c r="A12" s="376"/>
      <c r="B12" s="10"/>
    </row>
    <row r="13" spans="1:2" ht="15" thickBot="1" x14ac:dyDescent="0.4">
      <c r="A13" s="377"/>
      <c r="B13" s="11"/>
    </row>
  </sheetData>
  <mergeCells count="2">
    <mergeCell ref="A4:A7"/>
    <mergeCell ref="A9:A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D49"/>
  <sheetViews>
    <sheetView view="pageBreakPreview" zoomScaleNormal="85" zoomScaleSheetLayoutView="100" workbookViewId="0">
      <selection activeCell="D12" sqref="D12"/>
    </sheetView>
  </sheetViews>
  <sheetFormatPr defaultColWidth="11.54296875" defaultRowHeight="14.5" x14ac:dyDescent="0.35"/>
  <cols>
    <col min="1" max="1" width="20.26953125" customWidth="1"/>
    <col min="2" max="2" width="51.1796875" customWidth="1"/>
    <col min="3" max="3" width="11.81640625" customWidth="1"/>
    <col min="4" max="4" width="23.453125" customWidth="1"/>
  </cols>
  <sheetData>
    <row r="4" spans="1:4" ht="23" x14ac:dyDescent="0.35">
      <c r="A4" s="194" t="str">
        <f>Form_Name</f>
        <v>Product Security Risk Table</v>
      </c>
    </row>
    <row r="5" spans="1:4" ht="15" customHeight="1" x14ac:dyDescent="0.35"/>
    <row r="6" spans="1:4" ht="14.25" customHeight="1" x14ac:dyDescent="0.35"/>
    <row r="7" spans="1:4" x14ac:dyDescent="0.35">
      <c r="A7" s="185" t="s">
        <v>227</v>
      </c>
    </row>
    <row r="8" spans="1:4" x14ac:dyDescent="0.35">
      <c r="A8" t="s">
        <v>220</v>
      </c>
      <c r="B8" t="s">
        <v>221</v>
      </c>
      <c r="C8" t="s">
        <v>222</v>
      </c>
      <c r="D8" t="s">
        <v>223</v>
      </c>
    </row>
    <row r="9" spans="1:4" ht="29" x14ac:dyDescent="0.35">
      <c r="A9" s="196" t="s">
        <v>235</v>
      </c>
      <c r="B9" s="198" t="s">
        <v>237</v>
      </c>
      <c r="C9" s="196" t="s">
        <v>236</v>
      </c>
      <c r="D9" s="196" t="s">
        <v>234</v>
      </c>
    </row>
    <row r="10" spans="1:4" ht="29" x14ac:dyDescent="0.35">
      <c r="A10" s="196" t="s">
        <v>359</v>
      </c>
      <c r="B10" s="198" t="s">
        <v>360</v>
      </c>
      <c r="C10" s="196" t="s">
        <v>236</v>
      </c>
      <c r="D10" s="196" t="s">
        <v>358</v>
      </c>
    </row>
    <row r="11" spans="1:4" x14ac:dyDescent="0.35">
      <c r="A11" s="196"/>
      <c r="B11" s="198"/>
      <c r="C11" s="196"/>
      <c r="D11" s="196"/>
    </row>
    <row r="12" spans="1:4" x14ac:dyDescent="0.35">
      <c r="A12" s="195"/>
      <c r="B12" s="196"/>
      <c r="C12" s="196"/>
      <c r="D12" s="196"/>
    </row>
    <row r="13" spans="1:4" x14ac:dyDescent="0.35">
      <c r="A13" s="195"/>
      <c r="B13" s="195"/>
      <c r="C13" s="195"/>
      <c r="D13" s="195"/>
    </row>
    <row r="14" spans="1:4" x14ac:dyDescent="0.35">
      <c r="A14" s="195"/>
      <c r="B14" s="195"/>
      <c r="C14" s="195"/>
      <c r="D14" s="195"/>
    </row>
    <row r="15" spans="1:4" x14ac:dyDescent="0.35">
      <c r="A15" s="195"/>
      <c r="B15" s="195"/>
      <c r="C15" s="195"/>
      <c r="D15" s="195"/>
    </row>
    <row r="16" spans="1:4" x14ac:dyDescent="0.35">
      <c r="A16" s="195"/>
      <c r="B16" s="195"/>
      <c r="C16" s="195"/>
      <c r="D16" s="195"/>
    </row>
    <row r="17" spans="1:4" x14ac:dyDescent="0.35">
      <c r="A17" s="195"/>
      <c r="B17" s="195"/>
      <c r="C17" s="195"/>
      <c r="D17" s="195"/>
    </row>
    <row r="18" spans="1:4" x14ac:dyDescent="0.35">
      <c r="A18" s="195"/>
      <c r="B18" s="195"/>
      <c r="C18" s="195"/>
      <c r="D18" s="195"/>
    </row>
    <row r="19" spans="1:4" x14ac:dyDescent="0.35">
      <c r="A19" s="195"/>
      <c r="B19" s="195"/>
      <c r="C19" s="195"/>
      <c r="D19" s="195"/>
    </row>
    <row r="20" spans="1:4" x14ac:dyDescent="0.35">
      <c r="A20" s="195"/>
      <c r="B20" s="195"/>
      <c r="C20" s="195"/>
      <c r="D20" s="195"/>
    </row>
    <row r="21" spans="1:4" x14ac:dyDescent="0.35">
      <c r="A21" s="195"/>
      <c r="B21" s="195"/>
      <c r="C21" s="195"/>
      <c r="D21" s="195"/>
    </row>
    <row r="22" spans="1:4" x14ac:dyDescent="0.35">
      <c r="A22" s="195"/>
      <c r="B22" s="195"/>
      <c r="C22" s="195"/>
      <c r="D22" s="195"/>
    </row>
    <row r="23" spans="1:4" x14ac:dyDescent="0.35">
      <c r="A23" s="195"/>
      <c r="B23" s="195"/>
      <c r="C23" s="195"/>
      <c r="D23" s="195"/>
    </row>
    <row r="24" spans="1:4" x14ac:dyDescent="0.35">
      <c r="A24" s="195"/>
      <c r="B24" s="195"/>
      <c r="C24" s="195"/>
      <c r="D24" s="195"/>
    </row>
    <row r="25" spans="1:4" x14ac:dyDescent="0.35">
      <c r="A25" s="195"/>
      <c r="B25" s="195"/>
      <c r="C25" s="195"/>
      <c r="D25" s="195"/>
    </row>
    <row r="26" spans="1:4" x14ac:dyDescent="0.35">
      <c r="A26" s="195"/>
      <c r="B26" s="195"/>
      <c r="C26" s="195"/>
      <c r="D26" s="195"/>
    </row>
    <row r="27" spans="1:4" x14ac:dyDescent="0.35">
      <c r="A27" s="195"/>
      <c r="B27" s="195"/>
      <c r="C27" s="195"/>
      <c r="D27" s="195"/>
    </row>
    <row r="28" spans="1:4" x14ac:dyDescent="0.35">
      <c r="A28" s="195"/>
      <c r="B28" s="195"/>
      <c r="C28" s="195"/>
      <c r="D28" s="195"/>
    </row>
    <row r="29" spans="1:4" x14ac:dyDescent="0.35">
      <c r="A29" s="195"/>
      <c r="B29" s="195"/>
      <c r="C29" s="195"/>
      <c r="D29" s="195"/>
    </row>
    <row r="30" spans="1:4" x14ac:dyDescent="0.35">
      <c r="A30" s="195"/>
      <c r="B30" s="195"/>
      <c r="C30" s="195"/>
      <c r="D30" s="195"/>
    </row>
    <row r="31" spans="1:4" x14ac:dyDescent="0.35">
      <c r="A31" s="195"/>
      <c r="B31" s="195"/>
      <c r="C31" s="195"/>
      <c r="D31" s="195"/>
    </row>
    <row r="32" spans="1:4" x14ac:dyDescent="0.35">
      <c r="A32" s="195"/>
      <c r="B32" s="195"/>
      <c r="C32" s="195"/>
      <c r="D32" s="195"/>
    </row>
    <row r="33" spans="1:4" x14ac:dyDescent="0.35">
      <c r="A33" s="195"/>
      <c r="B33" s="195"/>
      <c r="C33" s="195"/>
      <c r="D33" s="195"/>
    </row>
    <row r="34" spans="1:4" x14ac:dyDescent="0.35">
      <c r="A34" s="195"/>
      <c r="B34" s="195"/>
      <c r="C34" s="195"/>
      <c r="D34" s="195"/>
    </row>
    <row r="35" spans="1:4" x14ac:dyDescent="0.35">
      <c r="A35" s="195"/>
      <c r="B35" s="195"/>
      <c r="C35" s="195"/>
      <c r="D35" s="195"/>
    </row>
    <row r="36" spans="1:4" x14ac:dyDescent="0.35">
      <c r="A36" s="195"/>
      <c r="B36" s="195"/>
      <c r="C36" s="195"/>
      <c r="D36" s="195"/>
    </row>
    <row r="37" spans="1:4" x14ac:dyDescent="0.35">
      <c r="A37" s="195"/>
      <c r="B37" s="195"/>
      <c r="C37" s="195"/>
      <c r="D37" s="195"/>
    </row>
    <row r="38" spans="1:4" x14ac:dyDescent="0.35">
      <c r="A38" s="195"/>
      <c r="B38" s="195"/>
      <c r="C38" s="195"/>
      <c r="D38" s="195"/>
    </row>
    <row r="39" spans="1:4" x14ac:dyDescent="0.35">
      <c r="A39" s="195"/>
      <c r="B39" s="195"/>
      <c r="C39" s="195"/>
      <c r="D39" s="195"/>
    </row>
    <row r="40" spans="1:4" x14ac:dyDescent="0.35">
      <c r="A40" s="195"/>
      <c r="B40" s="195"/>
      <c r="C40" s="195"/>
      <c r="D40" s="195"/>
    </row>
    <row r="41" spans="1:4" x14ac:dyDescent="0.35">
      <c r="A41" s="195"/>
      <c r="B41" s="195"/>
      <c r="C41" s="195"/>
      <c r="D41" s="195"/>
    </row>
    <row r="42" spans="1:4" x14ac:dyDescent="0.35">
      <c r="A42" s="195"/>
      <c r="B42" s="195"/>
      <c r="C42" s="195"/>
      <c r="D42" s="195"/>
    </row>
    <row r="43" spans="1:4" x14ac:dyDescent="0.35">
      <c r="A43" s="195"/>
      <c r="B43" s="195"/>
      <c r="C43" s="195"/>
      <c r="D43" s="195"/>
    </row>
    <row r="44" spans="1:4" x14ac:dyDescent="0.35">
      <c r="A44" s="195"/>
      <c r="B44" s="195"/>
      <c r="C44" s="195"/>
      <c r="D44" s="195"/>
    </row>
    <row r="45" spans="1:4" x14ac:dyDescent="0.35">
      <c r="A45" s="195"/>
      <c r="B45" s="195"/>
      <c r="C45" s="195"/>
      <c r="D45" s="195"/>
    </row>
    <row r="46" spans="1:4" x14ac:dyDescent="0.35">
      <c r="A46" s="195"/>
      <c r="B46" s="195"/>
      <c r="C46" s="195"/>
      <c r="D46" s="195"/>
    </row>
    <row r="47" spans="1:4" x14ac:dyDescent="0.35">
      <c r="A47" s="197"/>
      <c r="B47" s="197"/>
      <c r="C47" s="197"/>
      <c r="D47" s="197"/>
    </row>
    <row r="48" spans="1:4" x14ac:dyDescent="0.35">
      <c r="A48" s="197"/>
      <c r="B48" s="197"/>
      <c r="C48" s="197"/>
      <c r="D48" s="197"/>
    </row>
    <row r="49" spans="1:4" x14ac:dyDescent="0.35">
      <c r="A49" s="197"/>
      <c r="B49" s="197"/>
      <c r="C49" s="197"/>
      <c r="D49" s="197"/>
    </row>
  </sheetData>
  <pageMargins left="0.7" right="0.7" top="0.78740157499999996" bottom="0.78740157499999996" header="0.3" footer="0.3"/>
  <pageSetup paperSize="9" scale="81" orientation="portrait" r:id="rId1"/>
  <headerFooter>
    <oddHeader>&amp;L&amp;G
&amp;"Cambria,Regular"Doc Number: D0000009182
Name: Product Security Risk Table&amp;"-,Regular"
&amp;"Cambria,Regular"Revision:  AA</oddHeader>
    <oddFooter>&amp;L&amp;"Cambria,Regular"&amp;9Stryker Confidential&amp;C&amp;"Cambria,Regular"&amp;9Scope: KZO, IRE, GER
Process Owner: Software Development Lifecycle Process Owner&amp;R&amp;"Cambria,Regular"&amp;9Page &amp;P of &amp;N</oddFooter>
  </headerFooter>
  <legacyDrawing r:id="rId2"/>
  <legacyDrawingHF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35"/>
  <sheetViews>
    <sheetView view="pageBreakPreview" topLeftCell="A19" zoomScaleNormal="100" zoomScaleSheetLayoutView="100" workbookViewId="0">
      <selection activeCell="B10" sqref="B10"/>
    </sheetView>
  </sheetViews>
  <sheetFormatPr defaultColWidth="9.1796875" defaultRowHeight="14" x14ac:dyDescent="0.35"/>
  <cols>
    <col min="1" max="1" width="7.81640625" style="28" customWidth="1"/>
    <col min="2" max="2" width="25.26953125" style="28" customWidth="1"/>
    <col min="3" max="3" width="40.81640625" style="28" customWidth="1"/>
    <col min="4" max="4" width="51.26953125" style="28" customWidth="1"/>
    <col min="5" max="5" width="16.1796875" style="28" customWidth="1"/>
    <col min="6" max="6" width="14.26953125" style="28" customWidth="1"/>
    <col min="7" max="16384" width="9.1796875" style="28"/>
  </cols>
  <sheetData>
    <row r="1" spans="1:4" s="32" customFormat="1" x14ac:dyDescent="0.35">
      <c r="A1" s="31" t="s">
        <v>156</v>
      </c>
    </row>
    <row r="2" spans="1:4" s="32" customFormat="1" x14ac:dyDescent="0.35"/>
    <row r="3" spans="1:4" s="32" customFormat="1" x14ac:dyDescent="0.35">
      <c r="A3" s="33" t="s">
        <v>157</v>
      </c>
      <c r="B3" s="34"/>
      <c r="C3" s="338" t="s">
        <v>239</v>
      </c>
      <c r="D3" s="338"/>
    </row>
    <row r="4" spans="1:4" s="32" customFormat="1" x14ac:dyDescent="0.35">
      <c r="A4" s="35" t="s">
        <v>162</v>
      </c>
      <c r="B4" s="36"/>
      <c r="C4" s="338" t="s">
        <v>238</v>
      </c>
      <c r="D4" s="338"/>
    </row>
    <row r="5" spans="1:4" s="32" customFormat="1" x14ac:dyDescent="0.35">
      <c r="A5" s="35" t="s">
        <v>158</v>
      </c>
      <c r="B5" s="36"/>
      <c r="C5" s="338" t="s">
        <v>160</v>
      </c>
      <c r="D5" s="338"/>
    </row>
    <row r="6" spans="1:4" s="32" customFormat="1" ht="30" customHeight="1" x14ac:dyDescent="0.35">
      <c r="A6" s="37" t="s">
        <v>159</v>
      </c>
      <c r="B6" s="38"/>
      <c r="C6" s="338" t="s">
        <v>161</v>
      </c>
      <c r="D6" s="338"/>
    </row>
    <row r="7" spans="1:4" s="32" customFormat="1" x14ac:dyDescent="0.35"/>
    <row r="8" spans="1:4" s="32" customFormat="1" x14ac:dyDescent="0.35"/>
    <row r="9" spans="1:4" s="32" customFormat="1" ht="28" x14ac:dyDescent="0.35">
      <c r="A9" s="39" t="s">
        <v>8</v>
      </c>
      <c r="B9" s="40" t="s">
        <v>173</v>
      </c>
      <c r="C9" s="40" t="s">
        <v>0</v>
      </c>
      <c r="D9" s="41" t="s">
        <v>11</v>
      </c>
    </row>
    <row r="10" spans="1:4" s="32" customFormat="1" ht="43.5" x14ac:dyDescent="0.35">
      <c r="A10" s="313" t="s">
        <v>487</v>
      </c>
      <c r="B10" s="285" t="s">
        <v>9</v>
      </c>
      <c r="C10" s="286" t="s">
        <v>488</v>
      </c>
      <c r="D10" s="319" t="s">
        <v>367</v>
      </c>
    </row>
    <row r="11" spans="1:4" s="32" customFormat="1" ht="43.5" x14ac:dyDescent="0.35">
      <c r="A11" s="42" t="s">
        <v>106</v>
      </c>
      <c r="B11" s="317" t="s">
        <v>9</v>
      </c>
      <c r="C11" s="318" t="s">
        <v>489</v>
      </c>
      <c r="D11" s="319" t="s">
        <v>367</v>
      </c>
    </row>
    <row r="12" spans="1:4" s="32" customFormat="1" ht="58" x14ac:dyDescent="0.35">
      <c r="A12" s="42" t="s">
        <v>107</v>
      </c>
      <c r="B12" s="317" t="s">
        <v>134</v>
      </c>
      <c r="C12" s="263" t="s">
        <v>325</v>
      </c>
      <c r="D12" s="320" t="s">
        <v>326</v>
      </c>
    </row>
    <row r="13" spans="1:4" s="32" customFormat="1" ht="29" x14ac:dyDescent="0.35">
      <c r="A13" s="42" t="s">
        <v>108</v>
      </c>
      <c r="B13" s="317" t="s">
        <v>134</v>
      </c>
      <c r="C13" s="263" t="s">
        <v>327</v>
      </c>
      <c r="D13" s="321" t="s">
        <v>135</v>
      </c>
    </row>
    <row r="14" spans="1:4" s="32" customFormat="1" ht="29" x14ac:dyDescent="0.35">
      <c r="A14" s="42" t="s">
        <v>109</v>
      </c>
      <c r="B14" s="317" t="s">
        <v>10</v>
      </c>
      <c r="C14" s="318" t="s">
        <v>133</v>
      </c>
      <c r="D14" s="319" t="s">
        <v>354</v>
      </c>
    </row>
    <row r="15" spans="1:4" s="32" customFormat="1" ht="29" x14ac:dyDescent="0.35">
      <c r="A15" s="42" t="s">
        <v>110</v>
      </c>
      <c r="B15" s="317" t="s">
        <v>10</v>
      </c>
      <c r="C15" s="263" t="s">
        <v>148</v>
      </c>
      <c r="D15" s="322" t="s">
        <v>147</v>
      </c>
    </row>
    <row r="16" spans="1:4" s="32" customFormat="1" ht="29" x14ac:dyDescent="0.35">
      <c r="A16" s="42" t="s">
        <v>111</v>
      </c>
      <c r="B16" s="317" t="s">
        <v>134</v>
      </c>
      <c r="C16" s="263" t="s">
        <v>328</v>
      </c>
      <c r="D16" s="322" t="s">
        <v>329</v>
      </c>
    </row>
    <row r="17" spans="1:8" s="32" customFormat="1" ht="29" x14ac:dyDescent="0.35">
      <c r="A17" s="42" t="s">
        <v>112</v>
      </c>
      <c r="B17" s="317" t="s">
        <v>9</v>
      </c>
      <c r="C17" s="263" t="s">
        <v>330</v>
      </c>
      <c r="D17" s="323" t="s">
        <v>355</v>
      </c>
    </row>
    <row r="18" spans="1:8" ht="43.5" x14ac:dyDescent="0.35">
      <c r="A18" s="42" t="s">
        <v>105</v>
      </c>
      <c r="B18" s="317" t="s">
        <v>134</v>
      </c>
      <c r="C18" s="263" t="s">
        <v>331</v>
      </c>
      <c r="D18" s="320" t="s">
        <v>332</v>
      </c>
      <c r="E18" s="239"/>
    </row>
    <row r="19" spans="1:8" ht="43.5" x14ac:dyDescent="0.35">
      <c r="A19" s="269" t="s">
        <v>366</v>
      </c>
      <c r="B19" s="317" t="s">
        <v>10</v>
      </c>
      <c r="C19" s="263" t="s">
        <v>427</v>
      </c>
      <c r="D19" s="320" t="s">
        <v>428</v>
      </c>
      <c r="E19" s="240"/>
      <c r="F19" s="238"/>
      <c r="G19" s="238"/>
      <c r="H19" s="238"/>
    </row>
    <row r="20" spans="1:8" ht="29" x14ac:dyDescent="0.35">
      <c r="A20" s="269" t="s">
        <v>368</v>
      </c>
      <c r="B20" s="317" t="s">
        <v>10</v>
      </c>
      <c r="C20" s="263" t="s">
        <v>429</v>
      </c>
      <c r="D20" s="320" t="s">
        <v>430</v>
      </c>
      <c r="E20" s="241"/>
    </row>
    <row r="21" spans="1:8" ht="29" x14ac:dyDescent="0.35">
      <c r="A21" s="314" t="s">
        <v>369</v>
      </c>
      <c r="B21" s="317" t="s">
        <v>9</v>
      </c>
      <c r="C21" s="251" t="s">
        <v>431</v>
      </c>
      <c r="D21" s="320" t="s">
        <v>432</v>
      </c>
    </row>
    <row r="22" spans="1:8" ht="14.5" x14ac:dyDescent="0.35">
      <c r="A22" s="315" t="s">
        <v>392</v>
      </c>
      <c r="B22" s="262" t="s">
        <v>9</v>
      </c>
      <c r="C22" s="251" t="s">
        <v>433</v>
      </c>
      <c r="D22" s="324" t="s">
        <v>528</v>
      </c>
    </row>
    <row r="23" spans="1:8" ht="29" x14ac:dyDescent="0.35">
      <c r="A23" s="316" t="s">
        <v>434</v>
      </c>
      <c r="B23" s="262" t="s">
        <v>9</v>
      </c>
      <c r="C23" s="251" t="s">
        <v>435</v>
      </c>
      <c r="D23" s="324" t="s">
        <v>529</v>
      </c>
    </row>
    <row r="32" spans="1:8" ht="34.5" customHeight="1" x14ac:dyDescent="0.25">
      <c r="A32" s="29" t="s">
        <v>174</v>
      </c>
      <c r="E32" s="30"/>
      <c r="F32" s="30"/>
      <c r="G32" s="30"/>
      <c r="H32" s="30"/>
    </row>
    <row r="33" spans="2:4" x14ac:dyDescent="0.25">
      <c r="B33" s="339" t="s">
        <v>175</v>
      </c>
      <c r="C33" s="339"/>
      <c r="D33" s="30"/>
    </row>
    <row r="35" spans="2:4" x14ac:dyDescent="0.35">
      <c r="B35" s="32"/>
    </row>
  </sheetData>
  <mergeCells count="5">
    <mergeCell ref="C3:D3"/>
    <mergeCell ref="C4:D4"/>
    <mergeCell ref="C5:D5"/>
    <mergeCell ref="C6:D6"/>
    <mergeCell ref="B33:C33"/>
  </mergeCells>
  <pageMargins left="0.70866141732283505" right="0.70866141732283505" top="1.5748031496063" bottom="0.74803149606299202" header="0.31496062992126" footer="0.31496062992126"/>
  <pageSetup scale="63"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65"/>
  <sheetViews>
    <sheetView view="pageBreakPreview" topLeftCell="B44" zoomScaleNormal="100" zoomScaleSheetLayoutView="100" workbookViewId="0">
      <selection activeCell="B61" sqref="B61"/>
    </sheetView>
  </sheetViews>
  <sheetFormatPr defaultColWidth="9.1796875" defaultRowHeight="14.5" x14ac:dyDescent="0.35"/>
  <cols>
    <col min="1" max="1" width="31.7265625" style="26" customWidth="1"/>
    <col min="2" max="2" width="58.54296875" style="26" customWidth="1"/>
    <col min="3" max="3" width="20.7265625" style="26" customWidth="1"/>
    <col min="4" max="4" width="42.7265625" style="26" customWidth="1"/>
    <col min="5" max="16384" width="9.1796875" style="26"/>
  </cols>
  <sheetData>
    <row r="1" spans="1:4" s="48" customFormat="1" ht="15" customHeight="1" x14ac:dyDescent="0.35">
      <c r="A1" s="31" t="s">
        <v>164</v>
      </c>
    </row>
    <row r="2" spans="1:4" s="48" customFormat="1" ht="15" customHeight="1" x14ac:dyDescent="0.35">
      <c r="A2" s="31"/>
    </row>
    <row r="3" spans="1:4" s="48" customFormat="1" ht="14" hidden="1" x14ac:dyDescent="0.35"/>
    <row r="4" spans="1:4" s="48" customFormat="1" ht="14" x14ac:dyDescent="0.35">
      <c r="A4" s="49" t="s">
        <v>7</v>
      </c>
      <c r="B4" s="50" t="s">
        <v>13</v>
      </c>
      <c r="C4" s="50" t="s">
        <v>66</v>
      </c>
      <c r="D4" s="50" t="s">
        <v>67</v>
      </c>
    </row>
    <row r="5" spans="1:4" s="48" customFormat="1" ht="14" x14ac:dyDescent="0.35">
      <c r="A5" s="51" t="s">
        <v>113</v>
      </c>
      <c r="B5" s="52" t="s">
        <v>145</v>
      </c>
      <c r="C5" s="45" t="s">
        <v>124</v>
      </c>
      <c r="D5" s="45" t="s">
        <v>125</v>
      </c>
    </row>
    <row r="6" spans="1:4" s="48" customFormat="1" ht="14" x14ac:dyDescent="0.35">
      <c r="A6" s="53" t="s">
        <v>114</v>
      </c>
      <c r="B6" s="52" t="s">
        <v>146</v>
      </c>
      <c r="C6" s="45" t="s">
        <v>124</v>
      </c>
      <c r="D6" s="45" t="s">
        <v>125</v>
      </c>
    </row>
    <row r="7" spans="1:4" s="48" customFormat="1" ht="14" x14ac:dyDescent="0.35">
      <c r="A7" s="53" t="s">
        <v>317</v>
      </c>
      <c r="B7" s="233" t="s">
        <v>437</v>
      </c>
      <c r="C7" s="45" t="s">
        <v>124</v>
      </c>
      <c r="D7" s="45" t="s">
        <v>125</v>
      </c>
    </row>
    <row r="8" spans="1:4" s="48" customFormat="1" ht="14" x14ac:dyDescent="0.35">
      <c r="A8" s="53" t="s">
        <v>318</v>
      </c>
      <c r="B8" s="54" t="s">
        <v>436</v>
      </c>
      <c r="C8" s="45" t="s">
        <v>124</v>
      </c>
      <c r="D8" s="45" t="s">
        <v>125</v>
      </c>
    </row>
    <row r="9" spans="1:4" s="48" customFormat="1" ht="14" x14ac:dyDescent="0.35">
      <c r="A9" s="253" t="s">
        <v>463</v>
      </c>
      <c r="B9" s="257" t="s">
        <v>464</v>
      </c>
      <c r="C9" s="254" t="s">
        <v>124</v>
      </c>
      <c r="D9" s="254" t="s">
        <v>125</v>
      </c>
    </row>
    <row r="10" spans="1:4" s="48" customFormat="1" ht="14" x14ac:dyDescent="0.35">
      <c r="A10" s="253" t="s">
        <v>466</v>
      </c>
      <c r="B10" s="257" t="s">
        <v>467</v>
      </c>
      <c r="C10" s="254" t="s">
        <v>124</v>
      </c>
      <c r="D10" s="254" t="s">
        <v>125</v>
      </c>
    </row>
    <row r="11" spans="1:4" s="48" customFormat="1" ht="14" x14ac:dyDescent="0.35">
      <c r="A11" s="253" t="s">
        <v>468</v>
      </c>
      <c r="B11" s="257" t="s">
        <v>470</v>
      </c>
      <c r="C11" s="254" t="s">
        <v>124</v>
      </c>
      <c r="D11" s="254" t="s">
        <v>125</v>
      </c>
    </row>
    <row r="12" spans="1:4" s="48" customFormat="1" ht="14" x14ac:dyDescent="0.35">
      <c r="A12" s="253" t="s">
        <v>471</v>
      </c>
      <c r="B12" s="257" t="s">
        <v>472</v>
      </c>
      <c r="C12" s="254" t="s">
        <v>124</v>
      </c>
      <c r="D12" s="254" t="s">
        <v>125</v>
      </c>
    </row>
    <row r="13" spans="1:4" s="242" customFormat="1" ht="14" x14ac:dyDescent="0.35">
      <c r="A13" s="55" t="s">
        <v>438</v>
      </c>
      <c r="B13" s="55"/>
      <c r="C13" s="55"/>
      <c r="D13" s="55"/>
    </row>
    <row r="14" spans="1:4" s="242" customFormat="1" ht="14" x14ac:dyDescent="0.35">
      <c r="A14" s="56" t="s">
        <v>141</v>
      </c>
      <c r="B14" s="56" t="s">
        <v>439</v>
      </c>
      <c r="C14" s="45" t="s">
        <v>124</v>
      </c>
      <c r="D14" s="45" t="s">
        <v>125</v>
      </c>
    </row>
    <row r="15" spans="1:4" s="242" customFormat="1" ht="14" x14ac:dyDescent="0.35">
      <c r="A15" s="53" t="s">
        <v>319</v>
      </c>
      <c r="B15" s="54" t="s">
        <v>320</v>
      </c>
      <c r="C15" s="45" t="s">
        <v>124</v>
      </c>
      <c r="D15" s="54" t="s">
        <v>125</v>
      </c>
    </row>
    <row r="16" spans="1:4" s="48" customFormat="1" ht="14" x14ac:dyDescent="0.35">
      <c r="A16" s="253" t="s">
        <v>321</v>
      </c>
      <c r="B16" s="54" t="s">
        <v>375</v>
      </c>
      <c r="C16" s="45" t="s">
        <v>124</v>
      </c>
      <c r="D16" s="54" t="s">
        <v>125</v>
      </c>
    </row>
    <row r="17" spans="1:8" s="48" customFormat="1" ht="14" x14ac:dyDescent="0.35">
      <c r="A17" s="253" t="s">
        <v>370</v>
      </c>
      <c r="B17" s="246" t="s">
        <v>373</v>
      </c>
      <c r="C17" s="250" t="s">
        <v>124</v>
      </c>
      <c r="D17" s="246" t="s">
        <v>125</v>
      </c>
    </row>
    <row r="18" spans="1:8" s="48" customFormat="1" ht="14" x14ac:dyDescent="0.35">
      <c r="A18" s="253" t="s">
        <v>371</v>
      </c>
      <c r="B18" s="247" t="s">
        <v>440</v>
      </c>
      <c r="C18" s="250" t="s">
        <v>124</v>
      </c>
      <c r="D18" s="246" t="s">
        <v>125</v>
      </c>
    </row>
    <row r="19" spans="1:8" s="48" customFormat="1" ht="14" x14ac:dyDescent="0.35">
      <c r="A19" s="253" t="s">
        <v>372</v>
      </c>
      <c r="B19" s="246" t="s">
        <v>441</v>
      </c>
      <c r="C19" s="250" t="s">
        <v>124</v>
      </c>
      <c r="D19" s="246" t="s">
        <v>125</v>
      </c>
    </row>
    <row r="20" spans="1:8" s="48" customFormat="1" ht="14" x14ac:dyDescent="0.35">
      <c r="A20" s="253" t="s">
        <v>374</v>
      </c>
      <c r="B20" s="54" t="s">
        <v>442</v>
      </c>
      <c r="C20" s="250" t="s">
        <v>124</v>
      </c>
      <c r="D20" s="54" t="s">
        <v>125</v>
      </c>
    </row>
    <row r="21" spans="1:8" s="244" customFormat="1" ht="14" x14ac:dyDescent="0.35">
      <c r="A21" s="55" t="s">
        <v>12</v>
      </c>
      <c r="B21" s="55"/>
      <c r="C21" s="55"/>
      <c r="D21" s="55"/>
    </row>
    <row r="22" spans="1:8" s="244" customFormat="1" ht="14" x14ac:dyDescent="0.35">
      <c r="A22" s="53" t="s">
        <v>142</v>
      </c>
      <c r="B22" s="54" t="s">
        <v>123</v>
      </c>
      <c r="C22" s="45" t="s">
        <v>124</v>
      </c>
      <c r="D22" s="45" t="s">
        <v>125</v>
      </c>
    </row>
    <row r="23" spans="1:8" s="48" customFormat="1" ht="14" x14ac:dyDescent="0.35">
      <c r="A23" s="56" t="s">
        <v>143</v>
      </c>
      <c r="B23" s="54" t="s">
        <v>140</v>
      </c>
      <c r="C23" s="45" t="s">
        <v>124</v>
      </c>
      <c r="D23" s="45" t="s">
        <v>125</v>
      </c>
    </row>
    <row r="24" spans="1:8" s="244" customFormat="1" ht="14" x14ac:dyDescent="0.35">
      <c r="A24" s="53" t="s">
        <v>316</v>
      </c>
      <c r="B24" s="54" t="s">
        <v>443</v>
      </c>
      <c r="C24" s="45" t="s">
        <v>124</v>
      </c>
      <c r="D24" s="45" t="s">
        <v>125</v>
      </c>
      <c r="E24" s="255"/>
      <c r="F24" s="255"/>
      <c r="G24" s="255"/>
      <c r="H24" s="255"/>
    </row>
    <row r="25" spans="1:8" s="48" customFormat="1" ht="14" x14ac:dyDescent="0.35">
      <c r="A25" s="253" t="s">
        <v>376</v>
      </c>
      <c r="B25" s="246" t="s">
        <v>444</v>
      </c>
      <c r="C25" s="250" t="s">
        <v>124</v>
      </c>
      <c r="D25" s="250" t="s">
        <v>125</v>
      </c>
    </row>
    <row r="26" spans="1:8" s="48" customFormat="1" ht="14" x14ac:dyDescent="0.35">
      <c r="A26" s="245"/>
      <c r="B26" s="246"/>
      <c r="C26" s="266"/>
      <c r="D26" s="250"/>
    </row>
    <row r="27" spans="1:8" s="48" customFormat="1" ht="14" x14ac:dyDescent="0.35">
      <c r="A27" s="55" t="s">
        <v>144</v>
      </c>
      <c r="B27" s="55"/>
      <c r="C27" s="55"/>
      <c r="D27" s="55"/>
    </row>
    <row r="28" spans="1:8" s="48" customFormat="1" ht="14" x14ac:dyDescent="0.35">
      <c r="A28" s="256" t="s">
        <v>151</v>
      </c>
      <c r="B28" s="257" t="s">
        <v>139</v>
      </c>
      <c r="C28" s="254" t="s">
        <v>124</v>
      </c>
      <c r="D28" s="257" t="s">
        <v>125</v>
      </c>
    </row>
    <row r="29" spans="1:8" s="48" customFormat="1" ht="14" x14ac:dyDescent="0.35">
      <c r="A29" s="253" t="s">
        <v>377</v>
      </c>
      <c r="B29" s="246" t="s">
        <v>445</v>
      </c>
      <c r="C29" s="283" t="s">
        <v>124</v>
      </c>
      <c r="D29" s="257" t="s">
        <v>125</v>
      </c>
    </row>
    <row r="30" spans="1:8" s="48" customFormat="1" ht="14" x14ac:dyDescent="0.35">
      <c r="A30" s="253" t="s">
        <v>378</v>
      </c>
      <c r="B30" s="246" t="s">
        <v>446</v>
      </c>
      <c r="C30" s="283" t="s">
        <v>124</v>
      </c>
      <c r="D30" s="257" t="s">
        <v>125</v>
      </c>
    </row>
    <row r="31" spans="1:8" s="48" customFormat="1" ht="28" x14ac:dyDescent="0.35">
      <c r="A31" s="253" t="s">
        <v>379</v>
      </c>
      <c r="B31" s="250" t="s">
        <v>447</v>
      </c>
      <c r="C31" s="283" t="s">
        <v>124</v>
      </c>
      <c r="D31" s="257" t="s">
        <v>125</v>
      </c>
    </row>
    <row r="32" spans="1:8" s="48" customFormat="1" ht="14" x14ac:dyDescent="0.35">
      <c r="A32" s="253" t="s">
        <v>380</v>
      </c>
      <c r="B32" s="246" t="s">
        <v>448</v>
      </c>
      <c r="C32" s="283" t="s">
        <v>124</v>
      </c>
      <c r="D32" s="257" t="s">
        <v>125</v>
      </c>
    </row>
    <row r="33" spans="1:8" s="244" customFormat="1" ht="14" x14ac:dyDescent="0.35">
      <c r="A33" s="253" t="s">
        <v>381</v>
      </c>
      <c r="B33" s="246" t="s">
        <v>449</v>
      </c>
      <c r="C33" s="283" t="s">
        <v>124</v>
      </c>
      <c r="D33" s="257" t="s">
        <v>125</v>
      </c>
    </row>
    <row r="34" spans="1:8" s="244" customFormat="1" ht="28" x14ac:dyDescent="0.35">
      <c r="A34" s="253" t="s">
        <v>382</v>
      </c>
      <c r="B34" s="283" t="s">
        <v>450</v>
      </c>
      <c r="C34" s="283" t="s">
        <v>124</v>
      </c>
      <c r="D34" s="257" t="s">
        <v>125</v>
      </c>
    </row>
    <row r="35" spans="1:8" s="244" customFormat="1" ht="14" x14ac:dyDescent="0.35">
      <c r="A35" s="253" t="s">
        <v>383</v>
      </c>
      <c r="B35" s="246" t="s">
        <v>451</v>
      </c>
      <c r="C35" s="283" t="s">
        <v>124</v>
      </c>
      <c r="D35" s="257" t="s">
        <v>125</v>
      </c>
    </row>
    <row r="36" spans="1:8" s="244" customFormat="1" ht="14" x14ac:dyDescent="0.35">
      <c r="A36" s="253" t="s">
        <v>396</v>
      </c>
      <c r="B36" s="266" t="s">
        <v>452</v>
      </c>
      <c r="C36" s="283" t="s">
        <v>124</v>
      </c>
      <c r="D36" s="257" t="s">
        <v>125</v>
      </c>
    </row>
    <row r="37" spans="1:8" s="244" customFormat="1" ht="14" x14ac:dyDescent="0.35">
      <c r="A37" s="264"/>
      <c r="B37" s="266"/>
      <c r="C37" s="266"/>
      <c r="D37" s="266"/>
    </row>
    <row r="38" spans="1:8" s="244" customFormat="1" ht="14" x14ac:dyDescent="0.35">
      <c r="A38" s="265" t="s">
        <v>384</v>
      </c>
      <c r="B38" s="267"/>
      <c r="C38" s="267"/>
      <c r="D38" s="267"/>
    </row>
    <row r="39" spans="1:8" s="244" customFormat="1" ht="14" x14ac:dyDescent="0.35">
      <c r="A39" s="264" t="s">
        <v>385</v>
      </c>
      <c r="B39" s="266" t="s">
        <v>453</v>
      </c>
      <c r="C39" s="283" t="s">
        <v>124</v>
      </c>
      <c r="D39" s="257" t="s">
        <v>125</v>
      </c>
    </row>
    <row r="40" spans="1:8" s="48" customFormat="1" ht="14" x14ac:dyDescent="0.35">
      <c r="A40" s="264" t="s">
        <v>386</v>
      </c>
      <c r="B40" s="266" t="s">
        <v>454</v>
      </c>
      <c r="C40" s="283" t="s">
        <v>124</v>
      </c>
      <c r="D40" s="257" t="s">
        <v>125</v>
      </c>
    </row>
    <row r="41" spans="1:8" s="48" customFormat="1" ht="14" x14ac:dyDescent="0.25">
      <c r="A41" s="264" t="s">
        <v>387</v>
      </c>
      <c r="B41" s="266" t="s">
        <v>455</v>
      </c>
      <c r="C41" s="283" t="s">
        <v>124</v>
      </c>
      <c r="D41" s="257" t="s">
        <v>125</v>
      </c>
      <c r="E41" s="30"/>
      <c r="F41" s="30"/>
      <c r="G41" s="30"/>
      <c r="H41" s="30"/>
    </row>
    <row r="42" spans="1:8" s="48" customFormat="1" ht="14" x14ac:dyDescent="0.35">
      <c r="A42" s="264" t="s">
        <v>388</v>
      </c>
      <c r="B42" s="266" t="s">
        <v>389</v>
      </c>
      <c r="C42" s="283" t="s">
        <v>124</v>
      </c>
      <c r="D42" s="257" t="s">
        <v>125</v>
      </c>
    </row>
    <row r="43" spans="1:8" x14ac:dyDescent="0.35">
      <c r="A43" s="264"/>
      <c r="B43" s="266"/>
      <c r="C43" s="266"/>
      <c r="D43" s="266"/>
    </row>
    <row r="44" spans="1:8" x14ac:dyDescent="0.35">
      <c r="A44" s="265" t="s">
        <v>490</v>
      </c>
      <c r="B44" s="267"/>
      <c r="C44" s="267"/>
      <c r="D44" s="267"/>
    </row>
    <row r="45" spans="1:8" x14ac:dyDescent="0.35">
      <c r="A45" s="287" t="s">
        <v>492</v>
      </c>
      <c r="B45" s="266" t="s">
        <v>491</v>
      </c>
      <c r="C45" s="283" t="s">
        <v>124</v>
      </c>
      <c r="D45" s="257" t="s">
        <v>125</v>
      </c>
    </row>
    <row r="46" spans="1:8" x14ac:dyDescent="0.35">
      <c r="A46" s="288" t="s">
        <v>493</v>
      </c>
      <c r="B46" s="266" t="s">
        <v>519</v>
      </c>
      <c r="C46" s="283" t="s">
        <v>124</v>
      </c>
      <c r="D46" s="257" t="s">
        <v>125</v>
      </c>
    </row>
    <row r="47" spans="1:8" x14ac:dyDescent="0.35">
      <c r="A47" s="288" t="s">
        <v>495</v>
      </c>
      <c r="B47" s="266" t="s">
        <v>494</v>
      </c>
      <c r="C47" s="283" t="s">
        <v>124</v>
      </c>
      <c r="D47" s="257" t="s">
        <v>125</v>
      </c>
    </row>
    <row r="48" spans="1:8" x14ac:dyDescent="0.35">
      <c r="A48" s="288" t="s">
        <v>498</v>
      </c>
      <c r="B48" s="266" t="s">
        <v>496</v>
      </c>
      <c r="C48" s="283" t="s">
        <v>124</v>
      </c>
      <c r="D48" s="257" t="s">
        <v>125</v>
      </c>
    </row>
    <row r="49" spans="1:4" x14ac:dyDescent="0.35">
      <c r="A49" s="288" t="s">
        <v>502</v>
      </c>
      <c r="B49" s="268" t="s">
        <v>497</v>
      </c>
      <c r="C49" s="283" t="s">
        <v>124</v>
      </c>
      <c r="D49" s="257" t="s">
        <v>125</v>
      </c>
    </row>
    <row r="50" spans="1:4" x14ac:dyDescent="0.35">
      <c r="A50" s="288" t="s">
        <v>499</v>
      </c>
      <c r="B50" s="266" t="s">
        <v>500</v>
      </c>
      <c r="C50" s="283" t="s">
        <v>124</v>
      </c>
      <c r="D50" s="257" t="s">
        <v>125</v>
      </c>
    </row>
    <row r="51" spans="1:4" x14ac:dyDescent="0.35">
      <c r="A51" s="288" t="s">
        <v>501</v>
      </c>
      <c r="B51" s="266" t="s">
        <v>503</v>
      </c>
      <c r="C51" s="283" t="s">
        <v>124</v>
      </c>
      <c r="D51" s="257" t="s">
        <v>125</v>
      </c>
    </row>
    <row r="52" spans="1:4" x14ac:dyDescent="0.35">
      <c r="A52" s="288" t="s">
        <v>506</v>
      </c>
      <c r="B52" s="266" t="s">
        <v>507</v>
      </c>
      <c r="C52" s="283" t="s">
        <v>124</v>
      </c>
      <c r="D52" s="257" t="s">
        <v>125</v>
      </c>
    </row>
    <row r="53" spans="1:4" x14ac:dyDescent="0.35">
      <c r="A53" s="264"/>
      <c r="B53" s="266"/>
      <c r="C53" s="266"/>
      <c r="D53" s="266"/>
    </row>
    <row r="54" spans="1:4" x14ac:dyDescent="0.35">
      <c r="A54" s="265" t="s">
        <v>508</v>
      </c>
      <c r="B54" s="267"/>
      <c r="C54" s="267"/>
      <c r="D54" s="267"/>
    </row>
    <row r="55" spans="1:4" x14ac:dyDescent="0.35">
      <c r="A55" s="288" t="s">
        <v>509</v>
      </c>
      <c r="B55" s="266" t="s">
        <v>496</v>
      </c>
      <c r="C55" s="283" t="s">
        <v>124</v>
      </c>
      <c r="D55" s="257" t="s">
        <v>125</v>
      </c>
    </row>
    <row r="56" spans="1:4" x14ac:dyDescent="0.35">
      <c r="A56" s="288" t="s">
        <v>510</v>
      </c>
      <c r="B56" s="268" t="s">
        <v>497</v>
      </c>
      <c r="C56" s="283" t="s">
        <v>124</v>
      </c>
      <c r="D56" s="257" t="s">
        <v>125</v>
      </c>
    </row>
    <row r="57" spans="1:4" x14ac:dyDescent="0.35">
      <c r="A57" s="288" t="s">
        <v>511</v>
      </c>
      <c r="B57" s="266" t="s">
        <v>500</v>
      </c>
      <c r="C57" s="283" t="s">
        <v>124</v>
      </c>
      <c r="D57" s="257" t="s">
        <v>125</v>
      </c>
    </row>
    <row r="58" spans="1:4" x14ac:dyDescent="0.35">
      <c r="A58" s="288" t="s">
        <v>512</v>
      </c>
      <c r="B58" s="266" t="s">
        <v>503</v>
      </c>
      <c r="C58" s="283" t="s">
        <v>124</v>
      </c>
      <c r="D58" s="257" t="s">
        <v>125</v>
      </c>
    </row>
    <row r="59" spans="1:4" x14ac:dyDescent="0.35">
      <c r="A59" s="288" t="s">
        <v>513</v>
      </c>
      <c r="B59" s="266" t="s">
        <v>507</v>
      </c>
      <c r="C59" s="283" t="s">
        <v>124</v>
      </c>
      <c r="D59" s="257" t="s">
        <v>125</v>
      </c>
    </row>
    <row r="60" spans="1:4" x14ac:dyDescent="0.35">
      <c r="A60" s="288" t="s">
        <v>515</v>
      </c>
      <c r="B60" s="266" t="s">
        <v>514</v>
      </c>
      <c r="C60" s="283" t="s">
        <v>124</v>
      </c>
      <c r="D60" s="257" t="s">
        <v>125</v>
      </c>
    </row>
    <row r="61" spans="1:4" x14ac:dyDescent="0.35">
      <c r="A61" s="253" t="s">
        <v>549</v>
      </c>
      <c r="B61" s="257" t="s">
        <v>550</v>
      </c>
      <c r="C61" s="283" t="s">
        <v>124</v>
      </c>
      <c r="D61" s="257" t="s">
        <v>125</v>
      </c>
    </row>
    <row r="62" spans="1:4" x14ac:dyDescent="0.35">
      <c r="A62" s="308"/>
      <c r="B62" s="266"/>
      <c r="C62" s="266"/>
      <c r="D62" s="266"/>
    </row>
    <row r="63" spans="1:4" x14ac:dyDescent="0.25">
      <c r="A63" s="29" t="s">
        <v>174</v>
      </c>
      <c r="B63" s="48"/>
      <c r="C63" s="48"/>
    </row>
    <row r="64" spans="1:4" ht="42" x14ac:dyDescent="0.25">
      <c r="A64" s="48"/>
      <c r="B64" s="30" t="s">
        <v>175</v>
      </c>
      <c r="C64" s="30"/>
    </row>
    <row r="65" spans="1:3" x14ac:dyDescent="0.35">
      <c r="A65" s="48"/>
      <c r="B65" s="48"/>
      <c r="C65" s="48"/>
    </row>
  </sheetData>
  <pageMargins left="0.7" right="0.7" top="1.34958333333333" bottom="0.75" header="0.3" footer="0.3"/>
  <pageSetup scale="61" fitToHeight="0" orientation="landscape" r:id="rId1"/>
  <headerFooter>
    <oddHeader>&amp;L&amp;G
&amp;"Cambria,Regular"Doc Number: D0000009182
Name: Product Security Risk Table
Revision:  AA</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'Reference - CVSSv3.0'!$Q$12:$Q$14</xm:f>
          </x14:formula1>
          <xm:sqref>C28:C36 C14:C20 C5:C12 C45:C52 C39:C42 C22:C25 C55:C61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92"/>
  <sheetViews>
    <sheetView view="pageBreakPreview" topLeftCell="A36" zoomScaleNormal="100" zoomScaleSheetLayoutView="100" workbookViewId="0">
      <selection activeCell="F44" sqref="F44"/>
    </sheetView>
  </sheetViews>
  <sheetFormatPr defaultColWidth="9.1796875" defaultRowHeight="14.5" x14ac:dyDescent="0.35"/>
  <cols>
    <col min="1" max="1" width="6.1796875" style="26" customWidth="1"/>
    <col min="2" max="2" width="38.1796875" style="26" customWidth="1"/>
    <col min="3" max="3" width="49.453125" style="26" customWidth="1"/>
    <col min="4" max="4" width="27.81640625" style="26" customWidth="1"/>
    <col min="5" max="5" width="15.1796875" style="27" customWidth="1"/>
    <col min="6" max="6" width="24.7265625" style="26" customWidth="1"/>
    <col min="7" max="16384" width="9.1796875" style="26"/>
  </cols>
  <sheetData>
    <row r="1" spans="1:7" s="48" customFormat="1" ht="14" x14ac:dyDescent="0.35">
      <c r="A1" s="31" t="s">
        <v>165</v>
      </c>
      <c r="E1" s="58"/>
    </row>
    <row r="2" spans="1:7" s="48" customFormat="1" ht="14" x14ac:dyDescent="0.35">
      <c r="E2" s="58"/>
    </row>
    <row r="3" spans="1:7" s="48" customFormat="1" ht="28" x14ac:dyDescent="0.35">
      <c r="A3" s="59" t="s">
        <v>20</v>
      </c>
      <c r="B3" s="59" t="s">
        <v>23</v>
      </c>
      <c r="C3" s="59" t="s">
        <v>21</v>
      </c>
      <c r="D3" s="59" t="s">
        <v>15</v>
      </c>
      <c r="E3" s="59" t="s">
        <v>182</v>
      </c>
      <c r="F3" s="60" t="s">
        <v>183</v>
      </c>
    </row>
    <row r="4" spans="1:7" s="68" customFormat="1" ht="112" x14ac:dyDescent="0.35">
      <c r="A4" s="61" t="s">
        <v>118</v>
      </c>
      <c r="B4" s="62" t="s">
        <v>456</v>
      </c>
      <c r="C4" s="63" t="s">
        <v>240</v>
      </c>
      <c r="D4" s="64" t="s">
        <v>241</v>
      </c>
      <c r="E4" s="65" t="s">
        <v>124</v>
      </c>
      <c r="F4" s="67" t="s">
        <v>125</v>
      </c>
    </row>
    <row r="5" spans="1:7" s="48" customFormat="1" ht="70" x14ac:dyDescent="0.35">
      <c r="A5" s="61" t="s">
        <v>119</v>
      </c>
      <c r="B5" s="62" t="s">
        <v>457</v>
      </c>
      <c r="C5" s="63" t="s">
        <v>242</v>
      </c>
      <c r="D5" s="64" t="s">
        <v>163</v>
      </c>
      <c r="E5" s="65" t="s">
        <v>124</v>
      </c>
      <c r="F5" s="43" t="s">
        <v>125</v>
      </c>
    </row>
    <row r="6" spans="1:7" s="48" customFormat="1" ht="70" x14ac:dyDescent="0.35">
      <c r="A6" s="61" t="s">
        <v>120</v>
      </c>
      <c r="B6" s="62" t="s">
        <v>44</v>
      </c>
      <c r="C6" s="62" t="s">
        <v>45</v>
      </c>
      <c r="D6" s="64" t="s">
        <v>243</v>
      </c>
      <c r="E6" s="65" t="s">
        <v>124</v>
      </c>
      <c r="F6" s="67" t="s">
        <v>125</v>
      </c>
    </row>
    <row r="7" spans="1:7" s="48" customFormat="1" ht="56" x14ac:dyDescent="0.35">
      <c r="A7" s="69" t="s">
        <v>121</v>
      </c>
      <c r="B7" s="70" t="s">
        <v>136</v>
      </c>
      <c r="C7" s="70" t="s">
        <v>244</v>
      </c>
      <c r="D7" s="64" t="s">
        <v>163</v>
      </c>
      <c r="E7" s="234" t="s">
        <v>181</v>
      </c>
      <c r="F7" s="235" t="s">
        <v>352</v>
      </c>
    </row>
    <row r="8" spans="1:7" s="48" customFormat="1" ht="28" x14ac:dyDescent="0.35">
      <c r="A8" s="61" t="s">
        <v>122</v>
      </c>
      <c r="B8" s="70" t="s">
        <v>137</v>
      </c>
      <c r="C8" s="70" t="s">
        <v>138</v>
      </c>
      <c r="D8" s="64" t="s">
        <v>245</v>
      </c>
      <c r="E8" s="65" t="s">
        <v>124</v>
      </c>
      <c r="F8" s="67" t="s">
        <v>125</v>
      </c>
    </row>
    <row r="9" spans="1:7" s="48" customFormat="1" ht="56" x14ac:dyDescent="0.35">
      <c r="A9" s="61" t="s">
        <v>246</v>
      </c>
      <c r="B9" s="62" t="s">
        <v>247</v>
      </c>
      <c r="C9" s="62" t="s">
        <v>248</v>
      </c>
      <c r="D9" s="64" t="s">
        <v>245</v>
      </c>
      <c r="E9" s="65" t="s">
        <v>124</v>
      </c>
      <c r="F9" s="67" t="s">
        <v>125</v>
      </c>
    </row>
    <row r="10" spans="1:7" s="48" customFormat="1" ht="42" x14ac:dyDescent="0.35">
      <c r="A10" s="65" t="s">
        <v>249</v>
      </c>
      <c r="B10" s="62" t="s">
        <v>250</v>
      </c>
      <c r="C10" s="62" t="s">
        <v>251</v>
      </c>
      <c r="D10" s="64" t="s">
        <v>163</v>
      </c>
      <c r="E10" s="65" t="s">
        <v>124</v>
      </c>
      <c r="F10" s="67" t="s">
        <v>125</v>
      </c>
    </row>
    <row r="11" spans="1:7" s="48" customFormat="1" ht="70" x14ac:dyDescent="0.35">
      <c r="A11" s="65" t="s">
        <v>252</v>
      </c>
      <c r="B11" s="62" t="s">
        <v>253</v>
      </c>
      <c r="C11" s="62" t="s">
        <v>254</v>
      </c>
      <c r="D11" s="64" t="s">
        <v>255</v>
      </c>
      <c r="E11" s="65" t="s">
        <v>124</v>
      </c>
      <c r="F11" s="67" t="s">
        <v>125</v>
      </c>
    </row>
    <row r="12" spans="1:7" s="48" customFormat="1" ht="43.5" x14ac:dyDescent="0.35">
      <c r="A12" s="199" t="s">
        <v>256</v>
      </c>
      <c r="B12" s="251" t="s">
        <v>257</v>
      </c>
      <c r="C12" s="200" t="s">
        <v>258</v>
      </c>
      <c r="D12" s="201" t="s">
        <v>259</v>
      </c>
      <c r="E12" s="65" t="s">
        <v>181</v>
      </c>
      <c r="F12" s="202" t="s">
        <v>260</v>
      </c>
    </row>
    <row r="13" spans="1:7" s="48" customFormat="1" ht="42" x14ac:dyDescent="0.35">
      <c r="A13" s="65" t="s">
        <v>261</v>
      </c>
      <c r="B13" s="70" t="s">
        <v>262</v>
      </c>
      <c r="C13" s="237" t="s">
        <v>263</v>
      </c>
      <c r="D13" s="142" t="s">
        <v>264</v>
      </c>
      <c r="E13" s="65" t="s">
        <v>124</v>
      </c>
      <c r="F13" s="67" t="s">
        <v>125</v>
      </c>
    </row>
    <row r="14" spans="1:7" s="48" customFormat="1" ht="30" customHeight="1" x14ac:dyDescent="0.25">
      <c r="A14" s="65" t="s">
        <v>265</v>
      </c>
      <c r="B14" s="54" t="s">
        <v>458</v>
      </c>
      <c r="C14" s="45" t="s">
        <v>266</v>
      </c>
      <c r="D14" s="65" t="s">
        <v>267</v>
      </c>
      <c r="E14" s="65" t="s">
        <v>124</v>
      </c>
      <c r="F14" s="67" t="s">
        <v>125</v>
      </c>
      <c r="G14" s="30"/>
    </row>
    <row r="15" spans="1:7" s="48" customFormat="1" ht="56" x14ac:dyDescent="0.35">
      <c r="A15" s="65" t="s">
        <v>268</v>
      </c>
      <c r="B15" s="57" t="s">
        <v>269</v>
      </c>
      <c r="C15" s="46" t="s">
        <v>270</v>
      </c>
      <c r="D15" s="142" t="s">
        <v>264</v>
      </c>
      <c r="E15" s="65" t="s">
        <v>124</v>
      </c>
      <c r="F15" s="203" t="s">
        <v>125</v>
      </c>
    </row>
    <row r="16" spans="1:7" s="48" customFormat="1" ht="42" x14ac:dyDescent="0.35">
      <c r="A16" s="65" t="s">
        <v>271</v>
      </c>
      <c r="B16" s="243" t="s">
        <v>272</v>
      </c>
      <c r="C16" s="236" t="s">
        <v>356</v>
      </c>
      <c r="D16" s="65" t="s">
        <v>267</v>
      </c>
      <c r="E16" s="65" t="s">
        <v>124</v>
      </c>
      <c r="F16" s="203" t="s">
        <v>125</v>
      </c>
    </row>
    <row r="17" spans="1:6" s="48" customFormat="1" ht="29" x14ac:dyDescent="0.35">
      <c r="A17" s="204" t="s">
        <v>273</v>
      </c>
      <c r="B17" s="57" t="s">
        <v>274</v>
      </c>
      <c r="C17" s="46" t="s">
        <v>275</v>
      </c>
      <c r="D17" s="65" t="s">
        <v>267</v>
      </c>
      <c r="E17" s="65" t="s">
        <v>181</v>
      </c>
      <c r="F17" s="202" t="s">
        <v>260</v>
      </c>
    </row>
    <row r="18" spans="1:6" s="48" customFormat="1" ht="70" x14ac:dyDescent="0.35">
      <c r="A18" s="204" t="s">
        <v>276</v>
      </c>
      <c r="B18" s="46" t="s">
        <v>277</v>
      </c>
      <c r="C18" s="46" t="s">
        <v>278</v>
      </c>
      <c r="D18" s="65" t="s">
        <v>166</v>
      </c>
      <c r="E18" s="65" t="s">
        <v>181</v>
      </c>
      <c r="F18" s="47" t="s">
        <v>315</v>
      </c>
    </row>
    <row r="19" spans="1:6" s="48" customFormat="1" ht="56" x14ac:dyDescent="0.35">
      <c r="A19" s="204" t="s">
        <v>279</v>
      </c>
      <c r="B19" s="46" t="s">
        <v>280</v>
      </c>
      <c r="C19" s="46" t="s">
        <v>281</v>
      </c>
      <c r="D19" s="44" t="s">
        <v>282</v>
      </c>
      <c r="E19" s="65" t="s">
        <v>124</v>
      </c>
      <c r="F19" s="203" t="s">
        <v>125</v>
      </c>
    </row>
    <row r="20" spans="1:6" s="48" customFormat="1" ht="72.5" x14ac:dyDescent="0.35">
      <c r="A20" s="205" t="s">
        <v>283</v>
      </c>
      <c r="B20" s="206" t="s">
        <v>284</v>
      </c>
      <c r="C20" s="206" t="s">
        <v>285</v>
      </c>
      <c r="D20" s="44" t="s">
        <v>166</v>
      </c>
      <c r="E20" s="65" t="s">
        <v>124</v>
      </c>
      <c r="F20" s="67" t="s">
        <v>125</v>
      </c>
    </row>
    <row r="21" spans="1:6" s="48" customFormat="1" ht="84" x14ac:dyDescent="0.35">
      <c r="A21" s="199" t="s">
        <v>286</v>
      </c>
      <c r="B21" s="207" t="s">
        <v>287</v>
      </c>
      <c r="C21" s="200" t="s">
        <v>288</v>
      </c>
      <c r="D21" s="325" t="s">
        <v>259</v>
      </c>
      <c r="E21" s="65" t="s">
        <v>181</v>
      </c>
      <c r="F21" s="47" t="s">
        <v>289</v>
      </c>
    </row>
    <row r="22" spans="1:6" s="48" customFormat="1" ht="70" x14ac:dyDescent="0.35">
      <c r="A22" s="205" t="s">
        <v>290</v>
      </c>
      <c r="B22" s="207" t="s">
        <v>291</v>
      </c>
      <c r="C22" s="207" t="s">
        <v>292</v>
      </c>
      <c r="D22" s="325" t="s">
        <v>163</v>
      </c>
      <c r="E22" s="65" t="s">
        <v>181</v>
      </c>
      <c r="F22" s="47" t="s">
        <v>293</v>
      </c>
    </row>
    <row r="23" spans="1:6" s="48" customFormat="1" ht="72.5" x14ac:dyDescent="0.35">
      <c r="A23" s="199" t="s">
        <v>294</v>
      </c>
      <c r="B23" s="207" t="s">
        <v>295</v>
      </c>
      <c r="C23" s="200" t="s">
        <v>296</v>
      </c>
      <c r="D23" s="325" t="s">
        <v>259</v>
      </c>
      <c r="E23" s="65" t="s">
        <v>181</v>
      </c>
      <c r="F23" s="47" t="s">
        <v>293</v>
      </c>
    </row>
    <row r="24" spans="1:6" s="48" customFormat="1" ht="29" x14ac:dyDescent="0.35">
      <c r="A24" s="205" t="s">
        <v>297</v>
      </c>
      <c r="B24" s="207" t="s">
        <v>298</v>
      </c>
      <c r="C24" s="200" t="s">
        <v>299</v>
      </c>
      <c r="D24" s="325" t="s">
        <v>300</v>
      </c>
      <c r="E24" s="65" t="s">
        <v>124</v>
      </c>
      <c r="F24" s="47" t="s">
        <v>125</v>
      </c>
    </row>
    <row r="25" spans="1:6" s="48" customFormat="1" ht="56" x14ac:dyDescent="0.35">
      <c r="A25" s="208" t="s">
        <v>301</v>
      </c>
      <c r="B25" s="45" t="s">
        <v>302</v>
      </c>
      <c r="C25" s="45" t="s">
        <v>303</v>
      </c>
      <c r="D25" s="325" t="s">
        <v>259</v>
      </c>
      <c r="E25" s="65" t="s">
        <v>181</v>
      </c>
      <c r="F25" s="47" t="s">
        <v>304</v>
      </c>
    </row>
    <row r="26" spans="1:6" s="48" customFormat="1" ht="28" x14ac:dyDescent="0.35">
      <c r="A26" s="61" t="s">
        <v>305</v>
      </c>
      <c r="B26" s="62" t="s">
        <v>306</v>
      </c>
      <c r="C26" s="45" t="s">
        <v>307</v>
      </c>
      <c r="D26" s="325" t="s">
        <v>259</v>
      </c>
      <c r="E26" s="234" t="s">
        <v>181</v>
      </c>
      <c r="F26" s="326" t="s">
        <v>353</v>
      </c>
    </row>
    <row r="27" spans="1:6" s="48" customFormat="1" ht="42" x14ac:dyDescent="0.35">
      <c r="A27" s="270" t="s">
        <v>308</v>
      </c>
      <c r="B27" s="62" t="s">
        <v>309</v>
      </c>
      <c r="C27" s="45" t="s">
        <v>310</v>
      </c>
      <c r="D27" s="325" t="s">
        <v>259</v>
      </c>
      <c r="E27" s="65" t="s">
        <v>124</v>
      </c>
      <c r="F27" s="47" t="s">
        <v>125</v>
      </c>
    </row>
    <row r="28" spans="1:6" s="48" customFormat="1" ht="28" x14ac:dyDescent="0.35">
      <c r="A28" s="270" t="s">
        <v>311</v>
      </c>
      <c r="B28" s="62" t="s">
        <v>312</v>
      </c>
      <c r="C28" s="45" t="s">
        <v>313</v>
      </c>
      <c r="D28" s="325" t="s">
        <v>259</v>
      </c>
      <c r="E28" s="65" t="s">
        <v>181</v>
      </c>
      <c r="F28" s="47" t="s">
        <v>314</v>
      </c>
    </row>
    <row r="29" spans="1:6" s="244" customFormat="1" ht="28" x14ac:dyDescent="0.35">
      <c r="A29" s="260" t="s">
        <v>390</v>
      </c>
      <c r="B29" s="252" t="s">
        <v>462</v>
      </c>
      <c r="C29" s="243" t="s">
        <v>391</v>
      </c>
      <c r="D29" s="325" t="s">
        <v>259</v>
      </c>
      <c r="E29" s="249" t="s">
        <v>124</v>
      </c>
      <c r="F29" s="47" t="s">
        <v>125</v>
      </c>
    </row>
    <row r="30" spans="1:6" s="244" customFormat="1" ht="28" x14ac:dyDescent="0.35">
      <c r="A30" s="260" t="s">
        <v>397</v>
      </c>
      <c r="B30" s="252" t="s">
        <v>398</v>
      </c>
      <c r="C30" s="259" t="s">
        <v>399</v>
      </c>
      <c r="D30" s="325" t="s">
        <v>259</v>
      </c>
      <c r="E30" s="249" t="s">
        <v>124</v>
      </c>
      <c r="F30" s="47" t="s">
        <v>125</v>
      </c>
    </row>
    <row r="31" spans="1:6" s="255" customFormat="1" ht="28" x14ac:dyDescent="0.35">
      <c r="A31" s="261" t="s">
        <v>400</v>
      </c>
      <c r="B31" s="62" t="s">
        <v>459</v>
      </c>
      <c r="C31" s="258" t="s">
        <v>401</v>
      </c>
      <c r="D31" s="325" t="s">
        <v>259</v>
      </c>
      <c r="E31" s="249" t="s">
        <v>124</v>
      </c>
      <c r="F31" s="47" t="s">
        <v>125</v>
      </c>
    </row>
    <row r="32" spans="1:6" s="255" customFormat="1" ht="28" x14ac:dyDescent="0.35">
      <c r="A32" s="261" t="s">
        <v>402</v>
      </c>
      <c r="B32" s="62" t="s">
        <v>460</v>
      </c>
      <c r="C32" s="258" t="s">
        <v>403</v>
      </c>
      <c r="D32" s="325" t="s">
        <v>259</v>
      </c>
      <c r="E32" s="249" t="s">
        <v>124</v>
      </c>
      <c r="F32" s="47" t="s">
        <v>125</v>
      </c>
    </row>
    <row r="33" spans="1:6" s="255" customFormat="1" ht="42" x14ac:dyDescent="0.35">
      <c r="A33" s="261" t="s">
        <v>404</v>
      </c>
      <c r="B33" s="62" t="s">
        <v>461</v>
      </c>
      <c r="C33" s="258" t="s">
        <v>405</v>
      </c>
      <c r="D33" s="325" t="s">
        <v>259</v>
      </c>
      <c r="E33" s="249" t="s">
        <v>124</v>
      </c>
      <c r="F33" s="47" t="s">
        <v>125</v>
      </c>
    </row>
    <row r="34" spans="1:6" s="255" customFormat="1" ht="28" x14ac:dyDescent="0.35">
      <c r="A34" s="261" t="s">
        <v>406</v>
      </c>
      <c r="B34" s="62" t="s">
        <v>407</v>
      </c>
      <c r="C34" s="258" t="s">
        <v>408</v>
      </c>
      <c r="D34" s="325" t="s">
        <v>259</v>
      </c>
      <c r="E34" s="249" t="s">
        <v>124</v>
      </c>
      <c r="F34" s="47" t="s">
        <v>125</v>
      </c>
    </row>
    <row r="35" spans="1:6" s="255" customFormat="1" ht="28" x14ac:dyDescent="0.35">
      <c r="A35" s="261" t="s">
        <v>409</v>
      </c>
      <c r="B35" s="62" t="s">
        <v>410</v>
      </c>
      <c r="C35" s="258" t="s">
        <v>411</v>
      </c>
      <c r="D35" s="325" t="s">
        <v>259</v>
      </c>
      <c r="E35" s="249" t="s">
        <v>124</v>
      </c>
      <c r="F35" s="47" t="s">
        <v>125</v>
      </c>
    </row>
    <row r="36" spans="1:6" s="255" customFormat="1" ht="28" x14ac:dyDescent="0.35">
      <c r="A36" s="261" t="s">
        <v>412</v>
      </c>
      <c r="B36" s="62" t="s">
        <v>539</v>
      </c>
      <c r="C36" s="254" t="s">
        <v>465</v>
      </c>
      <c r="D36" s="325" t="s">
        <v>259</v>
      </c>
      <c r="E36" s="249" t="s">
        <v>124</v>
      </c>
      <c r="F36" s="47" t="s">
        <v>125</v>
      </c>
    </row>
    <row r="37" spans="1:6" s="255" customFormat="1" ht="28" x14ac:dyDescent="0.35">
      <c r="A37" s="261" t="s">
        <v>413</v>
      </c>
      <c r="B37" s="62" t="s">
        <v>469</v>
      </c>
      <c r="C37" s="254" t="s">
        <v>414</v>
      </c>
      <c r="D37" s="325" t="s">
        <v>259</v>
      </c>
      <c r="E37" s="249" t="s">
        <v>124</v>
      </c>
      <c r="F37" s="47" t="s">
        <v>125</v>
      </c>
    </row>
    <row r="38" spans="1:6" s="255" customFormat="1" ht="14" x14ac:dyDescent="0.35">
      <c r="A38" s="261" t="s">
        <v>415</v>
      </c>
      <c r="B38" s="62" t="s">
        <v>541</v>
      </c>
      <c r="C38" s="258" t="s">
        <v>416</v>
      </c>
      <c r="D38" s="325" t="s">
        <v>259</v>
      </c>
      <c r="E38" s="249" t="s">
        <v>124</v>
      </c>
      <c r="F38" s="47" t="s">
        <v>125</v>
      </c>
    </row>
    <row r="39" spans="1:6" s="255" customFormat="1" ht="14" x14ac:dyDescent="0.35">
      <c r="A39" s="261" t="s">
        <v>417</v>
      </c>
      <c r="B39" s="62" t="s">
        <v>419</v>
      </c>
      <c r="C39" s="258" t="s">
        <v>420</v>
      </c>
      <c r="D39" s="325" t="s">
        <v>259</v>
      </c>
      <c r="E39" s="249" t="s">
        <v>124</v>
      </c>
      <c r="F39" s="47" t="s">
        <v>125</v>
      </c>
    </row>
    <row r="40" spans="1:6" s="255" customFormat="1" ht="28" x14ac:dyDescent="0.35">
      <c r="A40" s="261" t="s">
        <v>418</v>
      </c>
      <c r="B40" s="62" t="s">
        <v>422</v>
      </c>
      <c r="C40" s="258" t="s">
        <v>423</v>
      </c>
      <c r="D40" s="325" t="s">
        <v>259</v>
      </c>
      <c r="E40" s="249" t="s">
        <v>124</v>
      </c>
      <c r="F40" s="47" t="s">
        <v>125</v>
      </c>
    </row>
    <row r="41" spans="1:6" s="255" customFormat="1" ht="28" x14ac:dyDescent="0.35">
      <c r="A41" s="260" t="s">
        <v>421</v>
      </c>
      <c r="B41" s="252" t="s">
        <v>424</v>
      </c>
      <c r="C41" s="259" t="s">
        <v>425</v>
      </c>
      <c r="D41" s="325" t="s">
        <v>259</v>
      </c>
      <c r="E41" s="249" t="s">
        <v>124</v>
      </c>
      <c r="F41" s="47" t="s">
        <v>125</v>
      </c>
    </row>
    <row r="42" spans="1:6" ht="28.5" customHeight="1" x14ac:dyDescent="0.35">
      <c r="A42" s="282" t="s">
        <v>426</v>
      </c>
      <c r="B42" s="283" t="s">
        <v>473</v>
      </c>
      <c r="C42" s="283" t="s">
        <v>530</v>
      </c>
      <c r="D42" s="325" t="s">
        <v>259</v>
      </c>
      <c r="E42" s="249" t="s">
        <v>124</v>
      </c>
      <c r="F42" s="47" t="s">
        <v>125</v>
      </c>
    </row>
    <row r="43" spans="1:6" s="48" customFormat="1" ht="28" x14ac:dyDescent="0.35">
      <c r="A43" s="261" t="s">
        <v>505</v>
      </c>
      <c r="B43" s="62" t="s">
        <v>504</v>
      </c>
      <c r="C43" s="283" t="s">
        <v>531</v>
      </c>
      <c r="D43" s="325" t="s">
        <v>259</v>
      </c>
      <c r="E43" s="249" t="s">
        <v>124</v>
      </c>
      <c r="F43" s="47" t="s">
        <v>125</v>
      </c>
    </row>
    <row r="44" spans="1:6" s="48" customFormat="1" ht="42" x14ac:dyDescent="0.35">
      <c r="A44" s="261" t="s">
        <v>516</v>
      </c>
      <c r="B44" s="62" t="s">
        <v>517</v>
      </c>
      <c r="C44" s="283" t="s">
        <v>532</v>
      </c>
      <c r="D44" s="325" t="s">
        <v>259</v>
      </c>
      <c r="E44" s="249" t="s">
        <v>124</v>
      </c>
      <c r="F44" s="47" t="s">
        <v>125</v>
      </c>
    </row>
    <row r="45" spans="1:6" s="48" customFormat="1" ht="14" x14ac:dyDescent="0.25">
      <c r="A45" s="29" t="s">
        <v>174</v>
      </c>
      <c r="E45" s="58"/>
    </row>
    <row r="46" spans="1:6" s="48" customFormat="1" ht="14" x14ac:dyDescent="0.25">
      <c r="B46" s="339" t="s">
        <v>175</v>
      </c>
      <c r="C46" s="339"/>
      <c r="D46" s="339"/>
      <c r="E46" s="30"/>
      <c r="F46" s="30"/>
    </row>
    <row r="47" spans="1:6" s="48" customFormat="1" ht="14" x14ac:dyDescent="0.35">
      <c r="E47" s="58"/>
    </row>
    <row r="48" spans="1:6" s="48" customFormat="1" ht="14" x14ac:dyDescent="0.35">
      <c r="E48" s="58"/>
    </row>
    <row r="49" spans="5:5" s="48" customFormat="1" ht="14" x14ac:dyDescent="0.35">
      <c r="E49" s="58"/>
    </row>
    <row r="50" spans="5:5" s="48" customFormat="1" ht="14" x14ac:dyDescent="0.35">
      <c r="E50" s="58"/>
    </row>
    <row r="51" spans="5:5" s="48" customFormat="1" ht="14" x14ac:dyDescent="0.35">
      <c r="E51" s="58"/>
    </row>
    <row r="52" spans="5:5" s="48" customFormat="1" ht="14" x14ac:dyDescent="0.35">
      <c r="E52" s="58"/>
    </row>
    <row r="53" spans="5:5" s="48" customFormat="1" ht="14" x14ac:dyDescent="0.35">
      <c r="E53" s="58"/>
    </row>
    <row r="54" spans="5:5" s="48" customFormat="1" ht="14" x14ac:dyDescent="0.35">
      <c r="E54" s="58"/>
    </row>
    <row r="55" spans="5:5" s="48" customFormat="1" ht="14" x14ac:dyDescent="0.35">
      <c r="E55" s="58"/>
    </row>
    <row r="56" spans="5:5" s="48" customFormat="1" ht="14" x14ac:dyDescent="0.35">
      <c r="E56" s="58"/>
    </row>
    <row r="57" spans="5:5" s="48" customFormat="1" ht="14" x14ac:dyDescent="0.35">
      <c r="E57" s="58"/>
    </row>
    <row r="58" spans="5:5" s="48" customFormat="1" ht="14" x14ac:dyDescent="0.35">
      <c r="E58" s="58"/>
    </row>
    <row r="59" spans="5:5" s="48" customFormat="1" ht="14" x14ac:dyDescent="0.35">
      <c r="E59" s="58"/>
    </row>
    <row r="60" spans="5:5" s="48" customFormat="1" ht="14" x14ac:dyDescent="0.35">
      <c r="E60" s="58"/>
    </row>
    <row r="61" spans="5:5" s="48" customFormat="1" ht="14" x14ac:dyDescent="0.35">
      <c r="E61" s="58"/>
    </row>
    <row r="62" spans="5:5" s="48" customFormat="1" ht="14" x14ac:dyDescent="0.35">
      <c r="E62" s="58"/>
    </row>
    <row r="63" spans="5:5" s="48" customFormat="1" ht="14" x14ac:dyDescent="0.35">
      <c r="E63" s="58"/>
    </row>
    <row r="64" spans="5:5" s="48" customFormat="1" ht="14" x14ac:dyDescent="0.35">
      <c r="E64" s="58"/>
    </row>
    <row r="65" spans="1:6" s="48" customFormat="1" ht="14" x14ac:dyDescent="0.35">
      <c r="E65" s="58"/>
    </row>
    <row r="66" spans="1:6" s="48" customFormat="1" ht="14" x14ac:dyDescent="0.35">
      <c r="E66" s="58"/>
    </row>
    <row r="67" spans="1:6" s="48" customFormat="1" ht="14" x14ac:dyDescent="0.35">
      <c r="E67" s="58"/>
    </row>
    <row r="68" spans="1:6" s="48" customFormat="1" ht="14" x14ac:dyDescent="0.35">
      <c r="E68" s="58"/>
    </row>
    <row r="69" spans="1:6" s="48" customFormat="1" ht="14" x14ac:dyDescent="0.35">
      <c r="E69" s="58"/>
    </row>
    <row r="70" spans="1:6" s="48" customFormat="1" ht="14" x14ac:dyDescent="0.35">
      <c r="E70" s="58"/>
    </row>
    <row r="71" spans="1:6" s="48" customFormat="1" ht="14" x14ac:dyDescent="0.35">
      <c r="E71" s="58"/>
    </row>
    <row r="72" spans="1:6" s="48" customFormat="1" ht="14" x14ac:dyDescent="0.35">
      <c r="E72" s="58"/>
    </row>
    <row r="73" spans="1:6" s="48" customFormat="1" ht="14" x14ac:dyDescent="0.35">
      <c r="E73" s="58"/>
    </row>
    <row r="74" spans="1:6" s="48" customFormat="1" ht="14" x14ac:dyDescent="0.35">
      <c r="E74" s="58"/>
    </row>
    <row r="75" spans="1:6" x14ac:dyDescent="0.35">
      <c r="A75" s="48"/>
      <c r="B75" s="48"/>
      <c r="C75" s="48"/>
      <c r="D75" s="48"/>
      <c r="E75" s="58"/>
      <c r="F75" s="48"/>
    </row>
    <row r="76" spans="1:6" x14ac:dyDescent="0.35">
      <c r="A76" s="48"/>
      <c r="B76" s="48"/>
      <c r="C76" s="48"/>
      <c r="D76" s="48"/>
      <c r="E76" s="58"/>
      <c r="F76" s="48"/>
    </row>
    <row r="77" spans="1:6" x14ac:dyDescent="0.35">
      <c r="A77" s="48"/>
      <c r="B77" s="48"/>
      <c r="C77" s="48"/>
      <c r="D77" s="48"/>
      <c r="E77" s="58"/>
      <c r="F77" s="48"/>
    </row>
    <row r="78" spans="1:6" x14ac:dyDescent="0.35">
      <c r="A78" s="48"/>
      <c r="B78" s="48"/>
      <c r="C78" s="48"/>
      <c r="D78" s="48"/>
      <c r="E78" s="58"/>
      <c r="F78" s="48"/>
    </row>
    <row r="79" spans="1:6" x14ac:dyDescent="0.35">
      <c r="A79" s="48"/>
      <c r="B79" s="48"/>
      <c r="C79" s="48"/>
      <c r="D79" s="48"/>
      <c r="E79" s="58"/>
      <c r="F79" s="48"/>
    </row>
    <row r="80" spans="1:6" x14ac:dyDescent="0.35">
      <c r="A80" s="48"/>
      <c r="B80" s="48"/>
      <c r="C80" s="48"/>
      <c r="D80" s="48"/>
      <c r="E80" s="58"/>
      <c r="F80" s="48"/>
    </row>
    <row r="81" spans="1:6" x14ac:dyDescent="0.35">
      <c r="A81" s="48"/>
      <c r="B81" s="48"/>
      <c r="C81" s="48"/>
      <c r="D81" s="48"/>
      <c r="E81" s="58"/>
      <c r="F81" s="48"/>
    </row>
    <row r="82" spans="1:6" x14ac:dyDescent="0.35">
      <c r="A82" s="48"/>
      <c r="B82" s="48"/>
      <c r="C82" s="48"/>
      <c r="D82" s="48"/>
      <c r="E82" s="58"/>
      <c r="F82" s="48"/>
    </row>
    <row r="83" spans="1:6" x14ac:dyDescent="0.35">
      <c r="A83" s="48"/>
      <c r="B83" s="48"/>
      <c r="C83" s="48"/>
      <c r="D83" s="48"/>
      <c r="E83" s="58"/>
      <c r="F83" s="48"/>
    </row>
    <row r="84" spans="1:6" x14ac:dyDescent="0.35">
      <c r="A84" s="48"/>
      <c r="B84" s="48"/>
      <c r="C84" s="48"/>
      <c r="D84" s="48"/>
      <c r="E84" s="58"/>
      <c r="F84" s="48"/>
    </row>
    <row r="85" spans="1:6" x14ac:dyDescent="0.35">
      <c r="A85" s="48"/>
      <c r="B85" s="48"/>
      <c r="C85" s="48"/>
      <c r="D85" s="48"/>
      <c r="E85" s="58"/>
      <c r="F85" s="48"/>
    </row>
    <row r="86" spans="1:6" x14ac:dyDescent="0.35">
      <c r="A86" s="48"/>
      <c r="B86" s="48"/>
      <c r="C86" s="48"/>
      <c r="D86" s="48"/>
      <c r="E86" s="58"/>
      <c r="F86" s="48"/>
    </row>
    <row r="87" spans="1:6" x14ac:dyDescent="0.35">
      <c r="A87" s="48"/>
      <c r="B87" s="48"/>
      <c r="C87" s="48"/>
      <c r="D87" s="48"/>
      <c r="E87" s="58"/>
      <c r="F87" s="48"/>
    </row>
    <row r="88" spans="1:6" x14ac:dyDescent="0.35">
      <c r="A88" s="48"/>
      <c r="B88" s="48"/>
      <c r="C88" s="48"/>
      <c r="D88" s="48"/>
      <c r="E88" s="58"/>
      <c r="F88" s="48"/>
    </row>
    <row r="89" spans="1:6" x14ac:dyDescent="0.35">
      <c r="A89" s="48"/>
      <c r="B89" s="48"/>
      <c r="C89" s="48"/>
      <c r="D89" s="48"/>
      <c r="E89" s="58"/>
      <c r="F89" s="48"/>
    </row>
    <row r="90" spans="1:6" x14ac:dyDescent="0.35">
      <c r="A90" s="48"/>
      <c r="B90" s="48"/>
      <c r="C90" s="48"/>
      <c r="D90" s="48"/>
      <c r="E90" s="58"/>
      <c r="F90" s="48"/>
    </row>
    <row r="91" spans="1:6" x14ac:dyDescent="0.35">
      <c r="A91" s="48"/>
      <c r="B91" s="48"/>
      <c r="C91" s="48"/>
      <c r="D91" s="48"/>
      <c r="E91" s="58"/>
      <c r="F91" s="48"/>
    </row>
    <row r="92" spans="1:6" x14ac:dyDescent="0.35">
      <c r="A92" s="48"/>
      <c r="B92" s="48"/>
      <c r="C92" s="48"/>
      <c r="D92" s="48"/>
      <c r="E92" s="58"/>
      <c r="F92" s="48"/>
    </row>
  </sheetData>
  <mergeCells count="1">
    <mergeCell ref="B46:D46"/>
  </mergeCells>
  <pageMargins left="0.7" right="0.7" top="1.2537499999999999" bottom="0.75" header="0.3" footer="0.3"/>
  <pageSetup scale="50"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rowBreaks count="2" manualBreakCount="2">
    <brk id="18" max="14" man="1"/>
    <brk id="39" max="14" man="1"/>
  </rowBreaks>
  <legacyDrawingHF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S75"/>
  <sheetViews>
    <sheetView tabSelected="1" view="pageBreakPreview" zoomScale="80" zoomScaleNormal="90" zoomScaleSheetLayoutView="80" workbookViewId="0">
      <pane xSplit="7" ySplit="4" topLeftCell="J16" activePane="bottomRight" state="frozen"/>
      <selection pane="topRight" activeCell="H1" sqref="H1"/>
      <selection pane="bottomLeft" activeCell="A5" sqref="A5"/>
      <selection pane="bottomRight" activeCell="P18" sqref="P18"/>
    </sheetView>
  </sheetViews>
  <sheetFormatPr defaultColWidth="9.1796875" defaultRowHeight="14.5" x14ac:dyDescent="0.35"/>
  <cols>
    <col min="2" max="2" width="4.81640625" customWidth="1"/>
    <col min="3" max="3" width="25.54296875" customWidth="1"/>
    <col min="4" max="4" width="5" customWidth="1"/>
    <col min="5" max="5" width="22" customWidth="1"/>
    <col min="6" max="6" width="6.26953125" customWidth="1"/>
    <col min="7" max="7" width="28.7265625" customWidth="1"/>
    <col min="8" max="8" width="42.1796875" customWidth="1"/>
    <col min="9" max="9" width="25.453125" customWidth="1"/>
    <col min="10" max="12" width="9.1796875" customWidth="1"/>
    <col min="13" max="21" width="15.81640625" customWidth="1"/>
    <col min="22" max="22" width="15.26953125" customWidth="1"/>
    <col min="23" max="23" width="17.453125" customWidth="1"/>
    <col min="24" max="25" width="12.1796875" customWidth="1"/>
    <col min="26" max="26" width="35.7265625" customWidth="1"/>
    <col min="27" max="27" width="32.7265625" customWidth="1"/>
    <col min="28" max="28" width="23.1796875" customWidth="1"/>
    <col min="29" max="31" width="9.1796875" customWidth="1"/>
    <col min="32" max="36" width="15.81640625" customWidth="1"/>
    <col min="37" max="39" width="15.81640625" hidden="1" customWidth="1"/>
    <col min="40" max="42" width="15.81640625" customWidth="1"/>
    <col min="43" max="43" width="40.7265625" style="2" customWidth="1"/>
    <col min="44" max="44" width="13.26953125" style="2" customWidth="1"/>
    <col min="45" max="45" width="24.81640625" customWidth="1"/>
  </cols>
  <sheetData>
    <row r="1" spans="1:45" s="71" customFormat="1" ht="14" x14ac:dyDescent="0.3">
      <c r="A1" s="31" t="s">
        <v>167</v>
      </c>
    </row>
    <row r="2" spans="1:45" s="71" customFormat="1" ht="14" x14ac:dyDescent="0.3">
      <c r="A2" s="71" t="s">
        <v>132</v>
      </c>
    </row>
    <row r="3" spans="1:45" s="71" customFormat="1" ht="23.25" customHeight="1" x14ac:dyDescent="0.3">
      <c r="A3" s="72"/>
      <c r="B3" s="73"/>
      <c r="C3" s="73"/>
      <c r="D3" s="74"/>
      <c r="E3" s="75"/>
      <c r="F3" s="346" t="s">
        <v>3</v>
      </c>
      <c r="G3" s="346"/>
      <c r="H3" s="346"/>
      <c r="I3" s="346"/>
      <c r="J3" s="347" t="s">
        <v>127</v>
      </c>
      <c r="K3" s="348"/>
      <c r="L3" s="348"/>
      <c r="M3" s="348"/>
      <c r="N3" s="348"/>
      <c r="O3" s="348"/>
      <c r="P3" s="348"/>
      <c r="Q3" s="348"/>
      <c r="R3" s="348"/>
      <c r="S3" s="348"/>
      <c r="T3" s="348"/>
      <c r="U3" s="348"/>
      <c r="V3" s="348"/>
      <c r="W3" s="348"/>
      <c r="X3" s="348"/>
      <c r="Y3" s="349"/>
      <c r="Z3" s="343" t="s">
        <v>5</v>
      </c>
      <c r="AA3" s="344"/>
      <c r="AB3" s="345"/>
      <c r="AC3" s="340" t="s">
        <v>128</v>
      </c>
      <c r="AD3" s="341"/>
      <c r="AE3" s="341"/>
      <c r="AF3" s="341"/>
      <c r="AG3" s="341"/>
      <c r="AH3" s="341"/>
      <c r="AI3" s="341"/>
      <c r="AJ3" s="341"/>
      <c r="AK3" s="341"/>
      <c r="AL3" s="341"/>
      <c r="AM3" s="341"/>
      <c r="AN3" s="341"/>
      <c r="AO3" s="341"/>
      <c r="AP3" s="341"/>
      <c r="AQ3" s="342"/>
      <c r="AR3" s="76"/>
      <c r="AS3" s="76"/>
    </row>
    <row r="4" spans="1:45" s="71" customFormat="1" ht="88.5" customHeight="1" x14ac:dyDescent="0.3">
      <c r="A4" s="77" t="s">
        <v>1</v>
      </c>
      <c r="B4" s="78" t="s">
        <v>116</v>
      </c>
      <c r="C4" s="79" t="s">
        <v>2</v>
      </c>
      <c r="D4" s="80" t="s">
        <v>115</v>
      </c>
      <c r="E4" s="81" t="s">
        <v>14</v>
      </c>
      <c r="F4" s="82" t="s">
        <v>117</v>
      </c>
      <c r="G4" s="83" t="s">
        <v>0</v>
      </c>
      <c r="H4" s="83" t="s">
        <v>6</v>
      </c>
      <c r="I4" s="84" t="s">
        <v>170</v>
      </c>
      <c r="J4" s="161" t="s">
        <v>69</v>
      </c>
      <c r="K4" s="161" t="s">
        <v>70</v>
      </c>
      <c r="L4" s="161" t="s">
        <v>71</v>
      </c>
      <c r="M4" s="158" t="s">
        <v>81</v>
      </c>
      <c r="N4" s="158" t="s">
        <v>82</v>
      </c>
      <c r="O4" s="158" t="s">
        <v>204</v>
      </c>
      <c r="P4" s="158" t="s">
        <v>84</v>
      </c>
      <c r="Q4" s="158" t="s">
        <v>68</v>
      </c>
      <c r="R4" s="158" t="s">
        <v>177</v>
      </c>
      <c r="S4" s="158" t="s">
        <v>178</v>
      </c>
      <c r="T4" s="158" t="s">
        <v>179</v>
      </c>
      <c r="U4" s="158" t="s">
        <v>202</v>
      </c>
      <c r="V4" s="162" t="s">
        <v>129</v>
      </c>
      <c r="W4" s="162" t="s">
        <v>130</v>
      </c>
      <c r="X4" s="163" t="s">
        <v>184</v>
      </c>
      <c r="Y4" s="164" t="s">
        <v>131</v>
      </c>
      <c r="Z4" s="157" t="s">
        <v>199</v>
      </c>
      <c r="AA4" s="157" t="s">
        <v>206</v>
      </c>
      <c r="AB4" s="157" t="s">
        <v>16</v>
      </c>
      <c r="AC4" s="165" t="s">
        <v>185</v>
      </c>
      <c r="AD4" s="165" t="s">
        <v>186</v>
      </c>
      <c r="AE4" s="165" t="s">
        <v>187</v>
      </c>
      <c r="AF4" s="166" t="s">
        <v>188</v>
      </c>
      <c r="AG4" s="166" t="s">
        <v>189</v>
      </c>
      <c r="AH4" s="166" t="s">
        <v>205</v>
      </c>
      <c r="AI4" s="166" t="s">
        <v>190</v>
      </c>
      <c r="AJ4" s="166" t="s">
        <v>191</v>
      </c>
      <c r="AK4" s="166" t="s">
        <v>192</v>
      </c>
      <c r="AL4" s="166" t="s">
        <v>193</v>
      </c>
      <c r="AM4" s="166" t="s">
        <v>194</v>
      </c>
      <c r="AN4" s="166" t="s">
        <v>203</v>
      </c>
      <c r="AO4" s="166" t="s">
        <v>195</v>
      </c>
      <c r="AP4" s="166" t="s">
        <v>196</v>
      </c>
      <c r="AQ4" s="179" t="s">
        <v>4</v>
      </c>
      <c r="AR4" s="76"/>
      <c r="AS4" s="76"/>
    </row>
    <row r="5" spans="1:45" s="48" customFormat="1" ht="56" x14ac:dyDescent="0.35">
      <c r="A5" s="66">
        <v>1</v>
      </c>
      <c r="B5" s="220" t="s">
        <v>118</v>
      </c>
      <c r="C5" s="85" t="str">
        <f>IF(VLOOKUP(Table4[[#This Row],[T ID]],Table5[#All],5,FALSE)="No","Not in scope",VLOOKUP(Table4[[#This Row],[T ID]],Table5[#All],2,FALSE))</f>
        <v>Deliver undirected malware
(CAPEC-185)</v>
      </c>
      <c r="D5" s="220" t="s">
        <v>141</v>
      </c>
      <c r="E5" s="85" t="str">
        <f>IF(VLOOKUP(Table4[[#This Row],[V ID]],Vulnerabilities[#All],3,FALSE)="No","Not in scope",VLOOKUP(Table4[[#This Row],[V ID]],Vulnerabilities[#All],2,FALSE))</f>
        <v>Unpatched OS</v>
      </c>
      <c r="F5" s="45" t="s">
        <v>106</v>
      </c>
      <c r="G5" s="86" t="str">
        <f>VLOOKUP(Table4[[#This Row],[A ID]],Assets[#All],3,FALSE)</f>
        <v>Nav3i cart/ System running with windows 8.1</v>
      </c>
      <c r="H5" s="45" t="s">
        <v>149</v>
      </c>
      <c r="I5" s="54" t="s">
        <v>361</v>
      </c>
      <c r="J5" s="87" t="s">
        <v>55</v>
      </c>
      <c r="K5" s="87" t="s">
        <v>55</v>
      </c>
      <c r="L5" s="87" t="s">
        <v>55</v>
      </c>
      <c r="M5" s="156" t="s">
        <v>78</v>
      </c>
      <c r="N5" s="156" t="s">
        <v>55</v>
      </c>
      <c r="O5" s="156" t="s">
        <v>55</v>
      </c>
      <c r="P5" s="156" t="s">
        <v>75</v>
      </c>
      <c r="Q5" s="156" t="s">
        <v>73</v>
      </c>
      <c r="R5" s="1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 s="160">
        <f>(1 - ((1 - VLOOKUP(Table4[[#This Row],[Confidentiality]],'Reference - CVSSv3.0'!$B$15:$C$17,2,FALSE)) * (1 - VLOOKUP(Table4[[#This Row],[Integrity]],'Reference - CVSSv3.0'!$B$15:$C$17,2,FALSE)) *  (1 - VLOOKUP(Table4[[#This Row],[Availability]],'Reference - CVSSv3.0'!$B$15:$C$17,2,FALSE))))</f>
        <v>0.52544799999999992</v>
      </c>
      <c r="T5" s="160">
        <f>IF(Table4[[#This Row],[Scope]]="Unchanged",6.42*Table4[[#This Row],[ISC Base]],IF(Table4[[#This Row],[Scope]]="Changed",7.52*(Table4[[#This Row],[ISC Base]] - 0.029) - 3.25 * POWER(Table4[[#This Row],[ISC Base]] - 0.02,15),NA()))</f>
        <v>3.3733761599999994</v>
      </c>
      <c r="U5" s="160">
        <f>IF(Table4[[#This Row],[Impact Sub Score]]&lt;=0,0,IF(Table4[[#This Row],[Scope]]="Unchanged",ROUNDUP(MIN((Table4[[#This Row],[Impact Sub Score]]+Table4[[#This Row],[Exploitability Sub Score]]),10),1),IF(Table4[[#This Row],[Scope]]="Changed",ROUNDUP(MIN((1.08*(Table4[[#This Row],[Impact Sub Score]]+Table4[[#This Row],[Exploitability Sub Score]])),10),1),NA())))</f>
        <v>4.8</v>
      </c>
      <c r="V5" s="180" t="s">
        <v>54</v>
      </c>
      <c r="W5" s="181">
        <f>VLOOKUP(Table4[[#This Row],[Threat Event Initiation]],NIST_Scale_LOAI[],2,FALSE)</f>
        <v>0.5</v>
      </c>
      <c r="X5" s="16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5"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 s="45" t="s">
        <v>152</v>
      </c>
      <c r="AA5" s="45" t="s">
        <v>155</v>
      </c>
      <c r="AB5" s="88" t="s">
        <v>171</v>
      </c>
      <c r="AC5" s="87" t="s">
        <v>55</v>
      </c>
      <c r="AD5" s="87" t="s">
        <v>76</v>
      </c>
      <c r="AE5" s="87" t="s">
        <v>76</v>
      </c>
      <c r="AF5" s="156" t="s">
        <v>77</v>
      </c>
      <c r="AG5" s="156" t="s">
        <v>55</v>
      </c>
      <c r="AH5" s="156" t="s">
        <v>76</v>
      </c>
      <c r="AI5" s="156" t="s">
        <v>76</v>
      </c>
      <c r="AJ5" s="156" t="s">
        <v>98</v>
      </c>
      <c r="AK5" s="160">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3.8870427750000003</v>
      </c>
      <c r="AL5" s="160">
        <f>(1 - ((1 - VLOOKUP(Table4[[#This Row],[ConfidentialityP]],'Reference - CVSSv3.0'!$B$15:$C$17,2,FALSE)) * (1 - VLOOKUP(Table4[[#This Row],[IntegrityP]],'Reference - CVSSv3.0'!$B$15:$C$17,2,FALSE)) *  (1 - VLOOKUP(Table4[[#This Row],[AvailabilityP]],'Reference - CVSSv3.0'!$B$15:$C$17,2,FALSE))))</f>
        <v>0.21999999999999997</v>
      </c>
      <c r="AM5" s="160">
        <f>IF(Table4[[#This Row],[ScopeP]]="Unchanged",6.42*Table4[[#This Row],[ISC BaseP]],IF(Table4[[#This Row],[ScopeP]]="Changed",7.52*(Table4[[#This Row],[ISC BaseP]] - 0.029) - 3.25 * POWER(Table4[[#This Row],[ISC BaseP]] - 0.02,15),NA()))</f>
        <v>1.4363199998935039</v>
      </c>
      <c r="AN5" s="160">
        <f>IF(Table4[[#This Row],[Impact Sub ScoreP]]&lt;=0,0,IF(Table4[[#This Row],[ScopeP]]="Unchanged",ROUNDUP(MIN((Table4[[#This Row],[Impact Sub ScoreP]]+Table4[[#This Row],[Exploitability Sub ScoreP]]),10),1),IF(Table4[[#This Row],[ScopeP]]="Changed",ROUNDUP(MIN((1.08*(Table4[[#This Row],[Impact Sub ScoreP]]+Table4[[#This Row],[Exploitability Sub ScoreP]])),10),1),NA())))</f>
        <v>5.8</v>
      </c>
      <c r="AO5" s="160">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5" s="8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 s="54" t="s">
        <v>132</v>
      </c>
    </row>
    <row r="6" spans="1:45" s="48" customFormat="1" ht="75.650000000000006" customHeight="1" x14ac:dyDescent="0.35">
      <c r="A6" s="209">
        <v>2</v>
      </c>
      <c r="B6" s="45" t="s">
        <v>119</v>
      </c>
      <c r="C6" s="211" t="str">
        <f>IF(VLOOKUP(Table4[[#This Row],[T ID]],Table5[#All],5,FALSE)="No","Not in scope",VLOOKUP(Table4[[#This Row],[T ID]],Table5[#All],2,FALSE))</f>
        <v>Deliver directed malware
(CAPEC-185)</v>
      </c>
      <c r="D6" s="45" t="s">
        <v>316</v>
      </c>
      <c r="E6" s="211" t="str">
        <f>IF(VLOOKUP(Table4[[#This Row],[V ID]],Vulnerabilities[#All],3,FALSE)="No","Not in scope",VLOOKUP(Table4[[#This Row],[V ID]],Vulnerabilities[#All],2,FALSE))</f>
        <v>Any unprotected hardware</v>
      </c>
      <c r="F6" s="232" t="s">
        <v>106</v>
      </c>
      <c r="G6" s="211" t="str">
        <f>VLOOKUP(Table4[[#This Row],[A ID]],Assets[#All],3,FALSE)</f>
        <v>Nav3i cart/ System running with windows 8.1</v>
      </c>
      <c r="H6" s="45" t="s">
        <v>334</v>
      </c>
      <c r="I6" s="54" t="s">
        <v>361</v>
      </c>
      <c r="J6" s="87" t="s">
        <v>55</v>
      </c>
      <c r="K6" s="87" t="s">
        <v>64</v>
      </c>
      <c r="L6" s="87" t="s">
        <v>55</v>
      </c>
      <c r="M6" s="87" t="s">
        <v>78</v>
      </c>
      <c r="N6" s="87" t="s">
        <v>64</v>
      </c>
      <c r="O6" s="87" t="s">
        <v>55</v>
      </c>
      <c r="P6" s="87" t="s">
        <v>76</v>
      </c>
      <c r="Q6" s="87" t="s">
        <v>73</v>
      </c>
      <c r="R6"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6" s="215">
        <f>(1 - ((1 - VLOOKUP(Table4[[#This Row],[Confidentiality]],'Reference - CVSSv3.0'!$B$15:$C$17,2,FALSE)) * (1 - VLOOKUP(Table4[[#This Row],[Integrity]],'Reference - CVSSv3.0'!$B$15:$C$17,2,FALSE)) *  (1 - VLOOKUP(Table4[[#This Row],[Availability]],'Reference - CVSSv3.0'!$B$15:$C$17,2,FALSE))))</f>
        <v>0.73230400000000007</v>
      </c>
      <c r="T6" s="215">
        <f>IF(Table4[[#This Row],[Scope]]="Unchanged",6.42*Table4[[#This Row],[ISC Base]],IF(Table4[[#This Row],[Scope]]="Changed",7.52*(Table4[[#This Row],[ISC Base]] - 0.029) - 3.25 * POWER(Table4[[#This Row],[ISC Base]] - 0.02,15),NA()))</f>
        <v>4.7013916800000004</v>
      </c>
      <c r="U6" s="215">
        <f>IF(Table4[[#This Row],[Impact Sub Score]]&lt;=0,0,IF(Table4[[#This Row],[Scope]]="Unchanged",ROUNDUP(MIN((Table4[[#This Row],[Impact Sub Score]]+Table4[[#This Row],[Exploitability Sub Score]]),10),1),IF(Table4[[#This Row],[Scope]]="Changed",ROUNDUP(MIN((1.08*(Table4[[#This Row],[Impact Sub Score]]+Table4[[#This Row],[Exploitability Sub Score]])),10),1),NA())))</f>
        <v>5.8</v>
      </c>
      <c r="V6" s="180" t="s">
        <v>54</v>
      </c>
      <c r="W6" s="215">
        <f>VLOOKUP(Table4[[#This Row],[Threat Event Initiation]],NIST_Scale_LOAI[],2,FALSE)</f>
        <v>0.5</v>
      </c>
      <c r="X6"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6"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 s="212"/>
      <c r="AA6" s="212"/>
      <c r="AB6" s="217"/>
      <c r="AC6" s="210"/>
      <c r="AD6" s="210"/>
      <c r="AE6" s="210"/>
      <c r="AF6" s="213"/>
      <c r="AG6" s="213"/>
      <c r="AH6" s="213"/>
      <c r="AI6" s="213"/>
      <c r="AJ6" s="218"/>
      <c r="AK6"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215" t="e">
        <f>(1 - ((1 - VLOOKUP(Table4[[#This Row],[ConfidentialityP]],'Reference - CVSSv3.0'!$B$15:$C$17,2,FALSE)) * (1 - VLOOKUP(Table4[[#This Row],[IntegrityP]],'Reference - CVSSv3.0'!$B$15:$C$17,2,FALSE)) *  (1 - VLOOKUP(Table4[[#This Row],[AvailabilityP]],'Reference - CVSSv3.0'!$B$15:$C$17,2,FALSE))))</f>
        <v>#N/A</v>
      </c>
      <c r="AM6" s="215" t="e">
        <f>IF(Table4[[#This Row],[ScopeP]]="Unchanged",6.42*Table4[[#This Row],[ISC BaseP]],IF(Table4[[#This Row],[ScopeP]]="Changed",7.52*(Table4[[#This Row],[ISC BaseP]] - 0.029) - 3.25 * POWER(Table4[[#This Row],[ISC BaseP]] - 0.02,15),NA()))</f>
        <v>#N/A</v>
      </c>
      <c r="AN6"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210"/>
    </row>
    <row r="7" spans="1:45" s="48" customFormat="1" ht="56" x14ac:dyDescent="0.35">
      <c r="A7" s="65">
        <v>3</v>
      </c>
      <c r="B7" s="45" t="s">
        <v>261</v>
      </c>
      <c r="C7" s="85" t="str">
        <f>IF(VLOOKUP(Table4[[#This Row],[T ID]],Table5[#All],5,FALSE)="No","Not in scope",VLOOKUP(Table4[[#This Row],[T ID]],Table5[#All],2,FALSE))</f>
        <v>Mis-configuration by user</v>
      </c>
      <c r="D7" s="45" t="s">
        <v>317</v>
      </c>
      <c r="E7" s="85" t="str">
        <f>IF(VLOOKUP(Table4[[#This Row],[V ID]],Vulnerabilities[#All],3,FALSE)="No","Not in scope",VLOOKUP(Table4[[#This Row],[V ID]],Vulnerabilities[#All],2,FALSE))</f>
        <v>Untrained/Malicious User</v>
      </c>
      <c r="F7" s="232" t="s">
        <v>107</v>
      </c>
      <c r="G7" s="86" t="str">
        <f>VLOOKUP(Table4[[#This Row],[A ID]],Assets[#All],3,FALSE)</f>
        <v>Admin Password / Credentials / System Configuration / Certificates</v>
      </c>
      <c r="H7" s="45" t="s">
        <v>335</v>
      </c>
      <c r="I7" s="233" t="s">
        <v>363</v>
      </c>
      <c r="J7" s="87" t="s">
        <v>76</v>
      </c>
      <c r="K7" s="87" t="s">
        <v>55</v>
      </c>
      <c r="L7" s="87" t="s">
        <v>55</v>
      </c>
      <c r="M7" s="87" t="s">
        <v>78</v>
      </c>
      <c r="N7" s="87" t="s">
        <v>55</v>
      </c>
      <c r="O7" s="87" t="s">
        <v>55</v>
      </c>
      <c r="P7" s="87" t="s">
        <v>75</v>
      </c>
      <c r="Q7" s="87" t="s">
        <v>73</v>
      </c>
      <c r="R7" s="1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7" s="160">
        <f>(1 - ((1 - VLOOKUP(Table4[[#This Row],[Confidentiality]],'Reference - CVSSv3.0'!$B$15:$C$17,2,FALSE)) * (1 - VLOOKUP(Table4[[#This Row],[Integrity]],'Reference - CVSSv3.0'!$B$15:$C$17,2,FALSE)) *  (1 - VLOOKUP(Table4[[#This Row],[Availability]],'Reference - CVSSv3.0'!$B$15:$C$17,2,FALSE))))</f>
        <v>0.39159999999999995</v>
      </c>
      <c r="T7" s="160">
        <f>IF(Table4[[#This Row],[Scope]]="Unchanged",6.42*Table4[[#This Row],[ISC Base]],IF(Table4[[#This Row],[Scope]]="Changed",7.52*(Table4[[#This Row],[ISC Base]] - 0.029) - 3.25 * POWER(Table4[[#This Row],[ISC Base]] - 0.02,15),NA()))</f>
        <v>2.5140719999999996</v>
      </c>
      <c r="U7" s="160">
        <f>IF(Table4[[#This Row],[Impact Sub Score]]&lt;=0,0,IF(Table4[[#This Row],[Scope]]="Unchanged",ROUNDUP(MIN((Table4[[#This Row],[Impact Sub Score]]+Table4[[#This Row],[Exploitability Sub Score]]),10),1),IF(Table4[[#This Row],[Scope]]="Changed",ROUNDUP(MIN((1.08*(Table4[[#This Row],[Impact Sub Score]]+Table4[[#This Row],[Exploitability Sub Score]])),10),1),NA())))</f>
        <v>3.9</v>
      </c>
      <c r="V7" s="180" t="s">
        <v>55</v>
      </c>
      <c r="W7" s="181">
        <f>VLOOKUP(Table4[[#This Row],[Threat Event Initiation]],NIST_Scale_LOAI[],2,FALSE)</f>
        <v>0.2</v>
      </c>
      <c r="X7" s="16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7"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45" t="s">
        <v>152</v>
      </c>
      <c r="AA7" s="45" t="s">
        <v>155</v>
      </c>
      <c r="AB7" s="88" t="s">
        <v>171</v>
      </c>
      <c r="AC7" s="87" t="s">
        <v>64</v>
      </c>
      <c r="AD7" s="87" t="s">
        <v>64</v>
      </c>
      <c r="AE7" s="87" t="s">
        <v>55</v>
      </c>
      <c r="AF7" s="156" t="s">
        <v>74</v>
      </c>
      <c r="AG7" s="156" t="s">
        <v>64</v>
      </c>
      <c r="AH7" s="156" t="s">
        <v>64</v>
      </c>
      <c r="AI7" s="156" t="s">
        <v>75</v>
      </c>
      <c r="AJ7" s="156" t="s">
        <v>73</v>
      </c>
      <c r="AK7" s="160">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0.12109046400000002</v>
      </c>
      <c r="AL7" s="160">
        <f>(1 - ((1 - VLOOKUP(Table4[[#This Row],[ConfidentialityP]],'Reference - CVSSv3.0'!$B$15:$C$17,2,FALSE)) * (1 - VLOOKUP(Table4[[#This Row],[IntegrityP]],'Reference - CVSSv3.0'!$B$15:$C$17,2,FALSE)) *  (1 - VLOOKUP(Table4[[#This Row],[AvailabilityP]],'Reference - CVSSv3.0'!$B$15:$C$17,2,FALSE))))</f>
        <v>0.84899199999999997</v>
      </c>
      <c r="AM7" s="160">
        <f>IF(Table4[[#This Row],[ScopeP]]="Unchanged",6.42*Table4[[#This Row],[ISC BaseP]],IF(Table4[[#This Row],[ScopeP]]="Changed",7.52*(Table4[[#This Row],[ISC BaseP]] - 0.029) - 3.25 * POWER(Table4[[#This Row],[ISC BaseP]] - 0.02,15),NA()))</f>
        <v>5.4505286399999999</v>
      </c>
      <c r="AN7" s="160">
        <f>IF(Table4[[#This Row],[Impact Sub ScoreP]]&lt;=0,0,IF(Table4[[#This Row],[ScopeP]]="Unchanged",ROUNDUP(MIN((Table4[[#This Row],[Impact Sub ScoreP]]+Table4[[#This Row],[Exploitability Sub ScoreP]]),10),1),IF(Table4[[#This Row],[ScopeP]]="Changed",ROUNDUP(MIN((1.08*(Table4[[#This Row],[Impact Sub ScoreP]]+Table4[[#This Row],[Exploitability Sub ScoreP]])),10),1),NA())))</f>
        <v>5.6</v>
      </c>
      <c r="AO7" s="160">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5.5</v>
      </c>
      <c r="AP7" s="8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7" s="54" t="s">
        <v>207</v>
      </c>
    </row>
    <row r="8" spans="1:45" s="48" customFormat="1" ht="56" x14ac:dyDescent="0.35">
      <c r="A8" s="66">
        <v>4</v>
      </c>
      <c r="B8" s="220" t="s">
        <v>120</v>
      </c>
      <c r="C8" s="211" t="str">
        <f>IF(VLOOKUP(Table4[[#This Row],[T ID]],Table5[#All],5,FALSE)="No","Not in scope",VLOOKUP(Table4[[#This Row],[T ID]],Table5[#All],2,FALSE))</f>
        <v xml:space="preserve">Perform perimeter network reconnaissance/scanning. </v>
      </c>
      <c r="D8" s="45" t="s">
        <v>142</v>
      </c>
      <c r="E8" s="211" t="str">
        <f>IF(VLOOKUP(Table4[[#This Row],[V ID]],Vulnerabilities[#All],3,FALSE)="No","Not in scope",VLOOKUP(Table4[[#This Row],[V ID]],Vulnerabilities[#All],2,FALSE))</f>
        <v>Unprotected network port</v>
      </c>
      <c r="F8" s="45" t="s">
        <v>110</v>
      </c>
      <c r="G8" s="211" t="str">
        <f>VLOOKUP(Table4[[#This Row],[A ID]],Assets[#All],3,FALSE)</f>
        <v>Computer/OS network identification</v>
      </c>
      <c r="H8" s="45" t="s">
        <v>150</v>
      </c>
      <c r="I8" s="233" t="s">
        <v>363</v>
      </c>
      <c r="J8" s="87" t="s">
        <v>55</v>
      </c>
      <c r="K8" s="87" t="s">
        <v>76</v>
      </c>
      <c r="L8" s="87" t="s">
        <v>55</v>
      </c>
      <c r="M8" s="87" t="s">
        <v>77</v>
      </c>
      <c r="N8" s="87" t="s">
        <v>64</v>
      </c>
      <c r="O8" s="87" t="s">
        <v>76</v>
      </c>
      <c r="P8" s="87" t="s">
        <v>76</v>
      </c>
      <c r="Q8" s="87" t="s">
        <v>73</v>
      </c>
      <c r="R8"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2.2211672999999998</v>
      </c>
      <c r="S8" s="215">
        <f>(1 - ((1 - VLOOKUP(Table4[[#This Row],[Confidentiality]],'Reference - CVSSv3.0'!$B$15:$C$17,2,FALSE)) * (1 - VLOOKUP(Table4[[#This Row],[Integrity]],'Reference - CVSSv3.0'!$B$15:$C$17,2,FALSE)) *  (1 - VLOOKUP(Table4[[#This Row],[Availability]],'Reference - CVSSv3.0'!$B$15:$C$17,2,FALSE))))</f>
        <v>0.39159999999999995</v>
      </c>
      <c r="T8" s="215">
        <f>IF(Table4[[#This Row],[Scope]]="Unchanged",6.42*Table4[[#This Row],[ISC Base]],IF(Table4[[#This Row],[Scope]]="Changed",7.52*(Table4[[#This Row],[ISC Base]] - 0.029) - 3.25 * POWER(Table4[[#This Row],[ISC Base]] - 0.02,15),NA()))</f>
        <v>2.5140719999999996</v>
      </c>
      <c r="U8" s="215">
        <f>IF(Table4[[#This Row],[Impact Sub Score]]&lt;=0,0,IF(Table4[[#This Row],[Scope]]="Unchanged",ROUNDUP(MIN((Table4[[#This Row],[Impact Sub Score]]+Table4[[#This Row],[Exploitability Sub Score]]),10),1),IF(Table4[[#This Row],[Scope]]="Changed",ROUNDUP(MIN((1.08*(Table4[[#This Row],[Impact Sub Score]]+Table4[[#This Row],[Exploitability Sub Score]])),10),1),NA())))</f>
        <v>4.8</v>
      </c>
      <c r="V8" s="180" t="s">
        <v>54</v>
      </c>
      <c r="W8" s="215">
        <f>VLOOKUP(Table4[[#This Row],[Threat Event Initiation]],NIST_Scale_LOAI[],2,FALSE)</f>
        <v>0.5</v>
      </c>
      <c r="X8"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8"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212"/>
      <c r="AA8" s="212"/>
      <c r="AB8" s="217"/>
      <c r="AC8" s="210"/>
      <c r="AD8" s="210"/>
      <c r="AE8" s="210"/>
      <c r="AF8" s="213"/>
      <c r="AG8" s="213"/>
      <c r="AH8" s="213"/>
      <c r="AI8" s="213"/>
      <c r="AJ8" s="218"/>
      <c r="AK8"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215" t="e">
        <f>(1 - ((1 - VLOOKUP(Table4[[#This Row],[ConfidentialityP]],'Reference - CVSSv3.0'!$B$15:$C$17,2,FALSE)) * (1 - VLOOKUP(Table4[[#This Row],[IntegrityP]],'Reference - CVSSv3.0'!$B$15:$C$17,2,FALSE)) *  (1 - VLOOKUP(Table4[[#This Row],[AvailabilityP]],'Reference - CVSSv3.0'!$B$15:$C$17,2,FALSE))))</f>
        <v>#N/A</v>
      </c>
      <c r="AM8" s="215" t="e">
        <f>IF(Table4[[#This Row],[ScopeP]]="Unchanged",6.42*Table4[[#This Row],[ISC BaseP]],IF(Table4[[#This Row],[ScopeP]]="Changed",7.52*(Table4[[#This Row],[ISC BaseP]] - 0.029) - 3.25 * POWER(Table4[[#This Row],[ISC BaseP]] - 0.02,15),NA()))</f>
        <v>#N/A</v>
      </c>
      <c r="AN8"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210"/>
    </row>
    <row r="9" spans="1:45" s="48" customFormat="1" ht="28" x14ac:dyDescent="0.35">
      <c r="A9" s="209">
        <v>5</v>
      </c>
      <c r="B9" s="45" t="s">
        <v>122</v>
      </c>
      <c r="C9" s="211" t="str">
        <f>IF(VLOOKUP(Table4[[#This Row],[T ID]],Table5[#All],5,FALSE)="No","Not in scope",VLOOKUP(Table4[[#This Row],[T ID]],Table5[#All],2,FALSE))</f>
        <v xml:space="preserve">Conduct scavenging of ePHI at rest </v>
      </c>
      <c r="D9" s="45" t="s">
        <v>113</v>
      </c>
      <c r="E9" s="211" t="str">
        <f>IF(VLOOKUP(Table4[[#This Row],[V ID]],Vulnerabilities[#All],3,FALSE)="No","Not in scope",VLOOKUP(Table4[[#This Row],[V ID]],Vulnerabilities[#All],2,FALSE))</f>
        <v>Ineffective management of user credentials</v>
      </c>
      <c r="F9" s="232" t="s">
        <v>109</v>
      </c>
      <c r="G9" s="211" t="str">
        <f>VLOOKUP(Table4[[#This Row],[A ID]],Assets[#All],3,FALSE)</f>
        <v>Patient health information at rest</v>
      </c>
      <c r="H9" s="45" t="s">
        <v>324</v>
      </c>
      <c r="I9" s="54" t="s">
        <v>365</v>
      </c>
      <c r="J9" s="87" t="s">
        <v>64</v>
      </c>
      <c r="K9" s="87" t="s">
        <v>76</v>
      </c>
      <c r="L9" s="87" t="s">
        <v>55</v>
      </c>
      <c r="M9" s="87" t="s">
        <v>77</v>
      </c>
      <c r="N9" s="87" t="s">
        <v>64</v>
      </c>
      <c r="O9" s="87" t="s">
        <v>55</v>
      </c>
      <c r="P9" s="87" t="s">
        <v>76</v>
      </c>
      <c r="Q9" s="87" t="s">
        <v>73</v>
      </c>
      <c r="R9"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 s="215">
        <f>(1 - ((1 - VLOOKUP(Table4[[#This Row],[Confidentiality]],'Reference - CVSSv3.0'!$B$15:$C$17,2,FALSE)) * (1 - VLOOKUP(Table4[[#This Row],[Integrity]],'Reference - CVSSv3.0'!$B$15:$C$17,2,FALSE)) *  (1 - VLOOKUP(Table4[[#This Row],[Availability]],'Reference - CVSSv3.0'!$B$15:$C$17,2,FALSE))))</f>
        <v>0.65680000000000005</v>
      </c>
      <c r="T9" s="215">
        <f>IF(Table4[[#This Row],[Scope]]="Unchanged",6.42*Table4[[#This Row],[ISC Base]],IF(Table4[[#This Row],[Scope]]="Changed",7.52*(Table4[[#This Row],[ISC Base]] - 0.029) - 3.25 * POWER(Table4[[#This Row],[ISC Base]] - 0.02,15),NA()))</f>
        <v>4.2166560000000004</v>
      </c>
      <c r="U9" s="215">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9" s="180" t="s">
        <v>55</v>
      </c>
      <c r="W9" s="215">
        <f>VLOOKUP(Table4[[#This Row],[Threat Event Initiation]],NIST_Scale_LOAI[],2,FALSE)</f>
        <v>0.2</v>
      </c>
      <c r="X9"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9"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 s="210"/>
      <c r="AA9" s="212"/>
      <c r="AB9" s="217"/>
      <c r="AC9" s="210"/>
      <c r="AD9" s="210"/>
      <c r="AE9" s="210"/>
      <c r="AF9" s="213"/>
      <c r="AG9" s="213"/>
      <c r="AH9" s="213"/>
      <c r="AI9" s="213"/>
      <c r="AJ9" s="218"/>
      <c r="AK9"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215" t="e">
        <f>(1 - ((1 - VLOOKUP(Table4[[#This Row],[ConfidentialityP]],'Reference - CVSSv3.0'!$B$15:$C$17,2,FALSE)) * (1 - VLOOKUP(Table4[[#This Row],[IntegrityP]],'Reference - CVSSv3.0'!$B$15:$C$17,2,FALSE)) *  (1 - VLOOKUP(Table4[[#This Row],[AvailabilityP]],'Reference - CVSSv3.0'!$B$15:$C$17,2,FALSE))))</f>
        <v>#N/A</v>
      </c>
      <c r="AM9" s="215" t="e">
        <f>IF(Table4[[#This Row],[ScopeP]]="Unchanged",6.42*Table4[[#This Row],[ISC BaseP]],IF(Table4[[#This Row],[ScopeP]]="Changed",7.52*(Table4[[#This Row],[ISC BaseP]] - 0.029) - 3.25 * POWER(Table4[[#This Row],[ISC BaseP]] - 0.02,15),NA()))</f>
        <v>#N/A</v>
      </c>
      <c r="AN9"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210"/>
    </row>
    <row r="10" spans="1:45" s="48" customFormat="1" ht="56" x14ac:dyDescent="0.35">
      <c r="A10" s="65">
        <v>6</v>
      </c>
      <c r="B10" s="45" t="s">
        <v>119</v>
      </c>
      <c r="C10" s="211" t="str">
        <f>IF(VLOOKUP(Table4[[#This Row],[T ID]],Table5[#All],5,FALSE)="No","Not in scope",VLOOKUP(Table4[[#This Row],[T ID]],Table5[#All],2,FALSE))</f>
        <v>Deliver directed malware
(CAPEC-185)</v>
      </c>
      <c r="D10" s="45" t="s">
        <v>333</v>
      </c>
      <c r="E10" s="211" t="str">
        <f>IF(VLOOKUP(Table4[[#This Row],[V ID]],Vulnerabilities[#All],3,FALSE)="No","Not in scope",VLOOKUP(Table4[[#This Row],[V ID]],Vulnerabilities[#All],2,FALSE))</f>
        <v>Ineffective management of admin credentials</v>
      </c>
      <c r="F10" s="232" t="s">
        <v>107</v>
      </c>
      <c r="G10" s="211" t="str">
        <f>VLOOKUP(Table4[[#This Row],[A ID]],Assets[#All],3,FALSE)</f>
        <v>Admin Password / Credentials / System Configuration / Certificates</v>
      </c>
      <c r="H10" s="45" t="s">
        <v>322</v>
      </c>
      <c r="I10" s="54" t="s">
        <v>361</v>
      </c>
      <c r="J10" s="87" t="s">
        <v>55</v>
      </c>
      <c r="K10" s="87" t="s">
        <v>64</v>
      </c>
      <c r="L10" s="87" t="s">
        <v>55</v>
      </c>
      <c r="M10" s="87" t="s">
        <v>78</v>
      </c>
      <c r="N10" s="87" t="s">
        <v>64</v>
      </c>
      <c r="O10" s="87" t="s">
        <v>55</v>
      </c>
      <c r="P10" s="87" t="s">
        <v>76</v>
      </c>
      <c r="Q10" s="87" t="s">
        <v>73</v>
      </c>
      <c r="R10"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10" s="215">
        <f>(1 - ((1 - VLOOKUP(Table4[[#This Row],[Confidentiality]],'Reference - CVSSv3.0'!$B$15:$C$17,2,FALSE)) * (1 - VLOOKUP(Table4[[#This Row],[Integrity]],'Reference - CVSSv3.0'!$B$15:$C$17,2,FALSE)) *  (1 - VLOOKUP(Table4[[#This Row],[Availability]],'Reference - CVSSv3.0'!$B$15:$C$17,2,FALSE))))</f>
        <v>0.73230400000000007</v>
      </c>
      <c r="T10" s="215">
        <f>IF(Table4[[#This Row],[Scope]]="Unchanged",6.42*Table4[[#This Row],[ISC Base]],IF(Table4[[#This Row],[Scope]]="Changed",7.52*(Table4[[#This Row],[ISC Base]] - 0.029) - 3.25 * POWER(Table4[[#This Row],[ISC Base]] - 0.02,15),NA()))</f>
        <v>4.7013916800000004</v>
      </c>
      <c r="U10" s="215">
        <f>IF(Table4[[#This Row],[Impact Sub Score]]&lt;=0,0,IF(Table4[[#This Row],[Scope]]="Unchanged",ROUNDUP(MIN((Table4[[#This Row],[Impact Sub Score]]+Table4[[#This Row],[Exploitability Sub Score]]),10),1),IF(Table4[[#This Row],[Scope]]="Changed",ROUNDUP(MIN((1.08*(Table4[[#This Row],[Impact Sub Score]]+Table4[[#This Row],[Exploitability Sub Score]])),10),1),NA())))</f>
        <v>5.8</v>
      </c>
      <c r="V10" s="180" t="s">
        <v>54</v>
      </c>
      <c r="W10" s="215">
        <f>VLOOKUP(Table4[[#This Row],[Threat Event Initiation]],NIST_Scale_LOAI[],2,FALSE)</f>
        <v>0.5</v>
      </c>
      <c r="X10"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10"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 s="210"/>
      <c r="AA10" s="212"/>
      <c r="AB10" s="217"/>
      <c r="AC10" s="210"/>
      <c r="AD10" s="210"/>
      <c r="AE10" s="210"/>
      <c r="AF10" s="213"/>
      <c r="AG10" s="213"/>
      <c r="AH10" s="213"/>
      <c r="AI10" s="213"/>
      <c r="AJ10" s="218"/>
      <c r="AK10"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215" t="e">
        <f>(1 - ((1 - VLOOKUP(Table4[[#This Row],[ConfidentialityP]],'Reference - CVSSv3.0'!$B$15:$C$17,2,FALSE)) * (1 - VLOOKUP(Table4[[#This Row],[IntegrityP]],'Reference - CVSSv3.0'!$B$15:$C$17,2,FALSE)) *  (1 - VLOOKUP(Table4[[#This Row],[AvailabilityP]],'Reference - CVSSv3.0'!$B$15:$C$17,2,FALSE))))</f>
        <v>#N/A</v>
      </c>
      <c r="AM10" s="215" t="e">
        <f>IF(Table4[[#This Row],[ScopeP]]="Unchanged",6.42*Table4[[#This Row],[ISC BaseP]],IF(Table4[[#This Row],[ScopeP]]="Changed",7.52*(Table4[[#This Row],[ISC BaseP]] - 0.029) - 3.25 * POWER(Table4[[#This Row],[ISC BaseP]] - 0.02,15),NA()))</f>
        <v>#N/A</v>
      </c>
      <c r="AN10"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210"/>
    </row>
    <row r="11" spans="1:45" s="48" customFormat="1" ht="42" x14ac:dyDescent="0.35">
      <c r="A11" s="66">
        <v>7</v>
      </c>
      <c r="B11" s="45" t="s">
        <v>271</v>
      </c>
      <c r="C11" s="211" t="str">
        <f>IF(VLOOKUP(Table4[[#This Row],[T ID]],Table5[#All],5,FALSE)="No","Not in scope",VLOOKUP(Table4[[#This Row],[T ID]],Table5[#All],2,FALSE))</f>
        <v>Man-in-the middle attack / intercept Navigation communication</v>
      </c>
      <c r="D11" s="45" t="s">
        <v>316</v>
      </c>
      <c r="E11" s="211" t="str">
        <f>IF(VLOOKUP(Table4[[#This Row],[V ID]],Vulnerabilities[#All],3,FALSE)="No","Not in scope",VLOOKUP(Table4[[#This Row],[V ID]],Vulnerabilities[#All],2,FALSE))</f>
        <v>Any unprotected hardware</v>
      </c>
      <c r="F11" s="232" t="s">
        <v>112</v>
      </c>
      <c r="G11" s="211" t="str">
        <f>VLOOKUP(Table4[[#This Row],[A ID]],Assets[#All],3,FALSE)</f>
        <v>Navigation Accuracy</v>
      </c>
      <c r="H11" s="45" t="s">
        <v>362</v>
      </c>
      <c r="I11" s="54" t="s">
        <v>365</v>
      </c>
      <c r="J11" s="87" t="s">
        <v>55</v>
      </c>
      <c r="K11" s="87" t="s">
        <v>64</v>
      </c>
      <c r="L11" s="87" t="s">
        <v>64</v>
      </c>
      <c r="M11" s="87" t="s">
        <v>77</v>
      </c>
      <c r="N11" s="87" t="s">
        <v>64</v>
      </c>
      <c r="O11" s="87" t="s">
        <v>64</v>
      </c>
      <c r="P11" s="87" t="s">
        <v>76</v>
      </c>
      <c r="Q11" s="87" t="s">
        <v>73</v>
      </c>
      <c r="R11"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1" s="215">
        <f>(1 - ((1 - VLOOKUP(Table4[[#This Row],[Confidentiality]],'Reference - CVSSv3.0'!$B$15:$C$17,2,FALSE)) * (1 - VLOOKUP(Table4[[#This Row],[Integrity]],'Reference - CVSSv3.0'!$B$15:$C$17,2,FALSE)) *  (1 - VLOOKUP(Table4[[#This Row],[Availability]],'Reference - CVSSv3.0'!$B$15:$C$17,2,FALSE))))</f>
        <v>0.84899200000000008</v>
      </c>
      <c r="T11" s="215">
        <f>IF(Table4[[#This Row],[Scope]]="Unchanged",6.42*Table4[[#This Row],[ISC Base]],IF(Table4[[#This Row],[Scope]]="Changed",7.52*(Table4[[#This Row],[ISC Base]] - 0.029) - 3.25 * POWER(Table4[[#This Row],[ISC Base]] - 0.02,15),NA()))</f>
        <v>5.4505286400000008</v>
      </c>
      <c r="U11" s="215">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 s="180" t="s">
        <v>48</v>
      </c>
      <c r="W11" s="215">
        <f>VLOOKUP(Table4[[#This Row],[Threat Event Initiation]],NIST_Scale_LOAI[],2,FALSE)</f>
        <v>0.04</v>
      </c>
      <c r="X11"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11"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 s="210"/>
      <c r="AA11" s="212"/>
      <c r="AB11" s="217"/>
      <c r="AC11" s="210"/>
      <c r="AD11" s="210"/>
      <c r="AE11" s="210"/>
      <c r="AF11" s="213"/>
      <c r="AG11" s="213"/>
      <c r="AH11" s="213"/>
      <c r="AI11" s="213"/>
      <c r="AJ11" s="218"/>
      <c r="AK11"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215" t="e">
        <f>(1 - ((1 - VLOOKUP(Table4[[#This Row],[ConfidentialityP]],'Reference - CVSSv3.0'!$B$15:$C$17,2,FALSE)) * (1 - VLOOKUP(Table4[[#This Row],[IntegrityP]],'Reference - CVSSv3.0'!$B$15:$C$17,2,FALSE)) *  (1 - VLOOKUP(Table4[[#This Row],[AvailabilityP]],'Reference - CVSSv3.0'!$B$15:$C$17,2,FALSE))))</f>
        <v>#N/A</v>
      </c>
      <c r="AM11" s="215" t="e">
        <f>IF(Table4[[#This Row],[ScopeP]]="Unchanged",6.42*Table4[[#This Row],[ISC BaseP]],IF(Table4[[#This Row],[ScopeP]]="Changed",7.52*(Table4[[#This Row],[ISC BaseP]] - 0.029) - 3.25 * POWER(Table4[[#This Row],[ISC BaseP]] - 0.02,15),NA()))</f>
        <v>#N/A</v>
      </c>
      <c r="AN11"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210"/>
    </row>
    <row r="12" spans="1:45" s="48" customFormat="1" ht="48" customHeight="1" x14ac:dyDescent="0.35">
      <c r="A12" s="209">
        <v>8</v>
      </c>
      <c r="B12" s="45" t="s">
        <v>252</v>
      </c>
      <c r="C12" s="211" t="str">
        <f>IF(VLOOKUP(Table4[[#This Row],[T ID]],Table5[#All],5,FALSE)="No","Not in scope",VLOOKUP(Table4[[#This Row],[T ID]],Table5[#All],2,FALSE))</f>
        <v>Network-based denial of service (DoS) attack</v>
      </c>
      <c r="D12" s="45" t="s">
        <v>142</v>
      </c>
      <c r="E12" s="211" t="str">
        <f>IF(VLOOKUP(Table4[[#This Row],[V ID]],Vulnerabilities[#All],3,FALSE)="No","Not in scope",VLOOKUP(Table4[[#This Row],[V ID]],Vulnerabilities[#All],2,FALSE))</f>
        <v>Unprotected network port</v>
      </c>
      <c r="F12" s="232" t="s">
        <v>106</v>
      </c>
      <c r="G12" s="211" t="str">
        <f>VLOOKUP(Table4[[#This Row],[A ID]],Assets[#All],3,FALSE)</f>
        <v>Nav3i cart/ System running with windows 8.1</v>
      </c>
      <c r="H12" s="45" t="s">
        <v>336</v>
      </c>
      <c r="I12" s="54" t="s">
        <v>363</v>
      </c>
      <c r="J12" s="87" t="s">
        <v>76</v>
      </c>
      <c r="K12" s="87" t="s">
        <v>76</v>
      </c>
      <c r="L12" s="87" t="s">
        <v>64</v>
      </c>
      <c r="M12" s="87" t="s">
        <v>77</v>
      </c>
      <c r="N12" s="87" t="s">
        <v>55</v>
      </c>
      <c r="O12" s="87" t="s">
        <v>64</v>
      </c>
      <c r="P12" s="87" t="s">
        <v>76</v>
      </c>
      <c r="Q12" s="87" t="s">
        <v>73</v>
      </c>
      <c r="R12"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2" s="215">
        <f>(1 - ((1 - VLOOKUP(Table4[[#This Row],[Confidentiality]],'Reference - CVSSv3.0'!$B$15:$C$17,2,FALSE)) * (1 - VLOOKUP(Table4[[#This Row],[Integrity]],'Reference - CVSSv3.0'!$B$15:$C$17,2,FALSE)) *  (1 - VLOOKUP(Table4[[#This Row],[Availability]],'Reference - CVSSv3.0'!$B$15:$C$17,2,FALSE))))</f>
        <v>0.56000000000000005</v>
      </c>
      <c r="T12" s="215">
        <f>IF(Table4[[#This Row],[Scope]]="Unchanged",6.42*Table4[[#This Row],[ISC Base]],IF(Table4[[#This Row],[Scope]]="Changed",7.52*(Table4[[#This Row],[ISC Base]] - 0.029) - 3.25 * POWER(Table4[[#This Row],[ISC Base]] - 0.02,15),NA()))</f>
        <v>3.5952000000000002</v>
      </c>
      <c r="U12" s="21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2" s="180" t="s">
        <v>54</v>
      </c>
      <c r="W12" s="215">
        <f>VLOOKUP(Table4[[#This Row],[Threat Event Initiation]],NIST_Scale_LOAI[],2,FALSE)</f>
        <v>0.5</v>
      </c>
      <c r="X12"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12"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 s="210"/>
      <c r="AA12" s="212"/>
      <c r="AB12" s="217"/>
      <c r="AC12" s="210"/>
      <c r="AD12" s="210"/>
      <c r="AE12" s="210"/>
      <c r="AF12" s="213"/>
      <c r="AG12" s="213"/>
      <c r="AH12" s="213"/>
      <c r="AI12" s="213"/>
      <c r="AJ12" s="218"/>
      <c r="AK12"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215" t="e">
        <f>(1 - ((1 - VLOOKUP(Table4[[#This Row],[ConfidentialityP]],'Reference - CVSSv3.0'!$B$15:$C$17,2,FALSE)) * (1 - VLOOKUP(Table4[[#This Row],[IntegrityP]],'Reference - CVSSv3.0'!$B$15:$C$17,2,FALSE)) *  (1 - VLOOKUP(Table4[[#This Row],[AvailabilityP]],'Reference - CVSSv3.0'!$B$15:$C$17,2,FALSE))))</f>
        <v>#N/A</v>
      </c>
      <c r="AM12" s="215" t="e">
        <f>IF(Table4[[#This Row],[ScopeP]]="Unchanged",6.42*Table4[[#This Row],[ISC BaseP]],IF(Table4[[#This Row],[ScopeP]]="Changed",7.52*(Table4[[#This Row],[ISC BaseP]] - 0.029) - 3.25 * POWER(Table4[[#This Row],[ISC BaseP]] - 0.02,15),NA()))</f>
        <v>#N/A</v>
      </c>
      <c r="AN12"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210"/>
    </row>
    <row r="13" spans="1:45" ht="84" x14ac:dyDescent="0.35">
      <c r="A13" s="65">
        <v>9</v>
      </c>
      <c r="B13" s="45" t="s">
        <v>265</v>
      </c>
      <c r="C13" s="211" t="str">
        <f>IF(VLOOKUP(Table4[[#This Row],[T ID]],Table5[#All],5,FALSE)="No","Not in scope",VLOOKUP(Table4[[#This Row],[T ID]],Table5[#All],2,FALSE))</f>
        <v>Remote exploitation</v>
      </c>
      <c r="D13" s="45" t="s">
        <v>142</v>
      </c>
      <c r="E13" s="211" t="str">
        <f>IF(VLOOKUP(Table4[[#This Row],[V ID]],Vulnerabilities[#All],3,FALSE)="No","Not in scope",VLOOKUP(Table4[[#This Row],[V ID]],Vulnerabilities[#All],2,FALSE))</f>
        <v>Unprotected network port</v>
      </c>
      <c r="F13" s="232" t="s">
        <v>112</v>
      </c>
      <c r="G13" s="211" t="str">
        <f>VLOOKUP(Table4[[#This Row],[A ID]],Assets[#All],3,FALSE)</f>
        <v>Navigation Accuracy</v>
      </c>
      <c r="H13" s="45" t="s">
        <v>337</v>
      </c>
      <c r="I13" s="54" t="s">
        <v>365</v>
      </c>
      <c r="J13" s="87" t="s">
        <v>76</v>
      </c>
      <c r="K13" s="87" t="s">
        <v>64</v>
      </c>
      <c r="L13" s="87" t="s">
        <v>55</v>
      </c>
      <c r="M13" s="87" t="s">
        <v>77</v>
      </c>
      <c r="N13" s="87" t="s">
        <v>64</v>
      </c>
      <c r="O13" s="87" t="s">
        <v>55</v>
      </c>
      <c r="P13" s="87" t="s">
        <v>76</v>
      </c>
      <c r="Q13" s="87" t="s">
        <v>98</v>
      </c>
      <c r="R13"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1.7769338399999999</v>
      </c>
      <c r="S13" s="215">
        <f>(1 - ((1 - VLOOKUP(Table4[[#This Row],[Confidentiality]],'Reference - CVSSv3.0'!$B$15:$C$17,2,FALSE)) * (1 - VLOOKUP(Table4[[#This Row],[Integrity]],'Reference - CVSSv3.0'!$B$15:$C$17,2,FALSE)) *  (1 - VLOOKUP(Table4[[#This Row],[Availability]],'Reference - CVSSv3.0'!$B$15:$C$17,2,FALSE))))</f>
        <v>0.65680000000000005</v>
      </c>
      <c r="T13" s="215">
        <f>IF(Table4[[#This Row],[Scope]]="Unchanged",6.42*Table4[[#This Row],[ISC Base]],IF(Table4[[#This Row],[Scope]]="Changed",7.52*(Table4[[#This Row],[ISC Base]] - 0.029) - 3.25 * POWER(Table4[[#This Row],[ISC Base]] - 0.02,15),NA()))</f>
        <v>4.7173241070114784</v>
      </c>
      <c r="U13" s="215">
        <f>IF(Table4[[#This Row],[Impact Sub Score]]&lt;=0,0,IF(Table4[[#This Row],[Scope]]="Unchanged",ROUNDUP(MIN((Table4[[#This Row],[Impact Sub Score]]+Table4[[#This Row],[Exploitability Sub Score]]),10),1),IF(Table4[[#This Row],[Scope]]="Changed",ROUNDUP(MIN((1.08*(Table4[[#This Row],[Impact Sub Score]]+Table4[[#This Row],[Exploitability Sub Score]])),10),1),NA())))</f>
        <v>7.1</v>
      </c>
      <c r="V13" s="180" t="s">
        <v>55</v>
      </c>
      <c r="W13" s="215">
        <f>VLOOKUP(Table4[[#This Row],[Threat Event Initiation]],NIST_Scale_LOAI[],2,FALSE)</f>
        <v>0.2</v>
      </c>
      <c r="X13"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13"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 s="210"/>
      <c r="AA13" s="212"/>
      <c r="AB13" s="217"/>
      <c r="AC13" s="210"/>
      <c r="AD13" s="210"/>
      <c r="AE13" s="210"/>
      <c r="AF13" s="213"/>
      <c r="AG13" s="213"/>
      <c r="AH13" s="213"/>
      <c r="AI13" s="213"/>
      <c r="AJ13" s="218"/>
      <c r="AK13"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215" t="e">
        <f>(1 - ((1 - VLOOKUP(Table4[[#This Row],[ConfidentialityP]],'Reference - CVSSv3.0'!$B$15:$C$17,2,FALSE)) * (1 - VLOOKUP(Table4[[#This Row],[IntegrityP]],'Reference - CVSSv3.0'!$B$15:$C$17,2,FALSE)) *  (1 - VLOOKUP(Table4[[#This Row],[AvailabilityP]],'Reference - CVSSv3.0'!$B$15:$C$17,2,FALSE))))</f>
        <v>#N/A</v>
      </c>
      <c r="AM13" s="215" t="e">
        <f>IF(Table4[[#This Row],[ScopeP]]="Unchanged",6.42*Table4[[#This Row],[ISC BaseP]],IF(Table4[[#This Row],[ScopeP]]="Changed",7.52*(Table4[[#This Row],[ISC BaseP]] - 0.029) - 3.25 * POWER(Table4[[#This Row],[ISC BaseP]] - 0.02,15),NA()))</f>
        <v>#N/A</v>
      </c>
      <c r="AN13"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210"/>
    </row>
    <row r="14" spans="1:45" ht="70" x14ac:dyDescent="0.35">
      <c r="A14" s="66">
        <v>10</v>
      </c>
      <c r="B14" s="45" t="s">
        <v>265</v>
      </c>
      <c r="C14" s="211" t="str">
        <f>IF(VLOOKUP(Table4[[#This Row],[T ID]],Table5[#All],5,FALSE)="No","Not in scope",VLOOKUP(Table4[[#This Row],[T ID]],Table5[#All],2,FALSE))</f>
        <v>Remote exploitation</v>
      </c>
      <c r="D14" s="45" t="s">
        <v>142</v>
      </c>
      <c r="E14" s="211" t="str">
        <f>IF(VLOOKUP(Table4[[#This Row],[V ID]],Vulnerabilities[#All],3,FALSE)="No","Not in scope",VLOOKUP(Table4[[#This Row],[V ID]],Vulnerabilities[#All],2,FALSE))</f>
        <v>Unprotected network port</v>
      </c>
      <c r="F14" s="232" t="s">
        <v>106</v>
      </c>
      <c r="G14" s="211" t="str">
        <f>VLOOKUP(Table4[[#This Row],[A ID]],Assets[#All],3,FALSE)</f>
        <v>Nav3i cart/ System running with windows 8.1</v>
      </c>
      <c r="H14" s="45" t="s">
        <v>338</v>
      </c>
      <c r="I14" s="54" t="s">
        <v>363</v>
      </c>
      <c r="J14" s="87" t="s">
        <v>76</v>
      </c>
      <c r="K14" s="87" t="s">
        <v>55</v>
      </c>
      <c r="L14" s="87" t="s">
        <v>64</v>
      </c>
      <c r="M14" s="87" t="s">
        <v>77</v>
      </c>
      <c r="N14" s="87" t="s">
        <v>64</v>
      </c>
      <c r="O14" s="87" t="s">
        <v>55</v>
      </c>
      <c r="P14" s="87" t="s">
        <v>76</v>
      </c>
      <c r="Q14" s="87" t="s">
        <v>73</v>
      </c>
      <c r="R14"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4" s="215">
        <f>(1 - ((1 - VLOOKUP(Table4[[#This Row],[Confidentiality]],'Reference - CVSSv3.0'!$B$15:$C$17,2,FALSE)) * (1 - VLOOKUP(Table4[[#This Row],[Integrity]],'Reference - CVSSv3.0'!$B$15:$C$17,2,FALSE)) *  (1 - VLOOKUP(Table4[[#This Row],[Availability]],'Reference - CVSSv3.0'!$B$15:$C$17,2,FALSE))))</f>
        <v>0.65680000000000005</v>
      </c>
      <c r="T14" s="215">
        <f>IF(Table4[[#This Row],[Scope]]="Unchanged",6.42*Table4[[#This Row],[ISC Base]],IF(Table4[[#This Row],[Scope]]="Changed",7.52*(Table4[[#This Row],[ISC Base]] - 0.029) - 3.25 * POWER(Table4[[#This Row],[ISC Base]] - 0.02,15),NA()))</f>
        <v>4.2166560000000004</v>
      </c>
      <c r="U14" s="215">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4" s="180" t="s">
        <v>54</v>
      </c>
      <c r="W14" s="215">
        <f>VLOOKUP(Table4[[#This Row],[Threat Event Initiation]],NIST_Scale_LOAI[],2,FALSE)</f>
        <v>0.5</v>
      </c>
      <c r="X14"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14"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4" s="210"/>
      <c r="AA14" s="212"/>
      <c r="AB14" s="217"/>
      <c r="AC14" s="210"/>
      <c r="AD14" s="210"/>
      <c r="AE14" s="210"/>
      <c r="AF14" s="213"/>
      <c r="AG14" s="213"/>
      <c r="AH14" s="213"/>
      <c r="AI14" s="213"/>
      <c r="AJ14" s="218"/>
      <c r="AK14"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215" t="e">
        <f>(1 - ((1 - VLOOKUP(Table4[[#This Row],[ConfidentialityP]],'Reference - CVSSv3.0'!$B$15:$C$17,2,FALSE)) * (1 - VLOOKUP(Table4[[#This Row],[IntegrityP]],'Reference - CVSSv3.0'!$B$15:$C$17,2,FALSE)) *  (1 - VLOOKUP(Table4[[#This Row],[AvailabilityP]],'Reference - CVSSv3.0'!$B$15:$C$17,2,FALSE))))</f>
        <v>#N/A</v>
      </c>
      <c r="AM14" s="215" t="e">
        <f>IF(Table4[[#This Row],[ScopeP]]="Unchanged",6.42*Table4[[#This Row],[ISC BaseP]],IF(Table4[[#This Row],[ScopeP]]="Changed",7.52*(Table4[[#This Row],[ISC BaseP]] - 0.029) - 3.25 * POWER(Table4[[#This Row],[ISC BaseP]] - 0.02,15),NA()))</f>
        <v>#N/A</v>
      </c>
      <c r="AN14"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210"/>
    </row>
    <row r="15" spans="1:45" ht="70" x14ac:dyDescent="0.35">
      <c r="A15" s="209">
        <v>11</v>
      </c>
      <c r="B15" s="45" t="s">
        <v>265</v>
      </c>
      <c r="C15" s="211" t="str">
        <f>IF(VLOOKUP(Table4[[#This Row],[T ID]],Table5[#All],5,FALSE)="No","Not in scope",VLOOKUP(Table4[[#This Row],[T ID]],Table5[#All],2,FALSE))</f>
        <v>Remote exploitation</v>
      </c>
      <c r="D15" s="45" t="s">
        <v>141</v>
      </c>
      <c r="E15" s="211" t="str">
        <f>IF(VLOOKUP(Table4[[#This Row],[V ID]],Vulnerabilities[#All],3,FALSE)="No","Not in scope",VLOOKUP(Table4[[#This Row],[V ID]],Vulnerabilities[#All],2,FALSE))</f>
        <v>Unpatched OS</v>
      </c>
      <c r="F15" s="232" t="s">
        <v>107</v>
      </c>
      <c r="G15" s="211" t="str">
        <f>VLOOKUP(Table4[[#This Row],[A ID]],Assets[#All],3,FALSE)</f>
        <v>Admin Password / Credentials / System Configuration / Certificates</v>
      </c>
      <c r="H15" s="45" t="s">
        <v>339</v>
      </c>
      <c r="I15" s="54" t="s">
        <v>363</v>
      </c>
      <c r="J15" s="87" t="s">
        <v>64</v>
      </c>
      <c r="K15" s="87" t="s">
        <v>64</v>
      </c>
      <c r="L15" s="87" t="s">
        <v>55</v>
      </c>
      <c r="M15" s="87" t="s">
        <v>77</v>
      </c>
      <c r="N15" s="87" t="s">
        <v>55</v>
      </c>
      <c r="O15" s="87" t="s">
        <v>64</v>
      </c>
      <c r="P15" s="87" t="s">
        <v>76</v>
      </c>
      <c r="Q15" s="87" t="s">
        <v>73</v>
      </c>
      <c r="R15"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5" s="215">
        <f>(1 - ((1 - VLOOKUP(Table4[[#This Row],[Confidentiality]],'Reference - CVSSv3.0'!$B$15:$C$17,2,FALSE)) * (1 - VLOOKUP(Table4[[#This Row],[Integrity]],'Reference - CVSSv3.0'!$B$15:$C$17,2,FALSE)) *  (1 - VLOOKUP(Table4[[#This Row],[Availability]],'Reference - CVSSv3.0'!$B$15:$C$17,2,FALSE))))</f>
        <v>0.84899199999999997</v>
      </c>
      <c r="T15" s="215">
        <f>IF(Table4[[#This Row],[Scope]]="Unchanged",6.42*Table4[[#This Row],[ISC Base]],IF(Table4[[#This Row],[Scope]]="Changed",7.52*(Table4[[#This Row],[ISC Base]] - 0.029) - 3.25 * POWER(Table4[[#This Row],[ISC Base]] - 0.02,15),NA()))</f>
        <v>5.4505286399999999</v>
      </c>
      <c r="U15" s="215">
        <f>IF(Table4[[#This Row],[Impact Sub Score]]&lt;=0,0,IF(Table4[[#This Row],[Scope]]="Unchanged",ROUNDUP(MIN((Table4[[#This Row],[Impact Sub Score]]+Table4[[#This Row],[Exploitability Sub Score]]),10),1),IF(Table4[[#This Row],[Scope]]="Changed",ROUNDUP(MIN((1.08*(Table4[[#This Row],[Impact Sub Score]]+Table4[[#This Row],[Exploitability Sub Score]])),10),1),NA())))</f>
        <v>6.6999999999999993</v>
      </c>
      <c r="V15" s="180" t="s">
        <v>54</v>
      </c>
      <c r="W15" s="215">
        <f>VLOOKUP(Table4[[#This Row],[Threat Event Initiation]],NIST_Scale_LOAI[],2,FALSE)</f>
        <v>0.5</v>
      </c>
      <c r="X15"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15"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5" s="210"/>
      <c r="AA15" s="212"/>
      <c r="AB15" s="217"/>
      <c r="AC15" s="210"/>
      <c r="AD15" s="210"/>
      <c r="AE15" s="210"/>
      <c r="AF15" s="213"/>
      <c r="AG15" s="213"/>
      <c r="AH15" s="213"/>
      <c r="AI15" s="213"/>
      <c r="AJ15" s="218"/>
      <c r="AK15"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215" t="e">
        <f>(1 - ((1 - VLOOKUP(Table4[[#This Row],[ConfidentialityP]],'Reference - CVSSv3.0'!$B$15:$C$17,2,FALSE)) * (1 - VLOOKUP(Table4[[#This Row],[IntegrityP]],'Reference - CVSSv3.0'!$B$15:$C$17,2,FALSE)) *  (1 - VLOOKUP(Table4[[#This Row],[AvailabilityP]],'Reference - CVSSv3.0'!$B$15:$C$17,2,FALSE))))</f>
        <v>#N/A</v>
      </c>
      <c r="AM15" s="215" t="e">
        <f>IF(Table4[[#This Row],[ScopeP]]="Unchanged",6.42*Table4[[#This Row],[ISC BaseP]],IF(Table4[[#This Row],[ScopeP]]="Changed",7.52*(Table4[[#This Row],[ISC BaseP]] - 0.029) - 3.25 * POWER(Table4[[#This Row],[ISC BaseP]] - 0.02,15),NA()))</f>
        <v>#N/A</v>
      </c>
      <c r="AN15"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210"/>
    </row>
    <row r="16" spans="1:45" ht="42" x14ac:dyDescent="0.35">
      <c r="A16" s="65">
        <v>12</v>
      </c>
      <c r="B16" s="45" t="s">
        <v>268</v>
      </c>
      <c r="C16" s="211" t="str">
        <f>IF(VLOOKUP(Table4[[#This Row],[T ID]],Table5[#All],5,FALSE)="No","Not in scope",VLOOKUP(Table4[[#This Row],[T ID]],Table5[#All],2,FALSE))</f>
        <v>Improper disposal of hard disks</v>
      </c>
      <c r="D16" s="45" t="s">
        <v>316</v>
      </c>
      <c r="E16" s="211" t="str">
        <f>IF(VLOOKUP(Table4[[#This Row],[V ID]],Vulnerabilities[#All],3,FALSE)="No","Not in scope",VLOOKUP(Table4[[#This Row],[V ID]],Vulnerabilities[#All],2,FALSE))</f>
        <v>Any unprotected hardware</v>
      </c>
      <c r="F16" s="232" t="s">
        <v>109</v>
      </c>
      <c r="G16" s="211" t="str">
        <f>VLOOKUP(Table4[[#This Row],[A ID]],Assets[#All],3,FALSE)</f>
        <v>Patient health information at rest</v>
      </c>
      <c r="H16" s="45" t="s">
        <v>340</v>
      </c>
      <c r="I16" s="54" t="s">
        <v>364</v>
      </c>
      <c r="J16" s="87" t="s">
        <v>64</v>
      </c>
      <c r="K16" s="87" t="s">
        <v>76</v>
      </c>
      <c r="L16" s="87" t="s">
        <v>76</v>
      </c>
      <c r="M16" s="87" t="s">
        <v>74</v>
      </c>
      <c r="N16" s="87" t="s">
        <v>55</v>
      </c>
      <c r="O16" s="87" t="s">
        <v>55</v>
      </c>
      <c r="P16" s="87" t="s">
        <v>76</v>
      </c>
      <c r="Q16" s="87" t="s">
        <v>73</v>
      </c>
      <c r="R16"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6" s="215">
        <f>(1 - ((1 - VLOOKUP(Table4[[#This Row],[Confidentiality]],'Reference - CVSSv3.0'!$B$15:$C$17,2,FALSE)) * (1 - VLOOKUP(Table4[[#This Row],[Integrity]],'Reference - CVSSv3.0'!$B$15:$C$17,2,FALSE)) *  (1 - VLOOKUP(Table4[[#This Row],[Availability]],'Reference - CVSSv3.0'!$B$15:$C$17,2,FALSE))))</f>
        <v>0.56000000000000005</v>
      </c>
      <c r="T16" s="215">
        <f>IF(Table4[[#This Row],[Scope]]="Unchanged",6.42*Table4[[#This Row],[ISC Base]],IF(Table4[[#This Row],[Scope]]="Changed",7.52*(Table4[[#This Row],[ISC Base]] - 0.029) - 3.25 * POWER(Table4[[#This Row],[ISC Base]] - 0.02,15),NA()))</f>
        <v>3.5952000000000002</v>
      </c>
      <c r="U16" s="215">
        <f>IF(Table4[[#This Row],[Impact Sub Score]]&lt;=0,0,IF(Table4[[#This Row],[Scope]]="Unchanged",ROUNDUP(MIN((Table4[[#This Row],[Impact Sub Score]]+Table4[[#This Row],[Exploitability Sub Score]]),10),1),IF(Table4[[#This Row],[Scope]]="Changed",ROUNDUP(MIN((1.08*(Table4[[#This Row],[Impact Sub Score]]+Table4[[#This Row],[Exploitability Sub Score]])),10),1),NA())))</f>
        <v>4.3</v>
      </c>
      <c r="V16" s="180" t="s">
        <v>55</v>
      </c>
      <c r="W16" s="215">
        <f>VLOOKUP(Table4[[#This Row],[Threat Event Initiation]],NIST_Scale_LOAI[],2,FALSE)</f>
        <v>0.2</v>
      </c>
      <c r="X16"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210"/>
      <c r="AA16" s="212"/>
      <c r="AB16" s="217"/>
      <c r="AC16" s="210"/>
      <c r="AD16" s="210"/>
      <c r="AE16" s="210"/>
      <c r="AF16" s="213"/>
      <c r="AG16" s="213"/>
      <c r="AH16" s="213"/>
      <c r="AI16" s="213"/>
      <c r="AJ16" s="218"/>
      <c r="AK16"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215" t="e">
        <f>(1 - ((1 - VLOOKUP(Table4[[#This Row],[ConfidentialityP]],'Reference - CVSSv3.0'!$B$15:$C$17,2,FALSE)) * (1 - VLOOKUP(Table4[[#This Row],[IntegrityP]],'Reference - CVSSv3.0'!$B$15:$C$17,2,FALSE)) *  (1 - VLOOKUP(Table4[[#This Row],[AvailabilityP]],'Reference - CVSSv3.0'!$B$15:$C$17,2,FALSE))))</f>
        <v>#N/A</v>
      </c>
      <c r="AM16" s="215" t="e">
        <f>IF(Table4[[#This Row],[ScopeP]]="Unchanged",6.42*Table4[[#This Row],[ISC BaseP]],IF(Table4[[#This Row],[ScopeP]]="Changed",7.52*(Table4[[#This Row],[ISC BaseP]] - 0.029) - 3.25 * POWER(Table4[[#This Row],[ISC BaseP]] - 0.02,15),NA()))</f>
        <v>#N/A</v>
      </c>
      <c r="AN16"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210"/>
    </row>
    <row r="17" spans="1:43" ht="42" x14ac:dyDescent="0.35">
      <c r="A17" s="66">
        <v>13</v>
      </c>
      <c r="B17" s="45" t="s">
        <v>246</v>
      </c>
      <c r="C17" s="85" t="str">
        <f>IF(VLOOKUP(Table4[[#This Row],[T ID]],Table5[#All],5,FALSE)="No","Not in scope",VLOOKUP(Table4[[#This Row],[T ID]],Table5[#All],2,FALSE))</f>
        <v>Theft of system or hard drives</v>
      </c>
      <c r="D17" s="45" t="s">
        <v>316</v>
      </c>
      <c r="E17" s="85" t="str">
        <f>IF(VLOOKUP(Table4[[#This Row],[V ID]],Vulnerabilities[#All],3,FALSE)="No","Not in scope",VLOOKUP(Table4[[#This Row],[V ID]],Vulnerabilities[#All],2,FALSE))</f>
        <v>Any unprotected hardware</v>
      </c>
      <c r="F17" s="232" t="s">
        <v>106</v>
      </c>
      <c r="G17" s="86" t="str">
        <f>VLOOKUP(Table4[[#This Row],[A ID]],Assets[#All],3,FALSE)</f>
        <v>Nav3i cart/ System running with windows 8.1</v>
      </c>
      <c r="H17" s="45" t="s">
        <v>341</v>
      </c>
      <c r="I17" s="54" t="s">
        <v>364</v>
      </c>
      <c r="J17" s="87" t="s">
        <v>64</v>
      </c>
      <c r="K17" s="87" t="s">
        <v>349</v>
      </c>
      <c r="L17" s="87" t="s">
        <v>64</v>
      </c>
      <c r="M17" s="87" t="s">
        <v>74</v>
      </c>
      <c r="N17" s="87" t="s">
        <v>350</v>
      </c>
      <c r="O17" s="87" t="s">
        <v>350</v>
      </c>
      <c r="P17" s="87" t="s">
        <v>76</v>
      </c>
      <c r="Q17" s="87" t="s">
        <v>351</v>
      </c>
      <c r="R17" s="1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7" s="160">
        <f>(1 - ((1 - VLOOKUP(Table4[[#This Row],[Confidentiality]],'Reference - CVSSv3.0'!$B$15:$C$17,2,FALSE)) * (1 - VLOOKUP(Table4[[#This Row],[Integrity]],'Reference - CVSSv3.0'!$B$15:$C$17,2,FALSE)) *  (1 - VLOOKUP(Table4[[#This Row],[Availability]],'Reference - CVSSv3.0'!$B$15:$C$17,2,FALSE))))</f>
        <v>0.80640000000000001</v>
      </c>
      <c r="T17" s="160">
        <f>IF(Table4[[#This Row],[Scope]]="Unchanged",6.42*Table4[[#This Row],[ISC Base]],IF(Table4[[#This Row],[Scope]]="Changed",7.52*(Table4[[#This Row],[ISC Base]] - 0.029) - 3.25 * POWER(Table4[[#This Row],[ISC Base]] - 0.02,15),NA()))</f>
        <v>5.1770880000000004</v>
      </c>
      <c r="U17" s="160">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7" s="180" t="s">
        <v>55</v>
      </c>
      <c r="W17" s="181">
        <f>VLOOKUP(Table4[[#This Row],[Threat Event Initiation]],NIST_Scale_LOAI[],2,FALSE)</f>
        <v>0.2</v>
      </c>
      <c r="X17" s="16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5.3999999999999995</v>
      </c>
      <c r="Y17"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7" s="54" t="s">
        <v>153</v>
      </c>
      <c r="AA17" s="45" t="s">
        <v>154</v>
      </c>
      <c r="AB17" s="88" t="s">
        <v>172</v>
      </c>
      <c r="AC17" s="87" t="s">
        <v>55</v>
      </c>
      <c r="AD17" s="87" t="s">
        <v>76</v>
      </c>
      <c r="AE17" s="87" t="s">
        <v>76</v>
      </c>
      <c r="AF17" s="156" t="s">
        <v>77</v>
      </c>
      <c r="AG17" s="156" t="s">
        <v>64</v>
      </c>
      <c r="AH17" s="156" t="s">
        <v>76</v>
      </c>
      <c r="AI17" s="156" t="s">
        <v>76</v>
      </c>
      <c r="AJ17" s="156" t="s">
        <v>73</v>
      </c>
      <c r="AK17" s="160">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2.2211672999999998</v>
      </c>
      <c r="AL17" s="160">
        <f>(1 - ((1 - VLOOKUP(Table4[[#This Row],[ConfidentialityP]],'Reference - CVSSv3.0'!$B$15:$C$17,2,FALSE)) * (1 - VLOOKUP(Table4[[#This Row],[IntegrityP]],'Reference - CVSSv3.0'!$B$15:$C$17,2,FALSE)) *  (1 - VLOOKUP(Table4[[#This Row],[AvailabilityP]],'Reference - CVSSv3.0'!$B$15:$C$17,2,FALSE))))</f>
        <v>0.21999999999999997</v>
      </c>
      <c r="AM17" s="160">
        <f>IF(Table4[[#This Row],[ScopeP]]="Unchanged",6.42*Table4[[#This Row],[ISC BaseP]],IF(Table4[[#This Row],[ScopeP]]="Changed",7.52*(Table4[[#This Row],[ISC BaseP]] - 0.029) - 3.25 * POWER(Table4[[#This Row],[ISC BaseP]] - 0.02,15),NA()))</f>
        <v>1.4123999999999999</v>
      </c>
      <c r="AN17" s="160">
        <f>IF(Table4[[#This Row],[Impact Sub ScoreP]]&lt;=0,0,IF(Table4[[#This Row],[ScopeP]]="Unchanged",ROUNDUP(MIN((Table4[[#This Row],[Impact Sub ScoreP]]+Table4[[#This Row],[Exploitability Sub ScoreP]]),10),1),IF(Table4[[#This Row],[ScopeP]]="Changed",ROUNDUP(MIN((1.08*(Table4[[#This Row],[Impact Sub ScoreP]]+Table4[[#This Row],[Exploitability Sub ScoreP]])),10),1),NA())))</f>
        <v>3.7</v>
      </c>
      <c r="AO17" s="160">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1.9000000000000001</v>
      </c>
      <c r="AP17" s="8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7" s="54"/>
    </row>
    <row r="18" spans="1:43" ht="42" x14ac:dyDescent="0.35">
      <c r="A18" s="209">
        <v>14</v>
      </c>
      <c r="B18" s="45" t="s">
        <v>249</v>
      </c>
      <c r="C18" s="211" t="str">
        <f>IF(VLOOKUP(Table4[[#This Row],[T ID]],Table5[#All],5,FALSE)="No","Not in scope",VLOOKUP(Table4[[#This Row],[T ID]],Table5[#All],2,FALSE))</f>
        <v>Data theft via physical media</v>
      </c>
      <c r="D18" s="45" t="s">
        <v>143</v>
      </c>
      <c r="E18" s="211" t="str">
        <f>IF(VLOOKUP(Table4[[#This Row],[V ID]],Vulnerabilities[#All],3,FALSE)="No","Not in scope",VLOOKUP(Table4[[#This Row],[V ID]],Vulnerabilities[#All],2,FALSE))</f>
        <v>Unprotected external USB Port</v>
      </c>
      <c r="F18" s="232" t="s">
        <v>109</v>
      </c>
      <c r="G18" s="211" t="str">
        <f>VLOOKUP(Table4[[#This Row],[A ID]],Assets[#All],3,FALSE)</f>
        <v>Patient health information at rest</v>
      </c>
      <c r="H18" s="45" t="s">
        <v>342</v>
      </c>
      <c r="I18" s="54" t="s">
        <v>364</v>
      </c>
      <c r="J18" s="87" t="s">
        <v>64</v>
      </c>
      <c r="K18" s="87" t="s">
        <v>349</v>
      </c>
      <c r="L18" s="87" t="s">
        <v>349</v>
      </c>
      <c r="M18" s="87" t="s">
        <v>74</v>
      </c>
      <c r="N18" s="87" t="s">
        <v>350</v>
      </c>
      <c r="O18" s="87" t="s">
        <v>350</v>
      </c>
      <c r="P18" s="87" t="s">
        <v>76</v>
      </c>
      <c r="Q18" s="87" t="s">
        <v>351</v>
      </c>
      <c r="R18"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8" s="215">
        <f>(1 - ((1 - VLOOKUP(Table4[[#This Row],[Confidentiality]],'Reference - CVSSv3.0'!$B$15:$C$17,2,FALSE)) * (1 - VLOOKUP(Table4[[#This Row],[Integrity]],'Reference - CVSSv3.0'!$B$15:$C$17,2,FALSE)) *  (1 - VLOOKUP(Table4[[#This Row],[Availability]],'Reference - CVSSv3.0'!$B$15:$C$17,2,FALSE))))</f>
        <v>0.56000000000000005</v>
      </c>
      <c r="T18" s="215">
        <f>IF(Table4[[#This Row],[Scope]]="Unchanged",6.42*Table4[[#This Row],[ISC Base]],IF(Table4[[#This Row],[Scope]]="Changed",7.52*(Table4[[#This Row],[ISC Base]] - 0.029) - 3.25 * POWER(Table4[[#This Row],[ISC Base]] - 0.02,15),NA()))</f>
        <v>3.5952000000000002</v>
      </c>
      <c r="U18" s="215">
        <f>IF(Table4[[#This Row],[Impact Sub Score]]&lt;=0,0,IF(Table4[[#This Row],[Scope]]="Unchanged",ROUNDUP(MIN((Table4[[#This Row],[Impact Sub Score]]+Table4[[#This Row],[Exploitability Sub Score]]),10),1),IF(Table4[[#This Row],[Scope]]="Changed",ROUNDUP(MIN((1.08*(Table4[[#This Row],[Impact Sub Score]]+Table4[[#This Row],[Exploitability Sub Score]])),10),1),NA())))</f>
        <v>4.3</v>
      </c>
      <c r="V18" s="180" t="s">
        <v>55</v>
      </c>
      <c r="W18" s="215">
        <f>VLOOKUP(Table4[[#This Row],[Threat Event Initiation]],NIST_Scale_LOAI[],2,FALSE)</f>
        <v>0.2</v>
      </c>
      <c r="X18"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8"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210"/>
      <c r="AA18" s="212"/>
      <c r="AB18" s="217"/>
      <c r="AC18" s="210"/>
      <c r="AD18" s="210"/>
      <c r="AE18" s="210"/>
      <c r="AF18" s="213"/>
      <c r="AG18" s="213"/>
      <c r="AH18" s="213"/>
      <c r="AI18" s="213"/>
      <c r="AJ18" s="218"/>
      <c r="AK18"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215" t="e">
        <f>(1 - ((1 - VLOOKUP(Table4[[#This Row],[ConfidentialityP]],'Reference - CVSSv3.0'!$B$15:$C$17,2,FALSE)) * (1 - VLOOKUP(Table4[[#This Row],[IntegrityP]],'Reference - CVSSv3.0'!$B$15:$C$17,2,FALSE)) *  (1 - VLOOKUP(Table4[[#This Row],[AvailabilityP]],'Reference - CVSSv3.0'!$B$15:$C$17,2,FALSE))))</f>
        <v>#N/A</v>
      </c>
      <c r="AM18" s="215" t="e">
        <f>IF(Table4[[#This Row],[ScopeP]]="Unchanged",6.42*Table4[[#This Row],[ISC BaseP]],IF(Table4[[#This Row],[ScopeP]]="Changed",7.52*(Table4[[#This Row],[ISC BaseP]] - 0.029) - 3.25 * POWER(Table4[[#This Row],[ISC BaseP]] - 0.02,15),NA()))</f>
        <v>#N/A</v>
      </c>
      <c r="AN18"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210"/>
    </row>
    <row r="19" spans="1:43" ht="112" x14ac:dyDescent="0.35">
      <c r="A19" s="65">
        <v>15</v>
      </c>
      <c r="B19" s="45" t="s">
        <v>279</v>
      </c>
      <c r="C19" s="211" t="str">
        <f>IF(VLOOKUP(Table4[[#This Row],[T ID]],Table5[#All],5,FALSE)="No","Not in scope",VLOOKUP(Table4[[#This Row],[T ID]],Table5[#All],2,FALSE))</f>
        <v>Physical Manipulation of Hardware</v>
      </c>
      <c r="D19" s="45" t="s">
        <v>316</v>
      </c>
      <c r="E19" s="211" t="str">
        <f>IF(VLOOKUP(Table4[[#This Row],[V ID]],Vulnerabilities[#All],3,FALSE)="No","Not in scope",VLOOKUP(Table4[[#This Row],[V ID]],Vulnerabilities[#All],2,FALSE))</f>
        <v>Any unprotected hardware</v>
      </c>
      <c r="F19" s="232" t="s">
        <v>107</v>
      </c>
      <c r="G19" s="211" t="str">
        <f>VLOOKUP(Table4[[#This Row],[A ID]],Assets[#All],3,FALSE)</f>
        <v>Admin Password / Credentials / System Configuration / Certificates</v>
      </c>
      <c r="H19" s="45" t="s">
        <v>343</v>
      </c>
      <c r="I19" s="54" t="s">
        <v>365</v>
      </c>
      <c r="J19" s="87" t="s">
        <v>55</v>
      </c>
      <c r="K19" s="87" t="s">
        <v>64</v>
      </c>
      <c r="L19" s="87" t="s">
        <v>349</v>
      </c>
      <c r="M19" s="87" t="s">
        <v>74</v>
      </c>
      <c r="N19" s="87" t="s">
        <v>55</v>
      </c>
      <c r="O19" s="87" t="s">
        <v>64</v>
      </c>
      <c r="P19" s="87" t="s">
        <v>76</v>
      </c>
      <c r="Q19" s="87" t="s">
        <v>73</v>
      </c>
      <c r="R19"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19" s="215">
        <f>(1 - ((1 - VLOOKUP(Table4[[#This Row],[Confidentiality]],'Reference - CVSSv3.0'!$B$15:$C$17,2,FALSE)) * (1 - VLOOKUP(Table4[[#This Row],[Integrity]],'Reference - CVSSv3.0'!$B$15:$C$17,2,FALSE)) *  (1 - VLOOKUP(Table4[[#This Row],[Availability]],'Reference - CVSSv3.0'!$B$15:$C$17,2,FALSE))))</f>
        <v>0.65680000000000005</v>
      </c>
      <c r="T19" s="215">
        <f>IF(Table4[[#This Row],[Scope]]="Unchanged",6.42*Table4[[#This Row],[ISC Base]],IF(Table4[[#This Row],[Scope]]="Changed",7.52*(Table4[[#This Row],[ISC Base]] - 0.029) - 3.25 * POWER(Table4[[#This Row],[ISC Base]] - 0.02,15),NA()))</f>
        <v>4.2166560000000004</v>
      </c>
      <c r="U19" s="215">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19" s="180" t="s">
        <v>55</v>
      </c>
      <c r="W19" s="215">
        <f>VLOOKUP(Table4[[#This Row],[Threat Event Initiation]],NIST_Scale_LOAI[],2,FALSE)</f>
        <v>0.2</v>
      </c>
      <c r="X19"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19"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9" s="210"/>
      <c r="AA19" s="212"/>
      <c r="AB19" s="217"/>
      <c r="AC19" s="210"/>
      <c r="AD19" s="210"/>
      <c r="AE19" s="210"/>
      <c r="AF19" s="213"/>
      <c r="AG19" s="213"/>
      <c r="AH19" s="213"/>
      <c r="AI19" s="213"/>
      <c r="AJ19" s="218"/>
      <c r="AK19"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215" t="e">
        <f>(1 - ((1 - VLOOKUP(Table4[[#This Row],[ConfidentialityP]],'Reference - CVSSv3.0'!$B$15:$C$17,2,FALSE)) * (1 - VLOOKUP(Table4[[#This Row],[IntegrityP]],'Reference - CVSSv3.0'!$B$15:$C$17,2,FALSE)) *  (1 - VLOOKUP(Table4[[#This Row],[AvailabilityP]],'Reference - CVSSv3.0'!$B$15:$C$17,2,FALSE))))</f>
        <v>#N/A</v>
      </c>
      <c r="AM19" s="215" t="e">
        <f>IF(Table4[[#This Row],[ScopeP]]="Unchanged",6.42*Table4[[#This Row],[ISC BaseP]],IF(Table4[[#This Row],[ScopeP]]="Changed",7.52*(Table4[[#This Row],[ISC BaseP]] - 0.029) - 3.25 * POWER(Table4[[#This Row],[ISC BaseP]] - 0.02,15),NA()))</f>
        <v>#N/A</v>
      </c>
      <c r="AN19"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210"/>
    </row>
    <row r="20" spans="1:43" ht="56" x14ac:dyDescent="0.35">
      <c r="A20" s="66">
        <v>16</v>
      </c>
      <c r="B20" s="45" t="s">
        <v>297</v>
      </c>
      <c r="C20" s="211" t="str">
        <f>IF(VLOOKUP(Table4[[#This Row],[T ID]],Table5[#All],5,FALSE)="No","Not in scope",VLOOKUP(Table4[[#This Row],[T ID]],Table5[#All],2,FALSE))</f>
        <v>Power Failure at primary facility</v>
      </c>
      <c r="D20" s="45" t="s">
        <v>316</v>
      </c>
      <c r="E20" s="211" t="str">
        <f>IF(VLOOKUP(Table4[[#This Row],[V ID]],Vulnerabilities[#All],3,FALSE)="No","Not in scope",VLOOKUP(Table4[[#This Row],[V ID]],Vulnerabilities[#All],2,FALSE))</f>
        <v>Any unprotected hardware</v>
      </c>
      <c r="F20" s="232" t="s">
        <v>106</v>
      </c>
      <c r="G20" s="211" t="str">
        <f>VLOOKUP(Table4[[#This Row],[A ID]],Assets[#All],3,FALSE)</f>
        <v>Nav3i cart/ System running with windows 8.1</v>
      </c>
      <c r="H20" s="45" t="s">
        <v>344</v>
      </c>
      <c r="I20" s="54" t="s">
        <v>363</v>
      </c>
      <c r="J20" s="87" t="s">
        <v>76</v>
      </c>
      <c r="K20" s="87" t="s">
        <v>76</v>
      </c>
      <c r="L20" s="87" t="s">
        <v>64</v>
      </c>
      <c r="M20" s="87" t="s">
        <v>78</v>
      </c>
      <c r="N20" s="87" t="s">
        <v>55</v>
      </c>
      <c r="O20" s="87" t="s">
        <v>76</v>
      </c>
      <c r="P20" s="87" t="s">
        <v>76</v>
      </c>
      <c r="Q20" s="87" t="s">
        <v>73</v>
      </c>
      <c r="R20"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2.5151453250000002</v>
      </c>
      <c r="S20" s="215">
        <f>(1 - ((1 - VLOOKUP(Table4[[#This Row],[Confidentiality]],'Reference - CVSSv3.0'!$B$15:$C$17,2,FALSE)) * (1 - VLOOKUP(Table4[[#This Row],[Integrity]],'Reference - CVSSv3.0'!$B$15:$C$17,2,FALSE)) *  (1 - VLOOKUP(Table4[[#This Row],[Availability]],'Reference - CVSSv3.0'!$B$15:$C$17,2,FALSE))))</f>
        <v>0.56000000000000005</v>
      </c>
      <c r="T20" s="215">
        <f>IF(Table4[[#This Row],[Scope]]="Unchanged",6.42*Table4[[#This Row],[ISC Base]],IF(Table4[[#This Row],[Scope]]="Changed",7.52*(Table4[[#This Row],[ISC Base]] - 0.029) - 3.25 * POWER(Table4[[#This Row],[ISC Base]] - 0.02,15),NA()))</f>
        <v>3.5952000000000002</v>
      </c>
      <c r="U20" s="215">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20" s="180" t="s">
        <v>48</v>
      </c>
      <c r="W20" s="215">
        <f>VLOOKUP(Table4[[#This Row],[Threat Event Initiation]],NIST_Scale_LOAI[],2,FALSE)</f>
        <v>0.04</v>
      </c>
      <c r="X20"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0"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210"/>
      <c r="AA20" s="212"/>
      <c r="AB20" s="217"/>
      <c r="AC20" s="210"/>
      <c r="AD20" s="210"/>
      <c r="AE20" s="210"/>
      <c r="AF20" s="213"/>
      <c r="AG20" s="213"/>
      <c r="AH20" s="213"/>
      <c r="AI20" s="213"/>
      <c r="AJ20" s="218"/>
      <c r="AK20"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215" t="e">
        <f>(1 - ((1 - VLOOKUP(Table4[[#This Row],[ConfidentialityP]],'Reference - CVSSv3.0'!$B$15:$C$17,2,FALSE)) * (1 - VLOOKUP(Table4[[#This Row],[IntegrityP]],'Reference - CVSSv3.0'!$B$15:$C$17,2,FALSE)) *  (1 - VLOOKUP(Table4[[#This Row],[AvailabilityP]],'Reference - CVSSv3.0'!$B$15:$C$17,2,FALSE))))</f>
        <v>#N/A</v>
      </c>
      <c r="AM20" s="215" t="e">
        <f>IF(Table4[[#This Row],[ScopeP]]="Unchanged",6.42*Table4[[#This Row],[ISC BaseP]],IF(Table4[[#This Row],[ScopeP]]="Changed",7.52*(Table4[[#This Row],[ISC BaseP]] - 0.029) - 3.25 * POWER(Table4[[#This Row],[ISC BaseP]] - 0.02,15),NA()))</f>
        <v>#N/A</v>
      </c>
      <c r="AN20"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210"/>
    </row>
    <row r="21" spans="1:43" ht="112" x14ac:dyDescent="0.35">
      <c r="A21" s="209">
        <v>17</v>
      </c>
      <c r="B21" s="45" t="s">
        <v>283</v>
      </c>
      <c r="C21" s="211" t="str">
        <f>IF(VLOOKUP(Table4[[#This Row],[T ID]],Table5[#All],5,FALSE)="No","Not in scope",VLOOKUP(Table4[[#This Row],[T ID]],Table5[#All],2,FALSE))</f>
        <v>Gather information using open source discovery of organizational information</v>
      </c>
      <c r="D21" s="45" t="s">
        <v>142</v>
      </c>
      <c r="E21" s="211" t="str">
        <f>IF(VLOOKUP(Table4[[#This Row],[V ID]],Vulnerabilities[#All],3,FALSE)="No","Not in scope",VLOOKUP(Table4[[#This Row],[V ID]],Vulnerabilities[#All],2,FALSE))</f>
        <v>Unprotected network port</v>
      </c>
      <c r="F21" s="232" t="s">
        <v>106</v>
      </c>
      <c r="G21" s="211" t="str">
        <f>VLOOKUP(Table4[[#This Row],[A ID]],Assets[#All],3,FALSE)</f>
        <v>Nav3i cart/ System running with windows 8.1</v>
      </c>
      <c r="H21" s="45" t="s">
        <v>345</v>
      </c>
      <c r="I21" s="54" t="s">
        <v>361</v>
      </c>
      <c r="J21" s="87" t="s">
        <v>55</v>
      </c>
      <c r="K21" s="87" t="s">
        <v>55</v>
      </c>
      <c r="L21" s="87" t="s">
        <v>64</v>
      </c>
      <c r="M21" s="87" t="s">
        <v>77</v>
      </c>
      <c r="N21" s="87" t="s">
        <v>64</v>
      </c>
      <c r="O21" s="87" t="s">
        <v>55</v>
      </c>
      <c r="P21" s="87" t="s">
        <v>76</v>
      </c>
      <c r="Q21" s="87" t="s">
        <v>73</v>
      </c>
      <c r="R21"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21" s="215">
        <f>(1 - ((1 - VLOOKUP(Table4[[#This Row],[Confidentiality]],'Reference - CVSSv3.0'!$B$15:$C$17,2,FALSE)) * (1 - VLOOKUP(Table4[[#This Row],[Integrity]],'Reference - CVSSv3.0'!$B$15:$C$17,2,FALSE)) *  (1 - VLOOKUP(Table4[[#This Row],[Availability]],'Reference - CVSSv3.0'!$B$15:$C$17,2,FALSE))))</f>
        <v>0.73230400000000007</v>
      </c>
      <c r="T21" s="215">
        <f>IF(Table4[[#This Row],[Scope]]="Unchanged",6.42*Table4[[#This Row],[ISC Base]],IF(Table4[[#This Row],[Scope]]="Changed",7.52*(Table4[[#This Row],[ISC Base]] - 0.029) - 3.25 * POWER(Table4[[#This Row],[ISC Base]] - 0.02,15),NA()))</f>
        <v>4.7013916800000004</v>
      </c>
      <c r="U21" s="215">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21" s="180" t="s">
        <v>55</v>
      </c>
      <c r="W21" s="215">
        <f>VLOOKUP(Table4[[#This Row],[Threat Event Initiation]],NIST_Scale_LOAI[],2,FALSE)</f>
        <v>0.2</v>
      </c>
      <c r="X21"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21"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1" s="210"/>
      <c r="AA21" s="212"/>
      <c r="AB21" s="217"/>
      <c r="AC21" s="210"/>
      <c r="AD21" s="210"/>
      <c r="AE21" s="210"/>
      <c r="AF21" s="213"/>
      <c r="AG21" s="213"/>
      <c r="AH21" s="213"/>
      <c r="AI21" s="213"/>
      <c r="AJ21" s="218"/>
      <c r="AK21"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215" t="e">
        <f>(1 - ((1 - VLOOKUP(Table4[[#This Row],[ConfidentialityP]],'Reference - CVSSv3.0'!$B$15:$C$17,2,FALSE)) * (1 - VLOOKUP(Table4[[#This Row],[IntegrityP]],'Reference - CVSSv3.0'!$B$15:$C$17,2,FALSE)) *  (1 - VLOOKUP(Table4[[#This Row],[AvailabilityP]],'Reference - CVSSv3.0'!$B$15:$C$17,2,FALSE))))</f>
        <v>#N/A</v>
      </c>
      <c r="AM21" s="215" t="e">
        <f>IF(Table4[[#This Row],[ScopeP]]="Unchanged",6.42*Table4[[#This Row],[ISC BaseP]],IF(Table4[[#This Row],[ScopeP]]="Changed",7.52*(Table4[[#This Row],[ISC BaseP]] - 0.029) - 3.25 * POWER(Table4[[#This Row],[ISC BaseP]] - 0.02,15),NA()))</f>
        <v>#N/A</v>
      </c>
      <c r="AN21"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210"/>
    </row>
    <row r="22" spans="1:43" ht="70" x14ac:dyDescent="0.35">
      <c r="A22" s="65">
        <v>18</v>
      </c>
      <c r="B22" s="45" t="s">
        <v>118</v>
      </c>
      <c r="C22" s="211" t="str">
        <f>IF(VLOOKUP(Table4[[#This Row],[T ID]],Table5[#All],5,FALSE)="No","Not in scope",VLOOKUP(Table4[[#This Row],[T ID]],Table5[#All],2,FALSE))</f>
        <v>Deliver undirected malware
(CAPEC-185)</v>
      </c>
      <c r="D22" s="45" t="s">
        <v>321</v>
      </c>
      <c r="E22" s="211" t="str">
        <f>IF(VLOOKUP(Table4[[#This Row],[V ID]],Vulnerabilities[#All],3,FALSE)="No","Not in scope",VLOOKUP(Table4[[#This Row],[V ID]],Vulnerabilities[#All],2,FALSE))</f>
        <v>Developed code not validated using static/Dynamic Tools</v>
      </c>
      <c r="F22" s="232" t="s">
        <v>106</v>
      </c>
      <c r="G22" s="211" t="str">
        <f>VLOOKUP(Table4[[#This Row],[A ID]],Assets[#All],3,FALSE)</f>
        <v>Nav3i cart/ System running with windows 8.1</v>
      </c>
      <c r="H22" s="45" t="s">
        <v>346</v>
      </c>
      <c r="I22" s="54" t="s">
        <v>361</v>
      </c>
      <c r="J22" s="87" t="s">
        <v>55</v>
      </c>
      <c r="K22" s="87" t="s">
        <v>55</v>
      </c>
      <c r="L22" s="87" t="s">
        <v>64</v>
      </c>
      <c r="M22" s="87" t="s">
        <v>78</v>
      </c>
      <c r="N22" s="87" t="s">
        <v>55</v>
      </c>
      <c r="O22" s="87" t="s">
        <v>55</v>
      </c>
      <c r="P22" s="87" t="s">
        <v>75</v>
      </c>
      <c r="Q22" s="87" t="s">
        <v>73</v>
      </c>
      <c r="R22"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2" s="215">
        <f>(1 - ((1 - VLOOKUP(Table4[[#This Row],[Confidentiality]],'Reference - CVSSv3.0'!$B$15:$C$17,2,FALSE)) * (1 - VLOOKUP(Table4[[#This Row],[Integrity]],'Reference - CVSSv3.0'!$B$15:$C$17,2,FALSE)) *  (1 - VLOOKUP(Table4[[#This Row],[Availability]],'Reference - CVSSv3.0'!$B$15:$C$17,2,FALSE))))</f>
        <v>0.73230400000000007</v>
      </c>
      <c r="T22" s="215">
        <f>IF(Table4[[#This Row],[Scope]]="Unchanged",6.42*Table4[[#This Row],[ISC Base]],IF(Table4[[#This Row],[Scope]]="Changed",7.52*(Table4[[#This Row],[ISC Base]] - 0.029) - 3.25 * POWER(Table4[[#This Row],[ISC Base]] - 0.02,15),NA()))</f>
        <v>4.7013916800000004</v>
      </c>
      <c r="U22" s="215">
        <f>IF(Table4[[#This Row],[Impact Sub Score]]&lt;=0,0,IF(Table4[[#This Row],[Scope]]="Unchanged",ROUNDUP(MIN((Table4[[#This Row],[Impact Sub Score]]+Table4[[#This Row],[Exploitability Sub Score]]),10),1),IF(Table4[[#This Row],[Scope]]="Changed",ROUNDUP(MIN((1.08*(Table4[[#This Row],[Impact Sub Score]]+Table4[[#This Row],[Exploitability Sub Score]])),10),1),NA())))</f>
        <v>6.1</v>
      </c>
      <c r="V22" s="180" t="s">
        <v>48</v>
      </c>
      <c r="W22" s="215">
        <f>VLOOKUP(Table4[[#This Row],[Threat Event Initiation]],NIST_Scale_LOAI[],2,FALSE)</f>
        <v>0.04</v>
      </c>
      <c r="X22"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22"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2" s="210"/>
      <c r="AA22" s="212"/>
      <c r="AB22" s="217"/>
      <c r="AC22" s="210"/>
      <c r="AD22" s="210"/>
      <c r="AE22" s="210"/>
      <c r="AF22" s="213"/>
      <c r="AG22" s="213"/>
      <c r="AH22" s="213"/>
      <c r="AI22" s="213"/>
      <c r="AJ22" s="218"/>
      <c r="AK22"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215" t="e">
        <f>(1 - ((1 - VLOOKUP(Table4[[#This Row],[ConfidentialityP]],'Reference - CVSSv3.0'!$B$15:$C$17,2,FALSE)) * (1 - VLOOKUP(Table4[[#This Row],[IntegrityP]],'Reference - CVSSv3.0'!$B$15:$C$17,2,FALSE)) *  (1 - VLOOKUP(Table4[[#This Row],[AvailabilityP]],'Reference - CVSSv3.0'!$B$15:$C$17,2,FALSE))))</f>
        <v>#N/A</v>
      </c>
      <c r="AM22" s="215" t="e">
        <f>IF(Table4[[#This Row],[ScopeP]]="Unchanged",6.42*Table4[[#This Row],[ISC BaseP]],IF(Table4[[#This Row],[ScopeP]]="Changed",7.52*(Table4[[#This Row],[ISC BaseP]] - 0.029) - 3.25 * POWER(Table4[[#This Row],[ISC BaseP]] - 0.02,15),NA()))</f>
        <v>#N/A</v>
      </c>
      <c r="AN22"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210"/>
    </row>
    <row r="23" spans="1:43" ht="84" x14ac:dyDescent="0.35">
      <c r="A23" s="66">
        <v>19</v>
      </c>
      <c r="B23" s="45" t="s">
        <v>122</v>
      </c>
      <c r="C23" s="211" t="str">
        <f>IF(VLOOKUP(Table4[[#This Row],[T ID]],Table5[#All],5,FALSE)="No","Not in scope",VLOOKUP(Table4[[#This Row],[T ID]],Table5[#All],2,FALSE))</f>
        <v xml:space="preserve">Conduct scavenging of ePHI at rest </v>
      </c>
      <c r="D23" s="45" t="s">
        <v>318</v>
      </c>
      <c r="E23" s="211" t="str">
        <f>IF(VLOOKUP(Table4[[#This Row],[V ID]],Vulnerabilities[#All],3,FALSE)="No","Not in scope",VLOOKUP(Table4[[#This Row],[V ID]],Vulnerabilities[#All],2,FALSE))</f>
        <v>Unauthorized modification to system bios</v>
      </c>
      <c r="F23" s="232" t="s">
        <v>109</v>
      </c>
      <c r="G23" s="211" t="str">
        <f>VLOOKUP(Table4[[#This Row],[A ID]],Assets[#All],3,FALSE)</f>
        <v>Patient health information at rest</v>
      </c>
      <c r="H23" s="45" t="s">
        <v>323</v>
      </c>
      <c r="I23" s="54" t="s">
        <v>365</v>
      </c>
      <c r="J23" s="87" t="s">
        <v>64</v>
      </c>
      <c r="K23" s="87" t="s">
        <v>55</v>
      </c>
      <c r="L23" s="87" t="s">
        <v>55</v>
      </c>
      <c r="M23" s="87" t="s">
        <v>78</v>
      </c>
      <c r="N23" s="87" t="s">
        <v>55</v>
      </c>
      <c r="O23" s="87" t="s">
        <v>55</v>
      </c>
      <c r="P23" s="87" t="s">
        <v>76</v>
      </c>
      <c r="Q23" s="87" t="s">
        <v>73</v>
      </c>
      <c r="R23"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3" s="215">
        <f>(1 - ((1 - VLOOKUP(Table4[[#This Row],[Confidentiality]],'Reference - CVSSv3.0'!$B$15:$C$17,2,FALSE)) * (1 - VLOOKUP(Table4[[#This Row],[Integrity]],'Reference - CVSSv3.0'!$B$15:$C$17,2,FALSE)) *  (1 - VLOOKUP(Table4[[#This Row],[Availability]],'Reference - CVSSv3.0'!$B$15:$C$17,2,FALSE))))</f>
        <v>0.73230400000000007</v>
      </c>
      <c r="T23" s="215">
        <f>IF(Table4[[#This Row],[Scope]]="Unchanged",6.42*Table4[[#This Row],[ISC Base]],IF(Table4[[#This Row],[Scope]]="Changed",7.52*(Table4[[#This Row],[ISC Base]] - 0.029) - 3.25 * POWER(Table4[[#This Row],[ISC Base]] - 0.02,15),NA()))</f>
        <v>4.7013916800000004</v>
      </c>
      <c r="U23" s="215">
        <f>IF(Table4[[#This Row],[Impact Sub Score]]&lt;=0,0,IF(Table4[[#This Row],[Scope]]="Unchanged",ROUNDUP(MIN((Table4[[#This Row],[Impact Sub Score]]+Table4[[#This Row],[Exploitability Sub Score]]),10),1),IF(Table4[[#This Row],[Scope]]="Changed",ROUNDUP(MIN((1.08*(Table4[[#This Row],[Impact Sub Score]]+Table4[[#This Row],[Exploitability Sub Score]])),10),1),NA())))</f>
        <v>6.6</v>
      </c>
      <c r="V23" s="180" t="s">
        <v>55</v>
      </c>
      <c r="W23" s="215">
        <f>VLOOKUP(Table4[[#This Row],[Threat Event Initiation]],NIST_Scale_LOAI[],2,FALSE)</f>
        <v>0.2</v>
      </c>
      <c r="X23"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23"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3" s="210"/>
      <c r="AA23" s="212"/>
      <c r="AB23" s="217"/>
      <c r="AC23" s="210"/>
      <c r="AD23" s="210"/>
      <c r="AE23" s="210"/>
      <c r="AF23" s="213"/>
      <c r="AG23" s="213"/>
      <c r="AH23" s="213"/>
      <c r="AI23" s="213"/>
      <c r="AJ23" s="218"/>
      <c r="AK23"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215" t="e">
        <f>(1 - ((1 - VLOOKUP(Table4[[#This Row],[ConfidentialityP]],'Reference - CVSSv3.0'!$B$15:$C$17,2,FALSE)) * (1 - VLOOKUP(Table4[[#This Row],[IntegrityP]],'Reference - CVSSv3.0'!$B$15:$C$17,2,FALSE)) *  (1 - VLOOKUP(Table4[[#This Row],[AvailabilityP]],'Reference - CVSSv3.0'!$B$15:$C$17,2,FALSE))))</f>
        <v>#N/A</v>
      </c>
      <c r="AM23" s="215" t="e">
        <f>IF(Table4[[#This Row],[ScopeP]]="Unchanged",6.42*Table4[[#This Row],[ISC BaseP]],IF(Table4[[#This Row],[ScopeP]]="Changed",7.52*(Table4[[#This Row],[ISC BaseP]] - 0.029) - 3.25 * POWER(Table4[[#This Row],[ISC BaseP]] - 0.02,15),NA()))</f>
        <v>#N/A</v>
      </c>
      <c r="AN23"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210"/>
    </row>
    <row r="24" spans="1:43" ht="56" x14ac:dyDescent="0.35">
      <c r="A24" s="209">
        <v>20</v>
      </c>
      <c r="B24" s="45" t="s">
        <v>308</v>
      </c>
      <c r="C24" s="211" t="str">
        <f>IF(VLOOKUP(Table4[[#This Row],[T ID]],Table5[#All],5,FALSE)="No","Not in scope",VLOOKUP(Table4[[#This Row],[T ID]],Table5[#All],2,FALSE))</f>
        <v>Manipulation of navigation camera firmware / memory</v>
      </c>
      <c r="D24" s="45" t="s">
        <v>316</v>
      </c>
      <c r="E24" s="211" t="str">
        <f>IF(VLOOKUP(Table4[[#This Row],[V ID]],Vulnerabilities[#All],3,FALSE)="No","Not in scope",VLOOKUP(Table4[[#This Row],[V ID]],Vulnerabilities[#All],2,FALSE))</f>
        <v>Any unprotected hardware</v>
      </c>
      <c r="F24" s="232" t="s">
        <v>112</v>
      </c>
      <c r="G24" s="211" t="str">
        <f>VLOOKUP(Table4[[#This Row],[A ID]],Assets[#All],3,FALSE)</f>
        <v>Navigation Accuracy</v>
      </c>
      <c r="H24" s="45" t="s">
        <v>347</v>
      </c>
      <c r="I24" s="54" t="s">
        <v>365</v>
      </c>
      <c r="J24" s="87" t="s">
        <v>64</v>
      </c>
      <c r="K24" s="87" t="s">
        <v>55</v>
      </c>
      <c r="L24" s="87" t="s">
        <v>55</v>
      </c>
      <c r="M24" s="87" t="s">
        <v>78</v>
      </c>
      <c r="N24" s="87" t="s">
        <v>64</v>
      </c>
      <c r="O24" s="87" t="s">
        <v>55</v>
      </c>
      <c r="P24" s="87" t="s">
        <v>76</v>
      </c>
      <c r="Q24" s="87" t="s">
        <v>73</v>
      </c>
      <c r="R24"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24" s="215">
        <f>(1 - ((1 - VLOOKUP(Table4[[#This Row],[Confidentiality]],'Reference - CVSSv3.0'!$B$15:$C$17,2,FALSE)) * (1 - VLOOKUP(Table4[[#This Row],[Integrity]],'Reference - CVSSv3.0'!$B$15:$C$17,2,FALSE)) *  (1 - VLOOKUP(Table4[[#This Row],[Availability]],'Reference - CVSSv3.0'!$B$15:$C$17,2,FALSE))))</f>
        <v>0.73230400000000007</v>
      </c>
      <c r="T24" s="215">
        <f>IF(Table4[[#This Row],[Scope]]="Unchanged",6.42*Table4[[#This Row],[ISC Base]],IF(Table4[[#This Row],[Scope]]="Changed",7.52*(Table4[[#This Row],[ISC Base]] - 0.029) - 3.25 * POWER(Table4[[#This Row],[ISC Base]] - 0.02,15),NA()))</f>
        <v>4.7013916800000004</v>
      </c>
      <c r="U24" s="215">
        <f>IF(Table4[[#This Row],[Impact Sub Score]]&lt;=0,0,IF(Table4[[#This Row],[Scope]]="Unchanged",ROUNDUP(MIN((Table4[[#This Row],[Impact Sub Score]]+Table4[[#This Row],[Exploitability Sub Score]]),10),1),IF(Table4[[#This Row],[Scope]]="Changed",ROUNDUP(MIN((1.08*(Table4[[#This Row],[Impact Sub Score]]+Table4[[#This Row],[Exploitability Sub Score]])),10),1),NA())))</f>
        <v>5.8</v>
      </c>
      <c r="V24" s="180" t="s">
        <v>55</v>
      </c>
      <c r="W24" s="215">
        <f>VLOOKUP(Table4[[#This Row],[Threat Event Initiation]],NIST_Scale_LOAI[],2,FALSE)</f>
        <v>0.2</v>
      </c>
      <c r="X24"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v>
      </c>
      <c r="Y24"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4" s="210"/>
      <c r="AA24" s="210"/>
      <c r="AB24" s="221"/>
      <c r="AC24" s="210"/>
      <c r="AD24" s="210"/>
      <c r="AE24" s="210"/>
      <c r="AF24" s="213"/>
      <c r="AG24" s="213"/>
      <c r="AH24" s="213"/>
      <c r="AI24" s="213"/>
      <c r="AJ24" s="218"/>
      <c r="AK24"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215" t="e">
        <f>(1 - ((1 - VLOOKUP(Table4[[#This Row],[ConfidentialityP]],'Reference - CVSSv3.0'!$B$15:$C$17,2,FALSE)) * (1 - VLOOKUP(Table4[[#This Row],[IntegrityP]],'Reference - CVSSv3.0'!$B$15:$C$17,2,FALSE)) *  (1 - VLOOKUP(Table4[[#This Row],[AvailabilityP]],'Reference - CVSSv3.0'!$B$15:$C$17,2,FALSE))))</f>
        <v>#N/A</v>
      </c>
      <c r="AM24" s="215" t="e">
        <f>IF(Table4[[#This Row],[ScopeP]]="Unchanged",6.42*Table4[[#This Row],[ISC BaseP]],IF(Table4[[#This Row],[ScopeP]]="Changed",7.52*(Table4[[#This Row],[ISC BaseP]] - 0.029) - 3.25 * POWER(Table4[[#This Row],[ISC BaseP]] - 0.02,15),NA()))</f>
        <v>#N/A</v>
      </c>
      <c r="AN24"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210"/>
    </row>
    <row r="25" spans="1:43" ht="56" x14ac:dyDescent="0.35">
      <c r="A25" s="65">
        <v>21</v>
      </c>
      <c r="B25" s="222" t="s">
        <v>279</v>
      </c>
      <c r="C25" s="223" t="str">
        <f>IF(VLOOKUP(Table4[[#This Row],[T ID]],Table5[#All],5,FALSE)="No","Not in scope",VLOOKUP(Table4[[#This Row],[T ID]],Table5[#All],2,FALSE))</f>
        <v>Physical Manipulation of Hardware</v>
      </c>
      <c r="D25" s="45" t="s">
        <v>316</v>
      </c>
      <c r="E25" s="223" t="str">
        <f>IF(VLOOKUP(Table4[[#This Row],[V ID]],Vulnerabilities[#All],3,FALSE)="No","Not in scope",VLOOKUP(Table4[[#This Row],[V ID]],Vulnerabilities[#All],2,FALSE))</f>
        <v>Any unprotected hardware</v>
      </c>
      <c r="F25" s="232" t="s">
        <v>112</v>
      </c>
      <c r="G25" s="223" t="str">
        <f>VLOOKUP(Table4[[#This Row],[A ID]],Assets[#All],3,FALSE)</f>
        <v>Navigation Accuracy</v>
      </c>
      <c r="H25" s="45" t="s">
        <v>348</v>
      </c>
      <c r="I25" s="54" t="s">
        <v>365</v>
      </c>
      <c r="J25" s="87" t="s">
        <v>55</v>
      </c>
      <c r="K25" s="87" t="s">
        <v>64</v>
      </c>
      <c r="L25" s="87" t="s">
        <v>349</v>
      </c>
      <c r="M25" s="87" t="s">
        <v>74</v>
      </c>
      <c r="N25" s="87" t="s">
        <v>55</v>
      </c>
      <c r="O25" s="87" t="s">
        <v>64</v>
      </c>
      <c r="P25" s="87" t="s">
        <v>76</v>
      </c>
      <c r="Q25" s="87" t="s">
        <v>73</v>
      </c>
      <c r="R25" s="22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5" s="227">
        <f>(1 - ((1 - VLOOKUP(Table4[[#This Row],[Confidentiality]],'Reference - CVSSv3.0'!$B$15:$C$17,2,FALSE)) * (1 - VLOOKUP(Table4[[#This Row],[Integrity]],'Reference - CVSSv3.0'!$B$15:$C$17,2,FALSE)) *  (1 - VLOOKUP(Table4[[#This Row],[Availability]],'Reference - CVSSv3.0'!$B$15:$C$17,2,FALSE))))</f>
        <v>0.65680000000000005</v>
      </c>
      <c r="T25" s="227">
        <f>IF(Table4[[#This Row],[Scope]]="Unchanged",6.42*Table4[[#This Row],[ISC Base]],IF(Table4[[#This Row],[Scope]]="Changed",7.52*(Table4[[#This Row],[ISC Base]] - 0.029) - 3.25 * POWER(Table4[[#This Row],[ISC Base]] - 0.02,15),NA()))</f>
        <v>4.2166560000000004</v>
      </c>
      <c r="U25" s="227">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25" s="180" t="s">
        <v>55</v>
      </c>
      <c r="W25" s="227">
        <f>VLOOKUP(Table4[[#This Row],[Threat Event Initiation]],NIST_Scale_LOAI[],2,FALSE)</f>
        <v>0.2</v>
      </c>
      <c r="X25" s="22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25" s="22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5" s="224"/>
      <c r="AA25" s="224"/>
      <c r="AB25" s="229"/>
      <c r="AC25" s="224"/>
      <c r="AD25" s="224"/>
      <c r="AE25" s="224"/>
      <c r="AF25" s="225"/>
      <c r="AG25" s="225"/>
      <c r="AH25" s="225"/>
      <c r="AI25" s="225"/>
      <c r="AJ25" s="230"/>
      <c r="AK25" s="22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227" t="e">
        <f>(1 - ((1 - VLOOKUP(Table4[[#This Row],[ConfidentialityP]],'Reference - CVSSv3.0'!$B$15:$C$17,2,FALSE)) * (1 - VLOOKUP(Table4[[#This Row],[IntegrityP]],'Reference - CVSSv3.0'!$B$15:$C$17,2,FALSE)) *  (1 - VLOOKUP(Table4[[#This Row],[AvailabilityP]],'Reference - CVSSv3.0'!$B$15:$C$17,2,FALSE))))</f>
        <v>#N/A</v>
      </c>
      <c r="AM25" s="227" t="e">
        <f>IF(Table4[[#This Row],[ScopeP]]="Unchanged",6.42*Table4[[#This Row],[ISC BaseP]],IF(Table4[[#This Row],[ScopeP]]="Changed",7.52*(Table4[[#This Row],[ISC BaseP]] - 0.029) - 3.25 * POWER(Table4[[#This Row],[ISC BaseP]] - 0.02,15),NA()))</f>
        <v>#N/A</v>
      </c>
      <c r="AN25" s="22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22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23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224"/>
    </row>
    <row r="26" spans="1:43" ht="56" x14ac:dyDescent="0.35">
      <c r="A26" s="281">
        <v>22</v>
      </c>
      <c r="B26" s="248" t="s">
        <v>390</v>
      </c>
      <c r="C26" s="271" t="str">
        <f>IF(VLOOKUP(Table4[[#This Row],[T ID]],Table5[#All],5,FALSE)="No","Not in scope",VLOOKUP(Table4[[#This Row],[T ID]],Table5[#All],2,FALSE))</f>
        <v xml:space="preserve">Unexpected/Damaged input to CT Knee Intra-op </v>
      </c>
      <c r="D26" s="248" t="s">
        <v>396</v>
      </c>
      <c r="E26" s="271" t="str">
        <f>IF(VLOOKUP(Table4[[#This Row],[V ID]],Vulnerabilities[#All],3,FALSE)="No","Not in scope",VLOOKUP(Table4[[#This Row],[V ID]],Vulnerabilities[#All],2,FALSE))</f>
        <v>Lack of input sanitization in knee intra-op application</v>
      </c>
      <c r="F26" s="272" t="s">
        <v>369</v>
      </c>
      <c r="G26" s="271" t="str">
        <f>VLOOKUP(Table4[[#This Row],[A ID]],Assets[#All],3,FALSE)</f>
        <v>Input to Intra-Op</v>
      </c>
      <c r="H26" s="284" t="s">
        <v>533</v>
      </c>
      <c r="I26" s="248"/>
      <c r="J26" s="311" t="s">
        <v>76</v>
      </c>
      <c r="K26" s="311" t="s">
        <v>76</v>
      </c>
      <c r="L26" s="311" t="s">
        <v>64</v>
      </c>
      <c r="M26" s="273" t="s">
        <v>74</v>
      </c>
      <c r="N26" s="273" t="s">
        <v>55</v>
      </c>
      <c r="O26" s="273" t="s">
        <v>55</v>
      </c>
      <c r="P26" s="87" t="s">
        <v>76</v>
      </c>
      <c r="Q26" s="273" t="s">
        <v>73</v>
      </c>
      <c r="R26"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6" s="275">
        <f>(1 - ((1 - VLOOKUP(Table4[[#This Row],[Confidentiality]],'Reference - CVSSv3.0'!$B$15:$C$17,2,FALSE)) * (1 - VLOOKUP(Table4[[#This Row],[Integrity]],'Reference - CVSSv3.0'!$B$15:$C$17,2,FALSE)) *  (1 - VLOOKUP(Table4[[#This Row],[Availability]],'Reference - CVSSv3.0'!$B$15:$C$17,2,FALSE))))</f>
        <v>0.56000000000000005</v>
      </c>
      <c r="T26" s="275">
        <f>IF(Table4[[#This Row],[Scope]]="Unchanged",6.42*Table4[[#This Row],[ISC Base]],IF(Table4[[#This Row],[Scope]]="Changed",7.52*(Table4[[#This Row],[ISC Base]] - 0.029) - 3.25 * POWER(Table4[[#This Row],[ISC Base]] - 0.02,15),NA()))</f>
        <v>3.5952000000000002</v>
      </c>
      <c r="U26" s="275">
        <f>IF(Table4[[#This Row],[Impact Sub Score]]&lt;=0,0,IF(Table4[[#This Row],[Scope]]="Unchanged",ROUNDUP(MIN((Table4[[#This Row],[Impact Sub Score]]+Table4[[#This Row],[Exploitability Sub Score]]),10),1),IF(Table4[[#This Row],[Scope]]="Changed",ROUNDUP(MIN((1.08*(Table4[[#This Row],[Impact Sub Score]]+Table4[[#This Row],[Exploitability Sub Score]])),10),1),NA())))</f>
        <v>4.3</v>
      </c>
      <c r="V26" s="276" t="s">
        <v>55</v>
      </c>
      <c r="W26" s="275">
        <f>VLOOKUP(Table4[[#This Row],[Threat Event Initiation]],NIST_Scale_LOAI[],2,FALSE)</f>
        <v>0.2</v>
      </c>
      <c r="X26"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6"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243" t="s">
        <v>478</v>
      </c>
      <c r="AA26" s="248"/>
      <c r="AB26" s="278"/>
      <c r="AC26" s="248"/>
      <c r="AD26" s="248"/>
      <c r="AE26" s="248"/>
      <c r="AF26" s="273"/>
      <c r="AG26" s="273"/>
      <c r="AH26" s="273"/>
      <c r="AI26" s="273"/>
      <c r="AJ26" s="279"/>
      <c r="AK26"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275" t="e">
        <f>(1 - ((1 - VLOOKUP(Table4[[#This Row],[ConfidentialityP]],'Reference - CVSSv3.0'!$B$15:$C$17,2,FALSE)) * (1 - VLOOKUP(Table4[[#This Row],[IntegrityP]],'Reference - CVSSv3.0'!$B$15:$C$17,2,FALSE)) *  (1 - VLOOKUP(Table4[[#This Row],[AvailabilityP]],'Reference - CVSSv3.0'!$B$15:$C$17,2,FALSE))))</f>
        <v>#N/A</v>
      </c>
      <c r="AM26" s="275" t="e">
        <f>IF(Table4[[#This Row],[ScopeP]]="Unchanged",6.42*Table4[[#This Row],[ISC BaseP]],IF(Table4[[#This Row],[ScopeP]]="Changed",7.52*(Table4[[#This Row],[ISC BaseP]] - 0.029) - 3.25 * POWER(Table4[[#This Row],[ISC BaseP]] - 0.02,15),NA()))</f>
        <v>#N/A</v>
      </c>
      <c r="AN26"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248"/>
    </row>
    <row r="27" spans="1:43" ht="42" x14ac:dyDescent="0.35">
      <c r="A27" s="281">
        <v>23</v>
      </c>
      <c r="B27" s="248" t="s">
        <v>397</v>
      </c>
      <c r="C27" s="271" t="str">
        <f>IF(VLOOKUP(Table4[[#This Row],[T ID]],Table5[#All],5,FALSE)="No","Not in scope",VLOOKUP(Table4[[#This Row],[T ID]],Table5[#All],2,FALSE))</f>
        <v>Malware affected input device</v>
      </c>
      <c r="D27" s="248" t="s">
        <v>386</v>
      </c>
      <c r="E27" s="271" t="str">
        <f>IF(VLOOKUP(Table4[[#This Row],[V ID]],Vulnerabilities[#All],3,FALSE)="No","Not in scope",VLOOKUP(Table4[[#This Row],[V ID]],Vulnerabilities[#All],2,FALSE))</f>
        <v>Software Download from malicious source</v>
      </c>
      <c r="F27" s="272" t="s">
        <v>369</v>
      </c>
      <c r="G27" s="271" t="str">
        <f>VLOOKUP(Table4[[#This Row],[A ID]],Assets[#All],3,FALSE)</f>
        <v>Input to Intra-Op</v>
      </c>
      <c r="H27" s="284" t="s">
        <v>534</v>
      </c>
      <c r="I27" s="248"/>
      <c r="J27" s="311" t="s">
        <v>76</v>
      </c>
      <c r="K27" s="311" t="s">
        <v>55</v>
      </c>
      <c r="L27" s="311" t="s">
        <v>64</v>
      </c>
      <c r="M27" s="273" t="s">
        <v>74</v>
      </c>
      <c r="N27" s="273" t="s">
        <v>55</v>
      </c>
      <c r="O27" s="273" t="s">
        <v>55</v>
      </c>
      <c r="P27" s="87" t="s">
        <v>76</v>
      </c>
      <c r="Q27" s="273" t="s">
        <v>73</v>
      </c>
      <c r="R27"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7" s="275">
        <f>(1 - ((1 - VLOOKUP(Table4[[#This Row],[Confidentiality]],'Reference - CVSSv3.0'!$B$15:$C$17,2,FALSE)) * (1 - VLOOKUP(Table4[[#This Row],[Integrity]],'Reference - CVSSv3.0'!$B$15:$C$17,2,FALSE)) *  (1 - VLOOKUP(Table4[[#This Row],[Availability]],'Reference - CVSSv3.0'!$B$15:$C$17,2,FALSE))))</f>
        <v>0.65680000000000005</v>
      </c>
      <c r="T27" s="275">
        <f>IF(Table4[[#This Row],[Scope]]="Unchanged",6.42*Table4[[#This Row],[ISC Base]],IF(Table4[[#This Row],[Scope]]="Changed",7.52*(Table4[[#This Row],[ISC Base]] - 0.029) - 3.25 * POWER(Table4[[#This Row],[ISC Base]] - 0.02,15),NA()))</f>
        <v>4.2166560000000004</v>
      </c>
      <c r="U27" s="27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7" s="276" t="s">
        <v>55</v>
      </c>
      <c r="W27" s="275">
        <f>VLOOKUP(Table4[[#This Row],[Threat Event Initiation]],NIST_Scale_LOAI[],2,FALSE)</f>
        <v>0.2</v>
      </c>
      <c r="X27"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7"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7" s="284" t="s">
        <v>474</v>
      </c>
      <c r="AA27" s="248"/>
      <c r="AB27" s="278"/>
      <c r="AC27" s="248"/>
      <c r="AD27" s="248"/>
      <c r="AE27" s="248"/>
      <c r="AF27" s="273"/>
      <c r="AG27" s="273"/>
      <c r="AH27" s="273"/>
      <c r="AI27" s="273"/>
      <c r="AJ27" s="279"/>
      <c r="AK27"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275" t="e">
        <f>(1 - ((1 - VLOOKUP(Table4[[#This Row],[ConfidentialityP]],'Reference - CVSSv3.0'!$B$15:$C$17,2,FALSE)) * (1 - VLOOKUP(Table4[[#This Row],[IntegrityP]],'Reference - CVSSv3.0'!$B$15:$C$17,2,FALSE)) *  (1 - VLOOKUP(Table4[[#This Row],[AvailabilityP]],'Reference - CVSSv3.0'!$B$15:$C$17,2,FALSE))))</f>
        <v>#N/A</v>
      </c>
      <c r="AM27" s="275" t="e">
        <f>IF(Table4[[#This Row],[ScopeP]]="Unchanged",6.42*Table4[[#This Row],[ISC BaseP]],IF(Table4[[#This Row],[ScopeP]]="Changed",7.52*(Table4[[#This Row],[ISC BaseP]] - 0.029) - 3.25 * POWER(Table4[[#This Row],[ISC BaseP]] - 0.02,15),NA()))</f>
        <v>#N/A</v>
      </c>
      <c r="AN27"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248"/>
    </row>
    <row r="28" spans="1:43" ht="42" x14ac:dyDescent="0.35">
      <c r="A28" s="281">
        <v>24</v>
      </c>
      <c r="B28" s="248" t="s">
        <v>397</v>
      </c>
      <c r="C28" s="271" t="str">
        <f>IF(VLOOKUP(Table4[[#This Row],[T ID]],Table5[#All],5,FALSE)="No","Not in scope",VLOOKUP(Table4[[#This Row],[T ID]],Table5[#All],2,FALSE))</f>
        <v>Malware affected input device</v>
      </c>
      <c r="D28" s="248" t="s">
        <v>386</v>
      </c>
      <c r="E28" s="271" t="str">
        <f>IF(VLOOKUP(Table4[[#This Row],[V ID]],Vulnerabilities[#All],3,FALSE)="No","Not in scope",VLOOKUP(Table4[[#This Row],[V ID]],Vulnerabilities[#All],2,FALSE))</f>
        <v>Software Download from malicious source</v>
      </c>
      <c r="F28" s="272" t="s">
        <v>392</v>
      </c>
      <c r="G28" s="271" t="str">
        <f>VLOOKUP(Table4[[#This Row],[A ID]],Assets[#All],3,FALSE)</f>
        <v>Removable Devices</v>
      </c>
      <c r="H28" s="284" t="s">
        <v>534</v>
      </c>
      <c r="I28" s="248"/>
      <c r="J28" s="311" t="s">
        <v>76</v>
      </c>
      <c r="K28" s="311" t="s">
        <v>55</v>
      </c>
      <c r="L28" s="311" t="s">
        <v>64</v>
      </c>
      <c r="M28" s="273" t="s">
        <v>74</v>
      </c>
      <c r="N28" s="273" t="s">
        <v>55</v>
      </c>
      <c r="O28" s="273" t="s">
        <v>55</v>
      </c>
      <c r="P28" s="87" t="s">
        <v>76</v>
      </c>
      <c r="Q28" s="273" t="s">
        <v>73</v>
      </c>
      <c r="R28"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8" s="275">
        <f>(1 - ((1 - VLOOKUP(Table4[[#This Row],[Confidentiality]],'Reference - CVSSv3.0'!$B$15:$C$17,2,FALSE)) * (1 - VLOOKUP(Table4[[#This Row],[Integrity]],'Reference - CVSSv3.0'!$B$15:$C$17,2,FALSE)) *  (1 - VLOOKUP(Table4[[#This Row],[Availability]],'Reference - CVSSv3.0'!$B$15:$C$17,2,FALSE))))</f>
        <v>0.65680000000000005</v>
      </c>
      <c r="T28" s="275">
        <f>IF(Table4[[#This Row],[Scope]]="Unchanged",6.42*Table4[[#This Row],[ISC Base]],IF(Table4[[#This Row],[Scope]]="Changed",7.52*(Table4[[#This Row],[ISC Base]] - 0.029) - 3.25 * POWER(Table4[[#This Row],[ISC Base]] - 0.02,15),NA()))</f>
        <v>4.2166560000000004</v>
      </c>
      <c r="U28" s="27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8" s="276" t="s">
        <v>55</v>
      </c>
      <c r="W28" s="275">
        <f>VLOOKUP(Table4[[#This Row],[Threat Event Initiation]],NIST_Scale_LOAI[],2,FALSE)</f>
        <v>0.2</v>
      </c>
      <c r="X28"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8"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8" s="284" t="s">
        <v>474</v>
      </c>
      <c r="AA28" s="248"/>
      <c r="AB28" s="278"/>
      <c r="AC28" s="248"/>
      <c r="AD28" s="248"/>
      <c r="AE28" s="248"/>
      <c r="AF28" s="273"/>
      <c r="AG28" s="273"/>
      <c r="AH28" s="273"/>
      <c r="AI28" s="273"/>
      <c r="AJ28" s="279"/>
      <c r="AK28"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275" t="e">
        <f>(1 - ((1 - VLOOKUP(Table4[[#This Row],[ConfidentialityP]],'Reference - CVSSv3.0'!$B$15:$C$17,2,FALSE)) * (1 - VLOOKUP(Table4[[#This Row],[IntegrityP]],'Reference - CVSSv3.0'!$B$15:$C$17,2,FALSE)) *  (1 - VLOOKUP(Table4[[#This Row],[AvailabilityP]],'Reference - CVSSv3.0'!$B$15:$C$17,2,FALSE))))</f>
        <v>#N/A</v>
      </c>
      <c r="AM28" s="275" t="e">
        <f>IF(Table4[[#This Row],[ScopeP]]="Unchanged",6.42*Table4[[#This Row],[ISC BaseP]],IF(Table4[[#This Row],[ScopeP]]="Changed",7.52*(Table4[[#This Row],[ISC BaseP]] - 0.029) - 3.25 * POWER(Table4[[#This Row],[ISC BaseP]] - 0.02,15),NA()))</f>
        <v>#N/A</v>
      </c>
      <c r="AN28"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248"/>
    </row>
    <row r="29" spans="1:43" ht="112" x14ac:dyDescent="0.35">
      <c r="A29" s="281">
        <v>25</v>
      </c>
      <c r="B29" s="248" t="s">
        <v>400</v>
      </c>
      <c r="C29" s="271" t="str">
        <f>IF(VLOOKUP(Table4[[#This Row],[T ID]],Table5[#All],5,FALSE)="No","Not in scope",VLOOKUP(Table4[[#This Row],[T ID]],Table5[#All],2,FALSE))</f>
        <v>Critical data transfer to the removable device</v>
      </c>
      <c r="D29" s="248" t="s">
        <v>143</v>
      </c>
      <c r="E29" s="271" t="str">
        <f>IF(VLOOKUP(Table4[[#This Row],[V ID]],Vulnerabilities[#All],3,FALSE)="No","Not in scope",VLOOKUP(Table4[[#This Row],[V ID]],Vulnerabilities[#All],2,FALSE))</f>
        <v>Unprotected external USB Port</v>
      </c>
      <c r="F29" s="272" t="s">
        <v>369</v>
      </c>
      <c r="G29" s="271" t="str">
        <f>VLOOKUP(Table4[[#This Row],[A ID]],Assets[#All],3,FALSE)</f>
        <v>Input to Intra-Op</v>
      </c>
      <c r="H29" s="284" t="s">
        <v>535</v>
      </c>
      <c r="I29" s="248"/>
      <c r="J29" s="311" t="s">
        <v>64</v>
      </c>
      <c r="K29" s="311" t="s">
        <v>55</v>
      </c>
      <c r="L29" s="311" t="s">
        <v>76</v>
      </c>
      <c r="M29" s="273" t="s">
        <v>74</v>
      </c>
      <c r="N29" s="273" t="s">
        <v>55</v>
      </c>
      <c r="O29" s="273" t="s">
        <v>55</v>
      </c>
      <c r="P29" s="87" t="s">
        <v>76</v>
      </c>
      <c r="Q29" s="273" t="s">
        <v>73</v>
      </c>
      <c r="R29"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9" s="275">
        <f>(1 - ((1 - VLOOKUP(Table4[[#This Row],[Confidentiality]],'Reference - CVSSv3.0'!$B$15:$C$17,2,FALSE)) * (1 - VLOOKUP(Table4[[#This Row],[Integrity]],'Reference - CVSSv3.0'!$B$15:$C$17,2,FALSE)) *  (1 - VLOOKUP(Table4[[#This Row],[Availability]],'Reference - CVSSv3.0'!$B$15:$C$17,2,FALSE))))</f>
        <v>0.65680000000000005</v>
      </c>
      <c r="T29" s="275">
        <f>IF(Table4[[#This Row],[Scope]]="Unchanged",6.42*Table4[[#This Row],[ISC Base]],IF(Table4[[#This Row],[Scope]]="Changed",7.52*(Table4[[#This Row],[ISC Base]] - 0.029) - 3.25 * POWER(Table4[[#This Row],[ISC Base]] - 0.02,15),NA()))</f>
        <v>4.2166560000000004</v>
      </c>
      <c r="U29" s="27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9" s="276" t="s">
        <v>55</v>
      </c>
      <c r="W29" s="275">
        <f>VLOOKUP(Table4[[#This Row],[Threat Event Initiation]],NIST_Scale_LOAI[],2,FALSE)</f>
        <v>0.2</v>
      </c>
      <c r="X29"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9"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9" s="243" t="s">
        <v>485</v>
      </c>
      <c r="AA29" s="248"/>
      <c r="AB29" s="278"/>
      <c r="AC29" s="248"/>
      <c r="AD29" s="248"/>
      <c r="AE29" s="248"/>
      <c r="AF29" s="273"/>
      <c r="AG29" s="273"/>
      <c r="AH29" s="273"/>
      <c r="AI29" s="273"/>
      <c r="AJ29" s="279"/>
      <c r="AK29"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275" t="e">
        <f>(1 - ((1 - VLOOKUP(Table4[[#This Row],[ConfidentialityP]],'Reference - CVSSv3.0'!$B$15:$C$17,2,FALSE)) * (1 - VLOOKUP(Table4[[#This Row],[IntegrityP]],'Reference - CVSSv3.0'!$B$15:$C$17,2,FALSE)) *  (1 - VLOOKUP(Table4[[#This Row],[AvailabilityP]],'Reference - CVSSv3.0'!$B$15:$C$17,2,FALSE))))</f>
        <v>#N/A</v>
      </c>
      <c r="AM29" s="275" t="e">
        <f>IF(Table4[[#This Row],[ScopeP]]="Unchanged",6.42*Table4[[#This Row],[ISC BaseP]],IF(Table4[[#This Row],[ScopeP]]="Changed",7.52*(Table4[[#This Row],[ISC BaseP]] - 0.029) - 3.25 * POWER(Table4[[#This Row],[ISC BaseP]] - 0.02,15),NA()))</f>
        <v>#N/A</v>
      </c>
      <c r="AN29"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248"/>
    </row>
    <row r="30" spans="1:43" ht="112" x14ac:dyDescent="0.35">
      <c r="A30" s="281">
        <v>26</v>
      </c>
      <c r="B30" s="248" t="s">
        <v>400</v>
      </c>
      <c r="C30" s="271" t="str">
        <f>IF(VLOOKUP(Table4[[#This Row],[T ID]],Table5[#All],5,FALSE)="No","Not in scope",VLOOKUP(Table4[[#This Row],[T ID]],Table5[#All],2,FALSE))</f>
        <v>Critical data transfer to the removable device</v>
      </c>
      <c r="D30" s="248" t="s">
        <v>143</v>
      </c>
      <c r="E30" s="271" t="str">
        <f>IF(VLOOKUP(Table4[[#This Row],[V ID]],Vulnerabilities[#All],3,FALSE)="No","Not in scope",VLOOKUP(Table4[[#This Row],[V ID]],Vulnerabilities[#All],2,FALSE))</f>
        <v>Unprotected external USB Port</v>
      </c>
      <c r="F30" s="272" t="s">
        <v>392</v>
      </c>
      <c r="G30" s="271" t="str">
        <f>VLOOKUP(Table4[[#This Row],[A ID]],Assets[#All],3,FALSE)</f>
        <v>Removable Devices</v>
      </c>
      <c r="H30" s="284" t="s">
        <v>535</v>
      </c>
      <c r="I30" s="248"/>
      <c r="J30" s="311" t="s">
        <v>64</v>
      </c>
      <c r="K30" s="311" t="s">
        <v>55</v>
      </c>
      <c r="L30" s="311" t="s">
        <v>76</v>
      </c>
      <c r="M30" s="273" t="s">
        <v>74</v>
      </c>
      <c r="N30" s="273" t="s">
        <v>55</v>
      </c>
      <c r="O30" s="273" t="s">
        <v>55</v>
      </c>
      <c r="P30" s="87" t="s">
        <v>76</v>
      </c>
      <c r="Q30" s="273" t="s">
        <v>73</v>
      </c>
      <c r="R30"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30" s="275">
        <f>(1 - ((1 - VLOOKUP(Table4[[#This Row],[Confidentiality]],'Reference - CVSSv3.0'!$B$15:$C$17,2,FALSE)) * (1 - VLOOKUP(Table4[[#This Row],[Integrity]],'Reference - CVSSv3.0'!$B$15:$C$17,2,FALSE)) *  (1 - VLOOKUP(Table4[[#This Row],[Availability]],'Reference - CVSSv3.0'!$B$15:$C$17,2,FALSE))))</f>
        <v>0.65680000000000005</v>
      </c>
      <c r="T30" s="275">
        <f>IF(Table4[[#This Row],[Scope]]="Unchanged",6.42*Table4[[#This Row],[ISC Base]],IF(Table4[[#This Row],[Scope]]="Changed",7.52*(Table4[[#This Row],[ISC Base]] - 0.029) - 3.25 * POWER(Table4[[#This Row],[ISC Base]] - 0.02,15),NA()))</f>
        <v>4.2166560000000004</v>
      </c>
      <c r="U30" s="27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0" s="276" t="s">
        <v>55</v>
      </c>
      <c r="W30" s="275">
        <f>VLOOKUP(Table4[[#This Row],[Threat Event Initiation]],NIST_Scale_LOAI[],2,FALSE)</f>
        <v>0.2</v>
      </c>
      <c r="X30"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30"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0" s="243" t="s">
        <v>485</v>
      </c>
      <c r="AA30" s="248"/>
      <c r="AB30" s="278"/>
      <c r="AC30" s="248"/>
      <c r="AD30" s="248"/>
      <c r="AE30" s="248"/>
      <c r="AF30" s="273"/>
      <c r="AG30" s="273"/>
      <c r="AH30" s="273"/>
      <c r="AI30" s="273"/>
      <c r="AJ30" s="279"/>
      <c r="AK30"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275" t="e">
        <f>(1 - ((1 - VLOOKUP(Table4[[#This Row],[ConfidentialityP]],'Reference - CVSSv3.0'!$B$15:$C$17,2,FALSE)) * (1 - VLOOKUP(Table4[[#This Row],[IntegrityP]],'Reference - CVSSv3.0'!$B$15:$C$17,2,FALSE)) *  (1 - VLOOKUP(Table4[[#This Row],[AvailabilityP]],'Reference - CVSSv3.0'!$B$15:$C$17,2,FALSE))))</f>
        <v>#N/A</v>
      </c>
      <c r="AM30" s="275" t="e">
        <f>IF(Table4[[#This Row],[ScopeP]]="Unchanged",6.42*Table4[[#This Row],[ISC BaseP]],IF(Table4[[#This Row],[ScopeP]]="Changed",7.52*(Table4[[#This Row],[ISC BaseP]] - 0.029) - 3.25 * POWER(Table4[[#This Row],[ISC BaseP]] - 0.02,15),NA()))</f>
        <v>#N/A</v>
      </c>
      <c r="AN30"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48"/>
    </row>
    <row r="31" spans="1:43" ht="70" x14ac:dyDescent="0.35">
      <c r="A31" s="281">
        <v>27</v>
      </c>
      <c r="B31" s="248" t="s">
        <v>400</v>
      </c>
      <c r="C31" s="271" t="str">
        <f>IF(VLOOKUP(Table4[[#This Row],[T ID]],Table5[#All],5,FALSE)="No","Not in scope",VLOOKUP(Table4[[#This Row],[T ID]],Table5[#All],2,FALSE))</f>
        <v>Critical data transfer to the removable device</v>
      </c>
      <c r="D31" s="248" t="s">
        <v>381</v>
      </c>
      <c r="E31" s="271" t="str">
        <f>IF(VLOOKUP(Table4[[#This Row],[V ID]],Vulnerabilities[#All],3,FALSE)="No","Not in scope",VLOOKUP(Table4[[#This Row],[V ID]],Vulnerabilities[#All],2,FALSE))</f>
        <v>Malicious activities not being recorded in administrator/user logs</v>
      </c>
      <c r="F31" s="272" t="s">
        <v>369</v>
      </c>
      <c r="G31" s="271" t="str">
        <f>VLOOKUP(Table4[[#This Row],[A ID]],Assets[#All],3,FALSE)</f>
        <v>Input to Intra-Op</v>
      </c>
      <c r="H31" s="284" t="s">
        <v>535</v>
      </c>
      <c r="I31" s="248"/>
      <c r="J31" s="311" t="s">
        <v>76</v>
      </c>
      <c r="K31" s="311" t="s">
        <v>76</v>
      </c>
      <c r="L31" s="311" t="s">
        <v>76</v>
      </c>
      <c r="M31" s="273" t="s">
        <v>74</v>
      </c>
      <c r="N31" s="273" t="s">
        <v>55</v>
      </c>
      <c r="O31" s="273" t="s">
        <v>55</v>
      </c>
      <c r="P31" s="87" t="s">
        <v>76</v>
      </c>
      <c r="Q31" s="273" t="s">
        <v>73</v>
      </c>
      <c r="R31"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31" s="275">
        <f>(1 - ((1 - VLOOKUP(Table4[[#This Row],[Confidentiality]],'Reference - CVSSv3.0'!$B$15:$C$17,2,FALSE)) * (1 - VLOOKUP(Table4[[#This Row],[Integrity]],'Reference - CVSSv3.0'!$B$15:$C$17,2,FALSE)) *  (1 - VLOOKUP(Table4[[#This Row],[Availability]],'Reference - CVSSv3.0'!$B$15:$C$17,2,FALSE))))</f>
        <v>0</v>
      </c>
      <c r="T31" s="275">
        <f>IF(Table4[[#This Row],[Scope]]="Unchanged",6.42*Table4[[#This Row],[ISC Base]],IF(Table4[[#This Row],[Scope]]="Changed",7.52*(Table4[[#This Row],[ISC Base]] - 0.029) - 3.25 * POWER(Table4[[#This Row],[ISC Base]] - 0.02,15),NA()))</f>
        <v>0</v>
      </c>
      <c r="U31" s="275">
        <f>IF(Table4[[#This Row],[Impact Sub Score]]&lt;=0,0,IF(Table4[[#This Row],[Scope]]="Unchanged",ROUNDUP(MIN((Table4[[#This Row],[Impact Sub Score]]+Table4[[#This Row],[Exploitability Sub Score]]),10),1),IF(Table4[[#This Row],[Scope]]="Changed",ROUNDUP(MIN((1.08*(Table4[[#This Row],[Impact Sub Score]]+Table4[[#This Row],[Exploitability Sub Score]])),10),1),NA())))</f>
        <v>0</v>
      </c>
      <c r="V31" s="276" t="s">
        <v>48</v>
      </c>
      <c r="W31" s="275">
        <f>VLOOKUP(Table4[[#This Row],[Threat Event Initiation]],NIST_Scale_LOAI[],2,FALSE)</f>
        <v>0.04</v>
      </c>
      <c r="X31"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0</v>
      </c>
      <c r="Y31"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NONE</v>
      </c>
      <c r="Z31" s="243" t="s">
        <v>475</v>
      </c>
      <c r="AA31" s="248"/>
      <c r="AB31" s="278"/>
      <c r="AC31" s="248"/>
      <c r="AD31" s="248"/>
      <c r="AE31" s="248"/>
      <c r="AF31" s="273"/>
      <c r="AG31" s="273"/>
      <c r="AH31" s="273"/>
      <c r="AI31" s="273"/>
      <c r="AJ31" s="279"/>
      <c r="AK31"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275" t="e">
        <f>(1 - ((1 - VLOOKUP(Table4[[#This Row],[ConfidentialityP]],'Reference - CVSSv3.0'!$B$15:$C$17,2,FALSE)) * (1 - VLOOKUP(Table4[[#This Row],[IntegrityP]],'Reference - CVSSv3.0'!$B$15:$C$17,2,FALSE)) *  (1 - VLOOKUP(Table4[[#This Row],[AvailabilityP]],'Reference - CVSSv3.0'!$B$15:$C$17,2,FALSE))))</f>
        <v>#N/A</v>
      </c>
      <c r="AM31" s="275" t="e">
        <f>IF(Table4[[#This Row],[ScopeP]]="Unchanged",6.42*Table4[[#This Row],[ISC BaseP]],IF(Table4[[#This Row],[ScopeP]]="Changed",7.52*(Table4[[#This Row],[ISC BaseP]] - 0.029) - 3.25 * POWER(Table4[[#This Row],[ISC BaseP]] - 0.02,15),NA()))</f>
        <v>#N/A</v>
      </c>
      <c r="AN31"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248"/>
    </row>
    <row r="32" spans="1:43" ht="70" x14ac:dyDescent="0.35">
      <c r="A32" s="281">
        <v>28</v>
      </c>
      <c r="B32" s="248" t="s">
        <v>400</v>
      </c>
      <c r="C32" s="271" t="str">
        <f>IF(VLOOKUP(Table4[[#This Row],[T ID]],Table5[#All],5,FALSE)="No","Not in scope",VLOOKUP(Table4[[#This Row],[T ID]],Table5[#All],2,FALSE))</f>
        <v>Critical data transfer to the removable device</v>
      </c>
      <c r="D32" s="248" t="s">
        <v>381</v>
      </c>
      <c r="E32" s="271" t="str">
        <f>IF(VLOOKUP(Table4[[#This Row],[V ID]],Vulnerabilities[#All],3,FALSE)="No","Not in scope",VLOOKUP(Table4[[#This Row],[V ID]],Vulnerabilities[#All],2,FALSE))</f>
        <v>Malicious activities not being recorded in administrator/user logs</v>
      </c>
      <c r="F32" s="272" t="s">
        <v>392</v>
      </c>
      <c r="G32" s="271" t="str">
        <f>VLOOKUP(Table4[[#This Row],[A ID]],Assets[#All],3,FALSE)</f>
        <v>Removable Devices</v>
      </c>
      <c r="H32" s="284" t="s">
        <v>535</v>
      </c>
      <c r="I32" s="248"/>
      <c r="J32" s="311" t="s">
        <v>76</v>
      </c>
      <c r="K32" s="311" t="s">
        <v>76</v>
      </c>
      <c r="L32" s="311" t="s">
        <v>76</v>
      </c>
      <c r="M32" s="273" t="s">
        <v>74</v>
      </c>
      <c r="N32" s="273" t="s">
        <v>55</v>
      </c>
      <c r="O32" s="273" t="s">
        <v>55</v>
      </c>
      <c r="P32" s="87" t="s">
        <v>76</v>
      </c>
      <c r="Q32" s="273" t="s">
        <v>73</v>
      </c>
      <c r="R32"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32" s="275">
        <f>(1 - ((1 - VLOOKUP(Table4[[#This Row],[Confidentiality]],'Reference - CVSSv3.0'!$B$15:$C$17,2,FALSE)) * (1 - VLOOKUP(Table4[[#This Row],[Integrity]],'Reference - CVSSv3.0'!$B$15:$C$17,2,FALSE)) *  (1 - VLOOKUP(Table4[[#This Row],[Availability]],'Reference - CVSSv3.0'!$B$15:$C$17,2,FALSE))))</f>
        <v>0</v>
      </c>
      <c r="T32" s="275">
        <f>IF(Table4[[#This Row],[Scope]]="Unchanged",6.42*Table4[[#This Row],[ISC Base]],IF(Table4[[#This Row],[Scope]]="Changed",7.52*(Table4[[#This Row],[ISC Base]] - 0.029) - 3.25 * POWER(Table4[[#This Row],[ISC Base]] - 0.02,15),NA()))</f>
        <v>0</v>
      </c>
      <c r="U32" s="275">
        <f>IF(Table4[[#This Row],[Impact Sub Score]]&lt;=0,0,IF(Table4[[#This Row],[Scope]]="Unchanged",ROUNDUP(MIN((Table4[[#This Row],[Impact Sub Score]]+Table4[[#This Row],[Exploitability Sub Score]]),10),1),IF(Table4[[#This Row],[Scope]]="Changed",ROUNDUP(MIN((1.08*(Table4[[#This Row],[Impact Sub Score]]+Table4[[#This Row],[Exploitability Sub Score]])),10),1),NA())))</f>
        <v>0</v>
      </c>
      <c r="V32" s="276" t="s">
        <v>48</v>
      </c>
      <c r="W32" s="275">
        <f>VLOOKUP(Table4[[#This Row],[Threat Event Initiation]],NIST_Scale_LOAI[],2,FALSE)</f>
        <v>0.04</v>
      </c>
      <c r="X32"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0</v>
      </c>
      <c r="Y32"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NONE</v>
      </c>
      <c r="Z32" s="243" t="s">
        <v>475</v>
      </c>
      <c r="AA32" s="248"/>
      <c r="AB32" s="278"/>
      <c r="AC32" s="248"/>
      <c r="AD32" s="248"/>
      <c r="AE32" s="248"/>
      <c r="AF32" s="273"/>
      <c r="AG32" s="273"/>
      <c r="AH32" s="273"/>
      <c r="AI32" s="273"/>
      <c r="AJ32" s="279"/>
      <c r="AK32"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275" t="e">
        <f>(1 - ((1 - VLOOKUP(Table4[[#This Row],[ConfidentialityP]],'Reference - CVSSv3.0'!$B$15:$C$17,2,FALSE)) * (1 - VLOOKUP(Table4[[#This Row],[IntegrityP]],'Reference - CVSSv3.0'!$B$15:$C$17,2,FALSE)) *  (1 - VLOOKUP(Table4[[#This Row],[AvailabilityP]],'Reference - CVSSv3.0'!$B$15:$C$17,2,FALSE))))</f>
        <v>#N/A</v>
      </c>
      <c r="AM32" s="275" t="e">
        <f>IF(Table4[[#This Row],[ScopeP]]="Unchanged",6.42*Table4[[#This Row],[ISC BaseP]],IF(Table4[[#This Row],[ScopeP]]="Changed",7.52*(Table4[[#This Row],[ISC BaseP]] - 0.029) - 3.25 * POWER(Table4[[#This Row],[ISC BaseP]] - 0.02,15),NA()))</f>
        <v>#N/A</v>
      </c>
      <c r="AN32"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248"/>
    </row>
    <row r="33" spans="1:43" ht="56" x14ac:dyDescent="0.35">
      <c r="A33" s="281">
        <v>29</v>
      </c>
      <c r="B33" s="248" t="s">
        <v>402</v>
      </c>
      <c r="C33" s="271" t="str">
        <f>IF(VLOOKUP(Table4[[#This Row],[T ID]],Table5[#All],5,FALSE)="No","Not in scope",VLOOKUP(Table4[[#This Row],[T ID]],Table5[#All],2,FALSE))</f>
        <v>Lack of encryption for input data to Intra-op</v>
      </c>
      <c r="D33" s="248" t="s">
        <v>377</v>
      </c>
      <c r="E33" s="271" t="str">
        <f>IF(VLOOKUP(Table4[[#This Row],[V ID]],Vulnerabilities[#All],3,FALSE)="No","Not in scope",VLOOKUP(Table4[[#This Row],[V ID]],Vulnerabilities[#All],2,FALSE))</f>
        <v>Unencrypted ePHI in flight (as output, input)</v>
      </c>
      <c r="F33" s="272" t="s">
        <v>369</v>
      </c>
      <c r="G33" s="271" t="str">
        <f>VLOOKUP(Table4[[#This Row],[A ID]],Assets[#All],3,FALSE)</f>
        <v>Input to Intra-Op</v>
      </c>
      <c r="H33" s="284" t="s">
        <v>536</v>
      </c>
      <c r="I33" s="248"/>
      <c r="J33" s="311" t="s">
        <v>64</v>
      </c>
      <c r="K33" s="311" t="s">
        <v>64</v>
      </c>
      <c r="L33" s="311" t="s">
        <v>76</v>
      </c>
      <c r="M33" s="273" t="s">
        <v>78</v>
      </c>
      <c r="N33" s="273" t="s">
        <v>55</v>
      </c>
      <c r="O33" s="273" t="s">
        <v>55</v>
      </c>
      <c r="P33" s="87" t="s">
        <v>76</v>
      </c>
      <c r="Q33" s="273" t="s">
        <v>73</v>
      </c>
      <c r="R33"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3" s="275">
        <f>(1 - ((1 - VLOOKUP(Table4[[#This Row],[Confidentiality]],'Reference - CVSSv3.0'!$B$15:$C$17,2,FALSE)) * (1 - VLOOKUP(Table4[[#This Row],[Integrity]],'Reference - CVSSv3.0'!$B$15:$C$17,2,FALSE)) *  (1 - VLOOKUP(Table4[[#This Row],[Availability]],'Reference - CVSSv3.0'!$B$15:$C$17,2,FALSE))))</f>
        <v>0.80640000000000001</v>
      </c>
      <c r="T33" s="275">
        <f>IF(Table4[[#This Row],[Scope]]="Unchanged",6.42*Table4[[#This Row],[ISC Base]],IF(Table4[[#This Row],[Scope]]="Changed",7.52*(Table4[[#This Row],[ISC Base]] - 0.029) - 3.25 * POWER(Table4[[#This Row],[ISC Base]] - 0.02,15),NA()))</f>
        <v>5.1770880000000004</v>
      </c>
      <c r="U33" s="275">
        <f>IF(Table4[[#This Row],[Impact Sub Score]]&lt;=0,0,IF(Table4[[#This Row],[Scope]]="Unchanged",ROUNDUP(MIN((Table4[[#This Row],[Impact Sub Score]]+Table4[[#This Row],[Exploitability Sub Score]]),10),1),IF(Table4[[#This Row],[Scope]]="Changed",ROUNDUP(MIN((1.08*(Table4[[#This Row],[Impact Sub Score]]+Table4[[#This Row],[Exploitability Sub Score]])),10),1),NA())))</f>
        <v>7.1</v>
      </c>
      <c r="V33" s="276" t="s">
        <v>55</v>
      </c>
      <c r="W33" s="275">
        <f>VLOOKUP(Table4[[#This Row],[Threat Event Initiation]],NIST_Scale_LOAI[],2,FALSE)</f>
        <v>0.2</v>
      </c>
      <c r="X33"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33"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3" s="243" t="s">
        <v>476</v>
      </c>
      <c r="AA33" s="248"/>
      <c r="AB33" s="278"/>
      <c r="AC33" s="248"/>
      <c r="AD33" s="248"/>
      <c r="AE33" s="248"/>
      <c r="AF33" s="273"/>
      <c r="AG33" s="273"/>
      <c r="AH33" s="273"/>
      <c r="AI33" s="273"/>
      <c r="AJ33" s="279"/>
      <c r="AK33"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275" t="e">
        <f>(1 - ((1 - VLOOKUP(Table4[[#This Row],[ConfidentialityP]],'Reference - CVSSv3.0'!$B$15:$C$17,2,FALSE)) * (1 - VLOOKUP(Table4[[#This Row],[IntegrityP]],'Reference - CVSSv3.0'!$B$15:$C$17,2,FALSE)) *  (1 - VLOOKUP(Table4[[#This Row],[AvailabilityP]],'Reference - CVSSv3.0'!$B$15:$C$17,2,FALSE))))</f>
        <v>#N/A</v>
      </c>
      <c r="AM33" s="275" t="e">
        <f>IF(Table4[[#This Row],[ScopeP]]="Unchanged",6.42*Table4[[#This Row],[ISC BaseP]],IF(Table4[[#This Row],[ScopeP]]="Changed",7.52*(Table4[[#This Row],[ISC BaseP]] - 0.029) - 3.25 * POWER(Table4[[#This Row],[ISC BaseP]] - 0.02,15),NA()))</f>
        <v>#N/A</v>
      </c>
      <c r="AN33"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248"/>
    </row>
    <row r="34" spans="1:43" ht="84" x14ac:dyDescent="0.35">
      <c r="A34" s="281">
        <v>30</v>
      </c>
      <c r="B34" s="248" t="s">
        <v>402</v>
      </c>
      <c r="C34" s="271" t="str">
        <f>IF(VLOOKUP(Table4[[#This Row],[T ID]],Table5[#All],5,FALSE)="No","Not in scope",VLOOKUP(Table4[[#This Row],[T ID]],Table5[#All],2,FALSE))</f>
        <v>Lack of encryption for input data to Intra-op</v>
      </c>
      <c r="D34" s="248" t="s">
        <v>379</v>
      </c>
      <c r="E34" s="271" t="str">
        <f>IF(VLOOKUP(Table4[[#This Row],[V ID]],Vulnerabilities[#All],3,FALSE)="No","Not in scope",VLOOKUP(Table4[[#This Row],[V ID]],Vulnerabilities[#All],2,FALSE))</f>
        <v>Use of a Broken or Risky Cryptographic Algorithm or Inadequate encryption strength in Intra-op application</v>
      </c>
      <c r="F34" s="272" t="s">
        <v>369</v>
      </c>
      <c r="G34" s="271" t="str">
        <f>VLOOKUP(Table4[[#This Row],[A ID]],Assets[#All],3,FALSE)</f>
        <v>Input to Intra-Op</v>
      </c>
      <c r="H34" s="284" t="s">
        <v>536</v>
      </c>
      <c r="I34" s="248"/>
      <c r="J34" s="311" t="s">
        <v>64</v>
      </c>
      <c r="K34" s="311" t="s">
        <v>55</v>
      </c>
      <c r="L34" s="311" t="s">
        <v>76</v>
      </c>
      <c r="M34" s="273" t="s">
        <v>78</v>
      </c>
      <c r="N34" s="273" t="s">
        <v>55</v>
      </c>
      <c r="O34" s="273" t="s">
        <v>55</v>
      </c>
      <c r="P34" s="87" t="s">
        <v>76</v>
      </c>
      <c r="Q34" s="273" t="s">
        <v>73</v>
      </c>
      <c r="R34"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275">
        <f>(1 - ((1 - VLOOKUP(Table4[[#This Row],[Confidentiality]],'Reference - CVSSv3.0'!$B$15:$C$17,2,FALSE)) * (1 - VLOOKUP(Table4[[#This Row],[Integrity]],'Reference - CVSSv3.0'!$B$15:$C$17,2,FALSE)) *  (1 - VLOOKUP(Table4[[#This Row],[Availability]],'Reference - CVSSv3.0'!$B$15:$C$17,2,FALSE))))</f>
        <v>0.65680000000000005</v>
      </c>
      <c r="T34" s="275">
        <f>IF(Table4[[#This Row],[Scope]]="Unchanged",6.42*Table4[[#This Row],[ISC Base]],IF(Table4[[#This Row],[Scope]]="Changed",7.52*(Table4[[#This Row],[ISC Base]] - 0.029) - 3.25 * POWER(Table4[[#This Row],[ISC Base]] - 0.02,15),NA()))</f>
        <v>4.2166560000000004</v>
      </c>
      <c r="U34" s="275">
        <f>IF(Table4[[#This Row],[Impact Sub Score]]&lt;=0,0,IF(Table4[[#This Row],[Scope]]="Unchanged",ROUNDUP(MIN((Table4[[#This Row],[Impact Sub Score]]+Table4[[#This Row],[Exploitability Sub Score]]),10),1),IF(Table4[[#This Row],[Scope]]="Changed",ROUNDUP(MIN((1.08*(Table4[[#This Row],[Impact Sub Score]]+Table4[[#This Row],[Exploitability Sub Score]])),10),1),NA())))</f>
        <v>6.1</v>
      </c>
      <c r="V34" s="276" t="s">
        <v>55</v>
      </c>
      <c r="W34" s="275">
        <f>VLOOKUP(Table4[[#This Row],[Threat Event Initiation]],NIST_Scale_LOAI[],2,FALSE)</f>
        <v>0.2</v>
      </c>
      <c r="X34"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4"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4" s="243" t="s">
        <v>476</v>
      </c>
      <c r="AA34" s="248"/>
      <c r="AB34" s="278"/>
      <c r="AC34" s="248"/>
      <c r="AD34" s="248"/>
      <c r="AE34" s="248"/>
      <c r="AF34" s="273"/>
      <c r="AG34" s="273"/>
      <c r="AH34" s="273"/>
      <c r="AI34" s="273"/>
      <c r="AJ34" s="279"/>
      <c r="AK34"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275" t="e">
        <f>(1 - ((1 - VLOOKUP(Table4[[#This Row],[ConfidentialityP]],'Reference - CVSSv3.0'!$B$15:$C$17,2,FALSE)) * (1 - VLOOKUP(Table4[[#This Row],[IntegrityP]],'Reference - CVSSv3.0'!$B$15:$C$17,2,FALSE)) *  (1 - VLOOKUP(Table4[[#This Row],[AvailabilityP]],'Reference - CVSSv3.0'!$B$15:$C$17,2,FALSE))))</f>
        <v>#N/A</v>
      </c>
      <c r="AM34" s="275" t="e">
        <f>IF(Table4[[#This Row],[ScopeP]]="Unchanged",6.42*Table4[[#This Row],[ISC BaseP]],IF(Table4[[#This Row],[ScopeP]]="Changed",7.52*(Table4[[#This Row],[ISC BaseP]] - 0.029) - 3.25 * POWER(Table4[[#This Row],[ISC BaseP]] - 0.02,15),NA()))</f>
        <v>#N/A</v>
      </c>
      <c r="AN34"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248"/>
    </row>
    <row r="35" spans="1:43" ht="70" x14ac:dyDescent="0.35">
      <c r="A35" s="281">
        <v>31</v>
      </c>
      <c r="B35" s="248" t="s">
        <v>404</v>
      </c>
      <c r="C35" s="271" t="str">
        <f>IF(VLOOKUP(Table4[[#This Row],[T ID]],Table5[#All],5,FALSE)="No","Not in scope",VLOOKUP(Table4[[#This Row],[T ID]],Table5[#All],2,FALSE))</f>
        <v>Lack of authentication for the connected removable device</v>
      </c>
      <c r="D35" s="248" t="s">
        <v>463</v>
      </c>
      <c r="E35" s="271" t="str">
        <f>IF(VLOOKUP(Table4[[#This Row],[V ID]],Vulnerabilities[#All],3,FALSE)="No","Not in scope",VLOOKUP(Table4[[#This Row],[V ID]],Vulnerabilities[#All],2,FALSE))</f>
        <v>No proper validation for the removable devices</v>
      </c>
      <c r="F35" s="272" t="s">
        <v>369</v>
      </c>
      <c r="G35" s="271" t="str">
        <f>VLOOKUP(Table4[[#This Row],[A ID]],Assets[#All],3,FALSE)</f>
        <v>Input to Intra-Op</v>
      </c>
      <c r="H35" s="284" t="s">
        <v>537</v>
      </c>
      <c r="I35" s="248"/>
      <c r="J35" s="311" t="s">
        <v>76</v>
      </c>
      <c r="K35" s="311" t="s">
        <v>55</v>
      </c>
      <c r="L35" s="311" t="s">
        <v>64</v>
      </c>
      <c r="M35" s="273" t="s">
        <v>74</v>
      </c>
      <c r="N35" s="273" t="s">
        <v>55</v>
      </c>
      <c r="O35" s="273" t="s">
        <v>55</v>
      </c>
      <c r="P35" s="87" t="s">
        <v>76</v>
      </c>
      <c r="Q35" s="273" t="s">
        <v>73</v>
      </c>
      <c r="R35"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35" s="275">
        <f>(1 - ((1 - VLOOKUP(Table4[[#This Row],[Confidentiality]],'Reference - CVSSv3.0'!$B$15:$C$17,2,FALSE)) * (1 - VLOOKUP(Table4[[#This Row],[Integrity]],'Reference - CVSSv3.0'!$B$15:$C$17,2,FALSE)) *  (1 - VLOOKUP(Table4[[#This Row],[Availability]],'Reference - CVSSv3.0'!$B$15:$C$17,2,FALSE))))</f>
        <v>0.65680000000000005</v>
      </c>
      <c r="T35" s="275">
        <f>IF(Table4[[#This Row],[Scope]]="Unchanged",6.42*Table4[[#This Row],[ISC Base]],IF(Table4[[#This Row],[Scope]]="Changed",7.52*(Table4[[#This Row],[ISC Base]] - 0.029) - 3.25 * POWER(Table4[[#This Row],[ISC Base]] - 0.02,15),NA()))</f>
        <v>4.2166560000000004</v>
      </c>
      <c r="U35" s="27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5" s="276" t="s">
        <v>55</v>
      </c>
      <c r="W35" s="275">
        <f>VLOOKUP(Table4[[#This Row],[Threat Event Initiation]],NIST_Scale_LOAI[],2,FALSE)</f>
        <v>0.2</v>
      </c>
      <c r="X35"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35"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243" t="s">
        <v>477</v>
      </c>
      <c r="AA35" s="248"/>
      <c r="AB35" s="278"/>
      <c r="AC35" s="248"/>
      <c r="AD35" s="248"/>
      <c r="AE35" s="248"/>
      <c r="AF35" s="273"/>
      <c r="AG35" s="273"/>
      <c r="AH35" s="273"/>
      <c r="AI35" s="273"/>
      <c r="AJ35" s="279"/>
      <c r="AK35"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275" t="e">
        <f>(1 - ((1 - VLOOKUP(Table4[[#This Row],[ConfidentialityP]],'Reference - CVSSv3.0'!$B$15:$C$17,2,FALSE)) * (1 - VLOOKUP(Table4[[#This Row],[IntegrityP]],'Reference - CVSSv3.0'!$B$15:$C$17,2,FALSE)) *  (1 - VLOOKUP(Table4[[#This Row],[AvailabilityP]],'Reference - CVSSv3.0'!$B$15:$C$17,2,FALSE))))</f>
        <v>#N/A</v>
      </c>
      <c r="AM35" s="275" t="e">
        <f>IF(Table4[[#This Row],[ScopeP]]="Unchanged",6.42*Table4[[#This Row],[ISC BaseP]],IF(Table4[[#This Row],[ScopeP]]="Changed",7.52*(Table4[[#This Row],[ISC BaseP]] - 0.029) - 3.25 * POWER(Table4[[#This Row],[ISC BaseP]] - 0.02,15),NA()))</f>
        <v>#N/A</v>
      </c>
      <c r="AN35"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248"/>
    </row>
    <row r="36" spans="1:43" ht="70" x14ac:dyDescent="0.35">
      <c r="A36" s="281">
        <v>32</v>
      </c>
      <c r="B36" s="248" t="s">
        <v>404</v>
      </c>
      <c r="C36" s="271" t="str">
        <f>IF(VLOOKUP(Table4[[#This Row],[T ID]],Table5[#All],5,FALSE)="No","Not in scope",VLOOKUP(Table4[[#This Row],[T ID]],Table5[#All],2,FALSE))</f>
        <v>Lack of authentication for the connected removable device</v>
      </c>
      <c r="D36" s="248" t="s">
        <v>463</v>
      </c>
      <c r="E36" s="271" t="str">
        <f>IF(VLOOKUP(Table4[[#This Row],[V ID]],Vulnerabilities[#All],3,FALSE)="No","Not in scope",VLOOKUP(Table4[[#This Row],[V ID]],Vulnerabilities[#All],2,FALSE))</f>
        <v>No proper validation for the removable devices</v>
      </c>
      <c r="F36" s="272" t="s">
        <v>392</v>
      </c>
      <c r="G36" s="271" t="str">
        <f>VLOOKUP(Table4[[#This Row],[A ID]],Assets[#All],3,FALSE)</f>
        <v>Removable Devices</v>
      </c>
      <c r="H36" s="284" t="s">
        <v>537</v>
      </c>
      <c r="I36" s="248"/>
      <c r="J36" s="311" t="s">
        <v>76</v>
      </c>
      <c r="K36" s="311" t="s">
        <v>55</v>
      </c>
      <c r="L36" s="311" t="s">
        <v>64</v>
      </c>
      <c r="M36" s="273" t="s">
        <v>74</v>
      </c>
      <c r="N36" s="273" t="s">
        <v>55</v>
      </c>
      <c r="O36" s="273" t="s">
        <v>55</v>
      </c>
      <c r="P36" s="87" t="s">
        <v>76</v>
      </c>
      <c r="Q36" s="273" t="s">
        <v>73</v>
      </c>
      <c r="R36"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36" s="275">
        <f>(1 - ((1 - VLOOKUP(Table4[[#This Row],[Confidentiality]],'Reference - CVSSv3.0'!$B$15:$C$17,2,FALSE)) * (1 - VLOOKUP(Table4[[#This Row],[Integrity]],'Reference - CVSSv3.0'!$B$15:$C$17,2,FALSE)) *  (1 - VLOOKUP(Table4[[#This Row],[Availability]],'Reference - CVSSv3.0'!$B$15:$C$17,2,FALSE))))</f>
        <v>0.65680000000000005</v>
      </c>
      <c r="T36" s="275">
        <f>IF(Table4[[#This Row],[Scope]]="Unchanged",6.42*Table4[[#This Row],[ISC Base]],IF(Table4[[#This Row],[Scope]]="Changed",7.52*(Table4[[#This Row],[ISC Base]] - 0.029) - 3.25 * POWER(Table4[[#This Row],[ISC Base]] - 0.02,15),NA()))</f>
        <v>4.2166560000000004</v>
      </c>
      <c r="U36" s="27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6" s="276" t="s">
        <v>55</v>
      </c>
      <c r="W36" s="275">
        <f>VLOOKUP(Table4[[#This Row],[Threat Event Initiation]],NIST_Scale_LOAI[],2,FALSE)</f>
        <v>0.2</v>
      </c>
      <c r="X36"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36"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6" s="243" t="s">
        <v>477</v>
      </c>
      <c r="AA36" s="248"/>
      <c r="AB36" s="278"/>
      <c r="AC36" s="248"/>
      <c r="AD36" s="248"/>
      <c r="AE36" s="248"/>
      <c r="AF36" s="273"/>
      <c r="AG36" s="273"/>
      <c r="AH36" s="273"/>
      <c r="AI36" s="273"/>
      <c r="AJ36" s="279"/>
      <c r="AK36"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275" t="e">
        <f>(1 - ((1 - VLOOKUP(Table4[[#This Row],[ConfidentialityP]],'Reference - CVSSv3.0'!$B$15:$C$17,2,FALSE)) * (1 - VLOOKUP(Table4[[#This Row],[IntegrityP]],'Reference - CVSSv3.0'!$B$15:$C$17,2,FALSE)) *  (1 - VLOOKUP(Table4[[#This Row],[AvailabilityP]],'Reference - CVSSv3.0'!$B$15:$C$17,2,FALSE))))</f>
        <v>#N/A</v>
      </c>
      <c r="AM36" s="275" t="e">
        <f>IF(Table4[[#This Row],[ScopeP]]="Unchanged",6.42*Table4[[#This Row],[ISC BaseP]],IF(Table4[[#This Row],[ScopeP]]="Changed",7.52*(Table4[[#This Row],[ISC BaseP]] - 0.029) - 3.25 * POWER(Table4[[#This Row],[ISC BaseP]] - 0.02,15),NA()))</f>
        <v>#N/A</v>
      </c>
      <c r="AN36"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248"/>
    </row>
    <row r="37" spans="1:43" ht="56" x14ac:dyDescent="0.35">
      <c r="A37" s="281">
        <v>33</v>
      </c>
      <c r="B37" s="248" t="s">
        <v>406</v>
      </c>
      <c r="C37" s="271" t="str">
        <f>IF(VLOOKUP(Table4[[#This Row],[T ID]],Table5[#All],5,FALSE)="No","Not in scope",VLOOKUP(Table4[[#This Row],[T ID]],Table5[#All],2,FALSE))</f>
        <v>Absence of data validation</v>
      </c>
      <c r="D37" s="248" t="s">
        <v>396</v>
      </c>
      <c r="E37" s="271" t="str">
        <f>IF(VLOOKUP(Table4[[#This Row],[V ID]],Vulnerabilities[#All],3,FALSE)="No","Not in scope",VLOOKUP(Table4[[#This Row],[V ID]],Vulnerabilities[#All],2,FALSE))</f>
        <v>Lack of input sanitization in knee intra-op application</v>
      </c>
      <c r="F37" s="272" t="s">
        <v>369</v>
      </c>
      <c r="G37" s="271" t="str">
        <f>VLOOKUP(Table4[[#This Row],[A ID]],Assets[#All],3,FALSE)</f>
        <v>Input to Intra-Op</v>
      </c>
      <c r="H37" s="284" t="s">
        <v>533</v>
      </c>
      <c r="I37" s="248"/>
      <c r="J37" s="311" t="s">
        <v>76</v>
      </c>
      <c r="K37" s="311" t="s">
        <v>55</v>
      </c>
      <c r="L37" s="311" t="s">
        <v>64</v>
      </c>
      <c r="M37" s="273" t="s">
        <v>78</v>
      </c>
      <c r="N37" s="273" t="s">
        <v>55</v>
      </c>
      <c r="O37" s="273" t="s">
        <v>55</v>
      </c>
      <c r="P37" s="87" t="s">
        <v>76</v>
      </c>
      <c r="Q37" s="273" t="s">
        <v>73</v>
      </c>
      <c r="R37"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7" s="275">
        <f>(1 - ((1 - VLOOKUP(Table4[[#This Row],[Confidentiality]],'Reference - CVSSv3.0'!$B$15:$C$17,2,FALSE)) * (1 - VLOOKUP(Table4[[#This Row],[Integrity]],'Reference - CVSSv3.0'!$B$15:$C$17,2,FALSE)) *  (1 - VLOOKUP(Table4[[#This Row],[Availability]],'Reference - CVSSv3.0'!$B$15:$C$17,2,FALSE))))</f>
        <v>0.65680000000000005</v>
      </c>
      <c r="T37" s="275">
        <f>IF(Table4[[#This Row],[Scope]]="Unchanged",6.42*Table4[[#This Row],[ISC Base]],IF(Table4[[#This Row],[Scope]]="Changed",7.52*(Table4[[#This Row],[ISC Base]] - 0.029) - 3.25 * POWER(Table4[[#This Row],[ISC Base]] - 0.02,15),NA()))</f>
        <v>4.2166560000000004</v>
      </c>
      <c r="U37" s="275">
        <f>IF(Table4[[#This Row],[Impact Sub Score]]&lt;=0,0,IF(Table4[[#This Row],[Scope]]="Unchanged",ROUNDUP(MIN((Table4[[#This Row],[Impact Sub Score]]+Table4[[#This Row],[Exploitability Sub Score]]),10),1),IF(Table4[[#This Row],[Scope]]="Changed",ROUNDUP(MIN((1.08*(Table4[[#This Row],[Impact Sub Score]]+Table4[[#This Row],[Exploitability Sub Score]])),10),1),NA())))</f>
        <v>6.1</v>
      </c>
      <c r="V37" s="276" t="s">
        <v>55</v>
      </c>
      <c r="W37" s="275">
        <f>VLOOKUP(Table4[[#This Row],[Threat Event Initiation]],NIST_Scale_LOAI[],2,FALSE)</f>
        <v>0.2</v>
      </c>
      <c r="X37"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7"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7" s="243" t="s">
        <v>478</v>
      </c>
      <c r="AA37" s="248"/>
      <c r="AB37" s="278"/>
      <c r="AC37" s="248"/>
      <c r="AD37" s="248"/>
      <c r="AE37" s="248"/>
      <c r="AF37" s="273"/>
      <c r="AG37" s="273"/>
      <c r="AH37" s="273"/>
      <c r="AI37" s="273"/>
      <c r="AJ37" s="279"/>
      <c r="AK37"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275" t="e">
        <f>(1 - ((1 - VLOOKUP(Table4[[#This Row],[ConfidentialityP]],'Reference - CVSSv3.0'!$B$15:$C$17,2,FALSE)) * (1 - VLOOKUP(Table4[[#This Row],[IntegrityP]],'Reference - CVSSv3.0'!$B$15:$C$17,2,FALSE)) *  (1 - VLOOKUP(Table4[[#This Row],[AvailabilityP]],'Reference - CVSSv3.0'!$B$15:$C$17,2,FALSE))))</f>
        <v>#N/A</v>
      </c>
      <c r="AM37" s="275" t="e">
        <f>IF(Table4[[#This Row],[ScopeP]]="Unchanged",6.42*Table4[[#This Row],[ISC BaseP]],IF(Table4[[#This Row],[ScopeP]]="Changed",7.52*(Table4[[#This Row],[ISC BaseP]] - 0.029) - 3.25 * POWER(Table4[[#This Row],[ISC BaseP]] - 0.02,15),NA()))</f>
        <v>#N/A</v>
      </c>
      <c r="AN37"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248"/>
    </row>
    <row r="38" spans="1:43" ht="84" x14ac:dyDescent="0.35">
      <c r="A38" s="281">
        <v>34</v>
      </c>
      <c r="B38" s="248" t="s">
        <v>412</v>
      </c>
      <c r="C38" s="271" t="str">
        <f>IF(VLOOKUP(Table4[[#This Row],[T ID]],Table5[#All],5,FALSE)="No","Not in scope",VLOOKUP(Table4[[#This Row],[T ID]],Table5[#All],2,FALSE))</f>
        <v>Broken authentication (user name, password…)</v>
      </c>
      <c r="D38" s="248" t="s">
        <v>466</v>
      </c>
      <c r="E38" s="271" t="str">
        <f>IF(VLOOKUP(Table4[[#This Row],[V ID]],Vulnerabilities[#All],3,FALSE)="No","Not in scope",VLOOKUP(Table4[[#This Row],[V ID]],Vulnerabilities[#All],2,FALSE))</f>
        <v>Lack of multi-factor authentication</v>
      </c>
      <c r="F38" s="272" t="s">
        <v>366</v>
      </c>
      <c r="G38" s="271" t="str">
        <f>VLOOKUP(Table4[[#This Row],[A ID]],Assets[#All],3,FALSE)</f>
        <v>THOR Knee Intra-op Application</v>
      </c>
      <c r="H38" s="284" t="s">
        <v>538</v>
      </c>
      <c r="I38" s="248"/>
      <c r="J38" s="311" t="s">
        <v>76</v>
      </c>
      <c r="K38" s="311" t="s">
        <v>55</v>
      </c>
      <c r="L38" s="311" t="s">
        <v>64</v>
      </c>
      <c r="M38" s="273" t="s">
        <v>78</v>
      </c>
      <c r="N38" s="273" t="s">
        <v>55</v>
      </c>
      <c r="O38" s="273" t="s">
        <v>55</v>
      </c>
      <c r="P38" s="87" t="s">
        <v>76</v>
      </c>
      <c r="Q38" s="273" t="s">
        <v>73</v>
      </c>
      <c r="R38"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8" s="275">
        <f>(1 - ((1 - VLOOKUP(Table4[[#This Row],[Confidentiality]],'Reference - CVSSv3.0'!$B$15:$C$17,2,FALSE)) * (1 - VLOOKUP(Table4[[#This Row],[Integrity]],'Reference - CVSSv3.0'!$B$15:$C$17,2,FALSE)) *  (1 - VLOOKUP(Table4[[#This Row],[Availability]],'Reference - CVSSv3.0'!$B$15:$C$17,2,FALSE))))</f>
        <v>0.65680000000000005</v>
      </c>
      <c r="T38" s="275">
        <f>IF(Table4[[#This Row],[Scope]]="Unchanged",6.42*Table4[[#This Row],[ISC Base]],IF(Table4[[#This Row],[Scope]]="Changed",7.52*(Table4[[#This Row],[ISC Base]] - 0.029) - 3.25 * POWER(Table4[[#This Row],[ISC Base]] - 0.02,15),NA()))</f>
        <v>4.2166560000000004</v>
      </c>
      <c r="U38" s="275">
        <f>IF(Table4[[#This Row],[Impact Sub Score]]&lt;=0,0,IF(Table4[[#This Row],[Scope]]="Unchanged",ROUNDUP(MIN((Table4[[#This Row],[Impact Sub Score]]+Table4[[#This Row],[Exploitability Sub Score]]),10),1),IF(Table4[[#This Row],[Scope]]="Changed",ROUNDUP(MIN((1.08*(Table4[[#This Row],[Impact Sub Score]]+Table4[[#This Row],[Exploitability Sub Score]])),10),1),NA())))</f>
        <v>6.1</v>
      </c>
      <c r="V38" s="276" t="s">
        <v>48</v>
      </c>
      <c r="W38" s="275">
        <f>VLOOKUP(Table4[[#This Row],[Threat Event Initiation]],NIST_Scale_LOAI[],2,FALSE)</f>
        <v>0.04</v>
      </c>
      <c r="X38"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8"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8" s="283" t="s">
        <v>479</v>
      </c>
      <c r="AA38" s="248"/>
      <c r="AB38" s="278"/>
      <c r="AC38" s="248"/>
      <c r="AD38" s="248"/>
      <c r="AE38" s="248"/>
      <c r="AF38" s="273"/>
      <c r="AG38" s="273"/>
      <c r="AH38" s="273"/>
      <c r="AI38" s="273"/>
      <c r="AJ38" s="279"/>
      <c r="AK38"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275" t="e">
        <f>(1 - ((1 - VLOOKUP(Table4[[#This Row],[ConfidentialityP]],'Reference - CVSSv3.0'!$B$15:$C$17,2,FALSE)) * (1 - VLOOKUP(Table4[[#This Row],[IntegrityP]],'Reference - CVSSv3.0'!$B$15:$C$17,2,FALSE)) *  (1 - VLOOKUP(Table4[[#This Row],[AvailabilityP]],'Reference - CVSSv3.0'!$B$15:$C$17,2,FALSE))))</f>
        <v>#N/A</v>
      </c>
      <c r="AM38" s="275" t="e">
        <f>IF(Table4[[#This Row],[ScopeP]]="Unchanged",6.42*Table4[[#This Row],[ISC BaseP]],IF(Table4[[#This Row],[ScopeP]]="Changed",7.52*(Table4[[#This Row],[ISC BaseP]] - 0.029) - 3.25 * POWER(Table4[[#This Row],[ISC BaseP]] - 0.02,15),NA()))</f>
        <v>#N/A</v>
      </c>
      <c r="AN38"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248"/>
    </row>
    <row r="39" spans="1:43" ht="70" x14ac:dyDescent="0.35">
      <c r="A39" s="281">
        <v>35</v>
      </c>
      <c r="B39" s="248" t="s">
        <v>413</v>
      </c>
      <c r="C39" s="271" t="str">
        <f>IF(VLOOKUP(Table4[[#This Row],[T ID]],Table5[#All],5,FALSE)="No","Not in scope",VLOOKUP(Table4[[#This Row],[T ID]],Table5[#All],2,FALSE))</f>
        <v>BRUTE force/Dictonary attacks</v>
      </c>
      <c r="D39" s="248" t="s">
        <v>466</v>
      </c>
      <c r="E39" s="271" t="str">
        <f>IF(VLOOKUP(Table4[[#This Row],[V ID]],Vulnerabilities[#All],3,FALSE)="No","Not in scope",VLOOKUP(Table4[[#This Row],[V ID]],Vulnerabilities[#All],2,FALSE))</f>
        <v>Lack of multi-factor authentication</v>
      </c>
      <c r="F39" s="272" t="s">
        <v>366</v>
      </c>
      <c r="G39" s="271" t="str">
        <f>VLOOKUP(Table4[[#This Row],[A ID]],Assets[#All],3,FALSE)</f>
        <v>THOR Knee Intra-op Application</v>
      </c>
      <c r="H39" s="284" t="s">
        <v>540</v>
      </c>
      <c r="I39" s="248"/>
      <c r="J39" s="311" t="s">
        <v>76</v>
      </c>
      <c r="K39" s="311" t="s">
        <v>55</v>
      </c>
      <c r="L39" s="311" t="s">
        <v>64</v>
      </c>
      <c r="M39" s="273" t="s">
        <v>77</v>
      </c>
      <c r="N39" s="273" t="s">
        <v>64</v>
      </c>
      <c r="O39" s="273" t="s">
        <v>55</v>
      </c>
      <c r="P39" s="87" t="s">
        <v>76</v>
      </c>
      <c r="Q39" s="273" t="s">
        <v>73</v>
      </c>
      <c r="R39"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9" s="275">
        <f>(1 - ((1 - VLOOKUP(Table4[[#This Row],[Confidentiality]],'Reference - CVSSv3.0'!$B$15:$C$17,2,FALSE)) * (1 - VLOOKUP(Table4[[#This Row],[Integrity]],'Reference - CVSSv3.0'!$B$15:$C$17,2,FALSE)) *  (1 - VLOOKUP(Table4[[#This Row],[Availability]],'Reference - CVSSv3.0'!$B$15:$C$17,2,FALSE))))</f>
        <v>0.65680000000000005</v>
      </c>
      <c r="T39" s="275">
        <f>IF(Table4[[#This Row],[Scope]]="Unchanged",6.42*Table4[[#This Row],[ISC Base]],IF(Table4[[#This Row],[Scope]]="Changed",7.52*(Table4[[#This Row],[ISC Base]] - 0.029) - 3.25 * POWER(Table4[[#This Row],[ISC Base]] - 0.02,15),NA()))</f>
        <v>4.2166560000000004</v>
      </c>
      <c r="U39" s="275">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39" s="276" t="s">
        <v>54</v>
      </c>
      <c r="W39" s="275">
        <f>VLOOKUP(Table4[[#This Row],[Threat Event Initiation]],NIST_Scale_LOAI[],2,FALSE)</f>
        <v>0.5</v>
      </c>
      <c r="X39"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39"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9" s="243" t="s">
        <v>480</v>
      </c>
      <c r="AA39" s="248"/>
      <c r="AB39" s="278"/>
      <c r="AC39" s="248"/>
      <c r="AD39" s="248"/>
      <c r="AE39" s="248"/>
      <c r="AF39" s="273"/>
      <c r="AG39" s="273"/>
      <c r="AH39" s="273"/>
      <c r="AI39" s="273"/>
      <c r="AJ39" s="279"/>
      <c r="AK39"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275" t="e">
        <f>(1 - ((1 - VLOOKUP(Table4[[#This Row],[ConfidentialityP]],'Reference - CVSSv3.0'!$B$15:$C$17,2,FALSE)) * (1 - VLOOKUP(Table4[[#This Row],[IntegrityP]],'Reference - CVSSv3.0'!$B$15:$C$17,2,FALSE)) *  (1 - VLOOKUP(Table4[[#This Row],[AvailabilityP]],'Reference - CVSSv3.0'!$B$15:$C$17,2,FALSE))))</f>
        <v>#N/A</v>
      </c>
      <c r="AM39" s="275" t="e">
        <f>IF(Table4[[#This Row],[ScopeP]]="Unchanged",6.42*Table4[[#This Row],[ISC BaseP]],IF(Table4[[#This Row],[ScopeP]]="Changed",7.52*(Table4[[#This Row],[ISC BaseP]] - 0.029) - 3.25 * POWER(Table4[[#This Row],[ISC BaseP]] - 0.02,15),NA()))</f>
        <v>#N/A</v>
      </c>
      <c r="AN39"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248"/>
    </row>
    <row r="40" spans="1:43" ht="70" x14ac:dyDescent="0.35">
      <c r="A40" s="281">
        <v>36</v>
      </c>
      <c r="B40" s="248" t="s">
        <v>413</v>
      </c>
      <c r="C40" s="271" t="str">
        <f>IF(VLOOKUP(Table4[[#This Row],[T ID]],Table5[#All],5,FALSE)="No","Not in scope",VLOOKUP(Table4[[#This Row],[T ID]],Table5[#All],2,FALSE))</f>
        <v>BRUTE force/Dictonary attacks</v>
      </c>
      <c r="D40" s="248" t="s">
        <v>468</v>
      </c>
      <c r="E40" s="271" t="str">
        <f>IF(VLOOKUP(Table4[[#This Row],[V ID]],Vulnerabilities[#All],3,FALSE)="No","Not in scope",VLOOKUP(Table4[[#This Row],[V ID]],Vulnerabilities[#All],2,FALSE))</f>
        <v>Application allowing unlimited login attempts</v>
      </c>
      <c r="F40" s="272" t="s">
        <v>366</v>
      </c>
      <c r="G40" s="271" t="str">
        <f>VLOOKUP(Table4[[#This Row],[A ID]],Assets[#All],3,FALSE)</f>
        <v>THOR Knee Intra-op Application</v>
      </c>
      <c r="H40" s="284" t="s">
        <v>540</v>
      </c>
      <c r="I40" s="248"/>
      <c r="J40" s="311" t="s">
        <v>76</v>
      </c>
      <c r="K40" s="311" t="s">
        <v>55</v>
      </c>
      <c r="L40" s="311" t="s">
        <v>64</v>
      </c>
      <c r="M40" s="273" t="s">
        <v>77</v>
      </c>
      <c r="N40" s="273" t="s">
        <v>64</v>
      </c>
      <c r="O40" s="273" t="s">
        <v>55</v>
      </c>
      <c r="P40" s="87" t="s">
        <v>76</v>
      </c>
      <c r="Q40" s="273" t="s">
        <v>73</v>
      </c>
      <c r="R40"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40" s="275">
        <f>(1 - ((1 - VLOOKUP(Table4[[#This Row],[Confidentiality]],'Reference - CVSSv3.0'!$B$15:$C$17,2,FALSE)) * (1 - VLOOKUP(Table4[[#This Row],[Integrity]],'Reference - CVSSv3.0'!$B$15:$C$17,2,FALSE)) *  (1 - VLOOKUP(Table4[[#This Row],[Availability]],'Reference - CVSSv3.0'!$B$15:$C$17,2,FALSE))))</f>
        <v>0.65680000000000005</v>
      </c>
      <c r="T40" s="275">
        <f>IF(Table4[[#This Row],[Scope]]="Unchanged",6.42*Table4[[#This Row],[ISC Base]],IF(Table4[[#This Row],[Scope]]="Changed",7.52*(Table4[[#This Row],[ISC Base]] - 0.029) - 3.25 * POWER(Table4[[#This Row],[ISC Base]] - 0.02,15),NA()))</f>
        <v>4.2166560000000004</v>
      </c>
      <c r="U40" s="275">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40" s="276" t="s">
        <v>54</v>
      </c>
      <c r="W40" s="275">
        <f>VLOOKUP(Table4[[#This Row],[Threat Event Initiation]],NIST_Scale_LOAI[],2,FALSE)</f>
        <v>0.5</v>
      </c>
      <c r="X40"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40"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0" s="284" t="s">
        <v>480</v>
      </c>
      <c r="AA40" s="248"/>
      <c r="AB40" s="278"/>
      <c r="AC40" s="248"/>
      <c r="AD40" s="248"/>
      <c r="AE40" s="248"/>
      <c r="AF40" s="273"/>
      <c r="AG40" s="273"/>
      <c r="AH40" s="273"/>
      <c r="AI40" s="273"/>
      <c r="AJ40" s="279"/>
      <c r="AK40"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275" t="e">
        <f>(1 - ((1 - VLOOKUP(Table4[[#This Row],[ConfidentialityP]],'Reference - CVSSv3.0'!$B$15:$C$17,2,FALSE)) * (1 - VLOOKUP(Table4[[#This Row],[IntegrityP]],'Reference - CVSSv3.0'!$B$15:$C$17,2,FALSE)) *  (1 - VLOOKUP(Table4[[#This Row],[AvailabilityP]],'Reference - CVSSv3.0'!$B$15:$C$17,2,FALSE))))</f>
        <v>#N/A</v>
      </c>
      <c r="AM40" s="275" t="e">
        <f>IF(Table4[[#This Row],[ScopeP]]="Unchanged",6.42*Table4[[#This Row],[ISC BaseP]],IF(Table4[[#This Row],[ScopeP]]="Changed",7.52*(Table4[[#This Row],[ISC BaseP]] - 0.029) - 3.25 * POWER(Table4[[#This Row],[ISC BaseP]] - 0.02,15),NA()))</f>
        <v>#N/A</v>
      </c>
      <c r="AN40"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248"/>
    </row>
    <row r="41" spans="1:43" ht="70" x14ac:dyDescent="0.35">
      <c r="A41" s="281">
        <v>37</v>
      </c>
      <c r="B41" s="248" t="s">
        <v>413</v>
      </c>
      <c r="C41" s="271" t="str">
        <f>IF(VLOOKUP(Table4[[#This Row],[T ID]],Table5[#All],5,FALSE)="No","Not in scope",VLOOKUP(Table4[[#This Row],[T ID]],Table5[#All],2,FALSE))</f>
        <v>BRUTE force/Dictonary attacks</v>
      </c>
      <c r="D41" s="248" t="s">
        <v>381</v>
      </c>
      <c r="E41" s="271" t="str">
        <f>IF(VLOOKUP(Table4[[#This Row],[V ID]],Vulnerabilities[#All],3,FALSE)="No","Not in scope",VLOOKUP(Table4[[#This Row],[V ID]],Vulnerabilities[#All],2,FALSE))</f>
        <v>Malicious activities not being recorded in administrator/user logs</v>
      </c>
      <c r="F41" s="272" t="s">
        <v>366</v>
      </c>
      <c r="G41" s="271" t="str">
        <f>VLOOKUP(Table4[[#This Row],[A ID]],Assets[#All],3,FALSE)</f>
        <v>THOR Knee Intra-op Application</v>
      </c>
      <c r="H41" s="284" t="s">
        <v>540</v>
      </c>
      <c r="I41" s="248"/>
      <c r="J41" s="311" t="s">
        <v>76</v>
      </c>
      <c r="K41" s="311" t="s">
        <v>55</v>
      </c>
      <c r="L41" s="311" t="s">
        <v>64</v>
      </c>
      <c r="M41" s="273" t="s">
        <v>77</v>
      </c>
      <c r="N41" s="273" t="s">
        <v>64</v>
      </c>
      <c r="O41" s="273" t="s">
        <v>55</v>
      </c>
      <c r="P41" s="87" t="s">
        <v>76</v>
      </c>
      <c r="Q41" s="273" t="s">
        <v>73</v>
      </c>
      <c r="R41"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41" s="275">
        <f>(1 - ((1 - VLOOKUP(Table4[[#This Row],[Confidentiality]],'Reference - CVSSv3.0'!$B$15:$C$17,2,FALSE)) * (1 - VLOOKUP(Table4[[#This Row],[Integrity]],'Reference - CVSSv3.0'!$B$15:$C$17,2,FALSE)) *  (1 - VLOOKUP(Table4[[#This Row],[Availability]],'Reference - CVSSv3.0'!$B$15:$C$17,2,FALSE))))</f>
        <v>0.65680000000000005</v>
      </c>
      <c r="T41" s="275">
        <f>IF(Table4[[#This Row],[Scope]]="Unchanged",6.42*Table4[[#This Row],[ISC Base]],IF(Table4[[#This Row],[Scope]]="Changed",7.52*(Table4[[#This Row],[ISC Base]] - 0.029) - 3.25 * POWER(Table4[[#This Row],[ISC Base]] - 0.02,15),NA()))</f>
        <v>4.2166560000000004</v>
      </c>
      <c r="U41" s="275">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41" s="276" t="s">
        <v>54</v>
      </c>
      <c r="W41" s="275">
        <f>VLOOKUP(Table4[[#This Row],[Threat Event Initiation]],NIST_Scale_LOAI[],2,FALSE)</f>
        <v>0.5</v>
      </c>
      <c r="X41"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41"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1" s="284" t="s">
        <v>480</v>
      </c>
      <c r="AA41" s="248"/>
      <c r="AB41" s="278"/>
      <c r="AC41" s="248"/>
      <c r="AD41" s="248"/>
      <c r="AE41" s="248"/>
      <c r="AF41" s="273"/>
      <c r="AG41" s="273"/>
      <c r="AH41" s="273"/>
      <c r="AI41" s="273"/>
      <c r="AJ41" s="279"/>
      <c r="AK41"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275" t="e">
        <f>(1 - ((1 - VLOOKUP(Table4[[#This Row],[ConfidentialityP]],'Reference - CVSSv3.0'!$B$15:$C$17,2,FALSE)) * (1 - VLOOKUP(Table4[[#This Row],[IntegrityP]],'Reference - CVSSv3.0'!$B$15:$C$17,2,FALSE)) *  (1 - VLOOKUP(Table4[[#This Row],[AvailabilityP]],'Reference - CVSSv3.0'!$B$15:$C$17,2,FALSE))))</f>
        <v>#N/A</v>
      </c>
      <c r="AM41" s="275" t="e">
        <f>IF(Table4[[#This Row],[ScopeP]]="Unchanged",6.42*Table4[[#This Row],[ISC BaseP]],IF(Table4[[#This Row],[ScopeP]]="Changed",7.52*(Table4[[#This Row],[ISC BaseP]] - 0.029) - 3.25 * POWER(Table4[[#This Row],[ISC BaseP]] - 0.02,15),NA()))</f>
        <v>#N/A</v>
      </c>
      <c r="AN41"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248"/>
    </row>
    <row r="42" spans="1:43" ht="70" x14ac:dyDescent="0.35">
      <c r="A42" s="281">
        <v>38</v>
      </c>
      <c r="B42" s="248" t="s">
        <v>415</v>
      </c>
      <c r="C42" s="271" t="str">
        <f>IF(VLOOKUP(Table4[[#This Row],[T ID]],Table5[#All],5,FALSE)="No","Not in scope",VLOOKUP(Table4[[#This Row],[T ID]],Table5[#All],2,FALSE))</f>
        <v>No session expiry</v>
      </c>
      <c r="D42" s="248" t="s">
        <v>471</v>
      </c>
      <c r="E42" s="271" t="str">
        <f>IF(VLOOKUP(Table4[[#This Row],[V ID]],Vulnerabilities[#All],3,FALSE)="No","Not in scope",VLOOKUP(Table4[[#This Row],[V ID]],Vulnerabilities[#All],2,FALSE))</f>
        <v>No session time out implemented for the application</v>
      </c>
      <c r="F42" s="272" t="s">
        <v>366</v>
      </c>
      <c r="G42" s="271" t="str">
        <f>VLOOKUP(Table4[[#This Row],[A ID]],Assets[#All],3,FALSE)</f>
        <v>THOR Knee Intra-op Application</v>
      </c>
      <c r="H42" s="284" t="s">
        <v>542</v>
      </c>
      <c r="I42" s="248"/>
      <c r="J42" s="311" t="s">
        <v>76</v>
      </c>
      <c r="K42" s="311" t="s">
        <v>55</v>
      </c>
      <c r="L42" s="311" t="s">
        <v>64</v>
      </c>
      <c r="M42" s="273" t="s">
        <v>78</v>
      </c>
      <c r="N42" s="273" t="s">
        <v>55</v>
      </c>
      <c r="O42" s="273" t="s">
        <v>55</v>
      </c>
      <c r="P42" s="87" t="s">
        <v>76</v>
      </c>
      <c r="Q42" s="273" t="s">
        <v>73</v>
      </c>
      <c r="R42"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2" s="275">
        <f>(1 - ((1 - VLOOKUP(Table4[[#This Row],[Confidentiality]],'Reference - CVSSv3.0'!$B$15:$C$17,2,FALSE)) * (1 - VLOOKUP(Table4[[#This Row],[Integrity]],'Reference - CVSSv3.0'!$B$15:$C$17,2,FALSE)) *  (1 - VLOOKUP(Table4[[#This Row],[Availability]],'Reference - CVSSv3.0'!$B$15:$C$17,2,FALSE))))</f>
        <v>0.65680000000000005</v>
      </c>
      <c r="T42" s="275">
        <f>IF(Table4[[#This Row],[Scope]]="Unchanged",6.42*Table4[[#This Row],[ISC Base]],IF(Table4[[#This Row],[Scope]]="Changed",7.52*(Table4[[#This Row],[ISC Base]] - 0.029) - 3.25 * POWER(Table4[[#This Row],[ISC Base]] - 0.02,15),NA()))</f>
        <v>4.2166560000000004</v>
      </c>
      <c r="U42" s="275">
        <f>IF(Table4[[#This Row],[Impact Sub Score]]&lt;=0,0,IF(Table4[[#This Row],[Scope]]="Unchanged",ROUNDUP(MIN((Table4[[#This Row],[Impact Sub Score]]+Table4[[#This Row],[Exploitability Sub Score]]),10),1),IF(Table4[[#This Row],[Scope]]="Changed",ROUNDUP(MIN((1.08*(Table4[[#This Row],[Impact Sub Score]]+Table4[[#This Row],[Exploitability Sub Score]])),10),1),NA())))</f>
        <v>6.1</v>
      </c>
      <c r="V42" s="276" t="s">
        <v>55</v>
      </c>
      <c r="W42" s="275">
        <f>VLOOKUP(Table4[[#This Row],[Threat Event Initiation]],NIST_Scale_LOAI[],2,FALSE)</f>
        <v>0.2</v>
      </c>
      <c r="X42"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2"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2" s="243" t="s">
        <v>481</v>
      </c>
      <c r="AA42" s="248"/>
      <c r="AB42" s="278"/>
      <c r="AC42" s="248"/>
      <c r="AD42" s="248"/>
      <c r="AE42" s="248"/>
      <c r="AF42" s="273"/>
      <c r="AG42" s="273"/>
      <c r="AH42" s="273"/>
      <c r="AI42" s="273"/>
      <c r="AJ42" s="279"/>
      <c r="AK42"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275" t="e">
        <f>(1 - ((1 - VLOOKUP(Table4[[#This Row],[ConfidentialityP]],'Reference - CVSSv3.0'!$B$15:$C$17,2,FALSE)) * (1 - VLOOKUP(Table4[[#This Row],[IntegrityP]],'Reference - CVSSv3.0'!$B$15:$C$17,2,FALSE)) *  (1 - VLOOKUP(Table4[[#This Row],[AvailabilityP]],'Reference - CVSSv3.0'!$B$15:$C$17,2,FALSE))))</f>
        <v>#N/A</v>
      </c>
      <c r="AM42" s="275" t="e">
        <f>IF(Table4[[#This Row],[ScopeP]]="Unchanged",6.42*Table4[[#This Row],[ISC BaseP]],IF(Table4[[#This Row],[ScopeP]]="Changed",7.52*(Table4[[#This Row],[ISC BaseP]] - 0.029) - 3.25 * POWER(Table4[[#This Row],[ISC BaseP]] - 0.02,15),NA()))</f>
        <v>#N/A</v>
      </c>
      <c r="AN42"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248"/>
    </row>
    <row r="43" spans="1:43" ht="84" x14ac:dyDescent="0.35">
      <c r="A43" s="281">
        <v>39</v>
      </c>
      <c r="B43" s="248" t="s">
        <v>417</v>
      </c>
      <c r="C43" s="271" t="str">
        <f>IF(VLOOKUP(Table4[[#This Row],[T ID]],Table5[#All],5,FALSE)="No","Not in scope",VLOOKUP(Table4[[#This Row],[T ID]],Table5[#All],2,FALSE))</f>
        <v>Unpatched OS/SOUP's</v>
      </c>
      <c r="D43" s="248" t="s">
        <v>141</v>
      </c>
      <c r="E43" s="271" t="str">
        <f>IF(VLOOKUP(Table4[[#This Row],[V ID]],Vulnerabilities[#All],3,FALSE)="No","Not in scope",VLOOKUP(Table4[[#This Row],[V ID]],Vulnerabilities[#All],2,FALSE))</f>
        <v>Unpatched OS</v>
      </c>
      <c r="F43" s="272" t="s">
        <v>106</v>
      </c>
      <c r="G43" s="271" t="str">
        <f>VLOOKUP(Table4[[#This Row],[A ID]],Assets[#All],3,FALSE)</f>
        <v>Nav3i cart/ System running with windows 8.1</v>
      </c>
      <c r="H43" s="284" t="s">
        <v>543</v>
      </c>
      <c r="I43" s="248"/>
      <c r="J43" s="311" t="s">
        <v>76</v>
      </c>
      <c r="K43" s="311" t="s">
        <v>76</v>
      </c>
      <c r="L43" s="311" t="s">
        <v>64</v>
      </c>
      <c r="M43" s="273" t="s">
        <v>78</v>
      </c>
      <c r="N43" s="273" t="s">
        <v>55</v>
      </c>
      <c r="O43" s="273" t="s">
        <v>55</v>
      </c>
      <c r="P43" s="87" t="s">
        <v>76</v>
      </c>
      <c r="Q43" s="273" t="s">
        <v>73</v>
      </c>
      <c r="R43"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3" s="275">
        <f>(1 - ((1 - VLOOKUP(Table4[[#This Row],[Confidentiality]],'Reference - CVSSv3.0'!$B$15:$C$17,2,FALSE)) * (1 - VLOOKUP(Table4[[#This Row],[Integrity]],'Reference - CVSSv3.0'!$B$15:$C$17,2,FALSE)) *  (1 - VLOOKUP(Table4[[#This Row],[Availability]],'Reference - CVSSv3.0'!$B$15:$C$17,2,FALSE))))</f>
        <v>0.56000000000000005</v>
      </c>
      <c r="T43" s="275">
        <f>IF(Table4[[#This Row],[Scope]]="Unchanged",6.42*Table4[[#This Row],[ISC Base]],IF(Table4[[#This Row],[Scope]]="Changed",7.52*(Table4[[#This Row],[ISC Base]] - 0.029) - 3.25 * POWER(Table4[[#This Row],[ISC Base]] - 0.02,15),NA()))</f>
        <v>3.5952000000000002</v>
      </c>
      <c r="U43" s="275">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276" t="s">
        <v>54</v>
      </c>
      <c r="W43" s="275">
        <f>VLOOKUP(Table4[[#This Row],[Threat Event Initiation]],NIST_Scale_LOAI[],2,FALSE)</f>
        <v>0.5</v>
      </c>
      <c r="X43"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3"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243" t="s">
        <v>482</v>
      </c>
      <c r="AA43" s="248"/>
      <c r="AB43" s="278"/>
      <c r="AC43" s="248"/>
      <c r="AD43" s="248"/>
      <c r="AE43" s="248"/>
      <c r="AF43" s="273"/>
      <c r="AG43" s="273"/>
      <c r="AH43" s="273"/>
      <c r="AI43" s="273"/>
      <c r="AJ43" s="279"/>
      <c r="AK43"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275" t="e">
        <f>(1 - ((1 - VLOOKUP(Table4[[#This Row],[ConfidentialityP]],'Reference - CVSSv3.0'!$B$15:$C$17,2,FALSE)) * (1 - VLOOKUP(Table4[[#This Row],[IntegrityP]],'Reference - CVSSv3.0'!$B$15:$C$17,2,FALSE)) *  (1 - VLOOKUP(Table4[[#This Row],[AvailabilityP]],'Reference - CVSSv3.0'!$B$15:$C$17,2,FALSE))))</f>
        <v>#N/A</v>
      </c>
      <c r="AM43" s="275" t="e">
        <f>IF(Table4[[#This Row],[ScopeP]]="Unchanged",6.42*Table4[[#This Row],[ISC BaseP]],IF(Table4[[#This Row],[ScopeP]]="Changed",7.52*(Table4[[#This Row],[ISC BaseP]] - 0.029) - 3.25 * POWER(Table4[[#This Row],[ISC BaseP]] - 0.02,15),NA()))</f>
        <v>#N/A</v>
      </c>
      <c r="AN43"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248"/>
    </row>
    <row r="44" spans="1:43" ht="84" x14ac:dyDescent="0.35">
      <c r="A44" s="281">
        <v>40</v>
      </c>
      <c r="B44" s="248" t="s">
        <v>417</v>
      </c>
      <c r="C44" s="271" t="str">
        <f>IF(VLOOKUP(Table4[[#This Row],[T ID]],Table5[#All],5,FALSE)="No","Not in scope",VLOOKUP(Table4[[#This Row],[T ID]],Table5[#All],2,FALSE))</f>
        <v>Unpatched OS/SOUP's</v>
      </c>
      <c r="D44" s="248" t="s">
        <v>141</v>
      </c>
      <c r="E44" s="271" t="str">
        <f>IF(VLOOKUP(Table4[[#This Row],[V ID]],Vulnerabilities[#All],3,FALSE)="No","Not in scope",VLOOKUP(Table4[[#This Row],[V ID]],Vulnerabilities[#All],2,FALSE))</f>
        <v>Unpatched OS</v>
      </c>
      <c r="F44" s="272" t="s">
        <v>366</v>
      </c>
      <c r="G44" s="271" t="str">
        <f>VLOOKUP(Table4[[#This Row],[A ID]],Assets[#All],3,FALSE)</f>
        <v>THOR Knee Intra-op Application</v>
      </c>
      <c r="H44" s="284" t="s">
        <v>543</v>
      </c>
      <c r="I44" s="248"/>
      <c r="J44" s="311" t="s">
        <v>76</v>
      </c>
      <c r="K44" s="311" t="s">
        <v>76</v>
      </c>
      <c r="L44" s="311" t="s">
        <v>64</v>
      </c>
      <c r="M44" s="273" t="s">
        <v>78</v>
      </c>
      <c r="N44" s="273" t="s">
        <v>55</v>
      </c>
      <c r="O44" s="273" t="s">
        <v>55</v>
      </c>
      <c r="P44" s="87" t="s">
        <v>76</v>
      </c>
      <c r="Q44" s="273" t="s">
        <v>73</v>
      </c>
      <c r="R44"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4" s="275">
        <f>(1 - ((1 - VLOOKUP(Table4[[#This Row],[Confidentiality]],'Reference - CVSSv3.0'!$B$15:$C$17,2,FALSE)) * (1 - VLOOKUP(Table4[[#This Row],[Integrity]],'Reference - CVSSv3.0'!$B$15:$C$17,2,FALSE)) *  (1 - VLOOKUP(Table4[[#This Row],[Availability]],'Reference - CVSSv3.0'!$B$15:$C$17,2,FALSE))))</f>
        <v>0.56000000000000005</v>
      </c>
      <c r="T44" s="275">
        <f>IF(Table4[[#This Row],[Scope]]="Unchanged",6.42*Table4[[#This Row],[ISC Base]],IF(Table4[[#This Row],[Scope]]="Changed",7.52*(Table4[[#This Row],[ISC Base]] - 0.029) - 3.25 * POWER(Table4[[#This Row],[ISC Base]] - 0.02,15),NA()))</f>
        <v>3.5952000000000002</v>
      </c>
      <c r="U44" s="275">
        <f>IF(Table4[[#This Row],[Impact Sub Score]]&lt;=0,0,IF(Table4[[#This Row],[Scope]]="Unchanged",ROUNDUP(MIN((Table4[[#This Row],[Impact Sub Score]]+Table4[[#This Row],[Exploitability Sub Score]]),10),1),IF(Table4[[#This Row],[Scope]]="Changed",ROUNDUP(MIN((1.08*(Table4[[#This Row],[Impact Sub Score]]+Table4[[#This Row],[Exploitability Sub Score]])),10),1),NA())))</f>
        <v>5.5</v>
      </c>
      <c r="V44" s="276" t="s">
        <v>54</v>
      </c>
      <c r="W44" s="275">
        <f>VLOOKUP(Table4[[#This Row],[Threat Event Initiation]],NIST_Scale_LOAI[],2,FALSE)</f>
        <v>0.5</v>
      </c>
      <c r="X44"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4"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4" s="284" t="s">
        <v>482</v>
      </c>
      <c r="AA44" s="248"/>
      <c r="AB44" s="278"/>
      <c r="AC44" s="248"/>
      <c r="AD44" s="248"/>
      <c r="AE44" s="248"/>
      <c r="AF44" s="273"/>
      <c r="AG44" s="273"/>
      <c r="AH44" s="273"/>
      <c r="AI44" s="273"/>
      <c r="AJ44" s="279"/>
      <c r="AK44"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4" s="275" t="e">
        <f>(1 - ((1 - VLOOKUP(Table4[[#This Row],[ConfidentialityP]],'Reference - CVSSv3.0'!$B$15:$C$17,2,FALSE)) * (1 - VLOOKUP(Table4[[#This Row],[IntegrityP]],'Reference - CVSSv3.0'!$B$15:$C$17,2,FALSE)) *  (1 - VLOOKUP(Table4[[#This Row],[AvailabilityP]],'Reference - CVSSv3.0'!$B$15:$C$17,2,FALSE))))</f>
        <v>#N/A</v>
      </c>
      <c r="AM44" s="275" t="e">
        <f>IF(Table4[[#This Row],[ScopeP]]="Unchanged",6.42*Table4[[#This Row],[ISC BaseP]],IF(Table4[[#This Row],[ScopeP]]="Changed",7.52*(Table4[[#This Row],[ISC BaseP]] - 0.029) - 3.25 * POWER(Table4[[#This Row],[ISC BaseP]] - 0.02,15),NA()))</f>
        <v>#N/A</v>
      </c>
      <c r="AN44"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248"/>
    </row>
    <row r="45" spans="1:43" ht="84" x14ac:dyDescent="0.35">
      <c r="A45" s="281">
        <v>41</v>
      </c>
      <c r="B45" s="248" t="s">
        <v>417</v>
      </c>
      <c r="C45" s="271" t="str">
        <f>IF(VLOOKUP(Table4[[#This Row],[T ID]],Table5[#All],5,FALSE)="No","Not in scope",VLOOKUP(Table4[[#This Row],[T ID]],Table5[#All],2,FALSE))</f>
        <v>Unpatched OS/SOUP's</v>
      </c>
      <c r="D45" s="248" t="s">
        <v>319</v>
      </c>
      <c r="E45" s="271" t="str">
        <f>IF(VLOOKUP(Table4[[#This Row],[V ID]],Vulnerabilities[#All],3,FALSE)="No","Not in scope",VLOOKUP(Table4[[#This Row],[V ID]],Vulnerabilities[#All],2,FALSE))</f>
        <v>Potentially outdated SW-Library SOUPs</v>
      </c>
      <c r="F45" s="272" t="s">
        <v>106</v>
      </c>
      <c r="G45" s="271" t="str">
        <f>VLOOKUP(Table4[[#This Row],[A ID]],Assets[#All],3,FALSE)</f>
        <v>Nav3i cart/ System running with windows 8.1</v>
      </c>
      <c r="H45" s="284" t="s">
        <v>543</v>
      </c>
      <c r="I45" s="248"/>
      <c r="J45" s="311" t="s">
        <v>76</v>
      </c>
      <c r="K45" s="311" t="s">
        <v>76</v>
      </c>
      <c r="L45" s="311" t="s">
        <v>64</v>
      </c>
      <c r="M45" s="273" t="s">
        <v>78</v>
      </c>
      <c r="N45" s="273" t="s">
        <v>55</v>
      </c>
      <c r="O45" s="273" t="s">
        <v>55</v>
      </c>
      <c r="P45" s="87" t="s">
        <v>76</v>
      </c>
      <c r="Q45" s="273" t="s">
        <v>73</v>
      </c>
      <c r="R45"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5" s="275">
        <f>(1 - ((1 - VLOOKUP(Table4[[#This Row],[Confidentiality]],'Reference - CVSSv3.0'!$B$15:$C$17,2,FALSE)) * (1 - VLOOKUP(Table4[[#This Row],[Integrity]],'Reference - CVSSv3.0'!$B$15:$C$17,2,FALSE)) *  (1 - VLOOKUP(Table4[[#This Row],[Availability]],'Reference - CVSSv3.0'!$B$15:$C$17,2,FALSE))))</f>
        <v>0.56000000000000005</v>
      </c>
      <c r="T45" s="275">
        <f>IF(Table4[[#This Row],[Scope]]="Unchanged",6.42*Table4[[#This Row],[ISC Base]],IF(Table4[[#This Row],[Scope]]="Changed",7.52*(Table4[[#This Row],[ISC Base]] - 0.029) - 3.25 * POWER(Table4[[#This Row],[ISC Base]] - 0.02,15),NA()))</f>
        <v>3.5952000000000002</v>
      </c>
      <c r="U45" s="275">
        <f>IF(Table4[[#This Row],[Impact Sub Score]]&lt;=0,0,IF(Table4[[#This Row],[Scope]]="Unchanged",ROUNDUP(MIN((Table4[[#This Row],[Impact Sub Score]]+Table4[[#This Row],[Exploitability Sub Score]]),10),1),IF(Table4[[#This Row],[Scope]]="Changed",ROUNDUP(MIN((1.08*(Table4[[#This Row],[Impact Sub Score]]+Table4[[#This Row],[Exploitability Sub Score]])),10),1),NA())))</f>
        <v>5.5</v>
      </c>
      <c r="V45" s="276" t="s">
        <v>54</v>
      </c>
      <c r="W45" s="275">
        <f>VLOOKUP(Table4[[#This Row],[Threat Event Initiation]],NIST_Scale_LOAI[],2,FALSE)</f>
        <v>0.5</v>
      </c>
      <c r="X45"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284" t="s">
        <v>482</v>
      </c>
      <c r="AA45" s="248"/>
      <c r="AB45" s="278"/>
      <c r="AC45" s="248"/>
      <c r="AD45" s="248"/>
      <c r="AE45" s="248"/>
      <c r="AF45" s="273"/>
      <c r="AG45" s="273"/>
      <c r="AH45" s="273"/>
      <c r="AI45" s="273"/>
      <c r="AJ45" s="279"/>
      <c r="AK45"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275" t="e">
        <f>(1 - ((1 - VLOOKUP(Table4[[#This Row],[ConfidentialityP]],'Reference - CVSSv3.0'!$B$15:$C$17,2,FALSE)) * (1 - VLOOKUP(Table4[[#This Row],[IntegrityP]],'Reference - CVSSv3.0'!$B$15:$C$17,2,FALSE)) *  (1 - VLOOKUP(Table4[[#This Row],[AvailabilityP]],'Reference - CVSSv3.0'!$B$15:$C$17,2,FALSE))))</f>
        <v>#N/A</v>
      </c>
      <c r="AM45" s="275" t="e">
        <f>IF(Table4[[#This Row],[ScopeP]]="Unchanged",6.42*Table4[[#This Row],[ISC BaseP]],IF(Table4[[#This Row],[ScopeP]]="Changed",7.52*(Table4[[#This Row],[ISC BaseP]] - 0.029) - 3.25 * POWER(Table4[[#This Row],[ISC BaseP]] - 0.02,15),NA()))</f>
        <v>#N/A</v>
      </c>
      <c r="AN45"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248"/>
    </row>
    <row r="46" spans="1:43" ht="84" x14ac:dyDescent="0.35">
      <c r="A46" s="281">
        <v>42</v>
      </c>
      <c r="B46" s="248" t="s">
        <v>417</v>
      </c>
      <c r="C46" s="271" t="str">
        <f>IF(VLOOKUP(Table4[[#This Row],[T ID]],Table5[#All],5,FALSE)="No","Not in scope",VLOOKUP(Table4[[#This Row],[T ID]],Table5[#All],2,FALSE))</f>
        <v>Unpatched OS/SOUP's</v>
      </c>
      <c r="D46" s="248" t="s">
        <v>319</v>
      </c>
      <c r="E46" s="271" t="str">
        <f>IF(VLOOKUP(Table4[[#This Row],[V ID]],Vulnerabilities[#All],3,FALSE)="No","Not in scope",VLOOKUP(Table4[[#This Row],[V ID]],Vulnerabilities[#All],2,FALSE))</f>
        <v>Potentially outdated SW-Library SOUPs</v>
      </c>
      <c r="F46" s="272" t="s">
        <v>366</v>
      </c>
      <c r="G46" s="271" t="str">
        <f>VLOOKUP(Table4[[#This Row],[A ID]],Assets[#All],3,FALSE)</f>
        <v>THOR Knee Intra-op Application</v>
      </c>
      <c r="H46" s="284" t="s">
        <v>543</v>
      </c>
      <c r="I46" s="248"/>
      <c r="J46" s="311" t="s">
        <v>76</v>
      </c>
      <c r="K46" s="311" t="s">
        <v>76</v>
      </c>
      <c r="L46" s="311" t="s">
        <v>64</v>
      </c>
      <c r="M46" s="273" t="s">
        <v>78</v>
      </c>
      <c r="N46" s="273" t="s">
        <v>55</v>
      </c>
      <c r="O46" s="273" t="s">
        <v>55</v>
      </c>
      <c r="P46" s="87" t="s">
        <v>76</v>
      </c>
      <c r="Q46" s="273" t="s">
        <v>73</v>
      </c>
      <c r="R46"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6" s="275">
        <f>(1 - ((1 - VLOOKUP(Table4[[#This Row],[Confidentiality]],'Reference - CVSSv3.0'!$B$15:$C$17,2,FALSE)) * (1 - VLOOKUP(Table4[[#This Row],[Integrity]],'Reference - CVSSv3.0'!$B$15:$C$17,2,FALSE)) *  (1 - VLOOKUP(Table4[[#This Row],[Availability]],'Reference - CVSSv3.0'!$B$15:$C$17,2,FALSE))))</f>
        <v>0.56000000000000005</v>
      </c>
      <c r="T46" s="275">
        <f>IF(Table4[[#This Row],[Scope]]="Unchanged",6.42*Table4[[#This Row],[ISC Base]],IF(Table4[[#This Row],[Scope]]="Changed",7.52*(Table4[[#This Row],[ISC Base]] - 0.029) - 3.25 * POWER(Table4[[#This Row],[ISC Base]] - 0.02,15),NA()))</f>
        <v>3.5952000000000002</v>
      </c>
      <c r="U46" s="275">
        <f>IF(Table4[[#This Row],[Impact Sub Score]]&lt;=0,0,IF(Table4[[#This Row],[Scope]]="Unchanged",ROUNDUP(MIN((Table4[[#This Row],[Impact Sub Score]]+Table4[[#This Row],[Exploitability Sub Score]]),10),1),IF(Table4[[#This Row],[Scope]]="Changed",ROUNDUP(MIN((1.08*(Table4[[#This Row],[Impact Sub Score]]+Table4[[#This Row],[Exploitability Sub Score]])),10),1),NA())))</f>
        <v>5.5</v>
      </c>
      <c r="V46" s="276" t="s">
        <v>54</v>
      </c>
      <c r="W46" s="275">
        <f>VLOOKUP(Table4[[#This Row],[Threat Event Initiation]],NIST_Scale_LOAI[],2,FALSE)</f>
        <v>0.5</v>
      </c>
      <c r="X46"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6"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6" s="284" t="s">
        <v>482</v>
      </c>
      <c r="AA46" s="248"/>
      <c r="AB46" s="278"/>
      <c r="AC46" s="248"/>
      <c r="AD46" s="248"/>
      <c r="AE46" s="248"/>
      <c r="AF46" s="273"/>
      <c r="AG46" s="273"/>
      <c r="AH46" s="273"/>
      <c r="AI46" s="273"/>
      <c r="AJ46" s="279"/>
      <c r="AK46"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275" t="e">
        <f>(1 - ((1 - VLOOKUP(Table4[[#This Row],[ConfidentialityP]],'Reference - CVSSv3.0'!$B$15:$C$17,2,FALSE)) * (1 - VLOOKUP(Table4[[#This Row],[IntegrityP]],'Reference - CVSSv3.0'!$B$15:$C$17,2,FALSE)) *  (1 - VLOOKUP(Table4[[#This Row],[AvailabilityP]],'Reference - CVSSv3.0'!$B$15:$C$17,2,FALSE))))</f>
        <v>#N/A</v>
      </c>
      <c r="AM46" s="275" t="e">
        <f>IF(Table4[[#This Row],[ScopeP]]="Unchanged",6.42*Table4[[#This Row],[ISC BaseP]],IF(Table4[[#This Row],[ScopeP]]="Changed",7.52*(Table4[[#This Row],[ISC BaseP]] - 0.029) - 3.25 * POWER(Table4[[#This Row],[ISC BaseP]] - 0.02,15),NA()))</f>
        <v>#N/A</v>
      </c>
      <c r="AN46"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248"/>
    </row>
    <row r="47" spans="1:43" ht="84" x14ac:dyDescent="0.35">
      <c r="A47" s="281">
        <v>43</v>
      </c>
      <c r="B47" s="248" t="s">
        <v>417</v>
      </c>
      <c r="C47" s="271" t="str">
        <f>IF(VLOOKUP(Table4[[#This Row],[T ID]],Table5[#All],5,FALSE)="No","Not in scope",VLOOKUP(Table4[[#This Row],[T ID]],Table5[#All],2,FALSE))</f>
        <v>Unpatched OS/SOUP's</v>
      </c>
      <c r="D47" s="248" t="s">
        <v>372</v>
      </c>
      <c r="E47" s="271" t="str">
        <f>IF(VLOOKUP(Table4[[#This Row],[V ID]],Vulnerabilities[#All],3,FALSE)="No","Not in scope",VLOOKUP(Table4[[#This Row],[V ID]],Vulnerabilities[#All],2,FALSE))</f>
        <v>3rd Party Component/SOUP Risk/Dependency not validated</v>
      </c>
      <c r="F47" s="272" t="s">
        <v>106</v>
      </c>
      <c r="G47" s="271" t="str">
        <f>VLOOKUP(Table4[[#This Row],[A ID]],Assets[#All],3,FALSE)</f>
        <v>Nav3i cart/ System running with windows 8.1</v>
      </c>
      <c r="H47" s="284" t="s">
        <v>543</v>
      </c>
      <c r="I47" s="248"/>
      <c r="J47" s="311" t="s">
        <v>76</v>
      </c>
      <c r="K47" s="311" t="s">
        <v>76</v>
      </c>
      <c r="L47" s="311" t="s">
        <v>64</v>
      </c>
      <c r="M47" s="273" t="s">
        <v>78</v>
      </c>
      <c r="N47" s="273" t="s">
        <v>55</v>
      </c>
      <c r="O47" s="273" t="s">
        <v>55</v>
      </c>
      <c r="P47" s="87" t="s">
        <v>76</v>
      </c>
      <c r="Q47" s="273" t="s">
        <v>73</v>
      </c>
      <c r="R47"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7" s="275">
        <f>(1 - ((1 - VLOOKUP(Table4[[#This Row],[Confidentiality]],'Reference - CVSSv3.0'!$B$15:$C$17,2,FALSE)) * (1 - VLOOKUP(Table4[[#This Row],[Integrity]],'Reference - CVSSv3.0'!$B$15:$C$17,2,FALSE)) *  (1 - VLOOKUP(Table4[[#This Row],[Availability]],'Reference - CVSSv3.0'!$B$15:$C$17,2,FALSE))))</f>
        <v>0.56000000000000005</v>
      </c>
      <c r="T47" s="275">
        <f>IF(Table4[[#This Row],[Scope]]="Unchanged",6.42*Table4[[#This Row],[ISC Base]],IF(Table4[[#This Row],[Scope]]="Changed",7.52*(Table4[[#This Row],[ISC Base]] - 0.029) - 3.25 * POWER(Table4[[#This Row],[ISC Base]] - 0.02,15),NA()))</f>
        <v>3.5952000000000002</v>
      </c>
      <c r="U47" s="275">
        <f>IF(Table4[[#This Row],[Impact Sub Score]]&lt;=0,0,IF(Table4[[#This Row],[Scope]]="Unchanged",ROUNDUP(MIN((Table4[[#This Row],[Impact Sub Score]]+Table4[[#This Row],[Exploitability Sub Score]]),10),1),IF(Table4[[#This Row],[Scope]]="Changed",ROUNDUP(MIN((1.08*(Table4[[#This Row],[Impact Sub Score]]+Table4[[#This Row],[Exploitability Sub Score]])),10),1),NA())))</f>
        <v>5.5</v>
      </c>
      <c r="V47" s="276" t="s">
        <v>54</v>
      </c>
      <c r="W47" s="275">
        <f>VLOOKUP(Table4[[#This Row],[Threat Event Initiation]],NIST_Scale_LOAI[],2,FALSE)</f>
        <v>0.5</v>
      </c>
      <c r="X47"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7"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284" t="s">
        <v>482</v>
      </c>
      <c r="AA47" s="248"/>
      <c r="AB47" s="278"/>
      <c r="AC47" s="248"/>
      <c r="AD47" s="248"/>
      <c r="AE47" s="248"/>
      <c r="AF47" s="273"/>
      <c r="AG47" s="273"/>
      <c r="AH47" s="273"/>
      <c r="AI47" s="273"/>
      <c r="AJ47" s="279"/>
      <c r="AK47"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275" t="e">
        <f>(1 - ((1 - VLOOKUP(Table4[[#This Row],[ConfidentialityP]],'Reference - CVSSv3.0'!$B$15:$C$17,2,FALSE)) * (1 - VLOOKUP(Table4[[#This Row],[IntegrityP]],'Reference - CVSSv3.0'!$B$15:$C$17,2,FALSE)) *  (1 - VLOOKUP(Table4[[#This Row],[AvailabilityP]],'Reference - CVSSv3.0'!$B$15:$C$17,2,FALSE))))</f>
        <v>#N/A</v>
      </c>
      <c r="AM47" s="275" t="e">
        <f>IF(Table4[[#This Row],[ScopeP]]="Unchanged",6.42*Table4[[#This Row],[ISC BaseP]],IF(Table4[[#This Row],[ScopeP]]="Changed",7.52*(Table4[[#This Row],[ISC BaseP]] - 0.029) - 3.25 * POWER(Table4[[#This Row],[ISC BaseP]] - 0.02,15),NA()))</f>
        <v>#N/A</v>
      </c>
      <c r="AN47"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248"/>
    </row>
    <row r="48" spans="1:43" ht="84" x14ac:dyDescent="0.35">
      <c r="A48" s="281">
        <v>44</v>
      </c>
      <c r="B48" s="248" t="s">
        <v>417</v>
      </c>
      <c r="C48" s="271" t="str">
        <f>IF(VLOOKUP(Table4[[#This Row],[T ID]],Table5[#All],5,FALSE)="No","Not in scope",VLOOKUP(Table4[[#This Row],[T ID]],Table5[#All],2,FALSE))</f>
        <v>Unpatched OS/SOUP's</v>
      </c>
      <c r="D48" s="248" t="s">
        <v>372</v>
      </c>
      <c r="E48" s="271" t="str">
        <f>IF(VLOOKUP(Table4[[#This Row],[V ID]],Vulnerabilities[#All],3,FALSE)="No","Not in scope",VLOOKUP(Table4[[#This Row],[V ID]],Vulnerabilities[#All],2,FALSE))</f>
        <v>3rd Party Component/SOUP Risk/Dependency not validated</v>
      </c>
      <c r="F48" s="272" t="s">
        <v>366</v>
      </c>
      <c r="G48" s="271" t="str">
        <f>VLOOKUP(Table4[[#This Row],[A ID]],Assets[#All],3,FALSE)</f>
        <v>THOR Knee Intra-op Application</v>
      </c>
      <c r="H48" s="284" t="s">
        <v>543</v>
      </c>
      <c r="I48" s="248"/>
      <c r="J48" s="311" t="s">
        <v>76</v>
      </c>
      <c r="K48" s="311" t="s">
        <v>76</v>
      </c>
      <c r="L48" s="311" t="s">
        <v>64</v>
      </c>
      <c r="M48" s="273" t="s">
        <v>78</v>
      </c>
      <c r="N48" s="273" t="s">
        <v>55</v>
      </c>
      <c r="O48" s="273" t="s">
        <v>55</v>
      </c>
      <c r="P48" s="87" t="s">
        <v>76</v>
      </c>
      <c r="Q48" s="273" t="s">
        <v>73</v>
      </c>
      <c r="R48"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8" s="275">
        <f>(1 - ((1 - VLOOKUP(Table4[[#This Row],[Confidentiality]],'Reference - CVSSv3.0'!$B$15:$C$17,2,FALSE)) * (1 - VLOOKUP(Table4[[#This Row],[Integrity]],'Reference - CVSSv3.0'!$B$15:$C$17,2,FALSE)) *  (1 - VLOOKUP(Table4[[#This Row],[Availability]],'Reference - CVSSv3.0'!$B$15:$C$17,2,FALSE))))</f>
        <v>0.56000000000000005</v>
      </c>
      <c r="T48" s="275">
        <f>IF(Table4[[#This Row],[Scope]]="Unchanged",6.42*Table4[[#This Row],[ISC Base]],IF(Table4[[#This Row],[Scope]]="Changed",7.52*(Table4[[#This Row],[ISC Base]] - 0.029) - 3.25 * POWER(Table4[[#This Row],[ISC Base]] - 0.02,15),NA()))</f>
        <v>3.5952000000000002</v>
      </c>
      <c r="U48" s="275">
        <f>IF(Table4[[#This Row],[Impact Sub Score]]&lt;=0,0,IF(Table4[[#This Row],[Scope]]="Unchanged",ROUNDUP(MIN((Table4[[#This Row],[Impact Sub Score]]+Table4[[#This Row],[Exploitability Sub Score]]),10),1),IF(Table4[[#This Row],[Scope]]="Changed",ROUNDUP(MIN((1.08*(Table4[[#This Row],[Impact Sub Score]]+Table4[[#This Row],[Exploitability Sub Score]])),10),1),NA())))</f>
        <v>5.5</v>
      </c>
      <c r="V48" s="276" t="s">
        <v>54</v>
      </c>
      <c r="W48" s="275">
        <f>VLOOKUP(Table4[[#This Row],[Threat Event Initiation]],NIST_Scale_LOAI[],2,FALSE)</f>
        <v>0.5</v>
      </c>
      <c r="X48"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8"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8" s="284" t="s">
        <v>482</v>
      </c>
      <c r="AA48" s="248"/>
      <c r="AB48" s="278"/>
      <c r="AC48" s="248"/>
      <c r="AD48" s="248"/>
      <c r="AE48" s="248"/>
      <c r="AF48" s="273"/>
      <c r="AG48" s="273"/>
      <c r="AH48" s="273"/>
      <c r="AI48" s="273"/>
      <c r="AJ48" s="279"/>
      <c r="AK48"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275" t="e">
        <f>(1 - ((1 - VLOOKUP(Table4[[#This Row],[ConfidentialityP]],'Reference - CVSSv3.0'!$B$15:$C$17,2,FALSE)) * (1 - VLOOKUP(Table4[[#This Row],[IntegrityP]],'Reference - CVSSv3.0'!$B$15:$C$17,2,FALSE)) *  (1 - VLOOKUP(Table4[[#This Row],[AvailabilityP]],'Reference - CVSSv3.0'!$B$15:$C$17,2,FALSE))))</f>
        <v>#N/A</v>
      </c>
      <c r="AM48" s="275" t="e">
        <f>IF(Table4[[#This Row],[ScopeP]]="Unchanged",6.42*Table4[[#This Row],[ISC BaseP]],IF(Table4[[#This Row],[ScopeP]]="Changed",7.52*(Table4[[#This Row],[ISC BaseP]] - 0.029) - 3.25 * POWER(Table4[[#This Row],[ISC BaseP]] - 0.02,15),NA()))</f>
        <v>#N/A</v>
      </c>
      <c r="AN48"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248"/>
    </row>
    <row r="49" spans="1:43" ht="84" x14ac:dyDescent="0.35">
      <c r="A49" s="281">
        <v>45</v>
      </c>
      <c r="B49" s="248" t="s">
        <v>417</v>
      </c>
      <c r="C49" s="271" t="str">
        <f>IF(VLOOKUP(Table4[[#This Row],[T ID]],Table5[#All],5,FALSE)="No","Not in scope",VLOOKUP(Table4[[#This Row],[T ID]],Table5[#All],2,FALSE))</f>
        <v>Unpatched OS/SOUP's</v>
      </c>
      <c r="D49" s="248" t="s">
        <v>374</v>
      </c>
      <c r="E49" s="271" t="str">
        <f>IF(VLOOKUP(Table4[[#This Row],[V ID]],Vulnerabilities[#All],3,FALSE)="No","Not in scope",VLOOKUP(Table4[[#This Row],[V ID]],Vulnerabilities[#All],2,FALSE))</f>
        <v>Legacy Systems (outdated HW/SW) being used</v>
      </c>
      <c r="F49" s="272" t="s">
        <v>106</v>
      </c>
      <c r="G49" s="271" t="str">
        <f>VLOOKUP(Table4[[#This Row],[A ID]],Assets[#All],3,FALSE)</f>
        <v>Nav3i cart/ System running with windows 8.1</v>
      </c>
      <c r="H49" s="284" t="s">
        <v>543</v>
      </c>
      <c r="I49" s="248"/>
      <c r="J49" s="311" t="s">
        <v>76</v>
      </c>
      <c r="K49" s="311" t="s">
        <v>76</v>
      </c>
      <c r="L49" s="311" t="s">
        <v>64</v>
      </c>
      <c r="M49" s="273" t="s">
        <v>78</v>
      </c>
      <c r="N49" s="273" t="s">
        <v>55</v>
      </c>
      <c r="O49" s="273" t="s">
        <v>55</v>
      </c>
      <c r="P49" s="87" t="s">
        <v>76</v>
      </c>
      <c r="Q49" s="273" t="s">
        <v>73</v>
      </c>
      <c r="R49"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9" s="275">
        <f>(1 - ((1 - VLOOKUP(Table4[[#This Row],[Confidentiality]],'Reference - CVSSv3.0'!$B$15:$C$17,2,FALSE)) * (1 - VLOOKUP(Table4[[#This Row],[Integrity]],'Reference - CVSSv3.0'!$B$15:$C$17,2,FALSE)) *  (1 - VLOOKUP(Table4[[#This Row],[Availability]],'Reference - CVSSv3.0'!$B$15:$C$17,2,FALSE))))</f>
        <v>0.56000000000000005</v>
      </c>
      <c r="T49" s="275">
        <f>IF(Table4[[#This Row],[Scope]]="Unchanged",6.42*Table4[[#This Row],[ISC Base]],IF(Table4[[#This Row],[Scope]]="Changed",7.52*(Table4[[#This Row],[ISC Base]] - 0.029) - 3.25 * POWER(Table4[[#This Row],[ISC Base]] - 0.02,15),NA()))</f>
        <v>3.5952000000000002</v>
      </c>
      <c r="U49" s="275">
        <f>IF(Table4[[#This Row],[Impact Sub Score]]&lt;=0,0,IF(Table4[[#This Row],[Scope]]="Unchanged",ROUNDUP(MIN((Table4[[#This Row],[Impact Sub Score]]+Table4[[#This Row],[Exploitability Sub Score]]),10),1),IF(Table4[[#This Row],[Scope]]="Changed",ROUNDUP(MIN((1.08*(Table4[[#This Row],[Impact Sub Score]]+Table4[[#This Row],[Exploitability Sub Score]])),10),1),NA())))</f>
        <v>5.5</v>
      </c>
      <c r="V49" s="276" t="s">
        <v>54</v>
      </c>
      <c r="W49" s="275">
        <f>VLOOKUP(Table4[[#This Row],[Threat Event Initiation]],NIST_Scale_LOAI[],2,FALSE)</f>
        <v>0.5</v>
      </c>
      <c r="X49"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9"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9" s="284" t="s">
        <v>482</v>
      </c>
      <c r="AA49" s="248"/>
      <c r="AB49" s="278"/>
      <c r="AC49" s="248"/>
      <c r="AD49" s="248"/>
      <c r="AE49" s="248"/>
      <c r="AF49" s="273"/>
      <c r="AG49" s="273"/>
      <c r="AH49" s="273"/>
      <c r="AI49" s="273"/>
      <c r="AJ49" s="279"/>
      <c r="AK49"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275" t="e">
        <f>(1 - ((1 - VLOOKUP(Table4[[#This Row],[ConfidentialityP]],'Reference - CVSSv3.0'!$B$15:$C$17,2,FALSE)) * (1 - VLOOKUP(Table4[[#This Row],[IntegrityP]],'Reference - CVSSv3.0'!$B$15:$C$17,2,FALSE)) *  (1 - VLOOKUP(Table4[[#This Row],[AvailabilityP]],'Reference - CVSSv3.0'!$B$15:$C$17,2,FALSE))))</f>
        <v>#N/A</v>
      </c>
      <c r="AM49" s="275" t="e">
        <f>IF(Table4[[#This Row],[ScopeP]]="Unchanged",6.42*Table4[[#This Row],[ISC BaseP]],IF(Table4[[#This Row],[ScopeP]]="Changed",7.52*(Table4[[#This Row],[ISC BaseP]] - 0.029) - 3.25 * POWER(Table4[[#This Row],[ISC BaseP]] - 0.02,15),NA()))</f>
        <v>#N/A</v>
      </c>
      <c r="AN49"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248"/>
    </row>
    <row r="50" spans="1:43" ht="84" x14ac:dyDescent="0.35">
      <c r="A50" s="281">
        <v>46</v>
      </c>
      <c r="B50" s="248" t="s">
        <v>417</v>
      </c>
      <c r="C50" s="271" t="str">
        <f>IF(VLOOKUP(Table4[[#This Row],[T ID]],Table5[#All],5,FALSE)="No","Not in scope",VLOOKUP(Table4[[#This Row],[T ID]],Table5[#All],2,FALSE))</f>
        <v>Unpatched OS/SOUP's</v>
      </c>
      <c r="D50" s="248" t="s">
        <v>374</v>
      </c>
      <c r="E50" s="271" t="str">
        <f>IF(VLOOKUP(Table4[[#This Row],[V ID]],Vulnerabilities[#All],3,FALSE)="No","Not in scope",VLOOKUP(Table4[[#This Row],[V ID]],Vulnerabilities[#All],2,FALSE))</f>
        <v>Legacy Systems (outdated HW/SW) being used</v>
      </c>
      <c r="F50" s="272" t="s">
        <v>366</v>
      </c>
      <c r="G50" s="271" t="str">
        <f>VLOOKUP(Table4[[#This Row],[A ID]],Assets[#All],3,FALSE)</f>
        <v>THOR Knee Intra-op Application</v>
      </c>
      <c r="H50" s="284" t="s">
        <v>543</v>
      </c>
      <c r="I50" s="248"/>
      <c r="J50" s="311" t="s">
        <v>76</v>
      </c>
      <c r="K50" s="311" t="s">
        <v>76</v>
      </c>
      <c r="L50" s="311" t="s">
        <v>64</v>
      </c>
      <c r="M50" s="273" t="s">
        <v>78</v>
      </c>
      <c r="N50" s="273" t="s">
        <v>55</v>
      </c>
      <c r="O50" s="273" t="s">
        <v>55</v>
      </c>
      <c r="P50" s="87" t="s">
        <v>76</v>
      </c>
      <c r="Q50" s="273" t="s">
        <v>73</v>
      </c>
      <c r="R50"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0" s="275">
        <f>(1 - ((1 - VLOOKUP(Table4[[#This Row],[Confidentiality]],'Reference - CVSSv3.0'!$B$15:$C$17,2,FALSE)) * (1 - VLOOKUP(Table4[[#This Row],[Integrity]],'Reference - CVSSv3.0'!$B$15:$C$17,2,FALSE)) *  (1 - VLOOKUP(Table4[[#This Row],[Availability]],'Reference - CVSSv3.0'!$B$15:$C$17,2,FALSE))))</f>
        <v>0.56000000000000005</v>
      </c>
      <c r="T50" s="275">
        <f>IF(Table4[[#This Row],[Scope]]="Unchanged",6.42*Table4[[#This Row],[ISC Base]],IF(Table4[[#This Row],[Scope]]="Changed",7.52*(Table4[[#This Row],[ISC Base]] - 0.029) - 3.25 * POWER(Table4[[#This Row],[ISC Base]] - 0.02,15),NA()))</f>
        <v>3.5952000000000002</v>
      </c>
      <c r="U50" s="275">
        <f>IF(Table4[[#This Row],[Impact Sub Score]]&lt;=0,0,IF(Table4[[#This Row],[Scope]]="Unchanged",ROUNDUP(MIN((Table4[[#This Row],[Impact Sub Score]]+Table4[[#This Row],[Exploitability Sub Score]]),10),1),IF(Table4[[#This Row],[Scope]]="Changed",ROUNDUP(MIN((1.08*(Table4[[#This Row],[Impact Sub Score]]+Table4[[#This Row],[Exploitability Sub Score]])),10),1),NA())))</f>
        <v>5.5</v>
      </c>
      <c r="V50" s="276" t="s">
        <v>54</v>
      </c>
      <c r="W50" s="275">
        <f>VLOOKUP(Table4[[#This Row],[Threat Event Initiation]],NIST_Scale_LOAI[],2,FALSE)</f>
        <v>0.5</v>
      </c>
      <c r="X50"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50"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0" s="284" t="s">
        <v>482</v>
      </c>
      <c r="AA50" s="248"/>
      <c r="AB50" s="278"/>
      <c r="AC50" s="248"/>
      <c r="AD50" s="248"/>
      <c r="AE50" s="248"/>
      <c r="AF50" s="273"/>
      <c r="AG50" s="273"/>
      <c r="AH50" s="273"/>
      <c r="AI50" s="273"/>
      <c r="AJ50" s="279"/>
      <c r="AK50"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275" t="e">
        <f>(1 - ((1 - VLOOKUP(Table4[[#This Row],[ConfidentialityP]],'Reference - CVSSv3.0'!$B$15:$C$17,2,FALSE)) * (1 - VLOOKUP(Table4[[#This Row],[IntegrityP]],'Reference - CVSSv3.0'!$B$15:$C$17,2,FALSE)) *  (1 - VLOOKUP(Table4[[#This Row],[AvailabilityP]],'Reference - CVSSv3.0'!$B$15:$C$17,2,FALSE))))</f>
        <v>#N/A</v>
      </c>
      <c r="AM50" s="275" t="e">
        <f>IF(Table4[[#This Row],[ScopeP]]="Unchanged",6.42*Table4[[#This Row],[ISC BaseP]],IF(Table4[[#This Row],[ScopeP]]="Changed",7.52*(Table4[[#This Row],[ISC BaseP]] - 0.029) - 3.25 * POWER(Table4[[#This Row],[ISC BaseP]] - 0.02,15),NA()))</f>
        <v>#N/A</v>
      </c>
      <c r="AN50"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248"/>
    </row>
    <row r="51" spans="1:43" ht="112" x14ac:dyDescent="0.35">
      <c r="A51" s="281">
        <v>47</v>
      </c>
      <c r="B51" s="248" t="s">
        <v>418</v>
      </c>
      <c r="C51" s="271" t="str">
        <f>IF(VLOOKUP(Table4[[#This Row],[T ID]],Table5[#All],5,FALSE)="No","Not in scope",VLOOKUP(Table4[[#This Row],[T ID]],Table5[#All],2,FALSE))</f>
        <v>Exploitation of unsecured network elements</v>
      </c>
      <c r="D51" s="248" t="s">
        <v>142</v>
      </c>
      <c r="E51" s="271" t="str">
        <f>IF(VLOOKUP(Table4[[#This Row],[V ID]],Vulnerabilities[#All],3,FALSE)="No","Not in scope",VLOOKUP(Table4[[#This Row],[V ID]],Vulnerabilities[#All],2,FALSE))</f>
        <v>Unprotected network port</v>
      </c>
      <c r="F51" s="272" t="s">
        <v>110</v>
      </c>
      <c r="G51" s="271" t="str">
        <f>VLOOKUP(Table4[[#This Row],[A ID]],Assets[#All],3,FALSE)</f>
        <v>Computer/OS network identification</v>
      </c>
      <c r="H51" s="284" t="s">
        <v>544</v>
      </c>
      <c r="I51" s="248"/>
      <c r="J51" s="311" t="s">
        <v>76</v>
      </c>
      <c r="K51" s="311" t="s">
        <v>55</v>
      </c>
      <c r="L51" s="311" t="s">
        <v>64</v>
      </c>
      <c r="M51" s="273" t="s">
        <v>74</v>
      </c>
      <c r="N51" s="273" t="s">
        <v>55</v>
      </c>
      <c r="O51" s="273" t="s">
        <v>55</v>
      </c>
      <c r="P51" s="87" t="s">
        <v>76</v>
      </c>
      <c r="Q51" s="273" t="s">
        <v>73</v>
      </c>
      <c r="R51"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1" s="275">
        <f>(1 - ((1 - VLOOKUP(Table4[[#This Row],[Confidentiality]],'Reference - CVSSv3.0'!$B$15:$C$17,2,FALSE)) * (1 - VLOOKUP(Table4[[#This Row],[Integrity]],'Reference - CVSSv3.0'!$B$15:$C$17,2,FALSE)) *  (1 - VLOOKUP(Table4[[#This Row],[Availability]],'Reference - CVSSv3.0'!$B$15:$C$17,2,FALSE))))</f>
        <v>0.65680000000000005</v>
      </c>
      <c r="T51" s="275">
        <f>IF(Table4[[#This Row],[Scope]]="Unchanged",6.42*Table4[[#This Row],[ISC Base]],IF(Table4[[#This Row],[Scope]]="Changed",7.52*(Table4[[#This Row],[ISC Base]] - 0.029) - 3.25 * POWER(Table4[[#This Row],[ISC Base]] - 0.02,15),NA()))</f>
        <v>4.2166560000000004</v>
      </c>
      <c r="U51" s="27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51" s="276" t="s">
        <v>55</v>
      </c>
      <c r="W51" s="275">
        <f>VLOOKUP(Table4[[#This Row],[Threat Event Initiation]],NIST_Scale_LOAI[],2,FALSE)</f>
        <v>0.2</v>
      </c>
      <c r="X51"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51"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1" s="243" t="s">
        <v>484</v>
      </c>
      <c r="AA51" s="248"/>
      <c r="AB51" s="278"/>
      <c r="AC51" s="248"/>
      <c r="AD51" s="248"/>
      <c r="AE51" s="248"/>
      <c r="AF51" s="273"/>
      <c r="AG51" s="273"/>
      <c r="AH51" s="273"/>
      <c r="AI51" s="273"/>
      <c r="AJ51" s="279"/>
      <c r="AK51"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275" t="e">
        <f>(1 - ((1 - VLOOKUP(Table4[[#This Row],[ConfidentialityP]],'Reference - CVSSv3.0'!$B$15:$C$17,2,FALSE)) * (1 - VLOOKUP(Table4[[#This Row],[IntegrityP]],'Reference - CVSSv3.0'!$B$15:$C$17,2,FALSE)) *  (1 - VLOOKUP(Table4[[#This Row],[AvailabilityP]],'Reference - CVSSv3.0'!$B$15:$C$17,2,FALSE))))</f>
        <v>#N/A</v>
      </c>
      <c r="AM51" s="275" t="e">
        <f>IF(Table4[[#This Row],[ScopeP]]="Unchanged",6.42*Table4[[#This Row],[ISC BaseP]],IF(Table4[[#This Row],[ScopeP]]="Changed",7.52*(Table4[[#This Row],[ISC BaseP]] - 0.029) - 3.25 * POWER(Table4[[#This Row],[ISC BaseP]] - 0.02,15),NA()))</f>
        <v>#N/A</v>
      </c>
      <c r="AN51"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248"/>
    </row>
    <row r="52" spans="1:43" ht="112" x14ac:dyDescent="0.35">
      <c r="A52" s="281">
        <v>48</v>
      </c>
      <c r="B52" s="248" t="s">
        <v>418</v>
      </c>
      <c r="C52" s="271" t="str">
        <f>IF(VLOOKUP(Table4[[#This Row],[T ID]],Table5[#All],5,FALSE)="No","Not in scope",VLOOKUP(Table4[[#This Row],[T ID]],Table5[#All],2,FALSE))</f>
        <v>Exploitation of unsecured network elements</v>
      </c>
      <c r="D52" s="248" t="s">
        <v>143</v>
      </c>
      <c r="E52" s="271" t="str">
        <f>IF(VLOOKUP(Table4[[#This Row],[V ID]],Vulnerabilities[#All],3,FALSE)="No","Not in scope",VLOOKUP(Table4[[#This Row],[V ID]],Vulnerabilities[#All],2,FALSE))</f>
        <v>Unprotected external USB Port</v>
      </c>
      <c r="F52" s="272" t="s">
        <v>110</v>
      </c>
      <c r="G52" s="271" t="str">
        <f>VLOOKUP(Table4[[#This Row],[A ID]],Assets[#All],3,FALSE)</f>
        <v>Computer/OS network identification</v>
      </c>
      <c r="H52" s="284" t="s">
        <v>544</v>
      </c>
      <c r="I52" s="248"/>
      <c r="J52" s="311" t="s">
        <v>76</v>
      </c>
      <c r="K52" s="311" t="s">
        <v>55</v>
      </c>
      <c r="L52" s="311" t="s">
        <v>64</v>
      </c>
      <c r="M52" s="273" t="s">
        <v>74</v>
      </c>
      <c r="N52" s="273" t="s">
        <v>55</v>
      </c>
      <c r="O52" s="273" t="s">
        <v>55</v>
      </c>
      <c r="P52" s="87" t="s">
        <v>76</v>
      </c>
      <c r="Q52" s="273" t="s">
        <v>73</v>
      </c>
      <c r="R52"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2" s="275">
        <f>(1 - ((1 - VLOOKUP(Table4[[#This Row],[Confidentiality]],'Reference - CVSSv3.0'!$B$15:$C$17,2,FALSE)) * (1 - VLOOKUP(Table4[[#This Row],[Integrity]],'Reference - CVSSv3.0'!$B$15:$C$17,2,FALSE)) *  (1 - VLOOKUP(Table4[[#This Row],[Availability]],'Reference - CVSSv3.0'!$B$15:$C$17,2,FALSE))))</f>
        <v>0.65680000000000005</v>
      </c>
      <c r="T52" s="275">
        <f>IF(Table4[[#This Row],[Scope]]="Unchanged",6.42*Table4[[#This Row],[ISC Base]],IF(Table4[[#This Row],[Scope]]="Changed",7.52*(Table4[[#This Row],[ISC Base]] - 0.029) - 3.25 * POWER(Table4[[#This Row],[ISC Base]] - 0.02,15),NA()))</f>
        <v>4.2166560000000004</v>
      </c>
      <c r="U52" s="27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52" s="276" t="s">
        <v>55</v>
      </c>
      <c r="W52" s="275">
        <f>VLOOKUP(Table4[[#This Row],[Threat Event Initiation]],NIST_Scale_LOAI[],2,FALSE)</f>
        <v>0.2</v>
      </c>
      <c r="X52"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52"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2" s="284" t="s">
        <v>484</v>
      </c>
      <c r="AA52" s="248"/>
      <c r="AB52" s="278"/>
      <c r="AC52" s="248"/>
      <c r="AD52" s="248"/>
      <c r="AE52" s="248"/>
      <c r="AF52" s="273"/>
      <c r="AG52" s="273"/>
      <c r="AH52" s="273"/>
      <c r="AI52" s="273"/>
      <c r="AJ52" s="279"/>
      <c r="AK52"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275" t="e">
        <f>(1 - ((1 - VLOOKUP(Table4[[#This Row],[ConfidentialityP]],'Reference - CVSSv3.0'!$B$15:$C$17,2,FALSE)) * (1 - VLOOKUP(Table4[[#This Row],[IntegrityP]],'Reference - CVSSv3.0'!$B$15:$C$17,2,FALSE)) *  (1 - VLOOKUP(Table4[[#This Row],[AvailabilityP]],'Reference - CVSSv3.0'!$B$15:$C$17,2,FALSE))))</f>
        <v>#N/A</v>
      </c>
      <c r="AM52" s="275" t="e">
        <f>IF(Table4[[#This Row],[ScopeP]]="Unchanged",6.42*Table4[[#This Row],[ISC BaseP]],IF(Table4[[#This Row],[ScopeP]]="Changed",7.52*(Table4[[#This Row],[ISC BaseP]] - 0.029) - 3.25 * POWER(Table4[[#This Row],[ISC BaseP]] - 0.02,15),NA()))</f>
        <v>#N/A</v>
      </c>
      <c r="AN52"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48"/>
    </row>
    <row r="53" spans="1:43" ht="112" x14ac:dyDescent="0.35">
      <c r="A53" s="281">
        <v>49</v>
      </c>
      <c r="B53" s="248" t="s">
        <v>418</v>
      </c>
      <c r="C53" s="271" t="str">
        <f>IF(VLOOKUP(Table4[[#This Row],[T ID]],Table5[#All],5,FALSE)="No","Not in scope",VLOOKUP(Table4[[#This Row],[T ID]],Table5[#All],2,FALSE))</f>
        <v>Exploitation of unsecured network elements</v>
      </c>
      <c r="D53" s="248" t="s">
        <v>376</v>
      </c>
      <c r="E53" s="271" t="str">
        <f>IF(VLOOKUP(Table4[[#This Row],[V ID]],Vulnerabilities[#All],3,FALSE)="No","Not in scope",VLOOKUP(Table4[[#This Row],[V ID]],Vulnerabilities[#All],2,FALSE))</f>
        <v>Non-Tracing of unused external Interfaces (ports etc., )</v>
      </c>
      <c r="F53" s="272" t="s">
        <v>110</v>
      </c>
      <c r="G53" s="271" t="str">
        <f>VLOOKUP(Table4[[#This Row],[A ID]],Assets[#All],3,FALSE)</f>
        <v>Computer/OS network identification</v>
      </c>
      <c r="H53" s="284" t="s">
        <v>544</v>
      </c>
      <c r="I53" s="248"/>
      <c r="J53" s="311" t="s">
        <v>76</v>
      </c>
      <c r="K53" s="311" t="s">
        <v>55</v>
      </c>
      <c r="L53" s="311" t="s">
        <v>64</v>
      </c>
      <c r="M53" s="273" t="s">
        <v>74</v>
      </c>
      <c r="N53" s="273" t="s">
        <v>55</v>
      </c>
      <c r="O53" s="273" t="s">
        <v>55</v>
      </c>
      <c r="P53" s="87" t="s">
        <v>76</v>
      </c>
      <c r="Q53" s="273" t="s">
        <v>73</v>
      </c>
      <c r="R53"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3" s="275">
        <f>(1 - ((1 - VLOOKUP(Table4[[#This Row],[Confidentiality]],'Reference - CVSSv3.0'!$B$15:$C$17,2,FALSE)) * (1 - VLOOKUP(Table4[[#This Row],[Integrity]],'Reference - CVSSv3.0'!$B$15:$C$17,2,FALSE)) *  (1 - VLOOKUP(Table4[[#This Row],[Availability]],'Reference - CVSSv3.0'!$B$15:$C$17,2,FALSE))))</f>
        <v>0.65680000000000005</v>
      </c>
      <c r="T53" s="275">
        <f>IF(Table4[[#This Row],[Scope]]="Unchanged",6.42*Table4[[#This Row],[ISC Base]],IF(Table4[[#This Row],[Scope]]="Changed",7.52*(Table4[[#This Row],[ISC Base]] - 0.029) - 3.25 * POWER(Table4[[#This Row],[ISC Base]] - 0.02,15),NA()))</f>
        <v>4.2166560000000004</v>
      </c>
      <c r="U53" s="27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53" s="276" t="s">
        <v>48</v>
      </c>
      <c r="W53" s="275">
        <f>VLOOKUP(Table4[[#This Row],[Threat Event Initiation]],NIST_Scale_LOAI[],2,FALSE)</f>
        <v>0.04</v>
      </c>
      <c r="X53"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53"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3" s="284" t="s">
        <v>484</v>
      </c>
      <c r="AA53" s="248"/>
      <c r="AB53" s="278"/>
      <c r="AC53" s="248"/>
      <c r="AD53" s="248"/>
      <c r="AE53" s="248"/>
      <c r="AF53" s="273"/>
      <c r="AG53" s="273"/>
      <c r="AH53" s="273"/>
      <c r="AI53" s="273"/>
      <c r="AJ53" s="279"/>
      <c r="AK53"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275" t="e">
        <f>(1 - ((1 - VLOOKUP(Table4[[#This Row],[ConfidentialityP]],'Reference - CVSSv3.0'!$B$15:$C$17,2,FALSE)) * (1 - VLOOKUP(Table4[[#This Row],[IntegrityP]],'Reference - CVSSv3.0'!$B$15:$C$17,2,FALSE)) *  (1 - VLOOKUP(Table4[[#This Row],[AvailabilityP]],'Reference - CVSSv3.0'!$B$15:$C$17,2,FALSE))))</f>
        <v>#N/A</v>
      </c>
      <c r="AM53" s="275" t="e">
        <f>IF(Table4[[#This Row],[ScopeP]]="Unchanged",6.42*Table4[[#This Row],[ISC BaseP]],IF(Table4[[#This Row],[ScopeP]]="Changed",7.52*(Table4[[#This Row],[ISC BaseP]] - 0.029) - 3.25 * POWER(Table4[[#This Row],[ISC BaseP]] - 0.02,15),NA()))</f>
        <v>#N/A</v>
      </c>
      <c r="AN53"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248"/>
    </row>
    <row r="54" spans="1:43" ht="70" x14ac:dyDescent="0.35">
      <c r="A54" s="281">
        <v>50</v>
      </c>
      <c r="B54" s="248" t="s">
        <v>421</v>
      </c>
      <c r="C54" s="271" t="str">
        <f>IF(VLOOKUP(Table4[[#This Row],[T ID]],Table5[#All],5,FALSE)="No","Not in scope",VLOOKUP(Table4[[#This Row],[T ID]],Table5[#All],2,FALSE))</f>
        <v>Outdated cryptographic components &amp; techniques</v>
      </c>
      <c r="D54" s="248" t="s">
        <v>151</v>
      </c>
      <c r="E54" s="271" t="str">
        <f>IF(VLOOKUP(Table4[[#This Row],[V ID]],Vulnerabilities[#All],3,FALSE)="No","Not in scope",VLOOKUP(Table4[[#This Row],[V ID]],Vulnerabilities[#All],2,FALSE))</f>
        <v>Unencrypted ePHI at rest</v>
      </c>
      <c r="F54" s="272" t="s">
        <v>109</v>
      </c>
      <c r="G54" s="271" t="str">
        <f>VLOOKUP(Table4[[#This Row],[A ID]],Assets[#All],3,FALSE)</f>
        <v>Patient health information at rest</v>
      </c>
      <c r="H54" s="284" t="s">
        <v>545</v>
      </c>
      <c r="I54" s="248"/>
      <c r="J54" s="311" t="s">
        <v>64</v>
      </c>
      <c r="K54" s="311" t="s">
        <v>55</v>
      </c>
      <c r="L54" s="311" t="s">
        <v>55</v>
      </c>
      <c r="M54" s="273" t="s">
        <v>78</v>
      </c>
      <c r="N54" s="273" t="s">
        <v>55</v>
      </c>
      <c r="O54" s="273" t="s">
        <v>55</v>
      </c>
      <c r="P54" s="87" t="s">
        <v>76</v>
      </c>
      <c r="Q54" s="273" t="s">
        <v>73</v>
      </c>
      <c r="R54"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4" s="275">
        <f>(1 - ((1 - VLOOKUP(Table4[[#This Row],[Confidentiality]],'Reference - CVSSv3.0'!$B$15:$C$17,2,FALSE)) * (1 - VLOOKUP(Table4[[#This Row],[Integrity]],'Reference - CVSSv3.0'!$B$15:$C$17,2,FALSE)) *  (1 - VLOOKUP(Table4[[#This Row],[Availability]],'Reference - CVSSv3.0'!$B$15:$C$17,2,FALSE))))</f>
        <v>0.73230400000000007</v>
      </c>
      <c r="T54" s="275">
        <f>IF(Table4[[#This Row],[Scope]]="Unchanged",6.42*Table4[[#This Row],[ISC Base]],IF(Table4[[#This Row],[Scope]]="Changed",7.52*(Table4[[#This Row],[ISC Base]] - 0.029) - 3.25 * POWER(Table4[[#This Row],[ISC Base]] - 0.02,15),NA()))</f>
        <v>4.7013916800000004</v>
      </c>
      <c r="U54" s="275">
        <f>IF(Table4[[#This Row],[Impact Sub Score]]&lt;=0,0,IF(Table4[[#This Row],[Scope]]="Unchanged",ROUNDUP(MIN((Table4[[#This Row],[Impact Sub Score]]+Table4[[#This Row],[Exploitability Sub Score]]),10),1),IF(Table4[[#This Row],[Scope]]="Changed",ROUNDUP(MIN((1.08*(Table4[[#This Row],[Impact Sub Score]]+Table4[[#This Row],[Exploitability Sub Score]])),10),1),NA())))</f>
        <v>6.6</v>
      </c>
      <c r="V54" s="276" t="s">
        <v>54</v>
      </c>
      <c r="W54" s="275">
        <f>VLOOKUP(Table4[[#This Row],[Threat Event Initiation]],NIST_Scale_LOAI[],2,FALSE)</f>
        <v>0.5</v>
      </c>
      <c r="X54"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4"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4" s="243" t="s">
        <v>483</v>
      </c>
      <c r="AA54" s="248"/>
      <c r="AB54" s="278"/>
      <c r="AC54" s="248"/>
      <c r="AD54" s="248"/>
      <c r="AE54" s="248"/>
      <c r="AF54" s="273"/>
      <c r="AG54" s="273"/>
      <c r="AH54" s="273"/>
      <c r="AI54" s="273"/>
      <c r="AJ54" s="279"/>
      <c r="AK54"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275" t="e">
        <f>(1 - ((1 - VLOOKUP(Table4[[#This Row],[ConfidentialityP]],'Reference - CVSSv3.0'!$B$15:$C$17,2,FALSE)) * (1 - VLOOKUP(Table4[[#This Row],[IntegrityP]],'Reference - CVSSv3.0'!$B$15:$C$17,2,FALSE)) *  (1 - VLOOKUP(Table4[[#This Row],[AvailabilityP]],'Reference - CVSSv3.0'!$B$15:$C$17,2,FALSE))))</f>
        <v>#N/A</v>
      </c>
      <c r="AM54" s="275" t="e">
        <f>IF(Table4[[#This Row],[ScopeP]]="Unchanged",6.42*Table4[[#This Row],[ISC BaseP]],IF(Table4[[#This Row],[ScopeP]]="Changed",7.52*(Table4[[#This Row],[ISC BaseP]] - 0.029) - 3.25 * POWER(Table4[[#This Row],[ISC BaseP]] - 0.02,15),NA()))</f>
        <v>#N/A</v>
      </c>
      <c r="AN54"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248"/>
    </row>
    <row r="55" spans="1:43" ht="70" x14ac:dyDescent="0.35">
      <c r="A55" s="281">
        <v>51</v>
      </c>
      <c r="B55" s="248" t="s">
        <v>421</v>
      </c>
      <c r="C55" s="271" t="str">
        <f>IF(VLOOKUP(Table4[[#This Row],[T ID]],Table5[#All],5,FALSE)="No","Not in scope",VLOOKUP(Table4[[#This Row],[T ID]],Table5[#All],2,FALSE))</f>
        <v>Outdated cryptographic components &amp; techniques</v>
      </c>
      <c r="D55" s="248" t="s">
        <v>151</v>
      </c>
      <c r="E55" s="271" t="str">
        <f>IF(VLOOKUP(Table4[[#This Row],[V ID]],Vulnerabilities[#All],3,FALSE)="No","Not in scope",VLOOKUP(Table4[[#This Row],[V ID]],Vulnerabilities[#All],2,FALSE))</f>
        <v>Unencrypted ePHI at rest</v>
      </c>
      <c r="F55" s="272" t="s">
        <v>366</v>
      </c>
      <c r="G55" s="271" t="str">
        <f>VLOOKUP(Table4[[#This Row],[A ID]],Assets[#All],3,FALSE)</f>
        <v>THOR Knee Intra-op Application</v>
      </c>
      <c r="H55" s="284" t="s">
        <v>545</v>
      </c>
      <c r="I55" s="248"/>
      <c r="J55" s="311" t="s">
        <v>64</v>
      </c>
      <c r="K55" s="311" t="s">
        <v>55</v>
      </c>
      <c r="L55" s="311" t="s">
        <v>55</v>
      </c>
      <c r="M55" s="273" t="s">
        <v>78</v>
      </c>
      <c r="N55" s="273" t="s">
        <v>55</v>
      </c>
      <c r="O55" s="273" t="s">
        <v>55</v>
      </c>
      <c r="P55" s="87" t="s">
        <v>76</v>
      </c>
      <c r="Q55" s="273" t="s">
        <v>73</v>
      </c>
      <c r="R55"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5" s="275">
        <f>(1 - ((1 - VLOOKUP(Table4[[#This Row],[Confidentiality]],'Reference - CVSSv3.0'!$B$15:$C$17,2,FALSE)) * (1 - VLOOKUP(Table4[[#This Row],[Integrity]],'Reference - CVSSv3.0'!$B$15:$C$17,2,FALSE)) *  (1 - VLOOKUP(Table4[[#This Row],[Availability]],'Reference - CVSSv3.0'!$B$15:$C$17,2,FALSE))))</f>
        <v>0.73230400000000007</v>
      </c>
      <c r="T55" s="275">
        <f>IF(Table4[[#This Row],[Scope]]="Unchanged",6.42*Table4[[#This Row],[ISC Base]],IF(Table4[[#This Row],[Scope]]="Changed",7.52*(Table4[[#This Row],[ISC Base]] - 0.029) - 3.25 * POWER(Table4[[#This Row],[ISC Base]] - 0.02,15),NA()))</f>
        <v>4.7013916800000004</v>
      </c>
      <c r="U55" s="275">
        <f>IF(Table4[[#This Row],[Impact Sub Score]]&lt;=0,0,IF(Table4[[#This Row],[Scope]]="Unchanged",ROUNDUP(MIN((Table4[[#This Row],[Impact Sub Score]]+Table4[[#This Row],[Exploitability Sub Score]]),10),1),IF(Table4[[#This Row],[Scope]]="Changed",ROUNDUP(MIN((1.08*(Table4[[#This Row],[Impact Sub Score]]+Table4[[#This Row],[Exploitability Sub Score]])),10),1),NA())))</f>
        <v>6.6</v>
      </c>
      <c r="V55" s="276" t="s">
        <v>54</v>
      </c>
      <c r="W55" s="275">
        <f>VLOOKUP(Table4[[#This Row],[Threat Event Initiation]],NIST_Scale_LOAI[],2,FALSE)</f>
        <v>0.5</v>
      </c>
      <c r="X55"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5"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5" s="284" t="s">
        <v>483</v>
      </c>
      <c r="AA55" s="248"/>
      <c r="AB55" s="278"/>
      <c r="AC55" s="248"/>
      <c r="AD55" s="248"/>
      <c r="AE55" s="248"/>
      <c r="AF55" s="273"/>
      <c r="AG55" s="273"/>
      <c r="AH55" s="273"/>
      <c r="AI55" s="273"/>
      <c r="AJ55" s="279"/>
      <c r="AK55"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275" t="e">
        <f>(1 - ((1 - VLOOKUP(Table4[[#This Row],[ConfidentialityP]],'Reference - CVSSv3.0'!$B$15:$C$17,2,FALSE)) * (1 - VLOOKUP(Table4[[#This Row],[IntegrityP]],'Reference - CVSSv3.0'!$B$15:$C$17,2,FALSE)) *  (1 - VLOOKUP(Table4[[#This Row],[AvailabilityP]],'Reference - CVSSv3.0'!$B$15:$C$17,2,FALSE))))</f>
        <v>#N/A</v>
      </c>
      <c r="AM55" s="275" t="e">
        <f>IF(Table4[[#This Row],[ScopeP]]="Unchanged",6.42*Table4[[#This Row],[ISC BaseP]],IF(Table4[[#This Row],[ScopeP]]="Changed",7.52*(Table4[[#This Row],[ISC BaseP]] - 0.029) - 3.25 * POWER(Table4[[#This Row],[ISC BaseP]] - 0.02,15),NA()))</f>
        <v>#N/A</v>
      </c>
      <c r="AN55"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248"/>
    </row>
    <row r="56" spans="1:43" ht="70" x14ac:dyDescent="0.35">
      <c r="A56" s="281">
        <v>52</v>
      </c>
      <c r="B56" s="248" t="s">
        <v>421</v>
      </c>
      <c r="C56" s="271" t="str">
        <f>IF(VLOOKUP(Table4[[#This Row],[T ID]],Table5[#All],5,FALSE)="No","Not in scope",VLOOKUP(Table4[[#This Row],[T ID]],Table5[#All],2,FALSE))</f>
        <v>Outdated cryptographic components &amp; techniques</v>
      </c>
      <c r="D56" s="248" t="s">
        <v>378</v>
      </c>
      <c r="E56" s="271" t="str">
        <f>IF(VLOOKUP(Table4[[#This Row],[V ID]],Vulnerabilities[#All],3,FALSE)="No","Not in scope",VLOOKUP(Table4[[#This Row],[V ID]],Vulnerabilities[#All],2,FALSE))</f>
        <v>Insecure Storage of Sensitive Information by application</v>
      </c>
      <c r="F56" s="272" t="s">
        <v>109</v>
      </c>
      <c r="G56" s="271" t="str">
        <f>VLOOKUP(Table4[[#This Row],[A ID]],Assets[#All],3,FALSE)</f>
        <v>Patient health information at rest</v>
      </c>
      <c r="H56" s="284" t="s">
        <v>545</v>
      </c>
      <c r="I56" s="248"/>
      <c r="J56" s="311" t="s">
        <v>64</v>
      </c>
      <c r="K56" s="311" t="s">
        <v>55</v>
      </c>
      <c r="L56" s="311" t="s">
        <v>55</v>
      </c>
      <c r="M56" s="273" t="s">
        <v>78</v>
      </c>
      <c r="N56" s="273" t="s">
        <v>55</v>
      </c>
      <c r="O56" s="273" t="s">
        <v>55</v>
      </c>
      <c r="P56" s="87" t="s">
        <v>76</v>
      </c>
      <c r="Q56" s="273" t="s">
        <v>73</v>
      </c>
      <c r="R56"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6" s="275">
        <f>(1 - ((1 - VLOOKUP(Table4[[#This Row],[Confidentiality]],'Reference - CVSSv3.0'!$B$15:$C$17,2,FALSE)) * (1 - VLOOKUP(Table4[[#This Row],[Integrity]],'Reference - CVSSv3.0'!$B$15:$C$17,2,FALSE)) *  (1 - VLOOKUP(Table4[[#This Row],[Availability]],'Reference - CVSSv3.0'!$B$15:$C$17,2,FALSE))))</f>
        <v>0.73230400000000007</v>
      </c>
      <c r="T56" s="275">
        <f>IF(Table4[[#This Row],[Scope]]="Unchanged",6.42*Table4[[#This Row],[ISC Base]],IF(Table4[[#This Row],[Scope]]="Changed",7.52*(Table4[[#This Row],[ISC Base]] - 0.029) - 3.25 * POWER(Table4[[#This Row],[ISC Base]] - 0.02,15),NA()))</f>
        <v>4.7013916800000004</v>
      </c>
      <c r="U56" s="275">
        <f>IF(Table4[[#This Row],[Impact Sub Score]]&lt;=0,0,IF(Table4[[#This Row],[Scope]]="Unchanged",ROUNDUP(MIN((Table4[[#This Row],[Impact Sub Score]]+Table4[[#This Row],[Exploitability Sub Score]]),10),1),IF(Table4[[#This Row],[Scope]]="Changed",ROUNDUP(MIN((1.08*(Table4[[#This Row],[Impact Sub Score]]+Table4[[#This Row],[Exploitability Sub Score]])),10),1),NA())))</f>
        <v>6.6</v>
      </c>
      <c r="V56" s="276" t="s">
        <v>54</v>
      </c>
      <c r="W56" s="275">
        <f>VLOOKUP(Table4[[#This Row],[Threat Event Initiation]],NIST_Scale_LOAI[],2,FALSE)</f>
        <v>0.5</v>
      </c>
      <c r="X56"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6"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6" s="284" t="s">
        <v>483</v>
      </c>
      <c r="AA56" s="248"/>
      <c r="AB56" s="278"/>
      <c r="AC56" s="248"/>
      <c r="AD56" s="248"/>
      <c r="AE56" s="248"/>
      <c r="AF56" s="273"/>
      <c r="AG56" s="273"/>
      <c r="AH56" s="273"/>
      <c r="AI56" s="273"/>
      <c r="AJ56" s="279"/>
      <c r="AK56"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275" t="e">
        <f>(1 - ((1 - VLOOKUP(Table4[[#This Row],[ConfidentialityP]],'Reference - CVSSv3.0'!$B$15:$C$17,2,FALSE)) * (1 - VLOOKUP(Table4[[#This Row],[IntegrityP]],'Reference - CVSSv3.0'!$B$15:$C$17,2,FALSE)) *  (1 - VLOOKUP(Table4[[#This Row],[AvailabilityP]],'Reference - CVSSv3.0'!$B$15:$C$17,2,FALSE))))</f>
        <v>#N/A</v>
      </c>
      <c r="AM56" s="275" t="e">
        <f>IF(Table4[[#This Row],[ScopeP]]="Unchanged",6.42*Table4[[#This Row],[ISC BaseP]],IF(Table4[[#This Row],[ScopeP]]="Changed",7.52*(Table4[[#This Row],[ISC BaseP]] - 0.029) - 3.25 * POWER(Table4[[#This Row],[ISC BaseP]] - 0.02,15),NA()))</f>
        <v>#N/A</v>
      </c>
      <c r="AN56"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248"/>
    </row>
    <row r="57" spans="1:43" ht="70" x14ac:dyDescent="0.35">
      <c r="A57" s="281">
        <v>53</v>
      </c>
      <c r="B57" s="248" t="s">
        <v>421</v>
      </c>
      <c r="C57" s="271" t="str">
        <f>IF(VLOOKUP(Table4[[#This Row],[T ID]],Table5[#All],5,FALSE)="No","Not in scope",VLOOKUP(Table4[[#This Row],[T ID]],Table5[#All],2,FALSE))</f>
        <v>Outdated cryptographic components &amp; techniques</v>
      </c>
      <c r="D57" s="248" t="s">
        <v>378</v>
      </c>
      <c r="E57" s="271" t="str">
        <f>IF(VLOOKUP(Table4[[#This Row],[V ID]],Vulnerabilities[#All],3,FALSE)="No","Not in scope",VLOOKUP(Table4[[#This Row],[V ID]],Vulnerabilities[#All],2,FALSE))</f>
        <v>Insecure Storage of Sensitive Information by application</v>
      </c>
      <c r="F57" s="272" t="s">
        <v>366</v>
      </c>
      <c r="G57" s="271" t="str">
        <f>VLOOKUP(Table4[[#This Row],[A ID]],Assets[#All],3,FALSE)</f>
        <v>THOR Knee Intra-op Application</v>
      </c>
      <c r="H57" s="284" t="s">
        <v>545</v>
      </c>
      <c r="I57" s="248"/>
      <c r="J57" s="311" t="s">
        <v>64</v>
      </c>
      <c r="K57" s="311" t="s">
        <v>55</v>
      </c>
      <c r="L57" s="311" t="s">
        <v>55</v>
      </c>
      <c r="M57" s="273" t="s">
        <v>78</v>
      </c>
      <c r="N57" s="273" t="s">
        <v>55</v>
      </c>
      <c r="O57" s="273" t="s">
        <v>55</v>
      </c>
      <c r="P57" s="87" t="s">
        <v>76</v>
      </c>
      <c r="Q57" s="273" t="s">
        <v>73</v>
      </c>
      <c r="R57"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7" s="275">
        <f>(1 - ((1 - VLOOKUP(Table4[[#This Row],[Confidentiality]],'Reference - CVSSv3.0'!$B$15:$C$17,2,FALSE)) * (1 - VLOOKUP(Table4[[#This Row],[Integrity]],'Reference - CVSSv3.0'!$B$15:$C$17,2,FALSE)) *  (1 - VLOOKUP(Table4[[#This Row],[Availability]],'Reference - CVSSv3.0'!$B$15:$C$17,2,FALSE))))</f>
        <v>0.73230400000000007</v>
      </c>
      <c r="T57" s="275">
        <f>IF(Table4[[#This Row],[Scope]]="Unchanged",6.42*Table4[[#This Row],[ISC Base]],IF(Table4[[#This Row],[Scope]]="Changed",7.52*(Table4[[#This Row],[ISC Base]] - 0.029) - 3.25 * POWER(Table4[[#This Row],[ISC Base]] - 0.02,15),NA()))</f>
        <v>4.7013916800000004</v>
      </c>
      <c r="U57" s="275">
        <f>IF(Table4[[#This Row],[Impact Sub Score]]&lt;=0,0,IF(Table4[[#This Row],[Scope]]="Unchanged",ROUNDUP(MIN((Table4[[#This Row],[Impact Sub Score]]+Table4[[#This Row],[Exploitability Sub Score]]),10),1),IF(Table4[[#This Row],[Scope]]="Changed",ROUNDUP(MIN((1.08*(Table4[[#This Row],[Impact Sub Score]]+Table4[[#This Row],[Exploitability Sub Score]])),10),1),NA())))</f>
        <v>6.6</v>
      </c>
      <c r="V57" s="276" t="s">
        <v>54</v>
      </c>
      <c r="W57" s="275">
        <f>VLOOKUP(Table4[[#This Row],[Threat Event Initiation]],NIST_Scale_LOAI[],2,FALSE)</f>
        <v>0.5</v>
      </c>
      <c r="X57"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7"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7" s="284" t="s">
        <v>483</v>
      </c>
      <c r="AA57" s="248"/>
      <c r="AB57" s="278"/>
      <c r="AC57" s="248"/>
      <c r="AD57" s="248"/>
      <c r="AE57" s="248"/>
      <c r="AF57" s="273"/>
      <c r="AG57" s="273"/>
      <c r="AH57" s="273"/>
      <c r="AI57" s="273"/>
      <c r="AJ57" s="279"/>
      <c r="AK57"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275" t="e">
        <f>(1 - ((1 - VLOOKUP(Table4[[#This Row],[ConfidentialityP]],'Reference - CVSSv3.0'!$B$15:$C$17,2,FALSE)) * (1 - VLOOKUP(Table4[[#This Row],[IntegrityP]],'Reference - CVSSv3.0'!$B$15:$C$17,2,FALSE)) *  (1 - VLOOKUP(Table4[[#This Row],[AvailabilityP]],'Reference - CVSSv3.0'!$B$15:$C$17,2,FALSE))))</f>
        <v>#N/A</v>
      </c>
      <c r="AM57" s="275" t="e">
        <f>IF(Table4[[#This Row],[ScopeP]]="Unchanged",6.42*Table4[[#This Row],[ISC BaseP]],IF(Table4[[#This Row],[ScopeP]]="Changed",7.52*(Table4[[#This Row],[ISC BaseP]] - 0.029) - 3.25 * POWER(Table4[[#This Row],[ISC BaseP]] - 0.02,15),NA()))</f>
        <v>#N/A</v>
      </c>
      <c r="AN57"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248"/>
    </row>
    <row r="58" spans="1:43" ht="84" x14ac:dyDescent="0.35">
      <c r="A58" s="281">
        <v>54</v>
      </c>
      <c r="B58" s="248" t="s">
        <v>421</v>
      </c>
      <c r="C58" s="271" t="str">
        <f>IF(VLOOKUP(Table4[[#This Row],[T ID]],Table5[#All],5,FALSE)="No","Not in scope",VLOOKUP(Table4[[#This Row],[T ID]],Table5[#All],2,FALSE))</f>
        <v>Outdated cryptographic components &amp; techniques</v>
      </c>
      <c r="D58" s="248" t="s">
        <v>379</v>
      </c>
      <c r="E58" s="271" t="str">
        <f>IF(VLOOKUP(Table4[[#This Row],[V ID]],Vulnerabilities[#All],3,FALSE)="No","Not in scope",VLOOKUP(Table4[[#This Row],[V ID]],Vulnerabilities[#All],2,FALSE))</f>
        <v>Use of a Broken or Risky Cryptographic Algorithm or Inadequate encryption strength in Intra-op application</v>
      </c>
      <c r="F58" s="272" t="s">
        <v>109</v>
      </c>
      <c r="G58" s="271" t="str">
        <f>VLOOKUP(Table4[[#This Row],[A ID]],Assets[#All],3,FALSE)</f>
        <v>Patient health information at rest</v>
      </c>
      <c r="H58" s="284" t="s">
        <v>545</v>
      </c>
      <c r="I58" s="248"/>
      <c r="J58" s="311" t="s">
        <v>64</v>
      </c>
      <c r="K58" s="311" t="s">
        <v>55</v>
      </c>
      <c r="L58" s="311" t="s">
        <v>76</v>
      </c>
      <c r="M58" s="273" t="s">
        <v>78</v>
      </c>
      <c r="N58" s="273" t="s">
        <v>55</v>
      </c>
      <c r="O58" s="273" t="s">
        <v>55</v>
      </c>
      <c r="P58" s="87" t="s">
        <v>76</v>
      </c>
      <c r="Q58" s="273" t="s">
        <v>73</v>
      </c>
      <c r="R58"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8" s="275">
        <f>(1 - ((1 - VLOOKUP(Table4[[#This Row],[Confidentiality]],'Reference - CVSSv3.0'!$B$15:$C$17,2,FALSE)) * (1 - VLOOKUP(Table4[[#This Row],[Integrity]],'Reference - CVSSv3.0'!$B$15:$C$17,2,FALSE)) *  (1 - VLOOKUP(Table4[[#This Row],[Availability]],'Reference - CVSSv3.0'!$B$15:$C$17,2,FALSE))))</f>
        <v>0.65680000000000005</v>
      </c>
      <c r="T58" s="275">
        <f>IF(Table4[[#This Row],[Scope]]="Unchanged",6.42*Table4[[#This Row],[ISC Base]],IF(Table4[[#This Row],[Scope]]="Changed",7.52*(Table4[[#This Row],[ISC Base]] - 0.029) - 3.25 * POWER(Table4[[#This Row],[ISC Base]] - 0.02,15),NA()))</f>
        <v>4.2166560000000004</v>
      </c>
      <c r="U58" s="275">
        <f>IF(Table4[[#This Row],[Impact Sub Score]]&lt;=0,0,IF(Table4[[#This Row],[Scope]]="Unchanged",ROUNDUP(MIN((Table4[[#This Row],[Impact Sub Score]]+Table4[[#This Row],[Exploitability Sub Score]]),10),1),IF(Table4[[#This Row],[Scope]]="Changed",ROUNDUP(MIN((1.08*(Table4[[#This Row],[Impact Sub Score]]+Table4[[#This Row],[Exploitability Sub Score]])),10),1),NA())))</f>
        <v>6.1</v>
      </c>
      <c r="V58" s="276" t="s">
        <v>54</v>
      </c>
      <c r="W58" s="275">
        <f>VLOOKUP(Table4[[#This Row],[Threat Event Initiation]],NIST_Scale_LOAI[],2,FALSE)</f>
        <v>0.5</v>
      </c>
      <c r="X58"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8"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8" s="284" t="s">
        <v>483</v>
      </c>
      <c r="AA58" s="248"/>
      <c r="AB58" s="278"/>
      <c r="AC58" s="248"/>
      <c r="AD58" s="248"/>
      <c r="AE58" s="248"/>
      <c r="AF58" s="273"/>
      <c r="AG58" s="273"/>
      <c r="AH58" s="273"/>
      <c r="AI58" s="273"/>
      <c r="AJ58" s="279"/>
      <c r="AK58"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275" t="e">
        <f>(1 - ((1 - VLOOKUP(Table4[[#This Row],[ConfidentialityP]],'Reference - CVSSv3.0'!$B$15:$C$17,2,FALSE)) * (1 - VLOOKUP(Table4[[#This Row],[IntegrityP]],'Reference - CVSSv3.0'!$B$15:$C$17,2,FALSE)) *  (1 - VLOOKUP(Table4[[#This Row],[AvailabilityP]],'Reference - CVSSv3.0'!$B$15:$C$17,2,FALSE))))</f>
        <v>#N/A</v>
      </c>
      <c r="AM58" s="275" t="e">
        <f>IF(Table4[[#This Row],[ScopeP]]="Unchanged",6.42*Table4[[#This Row],[ISC BaseP]],IF(Table4[[#This Row],[ScopeP]]="Changed",7.52*(Table4[[#This Row],[ISC BaseP]] - 0.029) - 3.25 * POWER(Table4[[#This Row],[ISC BaseP]] - 0.02,15),NA()))</f>
        <v>#N/A</v>
      </c>
      <c r="AN58"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248"/>
    </row>
    <row r="59" spans="1:43" ht="84" x14ac:dyDescent="0.35">
      <c r="A59" s="281">
        <v>55</v>
      </c>
      <c r="B59" s="248" t="s">
        <v>421</v>
      </c>
      <c r="C59" s="271" t="str">
        <f>IF(VLOOKUP(Table4[[#This Row],[T ID]],Table5[#All],5,FALSE)="No","Not in scope",VLOOKUP(Table4[[#This Row],[T ID]],Table5[#All],2,FALSE))</f>
        <v>Outdated cryptographic components &amp; techniques</v>
      </c>
      <c r="D59" s="248" t="s">
        <v>379</v>
      </c>
      <c r="E59" s="271" t="str">
        <f>IF(VLOOKUP(Table4[[#This Row],[V ID]],Vulnerabilities[#All],3,FALSE)="No","Not in scope",VLOOKUP(Table4[[#This Row],[V ID]],Vulnerabilities[#All],2,FALSE))</f>
        <v>Use of a Broken or Risky Cryptographic Algorithm or Inadequate encryption strength in Intra-op application</v>
      </c>
      <c r="F59" s="272" t="s">
        <v>366</v>
      </c>
      <c r="G59" s="271" t="str">
        <f>VLOOKUP(Table4[[#This Row],[A ID]],Assets[#All],3,FALSE)</f>
        <v>THOR Knee Intra-op Application</v>
      </c>
      <c r="H59" s="284" t="s">
        <v>545</v>
      </c>
      <c r="I59" s="248"/>
      <c r="J59" s="311" t="s">
        <v>64</v>
      </c>
      <c r="K59" s="311" t="s">
        <v>55</v>
      </c>
      <c r="L59" s="311" t="s">
        <v>76</v>
      </c>
      <c r="M59" s="273" t="s">
        <v>78</v>
      </c>
      <c r="N59" s="273" t="s">
        <v>55</v>
      </c>
      <c r="O59" s="273" t="s">
        <v>55</v>
      </c>
      <c r="P59" s="87" t="s">
        <v>76</v>
      </c>
      <c r="Q59" s="273" t="s">
        <v>73</v>
      </c>
      <c r="R59"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275">
        <f>(1 - ((1 - VLOOKUP(Table4[[#This Row],[Confidentiality]],'Reference - CVSSv3.0'!$B$15:$C$17,2,FALSE)) * (1 - VLOOKUP(Table4[[#This Row],[Integrity]],'Reference - CVSSv3.0'!$B$15:$C$17,2,FALSE)) *  (1 - VLOOKUP(Table4[[#This Row],[Availability]],'Reference - CVSSv3.0'!$B$15:$C$17,2,FALSE))))</f>
        <v>0.65680000000000005</v>
      </c>
      <c r="T59" s="275">
        <f>IF(Table4[[#This Row],[Scope]]="Unchanged",6.42*Table4[[#This Row],[ISC Base]],IF(Table4[[#This Row],[Scope]]="Changed",7.52*(Table4[[#This Row],[ISC Base]] - 0.029) - 3.25 * POWER(Table4[[#This Row],[ISC Base]] - 0.02,15),NA()))</f>
        <v>4.2166560000000004</v>
      </c>
      <c r="U59" s="275">
        <f>IF(Table4[[#This Row],[Impact Sub Score]]&lt;=0,0,IF(Table4[[#This Row],[Scope]]="Unchanged",ROUNDUP(MIN((Table4[[#This Row],[Impact Sub Score]]+Table4[[#This Row],[Exploitability Sub Score]]),10),1),IF(Table4[[#This Row],[Scope]]="Changed",ROUNDUP(MIN((1.08*(Table4[[#This Row],[Impact Sub Score]]+Table4[[#This Row],[Exploitability Sub Score]])),10),1),NA())))</f>
        <v>6.1</v>
      </c>
      <c r="V59" s="276" t="s">
        <v>54</v>
      </c>
      <c r="W59" s="275">
        <f>VLOOKUP(Table4[[#This Row],[Threat Event Initiation]],NIST_Scale_LOAI[],2,FALSE)</f>
        <v>0.5</v>
      </c>
      <c r="X59"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9"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9" s="284" t="s">
        <v>483</v>
      </c>
      <c r="AA59" s="248"/>
      <c r="AB59" s="278"/>
      <c r="AC59" s="248"/>
      <c r="AD59" s="248"/>
      <c r="AE59" s="248"/>
      <c r="AF59" s="273"/>
      <c r="AG59" s="273"/>
      <c r="AH59" s="273"/>
      <c r="AI59" s="273"/>
      <c r="AJ59" s="279"/>
      <c r="AK59"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275" t="e">
        <f>(1 - ((1 - VLOOKUP(Table4[[#This Row],[ConfidentialityP]],'Reference - CVSSv3.0'!$B$15:$C$17,2,FALSE)) * (1 - VLOOKUP(Table4[[#This Row],[IntegrityP]],'Reference - CVSSv3.0'!$B$15:$C$17,2,FALSE)) *  (1 - VLOOKUP(Table4[[#This Row],[AvailabilityP]],'Reference - CVSSv3.0'!$B$15:$C$17,2,FALSE))))</f>
        <v>#N/A</v>
      </c>
      <c r="AM59" s="275" t="e">
        <f>IF(Table4[[#This Row],[ScopeP]]="Unchanged",6.42*Table4[[#This Row],[ISC BaseP]],IF(Table4[[#This Row],[ScopeP]]="Changed",7.52*(Table4[[#This Row],[ISC BaseP]] - 0.029) - 3.25 * POWER(Table4[[#This Row],[ISC BaseP]] - 0.02,15),NA()))</f>
        <v>#N/A</v>
      </c>
      <c r="AN59"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248"/>
    </row>
    <row r="60" spans="1:43" ht="84" x14ac:dyDescent="0.35">
      <c r="A60" s="281">
        <v>56</v>
      </c>
      <c r="B60" s="248" t="s">
        <v>426</v>
      </c>
      <c r="C60" s="271" t="str">
        <f>IF(VLOOKUP(Table4[[#This Row],[T ID]],Table5[#All],5,FALSE)="No","Not in scope",VLOOKUP(Table4[[#This Row],[T ID]],Table5[#All],2,FALSE))</f>
        <v>Unauthorized access/modification of secure data</v>
      </c>
      <c r="D60" s="248" t="s">
        <v>382</v>
      </c>
      <c r="E60" s="271" t="str">
        <f>IF(VLOOKUP(Table4[[#This Row],[V ID]],Vulnerabilities[#All],3,FALSE)="No","Not in scope",VLOOKUP(Table4[[#This Row],[V ID]],Vulnerabilities[#All],2,FALSE))</f>
        <v>Unauthorized Audit Log Manipulation, Log Injection-Tampering-Forging</v>
      </c>
      <c r="F60" s="272" t="s">
        <v>366</v>
      </c>
      <c r="G60" s="271" t="str">
        <f>VLOOKUP(Table4[[#This Row],[A ID]],Assets[#All],3,FALSE)</f>
        <v>THOR Knee Intra-op Application</v>
      </c>
      <c r="H60" s="284" t="s">
        <v>546</v>
      </c>
      <c r="I60" s="248"/>
      <c r="J60" s="311" t="s">
        <v>55</v>
      </c>
      <c r="K60" s="311" t="s">
        <v>64</v>
      </c>
      <c r="L60" s="311" t="s">
        <v>55</v>
      </c>
      <c r="M60" s="273" t="s">
        <v>78</v>
      </c>
      <c r="N60" s="273" t="s">
        <v>55</v>
      </c>
      <c r="O60" s="273" t="s">
        <v>64</v>
      </c>
      <c r="P60" s="87" t="s">
        <v>76</v>
      </c>
      <c r="Q60" s="273" t="s">
        <v>73</v>
      </c>
      <c r="R60"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60" s="275">
        <f>(1 - ((1 - VLOOKUP(Table4[[#This Row],[Confidentiality]],'Reference - CVSSv3.0'!$B$15:$C$17,2,FALSE)) * (1 - VLOOKUP(Table4[[#This Row],[Integrity]],'Reference - CVSSv3.0'!$B$15:$C$17,2,FALSE)) *  (1 - VLOOKUP(Table4[[#This Row],[Availability]],'Reference - CVSSv3.0'!$B$15:$C$17,2,FALSE))))</f>
        <v>0.73230400000000007</v>
      </c>
      <c r="T60" s="275">
        <f>IF(Table4[[#This Row],[Scope]]="Unchanged",6.42*Table4[[#This Row],[ISC Base]],IF(Table4[[#This Row],[Scope]]="Changed",7.52*(Table4[[#This Row],[ISC Base]] - 0.029) - 3.25 * POWER(Table4[[#This Row],[ISC Base]] - 0.02,15),NA()))</f>
        <v>4.7013916800000004</v>
      </c>
      <c r="U60" s="275">
        <f>IF(Table4[[#This Row],[Impact Sub Score]]&lt;=0,0,IF(Table4[[#This Row],[Scope]]="Unchanged",ROUNDUP(MIN((Table4[[#This Row],[Impact Sub Score]]+Table4[[#This Row],[Exploitability Sub Score]]),10),1),IF(Table4[[#This Row],[Scope]]="Changed",ROUNDUP(MIN((1.08*(Table4[[#This Row],[Impact Sub Score]]+Table4[[#This Row],[Exploitability Sub Score]])),10),1),NA())))</f>
        <v>5.6</v>
      </c>
      <c r="V60" s="276" t="s">
        <v>55</v>
      </c>
      <c r="W60" s="275">
        <f>VLOOKUP(Table4[[#This Row],[Threat Event Initiation]],NIST_Scale_LOAI[],2,FALSE)</f>
        <v>0.2</v>
      </c>
      <c r="X60"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4.8999999999999995</v>
      </c>
      <c r="Y60"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0" s="243" t="s">
        <v>486</v>
      </c>
      <c r="AA60" s="248"/>
      <c r="AB60" s="278"/>
      <c r="AC60" s="248"/>
      <c r="AD60" s="248"/>
      <c r="AE60" s="248"/>
      <c r="AF60" s="273"/>
      <c r="AG60" s="273"/>
      <c r="AH60" s="273"/>
      <c r="AI60" s="273"/>
      <c r="AJ60" s="279"/>
      <c r="AK60"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275" t="e">
        <f>(1 - ((1 - VLOOKUP(Table4[[#This Row],[ConfidentialityP]],'Reference - CVSSv3.0'!$B$15:$C$17,2,FALSE)) * (1 - VLOOKUP(Table4[[#This Row],[IntegrityP]],'Reference - CVSSv3.0'!$B$15:$C$17,2,FALSE)) *  (1 - VLOOKUP(Table4[[#This Row],[AvailabilityP]],'Reference - CVSSv3.0'!$B$15:$C$17,2,FALSE))))</f>
        <v>#N/A</v>
      </c>
      <c r="AM60" s="275" t="e">
        <f>IF(Table4[[#This Row],[ScopeP]]="Unchanged",6.42*Table4[[#This Row],[ISC BaseP]],IF(Table4[[#This Row],[ScopeP]]="Changed",7.52*(Table4[[#This Row],[ISC BaseP]] - 0.029) - 3.25 * POWER(Table4[[#This Row],[ISC BaseP]] - 0.02,15),NA()))</f>
        <v>#N/A</v>
      </c>
      <c r="AN60"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248"/>
    </row>
    <row r="61" spans="1:43" ht="70" x14ac:dyDescent="0.35">
      <c r="A61" s="309">
        <v>57</v>
      </c>
      <c r="B61" s="268" t="s">
        <v>505</v>
      </c>
      <c r="C61" s="298" t="str">
        <f>IF(VLOOKUP(Table4[[#This Row],[T ID]],Table5[#All],5,FALSE)="No","Not in scope",VLOOKUP(Table4[[#This Row],[T ID]],Table5[#All],2,FALSE))</f>
        <v>Risk of using windows 8.1</v>
      </c>
      <c r="D61" s="268" t="s">
        <v>492</v>
      </c>
      <c r="E61" s="298" t="str">
        <f>IF(VLOOKUP(Table4[[#This Row],[V ID]],Vulnerabilities[#All],3,FALSE)="No","Not in scope",VLOOKUP(Table4[[#This Row],[V ID]],Vulnerabilities[#All],2,FALSE))</f>
        <v>Unsupported OS from vendor</v>
      </c>
      <c r="F61" s="299" t="s">
        <v>106</v>
      </c>
      <c r="G61" s="298" t="str">
        <f>VLOOKUP(Table4[[#This Row],[A ID]],Assets[#All],3,FALSE)</f>
        <v>Nav3i cart/ System running with windows 8.1</v>
      </c>
      <c r="H61" s="284" t="s">
        <v>547</v>
      </c>
      <c r="I61" s="268"/>
      <c r="J61" s="312" t="s">
        <v>76</v>
      </c>
      <c r="K61" s="312" t="s">
        <v>55</v>
      </c>
      <c r="L61" s="312" t="s">
        <v>64</v>
      </c>
      <c r="M61" s="300" t="s">
        <v>78</v>
      </c>
      <c r="N61" s="300" t="s">
        <v>55</v>
      </c>
      <c r="O61" s="300" t="s">
        <v>55</v>
      </c>
      <c r="P61" s="300" t="s">
        <v>76</v>
      </c>
      <c r="Q61" s="300" t="s">
        <v>73</v>
      </c>
      <c r="R61" s="3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302">
        <f>(1 - ((1 - VLOOKUP(Table4[[#This Row],[Confidentiality]],'Reference - CVSSv3.0'!$B$15:$C$17,2,FALSE)) * (1 - VLOOKUP(Table4[[#This Row],[Integrity]],'Reference - CVSSv3.0'!$B$15:$C$17,2,FALSE)) *  (1 - VLOOKUP(Table4[[#This Row],[Availability]],'Reference - CVSSv3.0'!$B$15:$C$17,2,FALSE))))</f>
        <v>0.65680000000000005</v>
      </c>
      <c r="T61" s="302">
        <f>IF(Table4[[#This Row],[Scope]]="Unchanged",6.42*Table4[[#This Row],[ISC Base]],IF(Table4[[#This Row],[Scope]]="Changed",7.52*(Table4[[#This Row],[ISC Base]] - 0.029) - 3.25 * POWER(Table4[[#This Row],[ISC Base]] - 0.02,15),NA()))</f>
        <v>4.2166560000000004</v>
      </c>
      <c r="U61" s="302">
        <f>IF(Table4[[#This Row],[Impact Sub Score]]&lt;=0,0,IF(Table4[[#This Row],[Scope]]="Unchanged",ROUNDUP(MIN((Table4[[#This Row],[Impact Sub Score]]+Table4[[#This Row],[Exploitability Sub Score]]),10),1),IF(Table4[[#This Row],[Scope]]="Changed",ROUNDUP(MIN((1.08*(Table4[[#This Row],[Impact Sub Score]]+Table4[[#This Row],[Exploitability Sub Score]])),10),1),NA())))</f>
        <v>6.1</v>
      </c>
      <c r="V61" s="303" t="s">
        <v>54</v>
      </c>
      <c r="W61" s="302">
        <f>VLOOKUP(Table4[[#This Row],[Threat Event Initiation]],NIST_Scale_LOAI[],2,FALSE)</f>
        <v>0.5</v>
      </c>
      <c r="X61" s="30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1" s="30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1" s="259" t="s">
        <v>518</v>
      </c>
      <c r="AA61" s="268"/>
      <c r="AB61" s="305"/>
      <c r="AC61" s="268"/>
      <c r="AD61" s="268"/>
      <c r="AE61" s="268"/>
      <c r="AF61" s="300"/>
      <c r="AG61" s="300"/>
      <c r="AH61" s="300"/>
      <c r="AI61" s="300"/>
      <c r="AJ61" s="306"/>
      <c r="AK61" s="30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302" t="e">
        <f>(1 - ((1 - VLOOKUP(Table4[[#This Row],[ConfidentialityP]],'Reference - CVSSv3.0'!$B$15:$C$17,2,FALSE)) * (1 - VLOOKUP(Table4[[#This Row],[IntegrityP]],'Reference - CVSSv3.0'!$B$15:$C$17,2,FALSE)) *  (1 - VLOOKUP(Table4[[#This Row],[AvailabilityP]],'Reference - CVSSv3.0'!$B$15:$C$17,2,FALSE))))</f>
        <v>#N/A</v>
      </c>
      <c r="AM61" s="302" t="e">
        <f>IF(Table4[[#This Row],[ScopeP]]="Unchanged",6.42*Table4[[#This Row],[ISC BaseP]],IF(Table4[[#This Row],[ScopeP]]="Changed",7.52*(Table4[[#This Row],[ISC BaseP]] - 0.029) - 3.25 * POWER(Table4[[#This Row],[ISC BaseP]] - 0.02,15),NA()))</f>
        <v>#N/A</v>
      </c>
      <c r="AN61" s="30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30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30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268"/>
    </row>
    <row r="62" spans="1:43" ht="70" x14ac:dyDescent="0.35">
      <c r="A62" s="310">
        <v>58</v>
      </c>
      <c r="B62" s="266" t="s">
        <v>505</v>
      </c>
      <c r="C62" s="289" t="str">
        <f>IF(VLOOKUP(Table4[[#This Row],[T ID]],Table5[#All],5,FALSE)="No","Not in scope",VLOOKUP(Table4[[#This Row],[T ID]],Table5[#All],2,FALSE))</f>
        <v>Risk of using windows 8.1</v>
      </c>
      <c r="D62" s="266" t="s">
        <v>493</v>
      </c>
      <c r="E62" s="289" t="str">
        <f>IF(VLOOKUP(Table4[[#This Row],[V ID]],Vulnerabilities[#All],3,FALSE)="No","Not in scope",VLOOKUP(Table4[[#This Row],[V ID]],Vulnerabilities[#All],2,FALSE))</f>
        <v xml:space="preserve">Unavailability of support from 3rd party tools for outdated OS </v>
      </c>
      <c r="F62" s="290" t="s">
        <v>106</v>
      </c>
      <c r="G62" s="289" t="str">
        <f>VLOOKUP(Table4[[#This Row],[A ID]],Assets[#All],3,FALSE)</f>
        <v>Nav3i cart/ System running with windows 8.1</v>
      </c>
      <c r="H62" s="284" t="s">
        <v>547</v>
      </c>
      <c r="I62" s="266"/>
      <c r="J62" s="312" t="s">
        <v>76</v>
      </c>
      <c r="K62" s="312" t="s">
        <v>55</v>
      </c>
      <c r="L62" s="312" t="s">
        <v>64</v>
      </c>
      <c r="M62" s="300" t="s">
        <v>78</v>
      </c>
      <c r="N62" s="300" t="s">
        <v>55</v>
      </c>
      <c r="O62" s="300" t="s">
        <v>55</v>
      </c>
      <c r="P62" s="300" t="s">
        <v>76</v>
      </c>
      <c r="Q62" s="300" t="s">
        <v>73</v>
      </c>
      <c r="R62" s="29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2" s="293">
        <f>(1 - ((1 - VLOOKUP(Table4[[#This Row],[Confidentiality]],'Reference - CVSSv3.0'!$B$15:$C$17,2,FALSE)) * (1 - VLOOKUP(Table4[[#This Row],[Integrity]],'Reference - CVSSv3.0'!$B$15:$C$17,2,FALSE)) *  (1 - VLOOKUP(Table4[[#This Row],[Availability]],'Reference - CVSSv3.0'!$B$15:$C$17,2,FALSE))))</f>
        <v>0.65680000000000005</v>
      </c>
      <c r="T62" s="293">
        <f>IF(Table4[[#This Row],[Scope]]="Unchanged",6.42*Table4[[#This Row],[ISC Base]],IF(Table4[[#This Row],[Scope]]="Changed",7.52*(Table4[[#This Row],[ISC Base]] - 0.029) - 3.25 * POWER(Table4[[#This Row],[ISC Base]] - 0.02,15),NA()))</f>
        <v>4.2166560000000004</v>
      </c>
      <c r="U62" s="293">
        <f>IF(Table4[[#This Row],[Impact Sub Score]]&lt;=0,0,IF(Table4[[#This Row],[Scope]]="Unchanged",ROUNDUP(MIN((Table4[[#This Row],[Impact Sub Score]]+Table4[[#This Row],[Exploitability Sub Score]]),10),1),IF(Table4[[#This Row],[Scope]]="Changed",ROUNDUP(MIN((1.08*(Table4[[#This Row],[Impact Sub Score]]+Table4[[#This Row],[Exploitability Sub Score]])),10),1),NA())))</f>
        <v>6.1</v>
      </c>
      <c r="V62" s="303" t="s">
        <v>54</v>
      </c>
      <c r="W62" s="293">
        <f>VLOOKUP(Table4[[#This Row],[Threat Event Initiation]],NIST_Scale_LOAI[],2,FALSE)</f>
        <v>0.5</v>
      </c>
      <c r="X62" s="29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2" s="29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2" s="258" t="s">
        <v>520</v>
      </c>
      <c r="AA62" s="266"/>
      <c r="AB62" s="295"/>
      <c r="AC62" s="266"/>
      <c r="AD62" s="266"/>
      <c r="AE62" s="266"/>
      <c r="AF62" s="291"/>
      <c r="AG62" s="291"/>
      <c r="AH62" s="291"/>
      <c r="AI62" s="291"/>
      <c r="AJ62" s="296"/>
      <c r="AK62" s="29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293" t="e">
        <f>(1 - ((1 - VLOOKUP(Table4[[#This Row],[ConfidentialityP]],'Reference - CVSSv3.0'!$B$15:$C$17,2,FALSE)) * (1 - VLOOKUP(Table4[[#This Row],[IntegrityP]],'Reference - CVSSv3.0'!$B$15:$C$17,2,FALSE)) *  (1 - VLOOKUP(Table4[[#This Row],[AvailabilityP]],'Reference - CVSSv3.0'!$B$15:$C$17,2,FALSE))))</f>
        <v>#N/A</v>
      </c>
      <c r="AM62" s="293" t="e">
        <f>IF(Table4[[#This Row],[ScopeP]]="Unchanged",6.42*Table4[[#This Row],[ISC BaseP]],IF(Table4[[#This Row],[ScopeP]]="Changed",7.52*(Table4[[#This Row],[ISC BaseP]] - 0.029) - 3.25 * POWER(Table4[[#This Row],[ISC BaseP]] - 0.02,15),NA()))</f>
        <v>#N/A</v>
      </c>
      <c r="AN62" s="29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29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29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266"/>
    </row>
    <row r="63" spans="1:43" ht="84" x14ac:dyDescent="0.35">
      <c r="A63" s="310">
        <v>59</v>
      </c>
      <c r="B63" s="266" t="s">
        <v>505</v>
      </c>
      <c r="C63" s="289" t="str">
        <f>IF(VLOOKUP(Table4[[#This Row],[T ID]],Table5[#All],5,FALSE)="No","Not in scope",VLOOKUP(Table4[[#This Row],[T ID]],Table5[#All],2,FALSE))</f>
        <v>Risk of using windows 8.1</v>
      </c>
      <c r="D63" s="266" t="s">
        <v>495</v>
      </c>
      <c r="E63" s="289" t="str">
        <f>IF(VLOOKUP(Table4[[#This Row],[V ID]],Vulnerabilities[#All],3,FALSE)="No","Not in scope",VLOOKUP(Table4[[#This Row],[V ID]],Vulnerabilities[#All],2,FALSE))</f>
        <v>OS tools from vendor not getting updated</v>
      </c>
      <c r="F63" s="290" t="s">
        <v>106</v>
      </c>
      <c r="G63" s="289" t="str">
        <f>VLOOKUP(Table4[[#This Row],[A ID]],Assets[#All],3,FALSE)</f>
        <v>Nav3i cart/ System running with windows 8.1</v>
      </c>
      <c r="H63" s="284" t="s">
        <v>547</v>
      </c>
      <c r="I63" s="266"/>
      <c r="J63" s="312" t="s">
        <v>76</v>
      </c>
      <c r="K63" s="312" t="s">
        <v>55</v>
      </c>
      <c r="L63" s="312" t="s">
        <v>64</v>
      </c>
      <c r="M63" s="300" t="s">
        <v>78</v>
      </c>
      <c r="N63" s="300" t="s">
        <v>55</v>
      </c>
      <c r="O63" s="300" t="s">
        <v>55</v>
      </c>
      <c r="P63" s="300" t="s">
        <v>76</v>
      </c>
      <c r="Q63" s="300" t="s">
        <v>73</v>
      </c>
      <c r="R63" s="29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3" s="293">
        <f>(1 - ((1 - VLOOKUP(Table4[[#This Row],[Confidentiality]],'Reference - CVSSv3.0'!$B$15:$C$17,2,FALSE)) * (1 - VLOOKUP(Table4[[#This Row],[Integrity]],'Reference - CVSSv3.0'!$B$15:$C$17,2,FALSE)) *  (1 - VLOOKUP(Table4[[#This Row],[Availability]],'Reference - CVSSv3.0'!$B$15:$C$17,2,FALSE))))</f>
        <v>0.65680000000000005</v>
      </c>
      <c r="T63" s="293">
        <f>IF(Table4[[#This Row],[Scope]]="Unchanged",6.42*Table4[[#This Row],[ISC Base]],IF(Table4[[#This Row],[Scope]]="Changed",7.52*(Table4[[#This Row],[ISC Base]] - 0.029) - 3.25 * POWER(Table4[[#This Row],[ISC Base]] - 0.02,15),NA()))</f>
        <v>4.2166560000000004</v>
      </c>
      <c r="U63" s="293">
        <f>IF(Table4[[#This Row],[Impact Sub Score]]&lt;=0,0,IF(Table4[[#This Row],[Scope]]="Unchanged",ROUNDUP(MIN((Table4[[#This Row],[Impact Sub Score]]+Table4[[#This Row],[Exploitability Sub Score]]),10),1),IF(Table4[[#This Row],[Scope]]="Changed",ROUNDUP(MIN((1.08*(Table4[[#This Row],[Impact Sub Score]]+Table4[[#This Row],[Exploitability Sub Score]])),10),1),NA())))</f>
        <v>6.1</v>
      </c>
      <c r="V63" s="303" t="s">
        <v>54</v>
      </c>
      <c r="W63" s="293">
        <f>VLOOKUP(Table4[[#This Row],[Threat Event Initiation]],NIST_Scale_LOAI[],2,FALSE)</f>
        <v>0.5</v>
      </c>
      <c r="X63" s="29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3" s="29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3" s="258" t="s">
        <v>521</v>
      </c>
      <c r="AA63" s="266"/>
      <c r="AB63" s="295"/>
      <c r="AC63" s="266"/>
      <c r="AD63" s="266"/>
      <c r="AE63" s="266"/>
      <c r="AF63" s="291"/>
      <c r="AG63" s="291"/>
      <c r="AH63" s="291"/>
      <c r="AI63" s="291"/>
      <c r="AJ63" s="296"/>
      <c r="AK63" s="29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293" t="e">
        <f>(1 - ((1 - VLOOKUP(Table4[[#This Row],[ConfidentialityP]],'Reference - CVSSv3.0'!$B$15:$C$17,2,FALSE)) * (1 - VLOOKUP(Table4[[#This Row],[IntegrityP]],'Reference - CVSSv3.0'!$B$15:$C$17,2,FALSE)) *  (1 - VLOOKUP(Table4[[#This Row],[AvailabilityP]],'Reference - CVSSv3.0'!$B$15:$C$17,2,FALSE))))</f>
        <v>#N/A</v>
      </c>
      <c r="AM63" s="293" t="e">
        <f>IF(Table4[[#This Row],[ScopeP]]="Unchanged",6.42*Table4[[#This Row],[ISC BaseP]],IF(Table4[[#This Row],[ScopeP]]="Changed",7.52*(Table4[[#This Row],[ISC BaseP]] - 0.029) - 3.25 * POWER(Table4[[#This Row],[ISC BaseP]] - 0.02,15),NA()))</f>
        <v>#N/A</v>
      </c>
      <c r="AN63" s="29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29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29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66"/>
    </row>
    <row r="64" spans="1:43" ht="84" x14ac:dyDescent="0.35">
      <c r="A64" s="310">
        <v>60</v>
      </c>
      <c r="B64" s="266" t="s">
        <v>505</v>
      </c>
      <c r="C64" s="289" t="str">
        <f>IF(VLOOKUP(Table4[[#This Row],[T ID]],Table5[#All],5,FALSE)="No","Not in scope",VLOOKUP(Table4[[#This Row],[T ID]],Table5[#All],2,FALSE))</f>
        <v>Risk of using windows 8.1</v>
      </c>
      <c r="D64" s="266" t="s">
        <v>498</v>
      </c>
      <c r="E64" s="289" t="str">
        <f>IF(VLOOKUP(Table4[[#This Row],[V ID]],Vulnerabilities[#All],3,FALSE)="No","Not in scope",VLOOKUP(Table4[[#This Row],[V ID]],Vulnerabilities[#All],2,FALSE))</f>
        <v>Absence of periodic backup plan</v>
      </c>
      <c r="F64" s="290" t="s">
        <v>106</v>
      </c>
      <c r="G64" s="289" t="str">
        <f>VLOOKUP(Table4[[#This Row],[A ID]],Assets[#All],3,FALSE)</f>
        <v>Nav3i cart/ System running with windows 8.1</v>
      </c>
      <c r="H64" s="284" t="s">
        <v>547</v>
      </c>
      <c r="I64" s="266"/>
      <c r="J64" s="312" t="s">
        <v>76</v>
      </c>
      <c r="K64" s="312" t="s">
        <v>55</v>
      </c>
      <c r="L64" s="312" t="s">
        <v>64</v>
      </c>
      <c r="M64" s="300" t="s">
        <v>78</v>
      </c>
      <c r="N64" s="300" t="s">
        <v>55</v>
      </c>
      <c r="O64" s="300" t="s">
        <v>55</v>
      </c>
      <c r="P64" s="300" t="s">
        <v>76</v>
      </c>
      <c r="Q64" s="300" t="s">
        <v>73</v>
      </c>
      <c r="R64" s="29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4" s="293">
        <f>(1 - ((1 - VLOOKUP(Table4[[#This Row],[Confidentiality]],'Reference - CVSSv3.0'!$B$15:$C$17,2,FALSE)) * (1 - VLOOKUP(Table4[[#This Row],[Integrity]],'Reference - CVSSv3.0'!$B$15:$C$17,2,FALSE)) *  (1 - VLOOKUP(Table4[[#This Row],[Availability]],'Reference - CVSSv3.0'!$B$15:$C$17,2,FALSE))))</f>
        <v>0.65680000000000005</v>
      </c>
      <c r="T64" s="293">
        <f>IF(Table4[[#This Row],[Scope]]="Unchanged",6.42*Table4[[#This Row],[ISC Base]],IF(Table4[[#This Row],[Scope]]="Changed",7.52*(Table4[[#This Row],[ISC Base]] - 0.029) - 3.25 * POWER(Table4[[#This Row],[ISC Base]] - 0.02,15),NA()))</f>
        <v>4.2166560000000004</v>
      </c>
      <c r="U64" s="293">
        <f>IF(Table4[[#This Row],[Impact Sub Score]]&lt;=0,0,IF(Table4[[#This Row],[Scope]]="Unchanged",ROUNDUP(MIN((Table4[[#This Row],[Impact Sub Score]]+Table4[[#This Row],[Exploitability Sub Score]]),10),1),IF(Table4[[#This Row],[Scope]]="Changed",ROUNDUP(MIN((1.08*(Table4[[#This Row],[Impact Sub Score]]+Table4[[#This Row],[Exploitability Sub Score]])),10),1),NA())))</f>
        <v>6.1</v>
      </c>
      <c r="V64" s="303" t="s">
        <v>54</v>
      </c>
      <c r="W64" s="293">
        <f>VLOOKUP(Table4[[#This Row],[Threat Event Initiation]],NIST_Scale_LOAI[],2,FALSE)</f>
        <v>0.5</v>
      </c>
      <c r="X64" s="29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4" s="29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258" t="s">
        <v>523</v>
      </c>
      <c r="AA64" s="266"/>
      <c r="AB64" s="295"/>
      <c r="AC64" s="266"/>
      <c r="AD64" s="266"/>
      <c r="AE64" s="266"/>
      <c r="AF64" s="291"/>
      <c r="AG64" s="291"/>
      <c r="AH64" s="291"/>
      <c r="AI64" s="291"/>
      <c r="AJ64" s="296"/>
      <c r="AK64" s="29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293" t="e">
        <f>(1 - ((1 - VLOOKUP(Table4[[#This Row],[ConfidentialityP]],'Reference - CVSSv3.0'!$B$15:$C$17,2,FALSE)) * (1 - VLOOKUP(Table4[[#This Row],[IntegrityP]],'Reference - CVSSv3.0'!$B$15:$C$17,2,FALSE)) *  (1 - VLOOKUP(Table4[[#This Row],[AvailabilityP]],'Reference - CVSSv3.0'!$B$15:$C$17,2,FALSE))))</f>
        <v>#N/A</v>
      </c>
      <c r="AM64" s="293" t="e">
        <f>IF(Table4[[#This Row],[ScopeP]]="Unchanged",6.42*Table4[[#This Row],[ISC BaseP]],IF(Table4[[#This Row],[ScopeP]]="Changed",7.52*(Table4[[#This Row],[ISC BaseP]] - 0.029) - 3.25 * POWER(Table4[[#This Row],[ISC BaseP]] - 0.02,15),NA()))</f>
        <v>#N/A</v>
      </c>
      <c r="AN64" s="29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29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29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266"/>
    </row>
    <row r="65" spans="1:43" ht="112" x14ac:dyDescent="0.35">
      <c r="A65" s="310">
        <v>61</v>
      </c>
      <c r="B65" s="266" t="s">
        <v>505</v>
      </c>
      <c r="C65" s="289" t="str">
        <f>IF(VLOOKUP(Table4[[#This Row],[T ID]],Table5[#All],5,FALSE)="No","Not in scope",VLOOKUP(Table4[[#This Row],[T ID]],Table5[#All],2,FALSE))</f>
        <v>Risk of using windows 8.1</v>
      </c>
      <c r="D65" s="266" t="s">
        <v>502</v>
      </c>
      <c r="E65" s="289" t="str">
        <f>IF(VLOOKUP(Table4[[#This Row],[V ID]],Vulnerabilities[#All],3,FALSE)="No","Not in scope",VLOOKUP(Table4[[#This Row],[V ID]],Vulnerabilities[#All],2,FALSE))</f>
        <v>Corrupted OS and absence of restore points</v>
      </c>
      <c r="F65" s="290" t="s">
        <v>106</v>
      </c>
      <c r="G65" s="289" t="str">
        <f>VLOOKUP(Table4[[#This Row],[A ID]],Assets[#All],3,FALSE)</f>
        <v>Nav3i cart/ System running with windows 8.1</v>
      </c>
      <c r="H65" s="284" t="s">
        <v>547</v>
      </c>
      <c r="I65" s="266"/>
      <c r="J65" s="312" t="s">
        <v>76</v>
      </c>
      <c r="K65" s="312" t="s">
        <v>55</v>
      </c>
      <c r="L65" s="312" t="s">
        <v>64</v>
      </c>
      <c r="M65" s="300" t="s">
        <v>78</v>
      </c>
      <c r="N65" s="300" t="s">
        <v>55</v>
      </c>
      <c r="O65" s="300" t="s">
        <v>55</v>
      </c>
      <c r="P65" s="300" t="s">
        <v>76</v>
      </c>
      <c r="Q65" s="300" t="s">
        <v>73</v>
      </c>
      <c r="R65" s="29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5" s="293">
        <f>(1 - ((1 - VLOOKUP(Table4[[#This Row],[Confidentiality]],'Reference - CVSSv3.0'!$B$15:$C$17,2,FALSE)) * (1 - VLOOKUP(Table4[[#This Row],[Integrity]],'Reference - CVSSv3.0'!$B$15:$C$17,2,FALSE)) *  (1 - VLOOKUP(Table4[[#This Row],[Availability]],'Reference - CVSSv3.0'!$B$15:$C$17,2,FALSE))))</f>
        <v>0.65680000000000005</v>
      </c>
      <c r="T65" s="293">
        <f>IF(Table4[[#This Row],[Scope]]="Unchanged",6.42*Table4[[#This Row],[ISC Base]],IF(Table4[[#This Row],[Scope]]="Changed",7.52*(Table4[[#This Row],[ISC Base]] - 0.029) - 3.25 * POWER(Table4[[#This Row],[ISC Base]] - 0.02,15),NA()))</f>
        <v>4.2166560000000004</v>
      </c>
      <c r="U65" s="293">
        <f>IF(Table4[[#This Row],[Impact Sub Score]]&lt;=0,0,IF(Table4[[#This Row],[Scope]]="Unchanged",ROUNDUP(MIN((Table4[[#This Row],[Impact Sub Score]]+Table4[[#This Row],[Exploitability Sub Score]]),10),1),IF(Table4[[#This Row],[Scope]]="Changed",ROUNDUP(MIN((1.08*(Table4[[#This Row],[Impact Sub Score]]+Table4[[#This Row],[Exploitability Sub Score]])),10),1),NA())))</f>
        <v>6.1</v>
      </c>
      <c r="V65" s="303" t="s">
        <v>54</v>
      </c>
      <c r="W65" s="293">
        <f>VLOOKUP(Table4[[#This Row],[Threat Event Initiation]],NIST_Scale_LOAI[],2,FALSE)</f>
        <v>0.5</v>
      </c>
      <c r="X65" s="29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5" s="29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258" t="s">
        <v>522</v>
      </c>
      <c r="AA65" s="266"/>
      <c r="AB65" s="295"/>
      <c r="AC65" s="266"/>
      <c r="AD65" s="266"/>
      <c r="AE65" s="266"/>
      <c r="AF65" s="291"/>
      <c r="AG65" s="291"/>
      <c r="AH65" s="291"/>
      <c r="AI65" s="291"/>
      <c r="AJ65" s="296"/>
      <c r="AK65" s="29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293" t="e">
        <f>(1 - ((1 - VLOOKUP(Table4[[#This Row],[ConfidentialityP]],'Reference - CVSSv3.0'!$B$15:$C$17,2,FALSE)) * (1 - VLOOKUP(Table4[[#This Row],[IntegrityP]],'Reference - CVSSv3.0'!$B$15:$C$17,2,FALSE)) *  (1 - VLOOKUP(Table4[[#This Row],[AvailabilityP]],'Reference - CVSSv3.0'!$B$15:$C$17,2,FALSE))))</f>
        <v>#N/A</v>
      </c>
      <c r="AM65" s="293" t="e">
        <f>IF(Table4[[#This Row],[ScopeP]]="Unchanged",6.42*Table4[[#This Row],[ISC BaseP]],IF(Table4[[#This Row],[ScopeP]]="Changed",7.52*(Table4[[#This Row],[ISC BaseP]] - 0.029) - 3.25 * POWER(Table4[[#This Row],[ISC BaseP]] - 0.02,15),NA()))</f>
        <v>#N/A</v>
      </c>
      <c r="AN65" s="29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29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29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266"/>
    </row>
    <row r="66" spans="1:43" ht="56" x14ac:dyDescent="0.35">
      <c r="A66" s="309">
        <v>62</v>
      </c>
      <c r="B66" s="268" t="s">
        <v>505</v>
      </c>
      <c r="C66" s="298" t="str">
        <f>IF(VLOOKUP(Table4[[#This Row],[T ID]],Table5[#All],5,FALSE)="No","Not in scope",VLOOKUP(Table4[[#This Row],[T ID]],Table5[#All],2,FALSE))</f>
        <v>Risk of using windows 8.1</v>
      </c>
      <c r="D66" s="268" t="s">
        <v>499</v>
      </c>
      <c r="E66" s="298" t="str">
        <f>IF(VLOOKUP(Table4[[#This Row],[V ID]],Vulnerabilities[#All],3,FALSE)="No","Not in scope",VLOOKUP(Table4[[#This Row],[V ID]],Vulnerabilities[#All],2,FALSE))</f>
        <v>Remote exploitation of the system from intranet</v>
      </c>
      <c r="F66" s="299" t="s">
        <v>106</v>
      </c>
      <c r="G66" s="298" t="str">
        <f>VLOOKUP(Table4[[#This Row],[A ID]],Assets[#All],3,FALSE)</f>
        <v>Nav3i cart/ System running with windows 8.1</v>
      </c>
      <c r="H66" s="284" t="s">
        <v>547</v>
      </c>
      <c r="I66" s="268"/>
      <c r="J66" s="312" t="s">
        <v>76</v>
      </c>
      <c r="K66" s="312" t="s">
        <v>55</v>
      </c>
      <c r="L66" s="312" t="s">
        <v>64</v>
      </c>
      <c r="M66" s="300" t="s">
        <v>77</v>
      </c>
      <c r="N66" s="300" t="s">
        <v>55</v>
      </c>
      <c r="O66" s="300" t="s">
        <v>55</v>
      </c>
      <c r="P66" s="300" t="s">
        <v>76</v>
      </c>
      <c r="Q66" s="300" t="s">
        <v>73</v>
      </c>
      <c r="R66" s="3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6" s="302">
        <f>(1 - ((1 - VLOOKUP(Table4[[#This Row],[Confidentiality]],'Reference - CVSSv3.0'!$B$15:$C$17,2,FALSE)) * (1 - VLOOKUP(Table4[[#This Row],[Integrity]],'Reference - CVSSv3.0'!$B$15:$C$17,2,FALSE)) *  (1 - VLOOKUP(Table4[[#This Row],[Availability]],'Reference - CVSSv3.0'!$B$15:$C$17,2,FALSE))))</f>
        <v>0.65680000000000005</v>
      </c>
      <c r="T66" s="302">
        <f>IF(Table4[[#This Row],[Scope]]="Unchanged",6.42*Table4[[#This Row],[ISC Base]],IF(Table4[[#This Row],[Scope]]="Changed",7.52*(Table4[[#This Row],[ISC Base]] - 0.029) - 3.25 * POWER(Table4[[#This Row],[ISC Base]] - 0.02,15),NA()))</f>
        <v>4.2166560000000004</v>
      </c>
      <c r="U66" s="302">
        <f>IF(Table4[[#This Row],[Impact Sub Score]]&lt;=0,0,IF(Table4[[#This Row],[Scope]]="Unchanged",ROUNDUP(MIN((Table4[[#This Row],[Impact Sub Score]]+Table4[[#This Row],[Exploitability Sub Score]]),10),1),IF(Table4[[#This Row],[Scope]]="Changed",ROUNDUP(MIN((1.08*(Table4[[#This Row],[Impact Sub Score]]+Table4[[#This Row],[Exploitability Sub Score]])),10),1),NA())))</f>
        <v>7.1</v>
      </c>
      <c r="V66" s="303" t="s">
        <v>54</v>
      </c>
      <c r="W66" s="302">
        <f>VLOOKUP(Table4[[#This Row],[Threat Event Initiation]],NIST_Scale_LOAI[],2,FALSE)</f>
        <v>0.5</v>
      </c>
      <c r="X66" s="30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66" s="30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6" s="259" t="s">
        <v>524</v>
      </c>
      <c r="AA66" s="268"/>
      <c r="AB66" s="305"/>
      <c r="AC66" s="268"/>
      <c r="AD66" s="268"/>
      <c r="AE66" s="268"/>
      <c r="AF66" s="300"/>
      <c r="AG66" s="300"/>
      <c r="AH66" s="300"/>
      <c r="AI66" s="300"/>
      <c r="AJ66" s="306"/>
      <c r="AK66" s="30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302" t="e">
        <f>(1 - ((1 - VLOOKUP(Table4[[#This Row],[ConfidentialityP]],'Reference - CVSSv3.0'!$B$15:$C$17,2,FALSE)) * (1 - VLOOKUP(Table4[[#This Row],[IntegrityP]],'Reference - CVSSv3.0'!$B$15:$C$17,2,FALSE)) *  (1 - VLOOKUP(Table4[[#This Row],[AvailabilityP]],'Reference - CVSSv3.0'!$B$15:$C$17,2,FALSE))))</f>
        <v>#N/A</v>
      </c>
      <c r="AM66" s="302" t="e">
        <f>IF(Table4[[#This Row],[ScopeP]]="Unchanged",6.42*Table4[[#This Row],[ISC BaseP]],IF(Table4[[#This Row],[ScopeP]]="Changed",7.52*(Table4[[#This Row],[ISC BaseP]] - 0.029) - 3.25 * POWER(Table4[[#This Row],[ISC BaseP]] - 0.02,15),NA()))</f>
        <v>#N/A</v>
      </c>
      <c r="AN66" s="30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30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30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268"/>
    </row>
    <row r="67" spans="1:43" ht="98" x14ac:dyDescent="0.35">
      <c r="A67" s="309">
        <v>63</v>
      </c>
      <c r="B67" s="268" t="s">
        <v>505</v>
      </c>
      <c r="C67" s="298" t="str">
        <f>IF(VLOOKUP(Table4[[#This Row],[T ID]],Table5[#All],5,FALSE)="No","Not in scope",VLOOKUP(Table4[[#This Row],[T ID]],Table5[#All],2,FALSE))</f>
        <v>Risk of using windows 8.1</v>
      </c>
      <c r="D67" s="268" t="s">
        <v>501</v>
      </c>
      <c r="E67" s="298" t="str">
        <f>IF(VLOOKUP(Table4[[#This Row],[V ID]],Vulnerabilities[#All],3,FALSE)="No","Not in scope",VLOOKUP(Table4[[#This Row],[V ID]],Vulnerabilities[#All],2,FALSE))</f>
        <v>Any malicious service running in the system without being identified</v>
      </c>
      <c r="F67" s="299" t="s">
        <v>106</v>
      </c>
      <c r="G67" s="298" t="str">
        <f>VLOOKUP(Table4[[#This Row],[A ID]],Assets[#All],3,FALSE)</f>
        <v>Nav3i cart/ System running with windows 8.1</v>
      </c>
      <c r="H67" s="284" t="s">
        <v>547</v>
      </c>
      <c r="I67" s="268"/>
      <c r="J67" s="312" t="s">
        <v>76</v>
      </c>
      <c r="K67" s="312" t="s">
        <v>55</v>
      </c>
      <c r="L67" s="312" t="s">
        <v>64</v>
      </c>
      <c r="M67" s="300" t="s">
        <v>78</v>
      </c>
      <c r="N67" s="300" t="s">
        <v>55</v>
      </c>
      <c r="O67" s="300" t="s">
        <v>55</v>
      </c>
      <c r="P67" s="300" t="s">
        <v>76</v>
      </c>
      <c r="Q67" s="300" t="s">
        <v>73</v>
      </c>
      <c r="R67" s="3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7" s="302">
        <f>(1 - ((1 - VLOOKUP(Table4[[#This Row],[Confidentiality]],'Reference - CVSSv3.0'!$B$15:$C$17,2,FALSE)) * (1 - VLOOKUP(Table4[[#This Row],[Integrity]],'Reference - CVSSv3.0'!$B$15:$C$17,2,FALSE)) *  (1 - VLOOKUP(Table4[[#This Row],[Availability]],'Reference - CVSSv3.0'!$B$15:$C$17,2,FALSE))))</f>
        <v>0.65680000000000005</v>
      </c>
      <c r="T67" s="302">
        <f>IF(Table4[[#This Row],[Scope]]="Unchanged",6.42*Table4[[#This Row],[ISC Base]],IF(Table4[[#This Row],[Scope]]="Changed",7.52*(Table4[[#This Row],[ISC Base]] - 0.029) - 3.25 * POWER(Table4[[#This Row],[ISC Base]] - 0.02,15),NA()))</f>
        <v>4.2166560000000004</v>
      </c>
      <c r="U67" s="302">
        <f>IF(Table4[[#This Row],[Impact Sub Score]]&lt;=0,0,IF(Table4[[#This Row],[Scope]]="Unchanged",ROUNDUP(MIN((Table4[[#This Row],[Impact Sub Score]]+Table4[[#This Row],[Exploitability Sub Score]]),10),1),IF(Table4[[#This Row],[Scope]]="Changed",ROUNDUP(MIN((1.08*(Table4[[#This Row],[Impact Sub Score]]+Table4[[#This Row],[Exploitability Sub Score]])),10),1),NA())))</f>
        <v>6.1</v>
      </c>
      <c r="V67" s="303" t="s">
        <v>54</v>
      </c>
      <c r="W67" s="302">
        <f>VLOOKUP(Table4[[#This Row],[Threat Event Initiation]],NIST_Scale_LOAI[],2,FALSE)</f>
        <v>0.5</v>
      </c>
      <c r="X67" s="30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7" s="30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7" s="259" t="s">
        <v>525</v>
      </c>
      <c r="AA67" s="268"/>
      <c r="AB67" s="305"/>
      <c r="AC67" s="268"/>
      <c r="AD67" s="268"/>
      <c r="AE67" s="268"/>
      <c r="AF67" s="300"/>
      <c r="AG67" s="300"/>
      <c r="AH67" s="300"/>
      <c r="AI67" s="300"/>
      <c r="AJ67" s="306"/>
      <c r="AK67" s="30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302" t="e">
        <f>(1 - ((1 - VLOOKUP(Table4[[#This Row],[ConfidentialityP]],'Reference - CVSSv3.0'!$B$15:$C$17,2,FALSE)) * (1 - VLOOKUP(Table4[[#This Row],[IntegrityP]],'Reference - CVSSv3.0'!$B$15:$C$17,2,FALSE)) *  (1 - VLOOKUP(Table4[[#This Row],[AvailabilityP]],'Reference - CVSSv3.0'!$B$15:$C$17,2,FALSE))))</f>
        <v>#N/A</v>
      </c>
      <c r="AM67" s="302" t="e">
        <f>IF(Table4[[#This Row],[ScopeP]]="Unchanged",6.42*Table4[[#This Row],[ISC BaseP]],IF(Table4[[#This Row],[ScopeP]]="Changed",7.52*(Table4[[#This Row],[ISC BaseP]] - 0.029) - 3.25 * POWER(Table4[[#This Row],[ISC BaseP]] - 0.02,15),NA()))</f>
        <v>#N/A</v>
      </c>
      <c r="AN67" s="30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30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30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268"/>
    </row>
    <row r="68" spans="1:43" ht="154" x14ac:dyDescent="0.35">
      <c r="A68" s="309">
        <v>64</v>
      </c>
      <c r="B68" s="268" t="s">
        <v>505</v>
      </c>
      <c r="C68" s="298" t="str">
        <f>IF(VLOOKUP(Table4[[#This Row],[T ID]],Table5[#All],5,FALSE)="No","Not in scope",VLOOKUP(Table4[[#This Row],[T ID]],Table5[#All],2,FALSE))</f>
        <v>Risk of using windows 8.1</v>
      </c>
      <c r="D68" s="268" t="s">
        <v>506</v>
      </c>
      <c r="E68" s="298" t="str">
        <f>IF(VLOOKUP(Table4[[#This Row],[V ID]],Vulnerabilities[#All],3,FALSE)="No","Not in scope",VLOOKUP(Table4[[#This Row],[V ID]],Vulnerabilities[#All],2,FALSE))</f>
        <v>Unhardened OS and network interfaces</v>
      </c>
      <c r="F68" s="299" t="s">
        <v>106</v>
      </c>
      <c r="G68" s="298" t="str">
        <f>VLOOKUP(Table4[[#This Row],[A ID]],Assets[#All],3,FALSE)</f>
        <v>Nav3i cart/ System running with windows 8.1</v>
      </c>
      <c r="H68" s="284" t="s">
        <v>547</v>
      </c>
      <c r="I68" s="268"/>
      <c r="J68" s="312" t="s">
        <v>76</v>
      </c>
      <c r="K68" s="312" t="s">
        <v>55</v>
      </c>
      <c r="L68" s="312" t="s">
        <v>64</v>
      </c>
      <c r="M68" s="300" t="s">
        <v>78</v>
      </c>
      <c r="N68" s="300" t="s">
        <v>55</v>
      </c>
      <c r="O68" s="300" t="s">
        <v>55</v>
      </c>
      <c r="P68" s="300" t="s">
        <v>76</v>
      </c>
      <c r="Q68" s="300" t="s">
        <v>73</v>
      </c>
      <c r="R68" s="3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8" s="302">
        <f>(1 - ((1 - VLOOKUP(Table4[[#This Row],[Confidentiality]],'Reference - CVSSv3.0'!$B$15:$C$17,2,FALSE)) * (1 - VLOOKUP(Table4[[#This Row],[Integrity]],'Reference - CVSSv3.0'!$B$15:$C$17,2,FALSE)) *  (1 - VLOOKUP(Table4[[#This Row],[Availability]],'Reference - CVSSv3.0'!$B$15:$C$17,2,FALSE))))</f>
        <v>0.65680000000000005</v>
      </c>
      <c r="T68" s="302">
        <f>IF(Table4[[#This Row],[Scope]]="Unchanged",6.42*Table4[[#This Row],[ISC Base]],IF(Table4[[#This Row],[Scope]]="Changed",7.52*(Table4[[#This Row],[ISC Base]] - 0.029) - 3.25 * POWER(Table4[[#This Row],[ISC Base]] - 0.02,15),NA()))</f>
        <v>4.2166560000000004</v>
      </c>
      <c r="U68" s="302">
        <f>IF(Table4[[#This Row],[Impact Sub Score]]&lt;=0,0,IF(Table4[[#This Row],[Scope]]="Unchanged",ROUNDUP(MIN((Table4[[#This Row],[Impact Sub Score]]+Table4[[#This Row],[Exploitability Sub Score]]),10),1),IF(Table4[[#This Row],[Scope]]="Changed",ROUNDUP(MIN((1.08*(Table4[[#This Row],[Impact Sub Score]]+Table4[[#This Row],[Exploitability Sub Score]])),10),1),NA())))</f>
        <v>6.1</v>
      </c>
      <c r="V68" s="303" t="s">
        <v>54</v>
      </c>
      <c r="W68" s="302">
        <f>VLOOKUP(Table4[[#This Row],[Threat Event Initiation]],NIST_Scale_LOAI[],2,FALSE)</f>
        <v>0.5</v>
      </c>
      <c r="X68" s="30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8" s="30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8" s="259" t="s">
        <v>526</v>
      </c>
      <c r="AA68" s="268"/>
      <c r="AB68" s="305"/>
      <c r="AC68" s="268"/>
      <c r="AD68" s="268"/>
      <c r="AE68" s="268"/>
      <c r="AF68" s="300"/>
      <c r="AG68" s="300"/>
      <c r="AH68" s="300"/>
      <c r="AI68" s="300"/>
      <c r="AJ68" s="306"/>
      <c r="AK68" s="30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302" t="e">
        <f>(1 - ((1 - VLOOKUP(Table4[[#This Row],[ConfidentialityP]],'Reference - CVSSv3.0'!$B$15:$C$17,2,FALSE)) * (1 - VLOOKUP(Table4[[#This Row],[IntegrityP]],'Reference - CVSSv3.0'!$B$15:$C$17,2,FALSE)) *  (1 - VLOOKUP(Table4[[#This Row],[AvailabilityP]],'Reference - CVSSv3.0'!$B$15:$C$17,2,FALSE))))</f>
        <v>#N/A</v>
      </c>
      <c r="AM68" s="302" t="e">
        <f>IF(Table4[[#This Row],[ScopeP]]="Unchanged",6.42*Table4[[#This Row],[ISC BaseP]],IF(Table4[[#This Row],[ScopeP]]="Changed",7.52*(Table4[[#This Row],[ISC BaseP]] - 0.029) - 3.25 * POWER(Table4[[#This Row],[ISC BaseP]] - 0.02,15),NA()))</f>
        <v>#N/A</v>
      </c>
      <c r="AN68" s="30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30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30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268"/>
    </row>
    <row r="69" spans="1:43" ht="140" x14ac:dyDescent="0.35">
      <c r="A69" s="309">
        <v>65</v>
      </c>
      <c r="B69" s="268" t="s">
        <v>516</v>
      </c>
      <c r="C69" s="298" t="str">
        <f>IF(VLOOKUP(Table4[[#This Row],[T ID]],Table5[#All],5,FALSE)="No","Not in scope",VLOOKUP(Table4[[#This Row],[T ID]],Table5[#All],2,FALSE))</f>
        <v>Risk of using Linux</v>
      </c>
      <c r="D69" s="268" t="s">
        <v>509</v>
      </c>
      <c r="E69" s="298" t="str">
        <f>IF(VLOOKUP(Table4[[#This Row],[V ID]],Vulnerabilities[#All],3,FALSE)="No","Not in scope",VLOOKUP(Table4[[#This Row],[V ID]],Vulnerabilities[#All],2,FALSE))</f>
        <v>Absence of periodic backup plan</v>
      </c>
      <c r="F69" s="299" t="s">
        <v>487</v>
      </c>
      <c r="G69" s="298" t="str">
        <f>VLOOKUP(Table4[[#This Row],[A ID]],Assets[#All],3,FALSE)</f>
        <v>New cart  running with Linux OS</v>
      </c>
      <c r="H69" s="283" t="s">
        <v>548</v>
      </c>
      <c r="I69" s="268"/>
      <c r="J69" s="312" t="s">
        <v>76</v>
      </c>
      <c r="K69" s="312" t="s">
        <v>55</v>
      </c>
      <c r="L69" s="312" t="s">
        <v>64</v>
      </c>
      <c r="M69" s="300" t="s">
        <v>78</v>
      </c>
      <c r="N69" s="300" t="s">
        <v>55</v>
      </c>
      <c r="O69" s="300" t="s">
        <v>55</v>
      </c>
      <c r="P69" s="300" t="s">
        <v>76</v>
      </c>
      <c r="Q69" s="300" t="s">
        <v>73</v>
      </c>
      <c r="R69" s="3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9" s="302">
        <f>(1 - ((1 - VLOOKUP(Table4[[#This Row],[Confidentiality]],'Reference - CVSSv3.0'!$B$15:$C$17,2,FALSE)) * (1 - VLOOKUP(Table4[[#This Row],[Integrity]],'Reference - CVSSv3.0'!$B$15:$C$17,2,FALSE)) *  (1 - VLOOKUP(Table4[[#This Row],[Availability]],'Reference - CVSSv3.0'!$B$15:$C$17,2,FALSE))))</f>
        <v>0.65680000000000005</v>
      </c>
      <c r="T69" s="302">
        <f>IF(Table4[[#This Row],[Scope]]="Unchanged",6.42*Table4[[#This Row],[ISC Base]],IF(Table4[[#This Row],[Scope]]="Changed",7.52*(Table4[[#This Row],[ISC Base]] - 0.029) - 3.25 * POWER(Table4[[#This Row],[ISC Base]] - 0.02,15),NA()))</f>
        <v>4.2166560000000004</v>
      </c>
      <c r="U69" s="302">
        <f>IF(Table4[[#This Row],[Impact Sub Score]]&lt;=0,0,IF(Table4[[#This Row],[Scope]]="Unchanged",ROUNDUP(MIN((Table4[[#This Row],[Impact Sub Score]]+Table4[[#This Row],[Exploitability Sub Score]]),10),1),IF(Table4[[#This Row],[Scope]]="Changed",ROUNDUP(MIN((1.08*(Table4[[#This Row],[Impact Sub Score]]+Table4[[#This Row],[Exploitability Sub Score]])),10),1),NA())))</f>
        <v>6.1</v>
      </c>
      <c r="V69" s="303" t="s">
        <v>54</v>
      </c>
      <c r="W69" s="302">
        <f>VLOOKUP(Table4[[#This Row],[Threat Event Initiation]],NIST_Scale_LOAI[],2,FALSE)</f>
        <v>0.5</v>
      </c>
      <c r="X69" s="30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9" s="30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9" s="258" t="s">
        <v>523</v>
      </c>
      <c r="AA69" s="268"/>
      <c r="AB69" s="305"/>
      <c r="AC69" s="268"/>
      <c r="AD69" s="268"/>
      <c r="AE69" s="268"/>
      <c r="AF69" s="300"/>
      <c r="AG69" s="300"/>
      <c r="AH69" s="300"/>
      <c r="AI69" s="300"/>
      <c r="AJ69" s="306"/>
      <c r="AK69" s="30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302" t="e">
        <f>(1 - ((1 - VLOOKUP(Table4[[#This Row],[ConfidentialityP]],'Reference - CVSSv3.0'!$B$15:$C$17,2,FALSE)) * (1 - VLOOKUP(Table4[[#This Row],[IntegrityP]],'Reference - CVSSv3.0'!$B$15:$C$17,2,FALSE)) *  (1 - VLOOKUP(Table4[[#This Row],[AvailabilityP]],'Reference - CVSSv3.0'!$B$15:$C$17,2,FALSE))))</f>
        <v>#N/A</v>
      </c>
      <c r="AM69" s="302" t="e">
        <f>IF(Table4[[#This Row],[ScopeP]]="Unchanged",6.42*Table4[[#This Row],[ISC BaseP]],IF(Table4[[#This Row],[ScopeP]]="Changed",7.52*(Table4[[#This Row],[ISC BaseP]] - 0.029) - 3.25 * POWER(Table4[[#This Row],[ISC BaseP]] - 0.02,15),NA()))</f>
        <v>#N/A</v>
      </c>
      <c r="AN69" s="30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30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30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268"/>
    </row>
    <row r="70" spans="1:43" ht="140" x14ac:dyDescent="0.35">
      <c r="A70" s="310">
        <v>66</v>
      </c>
      <c r="B70" s="268" t="s">
        <v>516</v>
      </c>
      <c r="C70" s="289" t="str">
        <f>IF(VLOOKUP(Table4[[#This Row],[T ID]],Table5[#All],5,FALSE)="No","Not in scope",VLOOKUP(Table4[[#This Row],[T ID]],Table5[#All],2,FALSE))</f>
        <v>Risk of using Linux</v>
      </c>
      <c r="D70" s="266" t="s">
        <v>510</v>
      </c>
      <c r="E70" s="289" t="str">
        <f>IF(VLOOKUP(Table4[[#This Row],[V ID]],Vulnerabilities[#All],3,FALSE)="No","Not in scope",VLOOKUP(Table4[[#This Row],[V ID]],Vulnerabilities[#All],2,FALSE))</f>
        <v>Corrupted OS and absence of restore points</v>
      </c>
      <c r="F70" s="299" t="s">
        <v>487</v>
      </c>
      <c r="G70" s="289" t="str">
        <f>VLOOKUP(Table4[[#This Row],[A ID]],Assets[#All],3,FALSE)</f>
        <v>New cart  running with Linux OS</v>
      </c>
      <c r="H70" s="283" t="s">
        <v>548</v>
      </c>
      <c r="I70" s="266"/>
      <c r="J70" s="312" t="s">
        <v>76</v>
      </c>
      <c r="K70" s="312" t="s">
        <v>55</v>
      </c>
      <c r="L70" s="312" t="s">
        <v>64</v>
      </c>
      <c r="M70" s="300" t="s">
        <v>78</v>
      </c>
      <c r="N70" s="300" t="s">
        <v>55</v>
      </c>
      <c r="O70" s="300" t="s">
        <v>55</v>
      </c>
      <c r="P70" s="300" t="s">
        <v>76</v>
      </c>
      <c r="Q70" s="300" t="s">
        <v>73</v>
      </c>
      <c r="R70" s="29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0" s="293">
        <f>(1 - ((1 - VLOOKUP(Table4[[#This Row],[Confidentiality]],'Reference - CVSSv3.0'!$B$15:$C$17,2,FALSE)) * (1 - VLOOKUP(Table4[[#This Row],[Integrity]],'Reference - CVSSv3.0'!$B$15:$C$17,2,FALSE)) *  (1 - VLOOKUP(Table4[[#This Row],[Availability]],'Reference - CVSSv3.0'!$B$15:$C$17,2,FALSE))))</f>
        <v>0.65680000000000005</v>
      </c>
      <c r="T70" s="293">
        <f>IF(Table4[[#This Row],[Scope]]="Unchanged",6.42*Table4[[#This Row],[ISC Base]],IF(Table4[[#This Row],[Scope]]="Changed",7.52*(Table4[[#This Row],[ISC Base]] - 0.029) - 3.25 * POWER(Table4[[#This Row],[ISC Base]] - 0.02,15),NA()))</f>
        <v>4.2166560000000004</v>
      </c>
      <c r="U70" s="293">
        <f>IF(Table4[[#This Row],[Impact Sub Score]]&lt;=0,0,IF(Table4[[#This Row],[Scope]]="Unchanged",ROUNDUP(MIN((Table4[[#This Row],[Impact Sub Score]]+Table4[[#This Row],[Exploitability Sub Score]]),10),1),IF(Table4[[#This Row],[Scope]]="Changed",ROUNDUP(MIN((1.08*(Table4[[#This Row],[Impact Sub Score]]+Table4[[#This Row],[Exploitability Sub Score]])),10),1),NA())))</f>
        <v>6.1</v>
      </c>
      <c r="V70" s="303" t="s">
        <v>54</v>
      </c>
      <c r="W70" s="293">
        <f>VLOOKUP(Table4[[#This Row],[Threat Event Initiation]],NIST_Scale_LOAI[],2,FALSE)</f>
        <v>0.5</v>
      </c>
      <c r="X70" s="29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0" s="29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0" s="258" t="s">
        <v>522</v>
      </c>
      <c r="AA70" s="266"/>
      <c r="AB70" s="295"/>
      <c r="AC70" s="266"/>
      <c r="AD70" s="266"/>
      <c r="AE70" s="266"/>
      <c r="AF70" s="291"/>
      <c r="AG70" s="291"/>
      <c r="AH70" s="291"/>
      <c r="AI70" s="291"/>
      <c r="AJ70" s="296"/>
      <c r="AK70" s="29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293" t="e">
        <f>(1 - ((1 - VLOOKUP(Table4[[#This Row],[ConfidentialityP]],'Reference - CVSSv3.0'!$B$15:$C$17,2,FALSE)) * (1 - VLOOKUP(Table4[[#This Row],[IntegrityP]],'Reference - CVSSv3.0'!$B$15:$C$17,2,FALSE)) *  (1 - VLOOKUP(Table4[[#This Row],[AvailabilityP]],'Reference - CVSSv3.0'!$B$15:$C$17,2,FALSE))))</f>
        <v>#N/A</v>
      </c>
      <c r="AM70" s="293" t="e">
        <f>IF(Table4[[#This Row],[ScopeP]]="Unchanged",6.42*Table4[[#This Row],[ISC BaseP]],IF(Table4[[#This Row],[ScopeP]]="Changed",7.52*(Table4[[#This Row],[ISC BaseP]] - 0.029) - 3.25 * POWER(Table4[[#This Row],[ISC BaseP]] - 0.02,15),NA()))</f>
        <v>#N/A</v>
      </c>
      <c r="AN70" s="29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29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29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66"/>
    </row>
    <row r="71" spans="1:43" ht="140" x14ac:dyDescent="0.35">
      <c r="A71" s="310">
        <v>67</v>
      </c>
      <c r="B71" s="268" t="s">
        <v>516</v>
      </c>
      <c r="C71" s="289" t="str">
        <f>IF(VLOOKUP(Table4[[#This Row],[T ID]],Table5[#All],5,FALSE)="No","Not in scope",VLOOKUP(Table4[[#This Row],[T ID]],Table5[#All],2,FALSE))</f>
        <v>Risk of using Linux</v>
      </c>
      <c r="D71" s="266" t="s">
        <v>511</v>
      </c>
      <c r="E71" s="289" t="str">
        <f>IF(VLOOKUP(Table4[[#This Row],[V ID]],Vulnerabilities[#All],3,FALSE)="No","Not in scope",VLOOKUP(Table4[[#This Row],[V ID]],Vulnerabilities[#All],2,FALSE))</f>
        <v>Remote exploitation of the system from intranet</v>
      </c>
      <c r="F71" s="299" t="s">
        <v>487</v>
      </c>
      <c r="G71" s="289" t="str">
        <f>VLOOKUP(Table4[[#This Row],[A ID]],Assets[#All],3,FALSE)</f>
        <v>New cart  running with Linux OS</v>
      </c>
      <c r="H71" s="283" t="s">
        <v>548</v>
      </c>
      <c r="I71" s="266"/>
      <c r="J71" s="312" t="s">
        <v>76</v>
      </c>
      <c r="K71" s="312" t="s">
        <v>55</v>
      </c>
      <c r="L71" s="312" t="s">
        <v>64</v>
      </c>
      <c r="M71" s="300" t="s">
        <v>77</v>
      </c>
      <c r="N71" s="300" t="s">
        <v>55</v>
      </c>
      <c r="O71" s="300" t="s">
        <v>55</v>
      </c>
      <c r="P71" s="300" t="s">
        <v>76</v>
      </c>
      <c r="Q71" s="300" t="s">
        <v>73</v>
      </c>
      <c r="R71" s="29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71" s="293">
        <f>(1 - ((1 - VLOOKUP(Table4[[#This Row],[Confidentiality]],'Reference - CVSSv3.0'!$B$15:$C$17,2,FALSE)) * (1 - VLOOKUP(Table4[[#This Row],[Integrity]],'Reference - CVSSv3.0'!$B$15:$C$17,2,FALSE)) *  (1 - VLOOKUP(Table4[[#This Row],[Availability]],'Reference - CVSSv3.0'!$B$15:$C$17,2,FALSE))))</f>
        <v>0.65680000000000005</v>
      </c>
      <c r="T71" s="293">
        <f>IF(Table4[[#This Row],[Scope]]="Unchanged",6.42*Table4[[#This Row],[ISC Base]],IF(Table4[[#This Row],[Scope]]="Changed",7.52*(Table4[[#This Row],[ISC Base]] - 0.029) - 3.25 * POWER(Table4[[#This Row],[ISC Base]] - 0.02,15),NA()))</f>
        <v>4.2166560000000004</v>
      </c>
      <c r="U71" s="293">
        <f>IF(Table4[[#This Row],[Impact Sub Score]]&lt;=0,0,IF(Table4[[#This Row],[Scope]]="Unchanged",ROUNDUP(MIN((Table4[[#This Row],[Impact Sub Score]]+Table4[[#This Row],[Exploitability Sub Score]]),10),1),IF(Table4[[#This Row],[Scope]]="Changed",ROUNDUP(MIN((1.08*(Table4[[#This Row],[Impact Sub Score]]+Table4[[#This Row],[Exploitability Sub Score]])),10),1),NA())))</f>
        <v>7.1</v>
      </c>
      <c r="V71" s="303" t="s">
        <v>54</v>
      </c>
      <c r="W71" s="293">
        <f>VLOOKUP(Table4[[#This Row],[Threat Event Initiation]],NIST_Scale_LOAI[],2,FALSE)</f>
        <v>0.5</v>
      </c>
      <c r="X71" s="29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71" s="29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1" s="259" t="s">
        <v>524</v>
      </c>
      <c r="AA71" s="266"/>
      <c r="AB71" s="295"/>
      <c r="AC71" s="266"/>
      <c r="AD71" s="266"/>
      <c r="AE71" s="266"/>
      <c r="AF71" s="291"/>
      <c r="AG71" s="291"/>
      <c r="AH71" s="291"/>
      <c r="AI71" s="291"/>
      <c r="AJ71" s="296"/>
      <c r="AK71" s="29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293" t="e">
        <f>(1 - ((1 - VLOOKUP(Table4[[#This Row],[ConfidentialityP]],'Reference - CVSSv3.0'!$B$15:$C$17,2,FALSE)) * (1 - VLOOKUP(Table4[[#This Row],[IntegrityP]],'Reference - CVSSv3.0'!$B$15:$C$17,2,FALSE)) *  (1 - VLOOKUP(Table4[[#This Row],[AvailabilityP]],'Reference - CVSSv3.0'!$B$15:$C$17,2,FALSE))))</f>
        <v>#N/A</v>
      </c>
      <c r="AM71" s="293" t="e">
        <f>IF(Table4[[#This Row],[ScopeP]]="Unchanged",6.42*Table4[[#This Row],[ISC BaseP]],IF(Table4[[#This Row],[ScopeP]]="Changed",7.52*(Table4[[#This Row],[ISC BaseP]] - 0.029) - 3.25 * POWER(Table4[[#This Row],[ISC BaseP]] - 0.02,15),NA()))</f>
        <v>#N/A</v>
      </c>
      <c r="AN71" s="29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29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29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66"/>
    </row>
    <row r="72" spans="1:43" ht="140" x14ac:dyDescent="0.35">
      <c r="A72" s="310">
        <v>68</v>
      </c>
      <c r="B72" s="268" t="s">
        <v>516</v>
      </c>
      <c r="C72" s="289" t="str">
        <f>IF(VLOOKUP(Table4[[#This Row],[T ID]],Table5[#All],5,FALSE)="No","Not in scope",VLOOKUP(Table4[[#This Row],[T ID]],Table5[#All],2,FALSE))</f>
        <v>Risk of using Linux</v>
      </c>
      <c r="D72" s="266" t="s">
        <v>512</v>
      </c>
      <c r="E72" s="289" t="str">
        <f>IF(VLOOKUP(Table4[[#This Row],[V ID]],Vulnerabilities[#All],3,FALSE)="No","Not in scope",VLOOKUP(Table4[[#This Row],[V ID]],Vulnerabilities[#All],2,FALSE))</f>
        <v>Any malicious service running in the system without being identified</v>
      </c>
      <c r="F72" s="299" t="s">
        <v>487</v>
      </c>
      <c r="G72" s="289" t="str">
        <f>VLOOKUP(Table4[[#This Row],[A ID]],Assets[#All],3,FALSE)</f>
        <v>New cart  running with Linux OS</v>
      </c>
      <c r="H72" s="283" t="s">
        <v>548</v>
      </c>
      <c r="I72" s="266"/>
      <c r="J72" s="312" t="s">
        <v>76</v>
      </c>
      <c r="K72" s="312" t="s">
        <v>55</v>
      </c>
      <c r="L72" s="312" t="s">
        <v>64</v>
      </c>
      <c r="M72" s="300" t="s">
        <v>78</v>
      </c>
      <c r="N72" s="300" t="s">
        <v>55</v>
      </c>
      <c r="O72" s="300" t="s">
        <v>55</v>
      </c>
      <c r="P72" s="300" t="s">
        <v>76</v>
      </c>
      <c r="Q72" s="300" t="s">
        <v>73</v>
      </c>
      <c r="R72" s="29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2" s="293">
        <f>(1 - ((1 - VLOOKUP(Table4[[#This Row],[Confidentiality]],'Reference - CVSSv3.0'!$B$15:$C$17,2,FALSE)) * (1 - VLOOKUP(Table4[[#This Row],[Integrity]],'Reference - CVSSv3.0'!$B$15:$C$17,2,FALSE)) *  (1 - VLOOKUP(Table4[[#This Row],[Availability]],'Reference - CVSSv3.0'!$B$15:$C$17,2,FALSE))))</f>
        <v>0.65680000000000005</v>
      </c>
      <c r="T72" s="293">
        <f>IF(Table4[[#This Row],[Scope]]="Unchanged",6.42*Table4[[#This Row],[ISC Base]],IF(Table4[[#This Row],[Scope]]="Changed",7.52*(Table4[[#This Row],[ISC Base]] - 0.029) - 3.25 * POWER(Table4[[#This Row],[ISC Base]] - 0.02,15),NA()))</f>
        <v>4.2166560000000004</v>
      </c>
      <c r="U72" s="293">
        <f>IF(Table4[[#This Row],[Impact Sub Score]]&lt;=0,0,IF(Table4[[#This Row],[Scope]]="Unchanged",ROUNDUP(MIN((Table4[[#This Row],[Impact Sub Score]]+Table4[[#This Row],[Exploitability Sub Score]]),10),1),IF(Table4[[#This Row],[Scope]]="Changed",ROUNDUP(MIN((1.08*(Table4[[#This Row],[Impact Sub Score]]+Table4[[#This Row],[Exploitability Sub Score]])),10),1),NA())))</f>
        <v>6.1</v>
      </c>
      <c r="V72" s="303" t="s">
        <v>54</v>
      </c>
      <c r="W72" s="293">
        <f>VLOOKUP(Table4[[#This Row],[Threat Event Initiation]],NIST_Scale_LOAI[],2,FALSE)</f>
        <v>0.5</v>
      </c>
      <c r="X72" s="29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2" s="29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2" s="259" t="s">
        <v>525</v>
      </c>
      <c r="AA72" s="266"/>
      <c r="AB72" s="295"/>
      <c r="AC72" s="266"/>
      <c r="AD72" s="266"/>
      <c r="AE72" s="266"/>
      <c r="AF72" s="291"/>
      <c r="AG72" s="291"/>
      <c r="AH72" s="291"/>
      <c r="AI72" s="291"/>
      <c r="AJ72" s="296"/>
      <c r="AK72" s="29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293" t="e">
        <f>(1 - ((1 - VLOOKUP(Table4[[#This Row],[ConfidentialityP]],'Reference - CVSSv3.0'!$B$15:$C$17,2,FALSE)) * (1 - VLOOKUP(Table4[[#This Row],[IntegrityP]],'Reference - CVSSv3.0'!$B$15:$C$17,2,FALSE)) *  (1 - VLOOKUP(Table4[[#This Row],[AvailabilityP]],'Reference - CVSSv3.0'!$B$15:$C$17,2,FALSE))))</f>
        <v>#N/A</v>
      </c>
      <c r="AM72" s="293" t="e">
        <f>IF(Table4[[#This Row],[ScopeP]]="Unchanged",6.42*Table4[[#This Row],[ISC BaseP]],IF(Table4[[#This Row],[ScopeP]]="Changed",7.52*(Table4[[#This Row],[ISC BaseP]] - 0.029) - 3.25 * POWER(Table4[[#This Row],[ISC BaseP]] - 0.02,15),NA()))</f>
        <v>#N/A</v>
      </c>
      <c r="AN72" s="29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29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29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266"/>
    </row>
    <row r="73" spans="1:43" ht="154" x14ac:dyDescent="0.35">
      <c r="A73" s="310">
        <v>69</v>
      </c>
      <c r="B73" s="268" t="s">
        <v>516</v>
      </c>
      <c r="C73" s="289" t="str">
        <f>IF(VLOOKUP(Table4[[#This Row],[T ID]],Table5[#All],5,FALSE)="No","Not in scope",VLOOKUP(Table4[[#This Row],[T ID]],Table5[#All],2,FALSE))</f>
        <v>Risk of using Linux</v>
      </c>
      <c r="D73" s="266" t="s">
        <v>513</v>
      </c>
      <c r="E73" s="289" t="str">
        <f>IF(VLOOKUP(Table4[[#This Row],[V ID]],Vulnerabilities[#All],3,FALSE)="No","Not in scope",VLOOKUP(Table4[[#This Row],[V ID]],Vulnerabilities[#All],2,FALSE))</f>
        <v>Unhardened OS and network interfaces</v>
      </c>
      <c r="F73" s="299" t="s">
        <v>487</v>
      </c>
      <c r="G73" s="289" t="str">
        <f>VLOOKUP(Table4[[#This Row],[A ID]],Assets[#All],3,FALSE)</f>
        <v>New cart  running with Linux OS</v>
      </c>
      <c r="H73" s="283" t="s">
        <v>548</v>
      </c>
      <c r="I73" s="266"/>
      <c r="J73" s="312" t="s">
        <v>76</v>
      </c>
      <c r="K73" s="312" t="s">
        <v>55</v>
      </c>
      <c r="L73" s="312" t="s">
        <v>64</v>
      </c>
      <c r="M73" s="300" t="s">
        <v>78</v>
      </c>
      <c r="N73" s="300" t="s">
        <v>55</v>
      </c>
      <c r="O73" s="300" t="s">
        <v>55</v>
      </c>
      <c r="P73" s="300" t="s">
        <v>76</v>
      </c>
      <c r="Q73" s="300" t="s">
        <v>73</v>
      </c>
      <c r="R73" s="29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3" s="293">
        <f>(1 - ((1 - VLOOKUP(Table4[[#This Row],[Confidentiality]],'Reference - CVSSv3.0'!$B$15:$C$17,2,FALSE)) * (1 - VLOOKUP(Table4[[#This Row],[Integrity]],'Reference - CVSSv3.0'!$B$15:$C$17,2,FALSE)) *  (1 - VLOOKUP(Table4[[#This Row],[Availability]],'Reference - CVSSv3.0'!$B$15:$C$17,2,FALSE))))</f>
        <v>0.65680000000000005</v>
      </c>
      <c r="T73" s="293">
        <f>IF(Table4[[#This Row],[Scope]]="Unchanged",6.42*Table4[[#This Row],[ISC Base]],IF(Table4[[#This Row],[Scope]]="Changed",7.52*(Table4[[#This Row],[ISC Base]] - 0.029) - 3.25 * POWER(Table4[[#This Row],[ISC Base]] - 0.02,15),NA()))</f>
        <v>4.2166560000000004</v>
      </c>
      <c r="U73" s="293">
        <f>IF(Table4[[#This Row],[Impact Sub Score]]&lt;=0,0,IF(Table4[[#This Row],[Scope]]="Unchanged",ROUNDUP(MIN((Table4[[#This Row],[Impact Sub Score]]+Table4[[#This Row],[Exploitability Sub Score]]),10),1),IF(Table4[[#This Row],[Scope]]="Changed",ROUNDUP(MIN((1.08*(Table4[[#This Row],[Impact Sub Score]]+Table4[[#This Row],[Exploitability Sub Score]])),10),1),NA())))</f>
        <v>6.1</v>
      </c>
      <c r="V73" s="303" t="s">
        <v>54</v>
      </c>
      <c r="W73" s="293">
        <f>VLOOKUP(Table4[[#This Row],[Threat Event Initiation]],NIST_Scale_LOAI[],2,FALSE)</f>
        <v>0.5</v>
      </c>
      <c r="X73" s="29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3" s="29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3" s="259" t="s">
        <v>526</v>
      </c>
      <c r="AA73" s="266"/>
      <c r="AB73" s="295"/>
      <c r="AC73" s="266"/>
      <c r="AD73" s="266"/>
      <c r="AE73" s="266"/>
      <c r="AF73" s="291"/>
      <c r="AG73" s="291"/>
      <c r="AH73" s="291"/>
      <c r="AI73" s="291"/>
      <c r="AJ73" s="296"/>
      <c r="AK73" s="29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3" s="293" t="e">
        <f>(1 - ((1 - VLOOKUP(Table4[[#This Row],[ConfidentialityP]],'Reference - CVSSv3.0'!$B$15:$C$17,2,FALSE)) * (1 - VLOOKUP(Table4[[#This Row],[IntegrityP]],'Reference - CVSSv3.0'!$B$15:$C$17,2,FALSE)) *  (1 - VLOOKUP(Table4[[#This Row],[AvailabilityP]],'Reference - CVSSv3.0'!$B$15:$C$17,2,FALSE))))</f>
        <v>#N/A</v>
      </c>
      <c r="AM73" s="293" t="e">
        <f>IF(Table4[[#This Row],[ScopeP]]="Unchanged",6.42*Table4[[#This Row],[ISC BaseP]],IF(Table4[[#This Row],[ScopeP]]="Changed",7.52*(Table4[[#This Row],[ISC BaseP]] - 0.029) - 3.25 * POWER(Table4[[#This Row],[ISC BaseP]] - 0.02,15),NA()))</f>
        <v>#N/A</v>
      </c>
      <c r="AN73" s="29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29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29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266"/>
    </row>
    <row r="74" spans="1:43" ht="140" x14ac:dyDescent="0.35">
      <c r="A74" s="310">
        <v>70</v>
      </c>
      <c r="B74" s="268" t="s">
        <v>516</v>
      </c>
      <c r="C74" s="289" t="str">
        <f>IF(VLOOKUP(Table4[[#This Row],[T ID]],Table5[#All],5,FALSE)="No","Not in scope",VLOOKUP(Table4[[#This Row],[T ID]],Table5[#All],2,FALSE))</f>
        <v>Risk of using Linux</v>
      </c>
      <c r="D74" s="266" t="s">
        <v>515</v>
      </c>
      <c r="E74" s="289" t="str">
        <f>IF(VLOOKUP(Table4[[#This Row],[V ID]],Vulnerabilities[#All],3,FALSE)="No","Not in scope",VLOOKUP(Table4[[#This Row],[V ID]],Vulnerabilities[#All],2,FALSE))</f>
        <v>Securtiy packages not properly configured during OS build</v>
      </c>
      <c r="F74" s="299" t="s">
        <v>487</v>
      </c>
      <c r="G74" s="289" t="str">
        <f>VLOOKUP(Table4[[#This Row],[A ID]],Assets[#All],3,FALSE)</f>
        <v>New cart  running with Linux OS</v>
      </c>
      <c r="H74" s="283" t="s">
        <v>548</v>
      </c>
      <c r="I74" s="266"/>
      <c r="J74" s="312" t="s">
        <v>76</v>
      </c>
      <c r="K74" s="312" t="s">
        <v>55</v>
      </c>
      <c r="L74" s="312" t="s">
        <v>64</v>
      </c>
      <c r="M74" s="300" t="s">
        <v>78</v>
      </c>
      <c r="N74" s="300" t="s">
        <v>55</v>
      </c>
      <c r="O74" s="300" t="s">
        <v>55</v>
      </c>
      <c r="P74" s="300" t="s">
        <v>76</v>
      </c>
      <c r="Q74" s="300" t="s">
        <v>73</v>
      </c>
      <c r="R74" s="29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4" s="293">
        <f>(1 - ((1 - VLOOKUP(Table4[[#This Row],[Confidentiality]],'Reference - CVSSv3.0'!$B$15:$C$17,2,FALSE)) * (1 - VLOOKUP(Table4[[#This Row],[Integrity]],'Reference - CVSSv3.0'!$B$15:$C$17,2,FALSE)) *  (1 - VLOOKUP(Table4[[#This Row],[Availability]],'Reference - CVSSv3.0'!$B$15:$C$17,2,FALSE))))</f>
        <v>0.65680000000000005</v>
      </c>
      <c r="T74" s="293">
        <f>IF(Table4[[#This Row],[Scope]]="Unchanged",6.42*Table4[[#This Row],[ISC Base]],IF(Table4[[#This Row],[Scope]]="Changed",7.52*(Table4[[#This Row],[ISC Base]] - 0.029) - 3.25 * POWER(Table4[[#This Row],[ISC Base]] - 0.02,15),NA()))</f>
        <v>4.2166560000000004</v>
      </c>
      <c r="U74" s="293">
        <f>IF(Table4[[#This Row],[Impact Sub Score]]&lt;=0,0,IF(Table4[[#This Row],[Scope]]="Unchanged",ROUNDUP(MIN((Table4[[#This Row],[Impact Sub Score]]+Table4[[#This Row],[Exploitability Sub Score]]),10),1),IF(Table4[[#This Row],[Scope]]="Changed",ROUNDUP(MIN((1.08*(Table4[[#This Row],[Impact Sub Score]]+Table4[[#This Row],[Exploitability Sub Score]])),10),1),NA())))</f>
        <v>6.1</v>
      </c>
      <c r="V74" s="303" t="s">
        <v>54</v>
      </c>
      <c r="W74" s="293">
        <f>VLOOKUP(Table4[[#This Row],[Threat Event Initiation]],NIST_Scale_LOAI[],2,FALSE)</f>
        <v>0.5</v>
      </c>
      <c r="X74" s="29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4" s="29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4" s="258" t="s">
        <v>527</v>
      </c>
      <c r="AA74" s="266"/>
      <c r="AB74" s="295"/>
      <c r="AC74" s="266"/>
      <c r="AD74" s="266"/>
      <c r="AE74" s="266"/>
      <c r="AF74" s="291"/>
      <c r="AG74" s="291"/>
      <c r="AH74" s="291"/>
      <c r="AI74" s="291"/>
      <c r="AJ74" s="296"/>
      <c r="AK74" s="29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4" s="293" t="e">
        <f>(1 - ((1 - VLOOKUP(Table4[[#This Row],[ConfidentialityP]],'Reference - CVSSv3.0'!$B$15:$C$17,2,FALSE)) * (1 - VLOOKUP(Table4[[#This Row],[IntegrityP]],'Reference - CVSSv3.0'!$B$15:$C$17,2,FALSE)) *  (1 - VLOOKUP(Table4[[#This Row],[AvailabilityP]],'Reference - CVSSv3.0'!$B$15:$C$17,2,FALSE))))</f>
        <v>#N/A</v>
      </c>
      <c r="AM74" s="293" t="e">
        <f>IF(Table4[[#This Row],[ScopeP]]="Unchanged",6.42*Table4[[#This Row],[ISC BaseP]],IF(Table4[[#This Row],[ScopeP]]="Changed",7.52*(Table4[[#This Row],[ISC BaseP]] - 0.029) - 3.25 * POWER(Table4[[#This Row],[ISC BaseP]] - 0.02,15),NA()))</f>
        <v>#N/A</v>
      </c>
      <c r="AN74" s="29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29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29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266"/>
    </row>
    <row r="75" spans="1:43" ht="98" x14ac:dyDescent="0.35">
      <c r="A75" s="281">
        <v>71</v>
      </c>
      <c r="B75" s="248" t="s">
        <v>516</v>
      </c>
      <c r="C75" s="271" t="str">
        <f>IF(VLOOKUP(Table4[[#This Row],[T ID]],Table5[#All],5,FALSE)="No","Not in scope",VLOOKUP(Table4[[#This Row],[T ID]],Table5[#All],2,FALSE))</f>
        <v>Risk of using Linux</v>
      </c>
      <c r="D75" s="248" t="s">
        <v>549</v>
      </c>
      <c r="E75" s="271" t="str">
        <f>IF(VLOOKUP(Table4[[#This Row],[V ID]],Vulnerabilities[#All],3,FALSE)="No","Not in scope",VLOOKUP(Table4[[#This Row],[V ID]],Vulnerabilities[#All],2,FALSE))</f>
        <v>Critical patches not identified and integrated within timeline</v>
      </c>
      <c r="F75" s="272" t="s">
        <v>487</v>
      </c>
      <c r="G75" s="271" t="str">
        <f>VLOOKUP(Table4[[#This Row],[A ID]],Assets[#All],3,FALSE)</f>
        <v>New cart  running with Linux OS</v>
      </c>
      <c r="H75" s="283" t="s">
        <v>551</v>
      </c>
      <c r="I75" s="248"/>
      <c r="J75" s="311" t="s">
        <v>76</v>
      </c>
      <c r="K75" s="311" t="s">
        <v>55</v>
      </c>
      <c r="L75" s="311" t="s">
        <v>64</v>
      </c>
      <c r="M75" s="273" t="s">
        <v>78</v>
      </c>
      <c r="N75" s="273" t="s">
        <v>55</v>
      </c>
      <c r="O75" s="273" t="s">
        <v>55</v>
      </c>
      <c r="P75" s="273" t="s">
        <v>76</v>
      </c>
      <c r="Q75" s="273" t="s">
        <v>73</v>
      </c>
      <c r="R75" s="27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5" s="275">
        <f>(1 - ((1 - VLOOKUP(Table4[[#This Row],[Confidentiality]],'Reference - CVSSv3.0'!$B$15:$C$17,2,FALSE)) * (1 - VLOOKUP(Table4[[#This Row],[Integrity]],'Reference - CVSSv3.0'!$B$15:$C$17,2,FALSE)) *  (1 - VLOOKUP(Table4[[#This Row],[Availability]],'Reference - CVSSv3.0'!$B$15:$C$17,2,FALSE))))</f>
        <v>0.65680000000000005</v>
      </c>
      <c r="T75" s="275">
        <f>IF(Table4[[#This Row],[Scope]]="Unchanged",6.42*Table4[[#This Row],[ISC Base]],IF(Table4[[#This Row],[Scope]]="Changed",7.52*(Table4[[#This Row],[ISC Base]] - 0.029) - 3.25 * POWER(Table4[[#This Row],[ISC Base]] - 0.02,15),NA()))</f>
        <v>4.2166560000000004</v>
      </c>
      <c r="U75" s="275">
        <f>IF(Table4[[#This Row],[Impact Sub Score]]&lt;=0,0,IF(Table4[[#This Row],[Scope]]="Unchanged",ROUNDUP(MIN((Table4[[#This Row],[Impact Sub Score]]+Table4[[#This Row],[Exploitability Sub Score]]),10),1),IF(Table4[[#This Row],[Scope]]="Changed",ROUNDUP(MIN((1.08*(Table4[[#This Row],[Impact Sub Score]]+Table4[[#This Row],[Exploitability Sub Score]])),10),1),NA())))</f>
        <v>6.1</v>
      </c>
      <c r="V75" s="276" t="s">
        <v>54</v>
      </c>
      <c r="W75" s="275">
        <f>VLOOKUP(Table4[[#This Row],[Threat Event Initiation]],NIST_Scale_LOAI[],2,FALSE)</f>
        <v>0.5</v>
      </c>
      <c r="X75" s="27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5" s="27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5" s="284" t="s">
        <v>552</v>
      </c>
      <c r="AA75" s="248"/>
      <c r="AB75" s="278"/>
      <c r="AC75" s="248"/>
      <c r="AD75" s="248"/>
      <c r="AE75" s="248"/>
      <c r="AF75" s="273"/>
      <c r="AG75" s="273"/>
      <c r="AH75" s="273"/>
      <c r="AI75" s="273"/>
      <c r="AJ75" s="279"/>
      <c r="AK75" s="27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5" s="275" t="e">
        <f>(1 - ((1 - VLOOKUP(Table4[[#This Row],[ConfidentialityP]],'Reference - CVSSv3.0'!$B$15:$C$17,2,FALSE)) * (1 - VLOOKUP(Table4[[#This Row],[IntegrityP]],'Reference - CVSSv3.0'!$B$15:$C$17,2,FALSE)) *  (1 - VLOOKUP(Table4[[#This Row],[AvailabilityP]],'Reference - CVSSv3.0'!$B$15:$C$17,2,FALSE))))</f>
        <v>#N/A</v>
      </c>
      <c r="AM75" s="275" t="e">
        <f>IF(Table4[[#This Row],[ScopeP]]="Unchanged",6.42*Table4[[#This Row],[ISC BaseP]],IF(Table4[[#This Row],[ScopeP]]="Changed",7.52*(Table4[[#This Row],[ISC BaseP]] - 0.029) - 3.25 * POWER(Table4[[#This Row],[ISC BaseP]] - 0.02,15),NA()))</f>
        <v>#N/A</v>
      </c>
      <c r="AN75" s="27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27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248"/>
    </row>
  </sheetData>
  <mergeCells count="4">
    <mergeCell ref="AC3:AQ3"/>
    <mergeCell ref="Z3:AB3"/>
    <mergeCell ref="F3:I3"/>
    <mergeCell ref="J3:Y3"/>
  </mergeCells>
  <phoneticPr fontId="52" type="noConversion"/>
  <conditionalFormatting sqref="AP7:AP23 Y5:Y75">
    <cfRule type="cellIs" dxfId="157" priority="26" operator="equal">
      <formula>"Critical"</formula>
    </cfRule>
    <cfRule type="cellIs" dxfId="156" priority="27" operator="equal">
      <formula>"HIGH"</formula>
    </cfRule>
    <cfRule type="cellIs" dxfId="155" priority="28" operator="equal">
      <formula>"Medium"</formula>
    </cfRule>
    <cfRule type="cellIs" dxfId="154" priority="29" operator="equal">
      <formula>"None"</formula>
    </cfRule>
    <cfRule type="cellIs" dxfId="153" priority="30" operator="equal">
      <formula>"Low"</formula>
    </cfRule>
  </conditionalFormatting>
  <conditionalFormatting sqref="AP5:AP6">
    <cfRule type="cellIs" dxfId="152" priority="11" operator="equal">
      <formula>"Critical"</formula>
    </cfRule>
    <cfRule type="cellIs" dxfId="151" priority="12" operator="equal">
      <formula>"HIGH"</formula>
    </cfRule>
    <cfRule type="cellIs" dxfId="150" priority="13" operator="equal">
      <formula>"Medium"</formula>
    </cfRule>
    <cfRule type="cellIs" dxfId="149" priority="14" operator="equal">
      <formula>"None"</formula>
    </cfRule>
    <cfRule type="cellIs" dxfId="148" priority="15"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xr:uid="{00000000-0002-0000-0500-000000000000}"/>
    <dataValidation allowBlank="1" showInputMessage="1" showErrorMessage="1" prompt="This metric measures the impact to integrity of a successfully exploited vulnerability. Integrity refers to the trustworthiness and veracity of information." sqref="K4 AD4" xr:uid="{00000000-0002-0000-0500-000001000000}"/>
    <dataValidation allowBlank="1" showInputMessage="1" showErrorMessage="1" prompt="This metric measures the impact to the confidentiality of the information resources managed by a software component due to a successfully exploited vulnerability. " sqref="J4 AC4" xr:uid="{00000000-0002-0000-0500-000002000000}"/>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500-000003000000}"/>
    <dataValidation allowBlank="1" showInputMessage="1" showErrorMessage="1" prompt="This metric describes the conditions beyond the attacker's control that must exist in order to exploit the vulnerability. The metric is largest for the least complex attacks." sqref="N4 AG4" xr:uid="{00000000-0002-0000-0500-000004000000}"/>
    <dataValidation allowBlank="1" showInputMessage="1" showErrorMessage="1" prompt="This metric describes the level of privileges an attacker must possess before successfully exploiting the vulnerability. This metric is largest if no privileges are required." sqref="O4 AH4" xr:uid="{00000000-0002-0000-0500-000005000000}"/>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500-000006000000}"/>
    <dataValidation allowBlank="1" showInputMessage="1" showErrorMessage="1" prompt="A scope change is the ability for a vulnerability in one software component to impact resources beyond its means, or privilege." sqref="Q4 AJ4" xr:uid="{00000000-0002-0000-0500-000007000000}"/>
    <dataValidation allowBlank="1" showInputMessage="1" showErrorMessage="1" prompt="Threat event initiation is assessed by taking into consideration the characteristics of the threat sources of concern including capability, intent, and targeting." sqref="V4" xr:uid="{00000000-0002-0000-0500-000008000000}"/>
  </dataValidations>
  <pageMargins left="0.70866141732283505" right="0.70866141732283505" top="0.70866141732283505" bottom="0.74803149606299202" header="0.31496062992126" footer="0.31496062992126"/>
  <pageSetup scale="17"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r:uid="{00000000-0002-0000-0500-000009000000}">
          <x14:formula1>
            <xm:f>'Reference - CVSSv3.0'!$B$21:$B$23</xm:f>
          </x14:formula1>
          <xm:sqref>AJ5:AJ75 Q5:Q75</xm:sqref>
        </x14:dataValidation>
        <x14:dataValidation type="list" allowBlank="1" showInputMessage="1" showErrorMessage="1" xr:uid="{00000000-0002-0000-0500-00000A000000}">
          <x14:formula1>
            <xm:f>'Reference - CVSSv3.0'!$B$15:$B$18</xm:f>
          </x14:formula1>
          <xm:sqref>AC5:AE75 J5:L75</xm:sqref>
        </x14:dataValidation>
        <x14:dataValidation type="list" allowBlank="1" showInputMessage="1" showErrorMessage="1" xr:uid="{00000000-0002-0000-0500-00000B000000}">
          <x14:formula1>
            <xm:f>'Reference - CVSSv3.0'!$B$6:$B$10</xm:f>
          </x14:formula1>
          <xm:sqref>AF5:AF75 M5:M75</xm:sqref>
        </x14:dataValidation>
        <x14:dataValidation type="list" allowBlank="1" showInputMessage="1" showErrorMessage="1" xr:uid="{00000000-0002-0000-0500-00000C000000}">
          <x14:formula1>
            <xm:f>'Reference - CVSSv3.0'!$E$6:$E$8</xm:f>
          </x14:formula1>
          <xm:sqref>AG5:AG75 N5:N75</xm:sqref>
        </x14:dataValidation>
        <x14:dataValidation type="list" allowBlank="1" showInputMessage="1" showErrorMessage="1" xr:uid="{00000000-0002-0000-0500-00000D000000}">
          <x14:formula1>
            <xm:f>'Reference - CVSSv3.0'!$H$6:$H$9</xm:f>
          </x14:formula1>
          <xm:sqref>AH5:AH75 O5:O75</xm:sqref>
        </x14:dataValidation>
        <x14:dataValidation type="list" allowBlank="1" showInputMessage="1" showErrorMessage="1" xr:uid="{00000000-0002-0000-0500-00000E000000}">
          <x14:formula1>
            <xm:f>'Reference - CVSSv3.0'!$L$6:$L$8</xm:f>
          </x14:formula1>
          <xm:sqref>AI5:AI75 P5:P75</xm:sqref>
        </x14:dataValidation>
        <x14:dataValidation type="list" allowBlank="1" showInputMessage="1" showErrorMessage="1" xr:uid="{00000000-0002-0000-0500-00000F000000}">
          <x14:formula1>
            <xm:f>'Reference - CVSSv3.0'!$Q$5:$Q$10</xm:f>
          </x14:formula1>
          <xm:sqref>V5:V75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8"/>
  <sheetViews>
    <sheetView zoomScaleNormal="100" workbookViewId="0">
      <selection sqref="A1:G2"/>
    </sheetView>
  </sheetViews>
  <sheetFormatPr defaultColWidth="11.54296875" defaultRowHeight="14.5" x14ac:dyDescent="0.35"/>
  <cols>
    <col min="1" max="1" width="13.1796875" customWidth="1"/>
    <col min="2" max="2" width="58.26953125" customWidth="1"/>
    <col min="3" max="3" width="22.453125" customWidth="1"/>
    <col min="4" max="4" width="42.54296875" customWidth="1"/>
    <col min="5" max="5" width="55.1796875" bestFit="1" customWidth="1"/>
  </cols>
  <sheetData>
    <row r="1" spans="1:7" x14ac:dyDescent="0.35">
      <c r="A1" s="332" t="s">
        <v>199</v>
      </c>
      <c r="B1" s="332"/>
      <c r="C1" s="332"/>
      <c r="D1" s="332"/>
      <c r="E1" s="332"/>
      <c r="F1" s="332"/>
      <c r="G1" s="332"/>
    </row>
    <row r="2" spans="1:7" x14ac:dyDescent="0.35">
      <c r="A2" s="333"/>
      <c r="B2" s="333"/>
      <c r="C2" s="333"/>
      <c r="D2" s="333"/>
      <c r="E2" s="333"/>
      <c r="F2" s="333"/>
      <c r="G2" s="333"/>
    </row>
    <row r="3" spans="1:7" ht="23" x14ac:dyDescent="0.35">
      <c r="A3" s="184"/>
      <c r="B3" s="184"/>
      <c r="C3" s="184"/>
      <c r="D3" s="184"/>
      <c r="E3" s="184"/>
      <c r="F3" s="184"/>
      <c r="G3" s="184"/>
    </row>
    <row r="5" spans="1:7" x14ac:dyDescent="0.35">
      <c r="A5" s="185" t="s">
        <v>199</v>
      </c>
    </row>
    <row r="6" spans="1:7" x14ac:dyDescent="0.35">
      <c r="A6" t="s">
        <v>220</v>
      </c>
      <c r="B6" t="s">
        <v>224</v>
      </c>
      <c r="C6" t="s">
        <v>226</v>
      </c>
      <c r="D6" t="s">
        <v>225</v>
      </c>
    </row>
    <row r="10" spans="1:7" ht="15.75" customHeight="1" x14ac:dyDescent="0.35"/>
    <row r="24" spans="11:13" x14ac:dyDescent="0.35">
      <c r="K24" s="191"/>
      <c r="L24" s="191"/>
      <c r="M24" s="192"/>
    </row>
    <row r="25" spans="11:13" x14ac:dyDescent="0.35">
      <c r="K25" s="193"/>
      <c r="L25" s="191"/>
      <c r="M25" s="192"/>
    </row>
    <row r="26" spans="11:13" x14ac:dyDescent="0.35">
      <c r="K26" s="191"/>
      <c r="L26" s="191"/>
      <c r="M26" s="192"/>
    </row>
    <row r="27" spans="11:13" x14ac:dyDescent="0.35">
      <c r="K27" s="191"/>
      <c r="L27" s="191"/>
      <c r="M27" s="191"/>
    </row>
    <row r="28" spans="11:13" x14ac:dyDescent="0.35">
      <c r="K28" s="191"/>
      <c r="L28" s="191"/>
      <c r="M28" s="191"/>
    </row>
  </sheetData>
  <mergeCells count="1">
    <mergeCell ref="A1:G2"/>
  </mergeCells>
  <pageMargins left="0.7" right="0.7" top="0.78740157499999996" bottom="0.78740157499999996" header="0.3" footer="0.3"/>
  <pageSetup scale="42" orientation="portrait" r:id="rId1"/>
  <headerFooter>
    <oddHeader xml:space="preserve">&amp;L&amp;G
&amp;"Cambria,Regular"Doc Number: D0000009182
Name: Product Security Risk Table
Revision:  AA
</oddHeader>
    <oddFooter>&amp;C&amp;"Cambria,Regular"&amp;9Scope: KZO, IRE, GER
Process Owner: Software Development Lifecycle Process Owner</oddFooter>
  </headerFooter>
  <legacyDrawing r:id="rId2"/>
  <legacyDrawingHF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7"/>
  <sheetViews>
    <sheetView view="pageBreakPreview" zoomScaleNormal="70" zoomScaleSheetLayoutView="100" workbookViewId="0">
      <selection activeCell="E1" sqref="E1"/>
    </sheetView>
  </sheetViews>
  <sheetFormatPr defaultColWidth="9.1796875" defaultRowHeight="14.5" x14ac:dyDescent="0.35"/>
  <cols>
    <col min="1" max="1" width="9.1796875" style="24" customWidth="1"/>
    <col min="2" max="2" width="4.81640625" style="24" customWidth="1"/>
    <col min="3" max="3" width="25.54296875" style="25" customWidth="1"/>
    <col min="4" max="4" width="5" style="24" customWidth="1"/>
    <col min="5" max="5" width="22" style="24" customWidth="1"/>
    <col min="6" max="6" width="6.26953125" style="24" customWidth="1"/>
    <col min="7" max="7" width="28.7265625" style="24" customWidth="1"/>
    <col min="8" max="8" width="38" style="24" customWidth="1"/>
    <col min="9" max="9" width="25.453125" style="24" customWidth="1"/>
    <col min="10" max="10" width="15" style="24" customWidth="1"/>
    <col min="11" max="11" width="35.7265625" style="24" customWidth="1"/>
    <col min="12" max="12" width="15" style="24" customWidth="1"/>
    <col min="13" max="13" width="36.81640625" style="24" customWidth="1"/>
    <col min="14" max="16384" width="9.1796875" style="24"/>
  </cols>
  <sheetData>
    <row r="1" spans="1:14" s="48" customFormat="1" x14ac:dyDescent="0.35">
      <c r="A1" s="31" t="s">
        <v>201</v>
      </c>
      <c r="B1" s="71"/>
      <c r="C1" s="71"/>
      <c r="D1" s="71"/>
      <c r="E1" s="71"/>
      <c r="F1" s="71"/>
      <c r="G1" s="71"/>
      <c r="H1" s="71"/>
      <c r="I1" s="71"/>
      <c r="J1" s="71"/>
      <c r="K1" s="71"/>
      <c r="L1" s="71"/>
      <c r="M1" s="71"/>
      <c r="N1"/>
    </row>
    <row r="2" spans="1:14" s="48" customFormat="1" x14ac:dyDescent="0.35">
      <c r="A2" s="31"/>
      <c r="B2" s="71"/>
      <c r="C2" s="71"/>
      <c r="D2" s="71"/>
      <c r="E2" s="71"/>
      <c r="F2" s="71"/>
      <c r="G2" s="71"/>
      <c r="H2" s="71"/>
      <c r="I2" s="71"/>
      <c r="J2" s="71"/>
      <c r="K2" s="71"/>
      <c r="L2" s="71"/>
      <c r="M2" s="71"/>
      <c r="N2"/>
    </row>
    <row r="3" spans="1:14" s="48" customFormat="1" x14ac:dyDescent="0.35">
      <c r="A3" s="71" t="s">
        <v>132</v>
      </c>
      <c r="B3" s="71"/>
      <c r="C3" s="71"/>
      <c r="D3" s="71"/>
      <c r="E3" s="71"/>
      <c r="F3" s="71"/>
      <c r="G3" s="71"/>
      <c r="H3" s="71"/>
      <c r="I3" s="71"/>
      <c r="J3" s="71"/>
      <c r="K3" s="71"/>
      <c r="L3" s="71"/>
      <c r="M3" s="71"/>
      <c r="N3"/>
    </row>
    <row r="4" spans="1:14" s="48" customFormat="1" ht="42" customHeight="1" x14ac:dyDescent="0.35">
      <c r="A4" s="167" t="s">
        <v>1</v>
      </c>
      <c r="B4" s="168" t="s">
        <v>116</v>
      </c>
      <c r="C4" s="169" t="s">
        <v>2</v>
      </c>
      <c r="D4" s="170" t="s">
        <v>115</v>
      </c>
      <c r="E4" s="171" t="s">
        <v>14</v>
      </c>
      <c r="F4" s="172" t="s">
        <v>117</v>
      </c>
      <c r="G4" s="173" t="s">
        <v>200</v>
      </c>
      <c r="H4" s="173" t="s">
        <v>6</v>
      </c>
      <c r="I4" s="174" t="s">
        <v>170</v>
      </c>
      <c r="J4" s="175" t="s">
        <v>197</v>
      </c>
      <c r="K4" s="176" t="s">
        <v>199</v>
      </c>
      <c r="L4" s="177" t="s">
        <v>198</v>
      </c>
      <c r="M4" s="178" t="s">
        <v>4</v>
      </c>
      <c r="N4" s="2"/>
    </row>
    <row r="5" spans="1:14" s="48" customFormat="1" ht="56" x14ac:dyDescent="0.35">
      <c r="A5" s="66">
        <f>Table4[[#This Row],[
ID '#]]</f>
        <v>1</v>
      </c>
      <c r="B5" s="52" t="str">
        <f>IF(Table4[[#This Row],[A ID]]&gt;0,Table4[[#This Row],[T ID]],"")</f>
        <v>T01</v>
      </c>
      <c r="C5" s="45" t="str">
        <f>Table4[[#This Row],[Threat Event(s)]]</f>
        <v>Deliver undirected malware
(CAPEC-185)</v>
      </c>
      <c r="D5" s="52" t="str">
        <f>IF(Table4[[#This Row],[V ID]]&gt;0,Table4[[#This Row],[V ID]],"")</f>
        <v>V11</v>
      </c>
      <c r="E5" s="45" t="str">
        <f>Table4[[#This Row],[Vulnerabilities]]</f>
        <v>Unpatched OS</v>
      </c>
      <c r="F5" s="54" t="str">
        <f>IF(Table4[[#This Row],[A ID]]&gt;0,Table4[[#This Row],[A ID]],"")</f>
        <v>A01</v>
      </c>
      <c r="G5" s="45" t="str">
        <f>Table4[[#This Row],[Asset]]</f>
        <v>Nav3i cart/ System running with windows 8.1</v>
      </c>
      <c r="H5" s="45" t="str">
        <f>IF(Table4[[#This Row],[Impact Description]]&gt;0,Table4[[#This Row],[Impact Description]],"")</f>
        <v xml:space="preserve">Malicious utilization of  computer resources and computing power, incl. denial of service attacks, ransomware deployment, Bitcoin mining, etc., ). </v>
      </c>
      <c r="I5" s="54" t="str">
        <f>IF(Table4[[#This Row],[Safety Impact 
(Risk ID'# or N/A)]]&gt;0,Table4[[#This Row],[Safety Impact 
(Risk ID'# or N/A)]],"")</f>
        <v>[RARC.RI040]</v>
      </c>
      <c r="J5" s="87" t="str">
        <f>Table4[[#This Row],[Security 
Risk 
Level]]</f>
        <v>MEDIUM</v>
      </c>
      <c r="K5" s="45" t="str">
        <f>IF(Table4[[#This Row],[Security Risk Control Measures]]&gt;0,Table4[[#This Row],[Security Risk Control Measures]],"")</f>
        <v>Application Whitelisting
Firewall
Virus Scan
User authentication</v>
      </c>
      <c r="L5" s="87" t="str">
        <f>Table4[[#This Row],[Security Risk LevelP]]</f>
        <v>LOW</v>
      </c>
      <c r="M5" s="54" t="str">
        <f>IF(Table4[[#This Row],[Residual Security Risk Acceptability Justification]]&gt;0,Table4[[#This Row],[Residual Security Risk Acceptability Justification]],"")</f>
        <v xml:space="preserve"> </v>
      </c>
      <c r="N5"/>
    </row>
    <row r="6" spans="1:14" s="48" customFormat="1" ht="84" x14ac:dyDescent="0.35">
      <c r="A6" s="65">
        <f>Table4[[#This Row],[
ID '#]]</f>
        <v>2</v>
      </c>
      <c r="B6" s="52" t="str">
        <f>IF(Table4[[#This Row],[A ID]]&gt;0,Table4[[#This Row],[T ID]],"")</f>
        <v>T02</v>
      </c>
      <c r="C6" s="45" t="str">
        <f>Table4[[#This Row],[Threat Event(s)]]</f>
        <v>Deliver directed malware
(CAPEC-185)</v>
      </c>
      <c r="D6" s="54" t="str">
        <f>IF(Table4[[#This Row],[V ID]]&gt;0,Table4[[#This Row],[V ID]],"")</f>
        <v>V24</v>
      </c>
      <c r="E6" s="45" t="str">
        <f>Table4[[#This Row],[Vulnerabilities]]</f>
        <v>Any unprotected hardware</v>
      </c>
      <c r="F6" s="54" t="str">
        <f>IF(Table4[[#This Row],[A ID]]&gt;0,Table4[[#This Row],[A ID]],"")</f>
        <v>A01</v>
      </c>
      <c r="G6" s="45" t="str">
        <f>Table4[[#This Row],[Asset]]</f>
        <v>Nav3i cart/ System running with windows 8.1</v>
      </c>
      <c r="H6" s="45" t="str">
        <f>IF(Table4[[#This Row],[Impact Description]]&gt;0,Table4[[#This Row],[Impact Description]],"")</f>
        <v>Malicious utilization of  computer resources and computing power, incl. denial of service attacks, ransomware deployment, Bitcoin mining, etc., ) by exploiting vulnarabilities such as bypassing the Operating System.</v>
      </c>
      <c r="I6" s="54" t="str">
        <f>IF(Table4[[#This Row],[Safety Impact 
(Risk ID'# or N/A)]]&gt;0,Table4[[#This Row],[Safety Impact 
(Risk ID'# or N/A)]],"")</f>
        <v>[RARC.RI040]</v>
      </c>
      <c r="J6" s="87" t="str">
        <f>Table4[[#This Row],[Security 
Risk 
Level]]</f>
        <v>MEDIUM</v>
      </c>
      <c r="K6" s="45" t="str">
        <f>IF(Table4[[#This Row],[Security Risk Control Measures]]&gt;0,Table4[[#This Row],[Security Risk Control Measures]],"")</f>
        <v/>
      </c>
      <c r="L6" s="87" t="str">
        <f>Table4[[#This Row],[Security Risk LevelP]]</f>
        <v/>
      </c>
      <c r="M6" s="54" t="str">
        <f>IF(Table4[[#This Row],[Residual Security Risk Acceptability Justification]]&gt;0,Table4[[#This Row],[Residual Security Risk Acceptability Justification]],"")</f>
        <v/>
      </c>
      <c r="N6"/>
    </row>
    <row r="7" spans="1:14" s="48" customFormat="1" ht="56" x14ac:dyDescent="0.35">
      <c r="A7" s="65">
        <f>Table4[[#This Row],[
ID '#]]</f>
        <v>3</v>
      </c>
      <c r="B7" s="52" t="str">
        <f>IF(Table4[[#This Row],[A ID]]&gt;0,Table4[[#This Row],[T ID]],"")</f>
        <v>T10</v>
      </c>
      <c r="C7" s="45" t="str">
        <f>Table4[[#This Row],[Threat Event(s)]]</f>
        <v>Mis-configuration by user</v>
      </c>
      <c r="D7" s="54" t="str">
        <f>IF(Table4[[#This Row],[V ID]]&gt;0,Table4[[#This Row],[V ID]],"")</f>
        <v>V03</v>
      </c>
      <c r="E7" s="45" t="str">
        <f>Table4[[#This Row],[Vulnerabilities]]</f>
        <v>Untrained/Malicious User</v>
      </c>
      <c r="F7" s="54" t="str">
        <f>IF(Table4[[#This Row],[A ID]]&gt;0,Table4[[#This Row],[A ID]],"")</f>
        <v>A02</v>
      </c>
      <c r="G7" s="45" t="str">
        <f>Table4[[#This Row],[Asset]]</f>
        <v>Admin Password / Credentials / System Configuration / Certificates</v>
      </c>
      <c r="H7" s="45" t="str">
        <f>IF(Table4[[#This Row],[Impact Description]]&gt;0,Table4[[#This Row],[Impact Description]],"")</f>
        <v xml:space="preserve">If a user misconfigures the system, this might lead to unavailability of the navigation system or make the system less performant for the user. </v>
      </c>
      <c r="I7" s="54" t="str">
        <f>IF(Table4[[#This Row],[Safety Impact 
(Risk ID'# or N/A)]]&gt;0,Table4[[#This Row],[Safety Impact 
(Risk ID'# or N/A)]],"")</f>
        <v>[RARC.RI110]</v>
      </c>
      <c r="J7" s="87" t="str">
        <f>Table4[[#This Row],[Security 
Risk 
Level]]</f>
        <v>LOW</v>
      </c>
      <c r="K7" s="54" t="str">
        <f>IF(Table4[[#This Row],[Security Risk Control Measures]]&gt;0,Table4[[#This Row],[Security Risk Control Measures]],"")</f>
        <v>Application Whitelisting
Firewall
Virus Scan
User authentication</v>
      </c>
      <c r="L7" s="87" t="str">
        <f>Table4[[#This Row],[Security Risk LevelP]]</f>
        <v>MEDIUM</v>
      </c>
      <c r="M7" s="54" t="str">
        <f>IF(Table4[[#This Row],[Residual Security Risk Acceptability Justification]]&gt;0,Table4[[#This Row],[Residual Security Risk Acceptability Justification]],"")</f>
        <v>Justification</v>
      </c>
      <c r="N7"/>
    </row>
    <row r="8" spans="1:14" s="48" customFormat="1" ht="56" x14ac:dyDescent="0.35">
      <c r="A8" s="65">
        <f>Table4[[#This Row],[
ID '#]]</f>
        <v>4</v>
      </c>
      <c r="B8" s="52" t="str">
        <f>IF(Table4[[#This Row],[A ID]]&gt;0,Table4[[#This Row],[T ID]],"")</f>
        <v>T03</v>
      </c>
      <c r="C8" s="45" t="str">
        <f>Table4[[#This Row],[Threat Event(s)]]</f>
        <v xml:space="preserve">Perform perimeter network reconnaissance/scanning. </v>
      </c>
      <c r="D8" s="54" t="str">
        <f>IF(Table4[[#This Row],[V ID]]&gt;0,Table4[[#This Row],[V ID]],"")</f>
        <v>V21</v>
      </c>
      <c r="E8" s="45" t="str">
        <f>Table4[[#This Row],[Vulnerabilities]]</f>
        <v>Unprotected network port</v>
      </c>
      <c r="F8" s="54" t="str">
        <f>IF(Table4[[#This Row],[A ID]]&gt;0,Table4[[#This Row],[A ID]],"")</f>
        <v>A07</v>
      </c>
      <c r="G8" s="45" t="str">
        <f>Table4[[#This Row],[Asset]]</f>
        <v>Computer/OS network identification</v>
      </c>
      <c r="H8" s="45" t="str">
        <f>IF(Table4[[#This Row],[Impact Description]]&gt;0,Table4[[#This Row],[Impact Description]],"")</f>
        <v>Obtain knowledge about system internals in an attempt to find attack vectors and possibilities for exploitation of publicly known Vulnerabilities</v>
      </c>
      <c r="I8" s="54" t="str">
        <f>IF(Table4[[#This Row],[Safety Impact 
(Risk ID'# or N/A)]]&gt;0,Table4[[#This Row],[Safety Impact 
(Risk ID'# or N/A)]],"")</f>
        <v>[RARC.RI110]</v>
      </c>
      <c r="J8" s="87" t="str">
        <f>Table4[[#This Row],[Security 
Risk 
Level]]</f>
        <v>LOW</v>
      </c>
      <c r="K8" s="54" t="str">
        <f>IF(Table4[[#This Row],[Security Risk Control Measures]]&gt;0,Table4[[#This Row],[Security Risk Control Measures]],"")</f>
        <v/>
      </c>
      <c r="L8" s="87" t="str">
        <f>Table4[[#This Row],[Security Risk LevelP]]</f>
        <v/>
      </c>
      <c r="M8" s="54" t="str">
        <f>IF(Table4[[#This Row],[Residual Security Risk Acceptability Justification]]&gt;0,Table4[[#This Row],[Residual Security Risk Acceptability Justification]],"")</f>
        <v/>
      </c>
      <c r="N8"/>
    </row>
    <row r="9" spans="1:14" s="48" customFormat="1" ht="28" x14ac:dyDescent="0.35">
      <c r="A9" s="65">
        <f>Table4[[#This Row],[
ID '#]]</f>
        <v>5</v>
      </c>
      <c r="B9" s="52" t="str">
        <f>IF(Table4[[#This Row],[A ID]]&gt;0,Table4[[#This Row],[T ID]],"")</f>
        <v>T05</v>
      </c>
      <c r="C9" s="45" t="str">
        <f>Table4[[#This Row],[Threat Event(s)]]</f>
        <v xml:space="preserve">Conduct scavenging of ePHI at rest </v>
      </c>
      <c r="D9" s="54" t="str">
        <f>IF(Table4[[#This Row],[V ID]]&gt;0,Table4[[#This Row],[V ID]],"")</f>
        <v>V01</v>
      </c>
      <c r="E9" s="45" t="str">
        <f>Table4[[#This Row],[Vulnerabilities]]</f>
        <v>Ineffective management of user credentials</v>
      </c>
      <c r="F9" s="54" t="str">
        <f>IF(Table4[[#This Row],[A ID]]&gt;0,Table4[[#This Row],[A ID]],"")</f>
        <v>A05</v>
      </c>
      <c r="G9" s="45" t="str">
        <f>Table4[[#This Row],[Asset]]</f>
        <v>Patient health information at rest</v>
      </c>
      <c r="H9" s="45" t="str">
        <f>IF(Table4[[#This Row],[Impact Description]]&gt;0,Table4[[#This Row],[Impact Description]],"")</f>
        <v>ePHI stored on Navigation System is exposed to third parties.</v>
      </c>
      <c r="I9" s="54" t="str">
        <f>IF(Table4[[#This Row],[Safety Impact 
(Risk ID'# or N/A)]]&gt;0,Table4[[#This Row],[Safety Impact 
(Risk ID'# or N/A)]],"")</f>
        <v>[RARC.RI180]</v>
      </c>
      <c r="J9" s="87" t="str">
        <f>Table4[[#This Row],[Security 
Risk 
Level]]</f>
        <v>MEDIUM</v>
      </c>
      <c r="K9" s="54" t="str">
        <f>IF(Table4[[#This Row],[Security Risk Control Measures]]&gt;0,Table4[[#This Row],[Security Risk Control Measures]],"")</f>
        <v/>
      </c>
      <c r="L9" s="156" t="str">
        <f>Table4[[#This Row],[Security Risk LevelP]]</f>
        <v/>
      </c>
      <c r="M9" s="54" t="str">
        <f>IF(Table4[[#This Row],[Residual Security Risk Acceptability Justification]]&gt;0,Table4[[#This Row],[Residual Security Risk Acceptability Justification]],"")</f>
        <v/>
      </c>
      <c r="N9"/>
    </row>
    <row r="10" spans="1:14" s="48" customFormat="1" x14ac:dyDescent="0.35">
      <c r="A10"/>
      <c r="B10"/>
      <c r="C10"/>
      <c r="D10"/>
      <c r="E10"/>
      <c r="F10"/>
      <c r="G10"/>
      <c r="H10"/>
      <c r="I10"/>
      <c r="J10"/>
      <c r="K10"/>
      <c r="L10"/>
      <c r="M10"/>
      <c r="N10"/>
    </row>
    <row r="11" spans="1:14" s="48" customFormat="1" x14ac:dyDescent="0.35">
      <c r="A11" s="24"/>
      <c r="B11" s="24"/>
      <c r="C11" s="25"/>
      <c r="D11" s="24"/>
      <c r="E11" s="24"/>
      <c r="F11" s="24"/>
      <c r="G11" s="24"/>
    </row>
    <row r="12" spans="1:14" s="48" customFormat="1" ht="14" x14ac:dyDescent="0.25">
      <c r="A12" s="29" t="s">
        <v>174</v>
      </c>
      <c r="C12" s="58"/>
    </row>
    <row r="13" spans="1:14" s="48" customFormat="1" ht="32.25" customHeight="1" x14ac:dyDescent="0.25">
      <c r="B13" s="339" t="s">
        <v>175</v>
      </c>
      <c r="C13" s="339"/>
      <c r="D13" s="339"/>
      <c r="E13" s="339"/>
      <c r="F13" s="339"/>
      <c r="G13" s="339"/>
      <c r="H13" s="339"/>
    </row>
    <row r="14" spans="1:14" s="48" customFormat="1" x14ac:dyDescent="0.35">
      <c r="A14" s="24"/>
      <c r="B14" s="24"/>
      <c r="C14" s="25"/>
      <c r="D14" s="24"/>
      <c r="E14" s="24"/>
      <c r="F14" s="24"/>
      <c r="G14" s="24"/>
    </row>
    <row r="15" spans="1:14" s="48" customFormat="1" x14ac:dyDescent="0.35">
      <c r="A15" s="24"/>
      <c r="B15" s="24"/>
      <c r="C15" s="25"/>
      <c r="D15" s="24"/>
      <c r="E15" s="24"/>
      <c r="F15" s="24"/>
      <c r="G15" s="24"/>
    </row>
    <row r="16" spans="1:14" s="48" customFormat="1" x14ac:dyDescent="0.35">
      <c r="A16" s="24"/>
      <c r="B16" s="24"/>
      <c r="C16" s="25"/>
      <c r="D16" s="24"/>
      <c r="E16" s="24"/>
      <c r="F16" s="24"/>
      <c r="G16" s="24"/>
    </row>
    <row r="17" spans="1:8" s="48" customFormat="1" ht="32.25" customHeight="1" x14ac:dyDescent="0.25">
      <c r="A17" s="24"/>
      <c r="B17" s="24"/>
      <c r="C17" s="25"/>
      <c r="D17" s="24"/>
      <c r="E17" s="24"/>
      <c r="F17" s="24"/>
      <c r="G17" s="24"/>
      <c r="H17" s="183"/>
    </row>
  </sheetData>
  <mergeCells count="1">
    <mergeCell ref="B13:H13"/>
  </mergeCells>
  <conditionalFormatting sqref="L6:L9">
    <cfRule type="cellIs" dxfId="60" priority="1" operator="equal">
      <formula>"Critical"</formula>
    </cfRule>
    <cfRule type="cellIs" dxfId="59" priority="2" operator="equal">
      <formula>"HIGH"</formula>
    </cfRule>
    <cfRule type="cellIs" dxfId="58" priority="3" operator="equal">
      <formula>"Medium"</formula>
    </cfRule>
    <cfRule type="cellIs" dxfId="57" priority="4" operator="equal">
      <formula>"None"</formula>
    </cfRule>
    <cfRule type="cellIs" dxfId="56" priority="5" operator="equal">
      <formula>"Low"</formula>
    </cfRule>
  </conditionalFormatting>
  <conditionalFormatting sqref="J5:J9">
    <cfRule type="cellIs" dxfId="55" priority="11" operator="equal">
      <formula>"Critical"</formula>
    </cfRule>
    <cfRule type="cellIs" dxfId="54" priority="12" operator="equal">
      <formula>"HIGH"</formula>
    </cfRule>
    <cfRule type="cellIs" dxfId="53" priority="13" operator="equal">
      <formula>"Medium"</formula>
    </cfRule>
    <cfRule type="cellIs" dxfId="52" priority="14" operator="equal">
      <formula>"None"</formula>
    </cfRule>
    <cfRule type="cellIs" dxfId="51" priority="15" operator="equal">
      <formula>"Low"</formula>
    </cfRule>
  </conditionalFormatting>
  <conditionalFormatting sqref="L5">
    <cfRule type="cellIs" dxfId="50" priority="6" operator="equal">
      <formula>"Critical"</formula>
    </cfRule>
    <cfRule type="cellIs" dxfId="49" priority="7" operator="equal">
      <formula>"HIGH"</formula>
    </cfRule>
    <cfRule type="cellIs" dxfId="48" priority="8" operator="equal">
      <formula>"Medium"</formula>
    </cfRule>
    <cfRule type="cellIs" dxfId="47" priority="9" operator="equal">
      <formula>"None"</formula>
    </cfRule>
    <cfRule type="cellIs" dxfId="46" priority="10" operator="equal">
      <formula>"Low"</formula>
    </cfRule>
  </conditionalFormatting>
  <pageMargins left="0.7" right="0.7" top="0.75" bottom="0.75" header="0.3" footer="0.3"/>
  <pageSetup scale="45"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R30"/>
  <sheetViews>
    <sheetView view="pageBreakPreview" zoomScale="80" zoomScaleNormal="100" zoomScaleSheetLayoutView="80" workbookViewId="0"/>
  </sheetViews>
  <sheetFormatPr defaultColWidth="9.1796875" defaultRowHeight="14.5" x14ac:dyDescent="0.35"/>
  <cols>
    <col min="1" max="1" width="2.26953125" customWidth="1"/>
    <col min="2" max="2" width="15.26953125" customWidth="1"/>
    <col min="4" max="4" width="5.26953125" customWidth="1"/>
    <col min="7" max="7" width="5.453125" customWidth="1"/>
    <col min="11" max="11" width="5.26953125" customWidth="1"/>
    <col min="14" max="14" width="5.1796875" customWidth="1"/>
    <col min="16" max="16" width="13.81640625" customWidth="1"/>
    <col min="17" max="17" width="11" customWidth="1"/>
    <col min="18" max="18" width="17" customWidth="1"/>
  </cols>
  <sheetData>
    <row r="1" spans="2:18" s="71" customFormat="1" ht="27.75" customHeight="1" x14ac:dyDescent="0.3">
      <c r="B1" s="89" t="s">
        <v>168</v>
      </c>
    </row>
    <row r="2" spans="2:18" s="71" customFormat="1" thickBot="1" x14ac:dyDescent="0.35"/>
    <row r="3" spans="2:18" s="71" customFormat="1" ht="18" thickBot="1" x14ac:dyDescent="0.4">
      <c r="B3" s="350" t="s">
        <v>80</v>
      </c>
      <c r="C3" s="351"/>
      <c r="D3" s="351"/>
      <c r="E3" s="351"/>
      <c r="F3" s="351"/>
      <c r="G3" s="351"/>
      <c r="H3" s="351"/>
      <c r="I3" s="351"/>
      <c r="J3" s="351"/>
      <c r="K3" s="351"/>
      <c r="L3" s="351"/>
      <c r="M3" s="351"/>
      <c r="N3" s="352"/>
      <c r="P3" s="350" t="s">
        <v>65</v>
      </c>
      <c r="Q3" s="351"/>
      <c r="R3" s="352"/>
    </row>
    <row r="4" spans="2:18" s="71" customFormat="1" ht="15.5" thickBot="1" x14ac:dyDescent="0.35">
      <c r="B4" s="357" t="s">
        <v>81</v>
      </c>
      <c r="C4" s="358"/>
      <c r="D4" s="359"/>
      <c r="E4" s="357" t="s">
        <v>82</v>
      </c>
      <c r="F4" s="358"/>
      <c r="G4" s="359"/>
      <c r="H4" s="357" t="s">
        <v>83</v>
      </c>
      <c r="I4" s="358"/>
      <c r="J4" s="358"/>
      <c r="K4" s="359"/>
      <c r="L4" s="360" t="s">
        <v>84</v>
      </c>
      <c r="M4" s="361"/>
      <c r="N4" s="362"/>
      <c r="P4" s="90"/>
      <c r="Q4" s="91" t="s">
        <v>126</v>
      </c>
      <c r="R4" s="92" t="s">
        <v>72</v>
      </c>
    </row>
    <row r="5" spans="2:18" s="71" customFormat="1" ht="15.5" thickBot="1" x14ac:dyDescent="0.35">
      <c r="B5" s="93" t="s">
        <v>85</v>
      </c>
      <c r="C5" s="93" t="s">
        <v>86</v>
      </c>
      <c r="D5" s="93" t="s">
        <v>87</v>
      </c>
      <c r="E5" s="93" t="s">
        <v>88</v>
      </c>
      <c r="F5" s="93" t="s">
        <v>86</v>
      </c>
      <c r="G5" s="93" t="s">
        <v>87</v>
      </c>
      <c r="H5" s="93" t="s">
        <v>85</v>
      </c>
      <c r="I5" s="364" t="s">
        <v>86</v>
      </c>
      <c r="J5" s="365"/>
      <c r="K5" s="93" t="s">
        <v>87</v>
      </c>
      <c r="L5" s="93" t="s">
        <v>85</v>
      </c>
      <c r="M5" s="93" t="s">
        <v>86</v>
      </c>
      <c r="N5" s="93" t="s">
        <v>87</v>
      </c>
      <c r="P5" s="94"/>
      <c r="Q5" s="95" t="s">
        <v>48</v>
      </c>
      <c r="R5" s="96">
        <v>0.04</v>
      </c>
    </row>
    <row r="6" spans="2:18" s="71" customFormat="1" ht="15" x14ac:dyDescent="0.3">
      <c r="B6" s="97" t="s">
        <v>77</v>
      </c>
      <c r="C6" s="98">
        <v>0.85</v>
      </c>
      <c r="D6" s="99" t="s">
        <v>57</v>
      </c>
      <c r="E6" s="97" t="s">
        <v>55</v>
      </c>
      <c r="F6" s="98">
        <v>0.77</v>
      </c>
      <c r="G6" s="100" t="s">
        <v>89</v>
      </c>
      <c r="H6" s="97" t="s">
        <v>76</v>
      </c>
      <c r="I6" s="101">
        <v>0.85</v>
      </c>
      <c r="J6" s="102">
        <v>0.85</v>
      </c>
      <c r="K6" s="99" t="s">
        <v>57</v>
      </c>
      <c r="L6" s="97" t="s">
        <v>76</v>
      </c>
      <c r="M6" s="103">
        <v>0.85</v>
      </c>
      <c r="N6" s="104" t="s">
        <v>57</v>
      </c>
      <c r="P6" s="94"/>
      <c r="Q6" s="105" t="s">
        <v>55</v>
      </c>
      <c r="R6" s="106">
        <v>0.2</v>
      </c>
    </row>
    <row r="7" spans="2:18" s="71" customFormat="1" ht="15" x14ac:dyDescent="0.3">
      <c r="B7" s="97" t="s">
        <v>79</v>
      </c>
      <c r="C7" s="107">
        <v>0.62</v>
      </c>
      <c r="D7" s="99" t="s">
        <v>90</v>
      </c>
      <c r="E7" s="97" t="s">
        <v>64</v>
      </c>
      <c r="F7" s="107">
        <v>0.44</v>
      </c>
      <c r="G7" s="100" t="s">
        <v>91</v>
      </c>
      <c r="H7" s="97" t="s">
        <v>55</v>
      </c>
      <c r="I7" s="108">
        <v>0.62</v>
      </c>
      <c r="J7" s="102">
        <v>0.68</v>
      </c>
      <c r="K7" s="99" t="s">
        <v>89</v>
      </c>
      <c r="L7" s="97" t="s">
        <v>75</v>
      </c>
      <c r="M7" s="109">
        <v>0.62</v>
      </c>
      <c r="N7" s="104" t="s">
        <v>92</v>
      </c>
      <c r="P7" s="94"/>
      <c r="Q7" s="110" t="s">
        <v>54</v>
      </c>
      <c r="R7" s="106">
        <v>0.5</v>
      </c>
    </row>
    <row r="8" spans="2:18" s="71" customFormat="1" ht="15" x14ac:dyDescent="0.3">
      <c r="B8" s="97" t="s">
        <v>78</v>
      </c>
      <c r="C8" s="107">
        <v>0.55000000000000004</v>
      </c>
      <c r="D8" s="99" t="s">
        <v>89</v>
      </c>
      <c r="E8" s="97"/>
      <c r="F8" s="107"/>
      <c r="G8" s="99"/>
      <c r="H8" s="97" t="s">
        <v>64</v>
      </c>
      <c r="I8" s="108">
        <v>0.27</v>
      </c>
      <c r="J8" s="102">
        <v>0.5</v>
      </c>
      <c r="K8" s="99" t="s">
        <v>91</v>
      </c>
      <c r="L8" s="97"/>
      <c r="M8" s="102"/>
      <c r="N8" s="104"/>
      <c r="P8" s="94"/>
      <c r="Q8" s="111" t="s">
        <v>64</v>
      </c>
      <c r="R8" s="106">
        <v>0.8</v>
      </c>
    </row>
    <row r="9" spans="2:18" s="71" customFormat="1" ht="15" x14ac:dyDescent="0.3">
      <c r="B9" s="97" t="s">
        <v>74</v>
      </c>
      <c r="C9" s="107">
        <v>0.2</v>
      </c>
      <c r="D9" s="104" t="s">
        <v>93</v>
      </c>
      <c r="E9" s="128"/>
      <c r="F9" s="127"/>
      <c r="G9" s="182"/>
      <c r="H9" s="97"/>
      <c r="I9" s="108"/>
      <c r="J9" s="102"/>
      <c r="K9" s="104"/>
      <c r="L9" s="97"/>
      <c r="M9" s="102"/>
      <c r="N9" s="104"/>
      <c r="P9" s="94"/>
      <c r="Q9" s="121" t="s">
        <v>104</v>
      </c>
      <c r="R9" s="106">
        <v>1</v>
      </c>
    </row>
    <row r="10" spans="2:18" s="71" customFormat="1" ht="15.5" thickBot="1" x14ac:dyDescent="0.35">
      <c r="B10" s="112"/>
      <c r="C10" s="113"/>
      <c r="D10" s="114"/>
      <c r="E10" s="115"/>
      <c r="F10" s="116"/>
      <c r="G10" s="117"/>
      <c r="H10" s="112"/>
      <c r="I10" s="118"/>
      <c r="J10" s="119"/>
      <c r="K10" s="114"/>
      <c r="L10" s="112"/>
      <c r="M10" s="119"/>
      <c r="N10" s="114"/>
      <c r="P10" s="120"/>
      <c r="R10" s="106"/>
    </row>
    <row r="11" spans="2:18" s="71" customFormat="1" thickBot="1" x14ac:dyDescent="0.35"/>
    <row r="12" spans="2:18" s="71" customFormat="1" ht="18" thickBot="1" x14ac:dyDescent="0.4">
      <c r="B12" s="350" t="s">
        <v>94</v>
      </c>
      <c r="C12" s="351"/>
      <c r="D12" s="351"/>
      <c r="E12" s="351"/>
      <c r="F12" s="351"/>
      <c r="G12" s="351"/>
      <c r="H12" s="351"/>
      <c r="I12" s="351"/>
      <c r="J12" s="351"/>
      <c r="K12" s="351"/>
      <c r="L12" s="351"/>
      <c r="M12" s="351"/>
      <c r="N12" s="352"/>
      <c r="P12" s="159" t="s">
        <v>180</v>
      </c>
      <c r="Q12" s="123" t="s">
        <v>124</v>
      </c>
    </row>
    <row r="13" spans="2:18" s="71" customFormat="1" ht="15.5" thickBot="1" x14ac:dyDescent="0.35">
      <c r="B13" s="353" t="s">
        <v>95</v>
      </c>
      <c r="C13" s="354"/>
      <c r="D13" s="354"/>
      <c r="E13" s="354"/>
      <c r="F13" s="354"/>
      <c r="G13" s="355"/>
      <c r="H13" s="354"/>
      <c r="I13" s="354"/>
      <c r="J13" s="354"/>
      <c r="K13" s="354"/>
      <c r="L13" s="354"/>
      <c r="M13" s="354"/>
      <c r="N13" s="356"/>
      <c r="P13" s="97"/>
      <c r="Q13" s="102" t="s">
        <v>181</v>
      </c>
    </row>
    <row r="14" spans="2:18" s="71" customFormat="1" thickBot="1" x14ac:dyDescent="0.35">
      <c r="B14" s="93" t="s">
        <v>85</v>
      </c>
      <c r="C14" s="93" t="s">
        <v>86</v>
      </c>
      <c r="D14" s="93" t="s">
        <v>87</v>
      </c>
      <c r="E14" s="122"/>
      <c r="F14" s="122"/>
      <c r="G14" s="122"/>
      <c r="H14" s="122"/>
      <c r="I14" s="122"/>
      <c r="J14" s="122"/>
      <c r="K14" s="122"/>
      <c r="L14" s="122"/>
      <c r="M14" s="122"/>
      <c r="N14" s="123"/>
      <c r="P14" s="112"/>
      <c r="Q14" s="119"/>
    </row>
    <row r="15" spans="2:18" s="71" customFormat="1" ht="16" x14ac:dyDescent="0.4">
      <c r="B15" s="124" t="s">
        <v>76</v>
      </c>
      <c r="C15" s="98">
        <v>0</v>
      </c>
      <c r="D15" s="125" t="s">
        <v>57</v>
      </c>
      <c r="E15" s="126" t="s">
        <v>176</v>
      </c>
      <c r="F15" s="127"/>
      <c r="G15" s="127"/>
      <c r="H15" s="127"/>
      <c r="J15" s="127"/>
      <c r="K15" s="127"/>
      <c r="L15" s="127"/>
      <c r="M15" s="127"/>
      <c r="N15" s="102"/>
    </row>
    <row r="16" spans="2:18" s="71" customFormat="1" ht="14" x14ac:dyDescent="0.3">
      <c r="B16" s="128" t="s">
        <v>55</v>
      </c>
      <c r="C16" s="107">
        <v>0.22</v>
      </c>
      <c r="D16" s="129" t="s">
        <v>89</v>
      </c>
      <c r="E16" s="127"/>
      <c r="F16" s="127"/>
      <c r="G16" s="127"/>
      <c r="H16" s="127"/>
      <c r="I16" s="127"/>
      <c r="J16" s="127"/>
      <c r="K16" s="127"/>
      <c r="L16" s="127"/>
      <c r="M16" s="127"/>
      <c r="N16" s="102"/>
    </row>
    <row r="17" spans="2:17" s="71" customFormat="1" ht="14" x14ac:dyDescent="0.3">
      <c r="B17" s="128" t="s">
        <v>64</v>
      </c>
      <c r="C17" s="107">
        <v>0.56000000000000005</v>
      </c>
      <c r="D17" s="129" t="s">
        <v>91</v>
      </c>
      <c r="E17" s="127"/>
      <c r="F17" s="127"/>
      <c r="G17" s="127"/>
      <c r="H17" s="127"/>
      <c r="I17" s="127"/>
      <c r="J17" s="127"/>
      <c r="K17" s="127"/>
      <c r="L17" s="127"/>
      <c r="M17" s="127"/>
      <c r="N17" s="102"/>
    </row>
    <row r="18" spans="2:17" s="71" customFormat="1" thickBot="1" x14ac:dyDescent="0.35">
      <c r="B18" s="115"/>
      <c r="C18" s="113"/>
      <c r="D18" s="130"/>
      <c r="E18" s="116"/>
      <c r="F18" s="116"/>
      <c r="G18" s="116"/>
      <c r="H18" s="116"/>
      <c r="I18" s="116"/>
      <c r="J18" s="116"/>
      <c r="K18" s="116"/>
      <c r="L18" s="116"/>
      <c r="M18" s="116"/>
      <c r="N18" s="119"/>
    </row>
    <row r="19" spans="2:17" s="71" customFormat="1" thickBot="1" x14ac:dyDescent="0.35"/>
    <row r="20" spans="2:17" s="71" customFormat="1" ht="18" thickBot="1" x14ac:dyDescent="0.4">
      <c r="B20" s="350" t="s">
        <v>68</v>
      </c>
      <c r="C20" s="351"/>
      <c r="D20" s="351"/>
      <c r="E20" s="351"/>
      <c r="F20" s="351"/>
      <c r="G20" s="351"/>
      <c r="H20" s="351"/>
      <c r="I20" s="351"/>
      <c r="J20" s="351"/>
      <c r="K20" s="351"/>
      <c r="L20" s="351"/>
      <c r="M20" s="351"/>
      <c r="N20" s="352"/>
    </row>
    <row r="21" spans="2:17" s="71" customFormat="1" ht="42.65" customHeight="1" thickBot="1" x14ac:dyDescent="0.35">
      <c r="B21" s="131" t="s">
        <v>73</v>
      </c>
      <c r="C21" s="366" t="s">
        <v>96</v>
      </c>
      <c r="D21" s="367"/>
      <c r="E21" s="367"/>
      <c r="F21" s="367"/>
      <c r="G21" s="367"/>
      <c r="H21" s="367"/>
      <c r="I21" s="367"/>
      <c r="J21" s="367"/>
      <c r="K21" s="367"/>
      <c r="L21" s="367"/>
      <c r="M21" s="368"/>
      <c r="N21" s="132" t="s">
        <v>97</v>
      </c>
    </row>
    <row r="22" spans="2:17" s="71" customFormat="1" ht="43.9" customHeight="1" thickBot="1" x14ac:dyDescent="0.35">
      <c r="B22" s="133" t="s">
        <v>98</v>
      </c>
      <c r="C22" s="369" t="s">
        <v>99</v>
      </c>
      <c r="D22" s="367"/>
      <c r="E22" s="367"/>
      <c r="F22" s="367"/>
      <c r="G22" s="367"/>
      <c r="H22" s="367"/>
      <c r="I22" s="367"/>
      <c r="J22" s="367"/>
      <c r="K22" s="367"/>
      <c r="L22" s="367"/>
      <c r="M22" s="368"/>
      <c r="N22" s="134" t="s">
        <v>100</v>
      </c>
      <c r="O22" s="135"/>
      <c r="P22" s="135"/>
      <c r="Q22" s="135"/>
    </row>
    <row r="23" spans="2:17" s="71" customFormat="1" ht="15.5" thickBot="1" x14ac:dyDescent="0.35">
      <c r="B23" s="133"/>
      <c r="C23" s="369"/>
      <c r="D23" s="367"/>
      <c r="E23" s="367"/>
      <c r="F23" s="367"/>
      <c r="G23" s="367"/>
      <c r="H23" s="367"/>
      <c r="I23" s="367"/>
      <c r="J23" s="367"/>
      <c r="K23" s="367"/>
      <c r="L23" s="367"/>
      <c r="M23" s="368"/>
      <c r="N23" s="134"/>
    </row>
    <row r="24" spans="2:17" s="71" customFormat="1" ht="14" x14ac:dyDescent="0.3"/>
    <row r="25" spans="2:17" s="71" customFormat="1" ht="14" x14ac:dyDescent="0.3">
      <c r="B25" s="71" t="s">
        <v>101</v>
      </c>
    </row>
    <row r="26" spans="2:17" s="71" customFormat="1" ht="262.5" customHeight="1" x14ac:dyDescent="0.3">
      <c r="B26" s="48" t="s">
        <v>102</v>
      </c>
      <c r="C26" s="363" t="s">
        <v>103</v>
      </c>
      <c r="D26" s="363"/>
      <c r="E26" s="363"/>
      <c r="F26" s="363"/>
      <c r="G26" s="363"/>
      <c r="H26" s="363"/>
      <c r="I26" s="363"/>
      <c r="J26" s="363"/>
    </row>
    <row r="29" spans="2:17" x14ac:dyDescent="0.35">
      <c r="B29" s="29" t="s">
        <v>174</v>
      </c>
    </row>
    <row r="30" spans="2:17" ht="48" customHeight="1" x14ac:dyDescent="0.35">
      <c r="C30" s="339" t="s">
        <v>175</v>
      </c>
      <c r="D30" s="339"/>
      <c r="E30" s="339"/>
      <c r="F30" s="339"/>
      <c r="G30" s="339"/>
      <c r="H30" s="339"/>
      <c r="I30" s="339"/>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505" right="0.70866141732283505" top="1.1023622047244099" bottom="0.74803149606299202" header="0.31496062992126" footer="0.31496062992126"/>
  <pageSetup scale="55"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64877A3D81AB469AACA2EE19610E87" ma:contentTypeVersion="12" ma:contentTypeDescription="Create a new document." ma:contentTypeScope="" ma:versionID="2e86caf7f3ac30cbd4f92289216ce40d">
  <xsd:schema xmlns:xsd="http://www.w3.org/2001/XMLSchema" xmlns:xs="http://www.w3.org/2001/XMLSchema" xmlns:p="http://schemas.microsoft.com/office/2006/metadata/properties" xmlns:ns2="a3e52c44-b2ba-43b6-ab3d-ff9287d64892" xmlns:ns3="97896bf8-bae8-48c1-9c61-0a346452bfc7" targetNamespace="http://schemas.microsoft.com/office/2006/metadata/properties" ma:root="true" ma:fieldsID="5d6f0b99f685390f7de87540cfdb1cdc" ns2:_="" ns3:_="">
    <xsd:import namespace="a3e52c44-b2ba-43b6-ab3d-ff9287d64892"/>
    <xsd:import namespace="97896bf8-bae8-48c1-9c61-0a346452bf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e52c44-b2ba-43b6-ab3d-ff9287d648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7896bf8-bae8-48c1-9c61-0a346452bfc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3667C78-2767-48FE-B183-28F119783D1F}">
  <ds:schemaRefs>
    <ds:schemaRef ds:uri="http://schemas.microsoft.com/sharepoint/v3/contenttype/forms"/>
  </ds:schemaRefs>
</ds:datastoreItem>
</file>

<file path=customXml/itemProps2.xml><?xml version="1.0" encoding="utf-8"?>
<ds:datastoreItem xmlns:ds="http://schemas.openxmlformats.org/officeDocument/2006/customXml" ds:itemID="{28D504E1-A92F-4361-AD58-486F8ADCA4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e52c44-b2ba-43b6-ab3d-ff9287d64892"/>
    <ds:schemaRef ds:uri="97896bf8-bae8-48c1-9c61-0a346452bf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AF7F02-150C-44AA-ACFE-3054112CF8E2}">
  <ds:schemaRefs>
    <ds:schemaRef ds:uri="http://www.w3.org/XML/1998/namespace"/>
    <ds:schemaRef ds:uri="http://purl.org/dc/terms/"/>
    <ds:schemaRef ds:uri="97896bf8-bae8-48c1-9c61-0a346452bfc7"/>
    <ds:schemaRef ds:uri="http://schemas.microsoft.com/office/infopath/2007/PartnerControls"/>
    <ds:schemaRef ds:uri="http://schemas.microsoft.com/office/2006/documentManagement/types"/>
    <ds:schemaRef ds:uri="http://purl.org/dc/elements/1.1/"/>
    <ds:schemaRef ds:uri="http://purl.org/dc/dcmitype/"/>
    <ds:schemaRef ds:uri="http://schemas.openxmlformats.org/package/2006/metadata/core-properties"/>
    <ds:schemaRef ds:uri="a3e52c44-b2ba-43b6-ab3d-ff9287d64892"/>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38</vt:i4>
      </vt:variant>
    </vt:vector>
  </HeadingPairs>
  <TitlesOfParts>
    <vt:vector size="50" baseType="lpstr">
      <vt:lpstr>Header (Optional)</vt:lpstr>
      <vt:lpstr>Document References (Optional)</vt:lpstr>
      <vt:lpstr>System &amp; Asset Identification</vt:lpstr>
      <vt:lpstr>Vulnerability Identification</vt:lpstr>
      <vt:lpstr>Threat Assessment</vt:lpstr>
      <vt:lpstr>Security Risk Assess</vt:lpstr>
      <vt:lpstr>Security Risk Control Measures</vt:lpstr>
      <vt:lpstr>Summary</vt:lpstr>
      <vt:lpstr>Reference - CVSSv3.0</vt:lpstr>
      <vt:lpstr>Reference - Threat Source</vt:lpstr>
      <vt:lpstr>OLD - Threat Assessment</vt:lpstr>
      <vt:lpstr>OLD - Risk Controls</vt:lpstr>
      <vt:lpstr>_OT_Project</vt:lpstr>
      <vt:lpstr>'Reference - CVSSv3.0'!Attack</vt:lpstr>
      <vt:lpstr>Author</vt:lpstr>
      <vt:lpstr>'Reference - CVSSv3.0'!CIA</vt:lpstr>
      <vt:lpstr>'Reference - CVSSv3.0'!Comp</vt:lpstr>
      <vt:lpstr>Form_Name</vt:lpstr>
      <vt:lpstr>NamedRange_1_Author</vt:lpstr>
      <vt:lpstr>NamedRange_1_OT_DocumentNumber</vt:lpstr>
      <vt:lpstr>NamedRange_1_OT_Project</vt:lpstr>
      <vt:lpstr>NamedRange_1_OT_ProjectLead</vt:lpstr>
      <vt:lpstr>NamedRange_1_OT_ProjectNumber</vt:lpstr>
      <vt:lpstr>NamedRange_1_OT_RevisionNumber</vt:lpstr>
      <vt:lpstr>NamedRange_1_OT_SubSystemName</vt:lpstr>
      <vt:lpstr>NamedRange_1_OT_SystemName</vt:lpstr>
      <vt:lpstr>OT_1</vt:lpstr>
      <vt:lpstr>OT_2</vt:lpstr>
      <vt:lpstr>OT_3</vt:lpstr>
      <vt:lpstr>OT_DocumentNumber</vt:lpstr>
      <vt:lpstr>OT_documentReferences_1§0?OT_documentNumber</vt:lpstr>
      <vt:lpstr>OT_documentReferences_1§0?OT_documentRevision</vt:lpstr>
      <vt:lpstr>OT_documentReferences_1§0?OT_documentTitle</vt:lpstr>
      <vt:lpstr>OT_documentReferences_1§0?OT_id</vt:lpstr>
      <vt:lpstr>OT_Project</vt:lpstr>
      <vt:lpstr>OT_ProjectLead</vt:lpstr>
      <vt:lpstr>OT_ProjectNumber</vt:lpstr>
      <vt:lpstr>OT_RevisionNumber</vt:lpstr>
      <vt:lpstr>OT_securityRiskControls_1§0?OT_description</vt:lpstr>
      <vt:lpstr>OT_securityRiskControls_1§0?OT_id</vt:lpstr>
      <vt:lpstr>OT_SubSystemName</vt:lpstr>
      <vt:lpstr>OT_SystemName</vt:lpstr>
      <vt:lpstr>'Header (Optional)'!Print_Area</vt:lpstr>
      <vt:lpstr>'Security Risk Assess'!Print_Area</vt:lpstr>
      <vt:lpstr>'System &amp; Asset Identification'!Print_Area</vt:lpstr>
      <vt:lpstr>'Threat Assessment'!Print_Area</vt:lpstr>
      <vt:lpstr>'Vulnerability Identification'!Print_Area</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SRT - Ortho Guidance Precision Knee 6.0 Software -  </dc:title>
  <dc:creator>Nitin Sharma</dc:creator>
  <cp:lastModifiedBy>Sai Praneetha Bhaskaruni</cp:lastModifiedBy>
  <cp:lastPrinted>2019-04-02T20:36:46Z</cp:lastPrinted>
  <dcterms:created xsi:type="dcterms:W3CDTF">2017-03-06T20:58:36Z</dcterms:created>
  <dcterms:modified xsi:type="dcterms:W3CDTF">2022-02-28T05:02:13Z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0x0101008964877A3D81AB469AACA2EE19610E87</vt:lpwstr>
  </property>
  <property fmtid="{D5CDD505-2E9C-101B-9397-08002B2CF9AE}" pid="3" name="OT_DocumentTypeID">
    <vt:lpwstr>D0000000xxx_ProductSecurityRiskTable_V1</vt:lpwstr>
  </property>
  <property fmtid="{D5CDD505-2E9C-101B-9397-08002B2CF9AE}" pid="4" name="OT_DocumentType">
    <vt:lpwstr>Security Risk Table</vt:lpwstr>
  </property>
  <property fmtid="{D5CDD505-2E9C-101B-9397-08002B2CF9AE}" pid="5" name="OT_DocumentTypeAbbr">
    <vt:lpwstr>SRT</vt:lpwstr>
  </property>
  <property fmtid="{D5CDD505-2E9C-101B-9397-08002B2CF9AE}" pid="6" name="OT_RevisionNumber">
    <vt:lpwstr>AB.5</vt:lpwstr>
  </property>
  <property fmtid="{D5CDD505-2E9C-101B-9397-08002B2CF9AE}" pid="7" name="OT_MajorRevisionNumber">
    <vt:lpwstr>AB</vt:lpwstr>
  </property>
  <property fmtid="{D5CDD505-2E9C-101B-9397-08002B2CF9AE}" pid="8" name="OT_SystemName">
    <vt:lpwstr>Ortho Guidance Precision Knee 6.0 Software</vt:lpwstr>
  </property>
  <property fmtid="{D5CDD505-2E9C-101B-9397-08002B2CF9AE}" pid="9" name="OT_Title">
    <vt:lpwstr>SRT - Ortho Guidance Precision Knee 6.0 Software -  </vt:lpwstr>
  </property>
  <property fmtid="{D5CDD505-2E9C-101B-9397-08002B2CF9AE}" pid="10" name="OT_DocumentNumber">
    <vt:lpwstr>D0000055902</vt:lpwstr>
  </property>
  <property fmtid="{D5CDD505-2E9C-101B-9397-08002B2CF9AE}" pid="11" name="OT_SubSystemName">
    <vt:lpwstr> </vt:lpwstr>
  </property>
  <property fmtid="{D5CDD505-2E9C-101B-9397-08002B2CF9AE}" pid="12" name="OT_Project">
    <vt:lpwstr>Precision Knee 6.0</vt:lpwstr>
  </property>
  <property fmtid="{D5CDD505-2E9C-101B-9397-08002B2CF9AE}" pid="13" name="OT_ProjectNumber">
    <vt:lpwstr>DC-0000002518</vt:lpwstr>
  </property>
  <property fmtid="{D5CDD505-2E9C-101B-9397-08002B2CF9AE}" pid="14" name="OT_ProjectLead">
    <vt:lpwstr>Raman Bhardwaj</vt:lpwstr>
  </property>
  <property fmtid="{D5CDD505-2E9C-101B-9397-08002B2CF9AE}" pid="15" name="OT_DocumentLocation">
    <vt:lpwstr>DC-0000002518 Precision Knee 6.0/03 - Documents</vt:lpwstr>
  </property>
  <property fmtid="{D5CDD505-2E9C-101B-9397-08002B2CF9AE}" pid="16" name="OT_LastUpdated">
    <vt:lpwstr>2020-07-30 10:15:25.0</vt:lpwstr>
  </property>
  <property fmtid="{D5CDD505-2E9C-101B-9397-08002B2CF9AE}" pid="17" name="OT_LastUpdatedBy">
    <vt:lpwstr>ashukla5</vt:lpwstr>
  </property>
  <property fmtid="{D5CDD505-2E9C-101B-9397-08002B2CF9AE}" pid="18" name="OT_SignatureDatePlaceholder">
    <vt:lpwstr>N/A</vt:lpwstr>
  </property>
  <property fmtid="{D5CDD505-2E9C-101B-9397-08002B2CF9AE}" pid="19" name="MSIP_Label_40993bd6-1ede-4830-9dba-3224251d6855_Enabled">
    <vt:lpwstr>true</vt:lpwstr>
  </property>
  <property fmtid="{D5CDD505-2E9C-101B-9397-08002B2CF9AE}" pid="20" name="MSIP_Label_40993bd6-1ede-4830-9dba-3224251d6855_SetDate">
    <vt:lpwstr>2022-02-23T04:52:21Z</vt:lpwstr>
  </property>
  <property fmtid="{D5CDD505-2E9C-101B-9397-08002B2CF9AE}" pid="21" name="MSIP_Label_40993bd6-1ede-4830-9dba-3224251d6855_Method">
    <vt:lpwstr>Privileged</vt:lpwstr>
  </property>
  <property fmtid="{D5CDD505-2E9C-101B-9397-08002B2CF9AE}" pid="22" name="MSIP_Label_40993bd6-1ede-4830-9dba-3224251d6855_Name">
    <vt:lpwstr>Business</vt:lpwstr>
  </property>
  <property fmtid="{D5CDD505-2E9C-101B-9397-08002B2CF9AE}" pid="23" name="MSIP_Label_40993bd6-1ede-4830-9dba-3224251d6855_SiteId">
    <vt:lpwstr>311b3378-8e8a-4b5e-a33f-e80a3d8ba60a</vt:lpwstr>
  </property>
  <property fmtid="{D5CDD505-2E9C-101B-9397-08002B2CF9AE}" pid="24" name="MSIP_Label_40993bd6-1ede-4830-9dba-3224251d6855_ActionId">
    <vt:lpwstr>81d364d3-1a50-47aa-b8f7-579b89cb43a0</vt:lpwstr>
  </property>
  <property fmtid="{D5CDD505-2E9C-101B-9397-08002B2CF9AE}" pid="25" name="MSIP_Label_40993bd6-1ede-4830-9dba-3224251d6855_ContentBits">
    <vt:lpwstr>0</vt:lpwstr>
  </property>
</Properties>
</file>