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showInkAnnotation="0"/>
  <mc:AlternateContent xmlns:mc="http://schemas.openxmlformats.org/markup-compatibility/2006">
    <mc:Choice Requires="x15">
      <x15ac:absPath xmlns:x15ac="http://schemas.microsoft.com/office/spreadsheetml/2010/11/ac" url="D:\Stryker\Knee intra-op\"/>
    </mc:Choice>
  </mc:AlternateContent>
  <xr:revisionPtr revIDLastSave="0" documentId="13_ncr:1_{F0C530E7-214C-4BFC-AA40-6928FDEE9E63}" xr6:coauthVersionLast="47" xr6:coauthVersionMax="47" xr10:uidLastSave="{00000000-0000-0000-0000-000000000000}"/>
  <bookViews>
    <workbookView xWindow="-110" yWindow="-110" windowWidth="19420" windowHeight="10420" tabRatio="891" firstSheet="1" activeTab="2"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4">'Security Risk Assess'!$A$1:$AQ$87</definedName>
    <definedName name="_xlnm.Print_Area" localSheetId="1">'System &amp; Asset Identification'!$A$1:$I$41</definedName>
    <definedName name="_xlnm.Print_Area" localSheetId="3">'Threat Assessment'!$A$1:$O$66</definedName>
    <definedName name="_xlnm.Print_Area" localSheetId="2">'Vulnerability Identification'!$A$1:$I$78</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2" i="12" l="1"/>
  <c r="E72" i="12"/>
  <c r="G72" i="12"/>
  <c r="R72" i="12"/>
  <c r="S72" i="12"/>
  <c r="T72" i="12" s="1"/>
  <c r="W72" i="12"/>
  <c r="AK72" i="12"/>
  <c r="AL72" i="12"/>
  <c r="AM72" i="12"/>
  <c r="AN72" i="12" s="1"/>
  <c r="C71" i="12"/>
  <c r="E71" i="12"/>
  <c r="G71" i="12"/>
  <c r="R71" i="12"/>
  <c r="S71" i="12"/>
  <c r="T71" i="12" s="1"/>
  <c r="W71" i="12"/>
  <c r="AK71" i="12"/>
  <c r="AL71" i="12"/>
  <c r="AM71" i="12"/>
  <c r="AN71" i="12" s="1"/>
  <c r="C66" i="12"/>
  <c r="C67" i="12"/>
  <c r="C68" i="12"/>
  <c r="C69" i="12"/>
  <c r="C70" i="12"/>
  <c r="E66" i="12"/>
  <c r="E67" i="12"/>
  <c r="E68" i="12"/>
  <c r="E69" i="12"/>
  <c r="E70" i="12"/>
  <c r="G66" i="12"/>
  <c r="G67" i="12"/>
  <c r="G68" i="12"/>
  <c r="G69" i="12"/>
  <c r="G70" i="12"/>
  <c r="R66" i="12"/>
  <c r="R67" i="12"/>
  <c r="R68" i="12"/>
  <c r="R69" i="12"/>
  <c r="R70" i="12"/>
  <c r="S66" i="12"/>
  <c r="T66" i="12" s="1"/>
  <c r="S67" i="12"/>
  <c r="T67" i="12" s="1"/>
  <c r="S68" i="12"/>
  <c r="T68" i="12" s="1"/>
  <c r="S69" i="12"/>
  <c r="T69" i="12" s="1"/>
  <c r="S70" i="12"/>
  <c r="T70" i="12" s="1"/>
  <c r="W66" i="12"/>
  <c r="W67" i="12"/>
  <c r="W68" i="12"/>
  <c r="W69" i="12"/>
  <c r="W70" i="12"/>
  <c r="AK66" i="12"/>
  <c r="AK67" i="12"/>
  <c r="AK68" i="12"/>
  <c r="AK69" i="12"/>
  <c r="AK70" i="12"/>
  <c r="AL66" i="12"/>
  <c r="AL67" i="12"/>
  <c r="AL68" i="12"/>
  <c r="AL69" i="12"/>
  <c r="AL70" i="12"/>
  <c r="AM66" i="12"/>
  <c r="AN66" i="12" s="1"/>
  <c r="AM67" i="12"/>
  <c r="AN67" i="12" s="1"/>
  <c r="AM68" i="12"/>
  <c r="AO68" i="12" s="1"/>
  <c r="AP68" i="12" s="1"/>
  <c r="AM69" i="12"/>
  <c r="AO69" i="12" s="1"/>
  <c r="AP69" i="12" s="1"/>
  <c r="AM70" i="12"/>
  <c r="AN70" i="12" s="1"/>
  <c r="C65" i="12"/>
  <c r="E65" i="12"/>
  <c r="G65" i="12"/>
  <c r="R65" i="12"/>
  <c r="S65" i="12"/>
  <c r="T65" i="12" s="1"/>
  <c r="W65" i="12"/>
  <c r="AK65" i="12"/>
  <c r="AL65" i="12"/>
  <c r="AM65" i="12"/>
  <c r="AN65" i="12" s="1"/>
  <c r="C64" i="12"/>
  <c r="E64" i="12"/>
  <c r="G64" i="12"/>
  <c r="R64" i="12"/>
  <c r="S64" i="12"/>
  <c r="T64" i="12" s="1"/>
  <c r="W64" i="12"/>
  <c r="AK64" i="12"/>
  <c r="AL64" i="12"/>
  <c r="AM64" i="12"/>
  <c r="AN64" i="12" s="1"/>
  <c r="C63" i="12"/>
  <c r="E63" i="12"/>
  <c r="G63" i="12"/>
  <c r="R63" i="12"/>
  <c r="S63" i="12"/>
  <c r="T63" i="12" s="1"/>
  <c r="W63" i="12"/>
  <c r="AK63" i="12"/>
  <c r="AL63" i="12"/>
  <c r="AM63" i="12"/>
  <c r="AN63" i="12" s="1"/>
  <c r="C58" i="12"/>
  <c r="C59" i="12"/>
  <c r="C60" i="12"/>
  <c r="C61" i="12"/>
  <c r="C62" i="12"/>
  <c r="E58" i="12"/>
  <c r="E59" i="12"/>
  <c r="E60" i="12"/>
  <c r="E61" i="12"/>
  <c r="E62" i="12"/>
  <c r="G58" i="12"/>
  <c r="G59" i="12"/>
  <c r="G60" i="12"/>
  <c r="G61" i="12"/>
  <c r="G62" i="12"/>
  <c r="R58" i="12"/>
  <c r="R59" i="12"/>
  <c r="R60" i="12"/>
  <c r="R61" i="12"/>
  <c r="R62" i="12"/>
  <c r="S58" i="12"/>
  <c r="T58" i="12" s="1"/>
  <c r="S59" i="12"/>
  <c r="T59" i="12" s="1"/>
  <c r="S60" i="12"/>
  <c r="T60" i="12" s="1"/>
  <c r="S61" i="12"/>
  <c r="T61" i="12" s="1"/>
  <c r="S62" i="12"/>
  <c r="T62" i="12" s="1"/>
  <c r="W58" i="12"/>
  <c r="W59" i="12"/>
  <c r="W60" i="12"/>
  <c r="W61" i="12"/>
  <c r="W62" i="12"/>
  <c r="AK58" i="12"/>
  <c r="AK59" i="12"/>
  <c r="AK60" i="12"/>
  <c r="AK61" i="12"/>
  <c r="AK62" i="12"/>
  <c r="AL58" i="12"/>
  <c r="AL59" i="12"/>
  <c r="AL60" i="12"/>
  <c r="AL61" i="12"/>
  <c r="AL62" i="12"/>
  <c r="AM58" i="12"/>
  <c r="AN58" i="12" s="1"/>
  <c r="AM59" i="12"/>
  <c r="AO59" i="12" s="1"/>
  <c r="AP59" i="12" s="1"/>
  <c r="AM60" i="12"/>
  <c r="AO60" i="12" s="1"/>
  <c r="AP60" i="12" s="1"/>
  <c r="AM61" i="12"/>
  <c r="AO61" i="12" s="1"/>
  <c r="AP61" i="12" s="1"/>
  <c r="AM62" i="12"/>
  <c r="AN62"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N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O47" i="12" s="1"/>
  <c r="AP47" i="12" s="1"/>
  <c r="C46" i="12"/>
  <c r="E46" i="12"/>
  <c r="G46" i="12"/>
  <c r="R46" i="12"/>
  <c r="S46" i="12"/>
  <c r="T46" i="12" s="1"/>
  <c r="W46" i="12"/>
  <c r="AK46" i="12"/>
  <c r="AL46" i="12"/>
  <c r="AM46" i="12"/>
  <c r="AN46" i="12" s="1"/>
  <c r="C45" i="12"/>
  <c r="E45" i="12"/>
  <c r="G45" i="12"/>
  <c r="R45" i="12"/>
  <c r="S45" i="12"/>
  <c r="T45" i="12" s="1"/>
  <c r="W45" i="12"/>
  <c r="AK45" i="12"/>
  <c r="AL45" i="12"/>
  <c r="AM45" i="12"/>
  <c r="AN45" i="12" s="1"/>
  <c r="C44" i="12"/>
  <c r="E44" i="12"/>
  <c r="G44" i="12"/>
  <c r="R44" i="12"/>
  <c r="S44" i="12"/>
  <c r="T44" i="12" s="1"/>
  <c r="W44" i="12"/>
  <c r="AK44" i="12"/>
  <c r="AL44" i="12"/>
  <c r="AM44" i="12"/>
  <c r="AO44" i="12" s="1"/>
  <c r="AP44" i="12" s="1"/>
  <c r="C43" i="12"/>
  <c r="E43" i="12"/>
  <c r="G43" i="12"/>
  <c r="R43" i="12"/>
  <c r="S43" i="12"/>
  <c r="T43" i="12" s="1"/>
  <c r="W43" i="12"/>
  <c r="AK43" i="12"/>
  <c r="AL43" i="12"/>
  <c r="AM43" i="12"/>
  <c r="AN43" i="12" s="1"/>
  <c r="C42" i="12"/>
  <c r="E42" i="12"/>
  <c r="G42" i="12"/>
  <c r="R42" i="12"/>
  <c r="S42" i="12"/>
  <c r="T42" i="12" s="1"/>
  <c r="W42" i="12"/>
  <c r="AK42" i="12"/>
  <c r="AL42" i="12"/>
  <c r="AM42" i="12"/>
  <c r="AN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O39" i="12" s="1"/>
  <c r="AP39" i="12" s="1"/>
  <c r="C38" i="12"/>
  <c r="E38" i="12"/>
  <c r="G38" i="12"/>
  <c r="R38" i="12"/>
  <c r="S38" i="12"/>
  <c r="T38" i="12" s="1"/>
  <c r="W38" i="12"/>
  <c r="AK38" i="12"/>
  <c r="AL38" i="12"/>
  <c r="AM38" i="12"/>
  <c r="AN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O33" i="12" s="1"/>
  <c r="AP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U29" i="12" s="1"/>
  <c r="W29" i="12"/>
  <c r="AK29" i="12"/>
  <c r="AL29" i="12"/>
  <c r="AM29" i="12"/>
  <c r="AN29" i="12" s="1"/>
  <c r="C28" i="12"/>
  <c r="E28" i="12"/>
  <c r="G28" i="12"/>
  <c r="R28" i="12"/>
  <c r="S28" i="12"/>
  <c r="T28" i="12" s="1"/>
  <c r="W28" i="12"/>
  <c r="AK28" i="12"/>
  <c r="AL28" i="12"/>
  <c r="AM28" i="12"/>
  <c r="AN28" i="12" s="1"/>
  <c r="C27" i="12"/>
  <c r="E27" i="12"/>
  <c r="G27" i="12"/>
  <c r="R27" i="12"/>
  <c r="S27" i="12"/>
  <c r="T27" i="12" s="1"/>
  <c r="W27" i="12"/>
  <c r="AK27" i="12"/>
  <c r="AL27" i="12"/>
  <c r="AM27" i="12"/>
  <c r="AO27" i="12" s="1"/>
  <c r="AP27" i="12" s="1"/>
  <c r="C26" i="12"/>
  <c r="E26" i="12"/>
  <c r="G26" i="12"/>
  <c r="R26" i="12"/>
  <c r="S26" i="12"/>
  <c r="T26" i="12" s="1"/>
  <c r="W26" i="12"/>
  <c r="AK26" i="12"/>
  <c r="AL26" i="12"/>
  <c r="AM26" i="12"/>
  <c r="AN26" i="12" s="1"/>
  <c r="AN68" i="12" l="1"/>
  <c r="AO70" i="12"/>
  <c r="AP70" i="12" s="1"/>
  <c r="U69" i="12"/>
  <c r="AO66" i="12"/>
  <c r="AP66" i="12" s="1"/>
  <c r="AO72" i="12"/>
  <c r="AP72" i="12" s="1"/>
  <c r="AO67" i="12"/>
  <c r="AP67" i="12" s="1"/>
  <c r="U68" i="12"/>
  <c r="X72" i="12"/>
  <c r="Y72" i="12" s="1"/>
  <c r="U72" i="12"/>
  <c r="U60" i="12"/>
  <c r="U67" i="12"/>
  <c r="X66" i="12"/>
  <c r="Y66" i="12" s="1"/>
  <c r="U65" i="12"/>
  <c r="X71" i="12"/>
  <c r="Y71" i="12" s="1"/>
  <c r="AO71" i="12"/>
  <c r="AP71" i="12" s="1"/>
  <c r="U71" i="12"/>
  <c r="X67" i="12"/>
  <c r="Y67" i="12" s="1"/>
  <c r="X64" i="12"/>
  <c r="Y64" i="12" s="1"/>
  <c r="X63" i="12"/>
  <c r="Y63" i="12" s="1"/>
  <c r="X59" i="12"/>
  <c r="Y59" i="12" s="1"/>
  <c r="U66" i="12"/>
  <c r="X58" i="12"/>
  <c r="Y58" i="12" s="1"/>
  <c r="U64" i="12"/>
  <c r="X70" i="12"/>
  <c r="Y70" i="12" s="1"/>
  <c r="U62" i="12"/>
  <c r="X65" i="12"/>
  <c r="Y65" i="12" s="1"/>
  <c r="U61" i="12"/>
  <c r="U57" i="12"/>
  <c r="X69" i="12"/>
  <c r="Y69" i="12" s="1"/>
  <c r="U70" i="12"/>
  <c r="X62" i="12"/>
  <c r="Y62" i="12" s="1"/>
  <c r="X68" i="12"/>
  <c r="Y68" i="12" s="1"/>
  <c r="U59" i="12"/>
  <c r="AO63" i="12"/>
  <c r="AP63" i="12" s="1"/>
  <c r="AN59" i="12"/>
  <c r="AN69" i="12"/>
  <c r="AO64" i="12"/>
  <c r="AP64" i="12" s="1"/>
  <c r="AO65" i="12"/>
  <c r="AP65" i="12" s="1"/>
  <c r="U58" i="12"/>
  <c r="U63" i="12"/>
  <c r="X57" i="12"/>
  <c r="Y57" i="12" s="1"/>
  <c r="AN61" i="12"/>
  <c r="U49" i="12"/>
  <c r="U43" i="12"/>
  <c r="AO62" i="12"/>
  <c r="AP62" i="12" s="1"/>
  <c r="U53" i="12"/>
  <c r="U33" i="12"/>
  <c r="U47" i="12"/>
  <c r="AN60" i="12"/>
  <c r="AO58" i="12"/>
  <c r="AP58" i="12" s="1"/>
  <c r="U45" i="12"/>
  <c r="U51" i="12"/>
  <c r="X61" i="12"/>
  <c r="Y61" i="12" s="1"/>
  <c r="X60" i="12"/>
  <c r="Y60" i="12" s="1"/>
  <c r="U55" i="12"/>
  <c r="U37" i="12"/>
  <c r="AO57" i="12"/>
  <c r="AP57" i="12" s="1"/>
  <c r="X32" i="12"/>
  <c r="Y32" i="12" s="1"/>
  <c r="X30" i="12"/>
  <c r="Y30" i="12" s="1"/>
  <c r="X41" i="12"/>
  <c r="Y41" i="12" s="1"/>
  <c r="X39" i="12"/>
  <c r="Y39" i="12" s="1"/>
  <c r="X35" i="12"/>
  <c r="Y35" i="12" s="1"/>
  <c r="X36" i="12"/>
  <c r="Y36" i="12" s="1"/>
  <c r="U40" i="12"/>
  <c r="U44" i="12"/>
  <c r="U48" i="12"/>
  <c r="U52" i="12"/>
  <c r="U56" i="12"/>
  <c r="X34" i="12"/>
  <c r="Y34" i="12" s="1"/>
  <c r="U31" i="12"/>
  <c r="U38" i="12"/>
  <c r="U42" i="12"/>
  <c r="U46" i="12"/>
  <c r="X50" i="12"/>
  <c r="Y50" i="12" s="1"/>
  <c r="U54" i="12"/>
  <c r="X27" i="12"/>
  <c r="Y27" i="12" s="1"/>
  <c r="U26" i="12"/>
  <c r="U28" i="12"/>
  <c r="AN52" i="12"/>
  <c r="X53" i="12"/>
  <c r="Y53" i="12" s="1"/>
  <c r="X56" i="12"/>
  <c r="Y56" i="12" s="1"/>
  <c r="U50" i="12"/>
  <c r="X54" i="12"/>
  <c r="Y54" i="12" s="1"/>
  <c r="AN54" i="12"/>
  <c r="AO56" i="12"/>
  <c r="AP56" i="12" s="1"/>
  <c r="AO55" i="12"/>
  <c r="AP55" i="12" s="1"/>
  <c r="X55" i="12"/>
  <c r="Y55" i="12" s="1"/>
  <c r="AN47" i="12"/>
  <c r="AN50" i="12"/>
  <c r="AN51" i="12"/>
  <c r="AN53" i="12"/>
  <c r="AN48" i="12"/>
  <c r="X52" i="12"/>
  <c r="Y52" i="12" s="1"/>
  <c r="X51" i="12"/>
  <c r="Y51" i="12" s="1"/>
  <c r="X47" i="12"/>
  <c r="Y47" i="12" s="1"/>
  <c r="AN49" i="12"/>
  <c r="U39" i="12"/>
  <c r="X49" i="12"/>
  <c r="Y49" i="12" s="1"/>
  <c r="U41" i="12"/>
  <c r="X44" i="12"/>
  <c r="Y44" i="12" s="1"/>
  <c r="X48" i="12"/>
  <c r="Y48" i="12" s="1"/>
  <c r="AO46" i="12"/>
  <c r="AP46" i="12" s="1"/>
  <c r="X46" i="12"/>
  <c r="Y46" i="12" s="1"/>
  <c r="X42" i="12"/>
  <c r="Y42" i="12" s="1"/>
  <c r="AN39" i="12"/>
  <c r="AO42" i="12"/>
  <c r="AP42" i="12" s="1"/>
  <c r="AN44" i="12"/>
  <c r="AO45" i="12"/>
  <c r="AP45" i="12" s="1"/>
  <c r="X45" i="12"/>
  <c r="Y45" i="12" s="1"/>
  <c r="AN41" i="12"/>
  <c r="AO43" i="12"/>
  <c r="AP43" i="12" s="1"/>
  <c r="X43" i="12"/>
  <c r="Y43" i="12" s="1"/>
  <c r="AN34" i="12"/>
  <c r="AN35" i="12"/>
  <c r="U35" i="12"/>
  <c r="AN40" i="12"/>
  <c r="U32" i="12"/>
  <c r="AN33" i="12"/>
  <c r="X37" i="12"/>
  <c r="Y37" i="12" s="1"/>
  <c r="X40" i="12"/>
  <c r="Y40" i="12" s="1"/>
  <c r="AN37" i="12"/>
  <c r="X33" i="12"/>
  <c r="Y33" i="12" s="1"/>
  <c r="AO38" i="12"/>
  <c r="AP38" i="12" s="1"/>
  <c r="X38" i="12"/>
  <c r="Y38" i="12" s="1"/>
  <c r="U34" i="12"/>
  <c r="U36" i="12"/>
  <c r="AN36" i="12"/>
  <c r="AO32" i="12"/>
  <c r="AP32" i="12" s="1"/>
  <c r="U30" i="12"/>
  <c r="AO31" i="12"/>
  <c r="AP31" i="12" s="1"/>
  <c r="X31" i="12"/>
  <c r="Y31" i="12" s="1"/>
  <c r="AO28" i="12"/>
  <c r="AP28" i="12" s="1"/>
  <c r="X26" i="12"/>
  <c r="Y26" i="12" s="1"/>
  <c r="U27" i="12"/>
  <c r="X28" i="12"/>
  <c r="Y28" i="12" s="1"/>
  <c r="AO30" i="12"/>
  <c r="AP30" i="12" s="1"/>
  <c r="AO29" i="12"/>
  <c r="AP29" i="12" s="1"/>
  <c r="X29" i="12"/>
  <c r="Y29" i="12" s="1"/>
  <c r="AN27" i="12"/>
  <c r="AO26" i="12"/>
  <c r="AP26" i="12" s="1"/>
  <c r="C17" i="12" l="1"/>
  <c r="R5" i="12" l="1"/>
  <c r="S5" i="12"/>
  <c r="T5" i="12" s="1"/>
  <c r="W5" i="12"/>
  <c r="R6" i="12"/>
  <c r="S6" i="12"/>
  <c r="T6" i="12" s="1"/>
  <c r="W6" i="12"/>
  <c r="R7" i="12"/>
  <c r="S7" i="12"/>
  <c r="T7" i="12" s="1"/>
  <c r="W7" i="12"/>
  <c r="R8" i="12"/>
  <c r="S8" i="12"/>
  <c r="T8" i="12" s="1"/>
  <c r="W8" i="12"/>
  <c r="R9" i="12"/>
  <c r="S9" i="12"/>
  <c r="T9" i="12" s="1"/>
  <c r="W9" i="12"/>
  <c r="R10" i="12"/>
  <c r="S10" i="12"/>
  <c r="T10" i="12" s="1"/>
  <c r="W10" i="12"/>
  <c r="R11" i="12"/>
  <c r="S11" i="12"/>
  <c r="T11" i="12" s="1"/>
  <c r="W11" i="12"/>
  <c r="R12" i="12"/>
  <c r="S12" i="12"/>
  <c r="T12" i="12" s="1"/>
  <c r="W12" i="12"/>
  <c r="R13" i="12"/>
  <c r="S13" i="12"/>
  <c r="T13" i="12" s="1"/>
  <c r="W13" i="12"/>
  <c r="R14" i="12"/>
  <c r="S14" i="12"/>
  <c r="T14" i="12" s="1"/>
  <c r="W14" i="12"/>
  <c r="R15" i="12"/>
  <c r="S15" i="12"/>
  <c r="T15" i="12" s="1"/>
  <c r="W15" i="12"/>
  <c r="R16" i="12"/>
  <c r="S16" i="12"/>
  <c r="T16" i="12" s="1"/>
  <c r="W16" i="12"/>
  <c r="R17" i="12"/>
  <c r="S17" i="12"/>
  <c r="T17" i="12" s="1"/>
  <c r="W17" i="12"/>
  <c r="R18" i="12"/>
  <c r="S18" i="12"/>
  <c r="T18" i="12" s="1"/>
  <c r="W18" i="12"/>
  <c r="R19" i="12"/>
  <c r="S19" i="12"/>
  <c r="T19" i="12" s="1"/>
  <c r="W19" i="12"/>
  <c r="R20" i="12"/>
  <c r="S20" i="12"/>
  <c r="T20" i="12" s="1"/>
  <c r="W20" i="12"/>
  <c r="R21" i="12"/>
  <c r="S21" i="12"/>
  <c r="T21" i="12" s="1"/>
  <c r="W21" i="12"/>
  <c r="R22" i="12"/>
  <c r="S22" i="12"/>
  <c r="T22" i="12" s="1"/>
  <c r="W22" i="12"/>
  <c r="R23" i="12"/>
  <c r="S23" i="12"/>
  <c r="T23" i="12" s="1"/>
  <c r="W23" i="12"/>
  <c r="R24" i="12"/>
  <c r="S24" i="12"/>
  <c r="T24" i="12" s="1"/>
  <c r="W24" i="12"/>
  <c r="R25" i="12"/>
  <c r="S25" i="12"/>
  <c r="T25" i="12" s="1"/>
  <c r="W25" i="12"/>
  <c r="C25" i="12"/>
  <c r="E25" i="12"/>
  <c r="G25" i="12"/>
  <c r="AK25" i="12"/>
  <c r="AL25" i="12"/>
  <c r="AM25" i="12"/>
  <c r="AN25" i="12" s="1"/>
  <c r="C24" i="12"/>
  <c r="E24" i="12"/>
  <c r="G24" i="12"/>
  <c r="AK24" i="12"/>
  <c r="AL24" i="12"/>
  <c r="AM24" i="12"/>
  <c r="AN24" i="12" s="1"/>
  <c r="C11" i="12"/>
  <c r="E11" i="12"/>
  <c r="G11" i="12"/>
  <c r="AK11" i="12"/>
  <c r="AL11" i="12"/>
  <c r="AM11" i="12"/>
  <c r="AO11" i="12" s="1"/>
  <c r="AP11" i="12" s="1"/>
  <c r="C8" i="12"/>
  <c r="E8" i="12"/>
  <c r="G8" i="12"/>
  <c r="AK8" i="12"/>
  <c r="AL8" i="12"/>
  <c r="AM8" i="12"/>
  <c r="AN8" i="12" s="1"/>
  <c r="C6" i="12"/>
  <c r="E6" i="12"/>
  <c r="G6" i="12"/>
  <c r="AK6" i="12"/>
  <c r="AL6" i="12"/>
  <c r="AM6" i="12"/>
  <c r="AO6" i="12" s="1"/>
  <c r="AP6" i="12" s="1"/>
  <c r="C18" i="12"/>
  <c r="E18" i="12"/>
  <c r="G18" i="12"/>
  <c r="AK18" i="12"/>
  <c r="AL18" i="12"/>
  <c r="AM18" i="12"/>
  <c r="AN18" i="12" s="1"/>
  <c r="C19" i="12"/>
  <c r="E19" i="12"/>
  <c r="G19" i="12"/>
  <c r="AK19" i="12"/>
  <c r="AL19" i="12"/>
  <c r="AM19" i="12"/>
  <c r="AN19" i="12" s="1"/>
  <c r="C20" i="12"/>
  <c r="E20" i="12"/>
  <c r="G20" i="12"/>
  <c r="AK20" i="12"/>
  <c r="AL20" i="12"/>
  <c r="AM20" i="12"/>
  <c r="AN20" i="12" s="1"/>
  <c r="C21" i="12"/>
  <c r="E21" i="12"/>
  <c r="G21" i="12"/>
  <c r="AK21" i="12"/>
  <c r="AL21" i="12"/>
  <c r="AM21" i="12"/>
  <c r="AN21" i="12" s="1"/>
  <c r="C22" i="12"/>
  <c r="E22" i="12"/>
  <c r="G22" i="12"/>
  <c r="AK22" i="12"/>
  <c r="AL22" i="12"/>
  <c r="AM22" i="12"/>
  <c r="AN22" i="12" s="1"/>
  <c r="C23" i="12"/>
  <c r="E23" i="12"/>
  <c r="G23" i="12"/>
  <c r="AK23" i="12"/>
  <c r="AL23" i="12"/>
  <c r="AM23" i="12"/>
  <c r="AN23" i="12" s="1"/>
  <c r="C10" i="12"/>
  <c r="E10" i="12"/>
  <c r="G10" i="12"/>
  <c r="AK10" i="12"/>
  <c r="AL10" i="12"/>
  <c r="AM10" i="12"/>
  <c r="AO10" i="12" s="1"/>
  <c r="AP10" i="12" s="1"/>
  <c r="C12" i="12"/>
  <c r="E12" i="12"/>
  <c r="G12" i="12"/>
  <c r="AK12" i="12"/>
  <c r="AL12" i="12"/>
  <c r="AM12" i="12"/>
  <c r="AN12" i="12" s="1"/>
  <c r="C13" i="12"/>
  <c r="E13" i="12"/>
  <c r="G13" i="12"/>
  <c r="AK13" i="12"/>
  <c r="AL13" i="12"/>
  <c r="AM13" i="12"/>
  <c r="AN13" i="12" s="1"/>
  <c r="C14" i="12"/>
  <c r="E14" i="12"/>
  <c r="G14" i="12"/>
  <c r="AK14" i="12"/>
  <c r="AL14" i="12"/>
  <c r="AM14" i="12"/>
  <c r="AN14" i="12" s="1"/>
  <c r="C15" i="12"/>
  <c r="E15" i="12"/>
  <c r="G15" i="12"/>
  <c r="AK15" i="12"/>
  <c r="AL15" i="12"/>
  <c r="AM15" i="12"/>
  <c r="AO15" i="12" s="1"/>
  <c r="AP15" i="12" s="1"/>
  <c r="C16" i="12"/>
  <c r="E16" i="12"/>
  <c r="G16" i="12"/>
  <c r="AK16" i="12"/>
  <c r="AL16" i="12"/>
  <c r="AM16" i="12"/>
  <c r="AN16" i="12" s="1"/>
  <c r="C9" i="12"/>
  <c r="E9" i="12"/>
  <c r="G9" i="12"/>
  <c r="AK9" i="12"/>
  <c r="AL9" i="12"/>
  <c r="AM9" i="12"/>
  <c r="AN9" i="12" s="1"/>
  <c r="U8" i="12" l="1"/>
  <c r="U18" i="12"/>
  <c r="U14" i="12"/>
  <c r="U19" i="12"/>
  <c r="U15" i="12"/>
  <c r="U25" i="12"/>
  <c r="U22" i="12"/>
  <c r="X13" i="12"/>
  <c r="Y13" i="12" s="1"/>
  <c r="X11" i="12"/>
  <c r="Y11" i="12" s="1"/>
  <c r="U20" i="12"/>
  <c r="U16" i="12"/>
  <c r="U10" i="12"/>
  <c r="X23" i="12"/>
  <c r="Y23" i="12" s="1"/>
  <c r="U12" i="12"/>
  <c r="U9" i="12"/>
  <c r="U11" i="12"/>
  <c r="U13" i="12"/>
  <c r="U24" i="12"/>
  <c r="X24" i="12"/>
  <c r="Y24" i="12" s="1"/>
  <c r="U21" i="12"/>
  <c r="X21" i="12"/>
  <c r="Y21" i="12" s="1"/>
  <c r="U23" i="12"/>
  <c r="X20" i="12"/>
  <c r="Y20" i="12" s="1"/>
  <c r="X17" i="12"/>
  <c r="Y17" i="12" s="1"/>
  <c r="U6" i="12"/>
  <c r="X6" i="12"/>
  <c r="Y6" i="12" s="1"/>
  <c r="X9" i="12"/>
  <c r="Y9" i="12" s="1"/>
  <c r="X15" i="12"/>
  <c r="Y15" i="12" s="1"/>
  <c r="X22" i="12"/>
  <c r="Y22" i="12" s="1"/>
  <c r="X12" i="12"/>
  <c r="Y12" i="12" s="1"/>
  <c r="X10" i="12"/>
  <c r="Y10" i="12" s="1"/>
  <c r="U7" i="12"/>
  <c r="X7" i="12"/>
  <c r="Y7" i="12" s="1"/>
  <c r="U5" i="12"/>
  <c r="X5" i="12"/>
  <c r="Y5" i="12" s="1"/>
  <c r="U17" i="12"/>
  <c r="X18" i="12"/>
  <c r="Y18" i="12" s="1"/>
  <c r="X16" i="12"/>
  <c r="Y16" i="12" s="1"/>
  <c r="X25" i="12"/>
  <c r="Y25" i="12" s="1"/>
  <c r="X14" i="12"/>
  <c r="Y14" i="12" s="1"/>
  <c r="X19" i="12"/>
  <c r="Y19" i="12" s="1"/>
  <c r="X8" i="12"/>
  <c r="Y8" i="12" s="1"/>
  <c r="AO25" i="12"/>
  <c r="AP25" i="12" s="1"/>
  <c r="AO24" i="12"/>
  <c r="AP24" i="12" s="1"/>
  <c r="AN11" i="12"/>
  <c r="AN6" i="12"/>
  <c r="AO8" i="12"/>
  <c r="AP8" i="12" s="1"/>
  <c r="AN10" i="12"/>
  <c r="AO23" i="12"/>
  <c r="AP23" i="12" s="1"/>
  <c r="AO21" i="12"/>
  <c r="AP21" i="12" s="1"/>
  <c r="AO12" i="12"/>
  <c r="AP12" i="12" s="1"/>
  <c r="AN15" i="12"/>
  <c r="AO14" i="12"/>
  <c r="AP14" i="12" s="1"/>
  <c r="AO22" i="12"/>
  <c r="AP22" i="12" s="1"/>
  <c r="AO20" i="12"/>
  <c r="AP20" i="12" s="1"/>
  <c r="AO19" i="12"/>
  <c r="AP19" i="12" s="1"/>
  <c r="AO18" i="12"/>
  <c r="AP18" i="12" s="1"/>
  <c r="AO13" i="12"/>
  <c r="AP13" i="12" s="1"/>
  <c r="AO16" i="12"/>
  <c r="AP16" i="12" s="1"/>
  <c r="AO9" i="12"/>
  <c r="AP9"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7" i="12"/>
  <c r="E17" i="12"/>
  <c r="E8" i="21" s="1"/>
  <c r="C5" i="12"/>
  <c r="C5" i="21" s="1"/>
  <c r="C7" i="12"/>
  <c r="C8" i="21"/>
  <c r="C7" i="21" l="1"/>
  <c r="C9" i="21"/>
  <c r="E9" i="21"/>
  <c r="E7" i="21"/>
  <c r="C6" i="21"/>
  <c r="E6" i="21"/>
  <c r="AL17" i="12" l="1"/>
  <c r="AL7" i="12"/>
  <c r="AK17" i="12"/>
  <c r="AK7" i="12"/>
  <c r="AK5" i="12" l="1"/>
  <c r="AM17" i="12" l="1"/>
  <c r="AM7" i="12"/>
  <c r="AL5" i="12"/>
  <c r="AM5" i="12" s="1"/>
  <c r="AN5" i="12" s="1"/>
  <c r="AN7" i="12" l="1"/>
  <c r="AN17" i="12"/>
  <c r="G17" i="12"/>
  <c r="G7" i="12"/>
  <c r="G7" i="21" l="1"/>
  <c r="G8" i="21"/>
  <c r="G9" i="21"/>
  <c r="AO17" i="12"/>
  <c r="AP17" i="12" s="1"/>
  <c r="AO7" i="12"/>
  <c r="AP7"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[Threaded comment]
Your version of Excel allows you to read this threaded comment; however, any edits to it will get removed if the file is opened in a newer version of Excel. Learn more: https://go.microsoft.com/fwlink/?linkid=870924
Comment:
    cross check if this is correct doc ids</t>
      </text>
    </comment>
  </commentList>
</comments>
</file>

<file path=xl/sharedStrings.xml><?xml version="1.0" encoding="utf-8"?>
<sst xmlns="http://schemas.openxmlformats.org/spreadsheetml/2006/main" count="1758" uniqueCount="555">
  <si>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</si>
  <si>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</si>
  <si>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</si>
  <si>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</si>
  <si>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</si>
  <si>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</si>
  <si>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</si>
  <si>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</si>
  <si>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</si>
  <si>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</si>
  <si>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</si>
  <si>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</si>
  <si>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</si>
  <si>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</si>
  <si>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</si>
  <si>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</si>
  <si>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</si>
  <si>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</si>
  <si>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</si>
  <si>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</si>
  <si>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</si>
  <si>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</si>
  <si>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</si>
  <si>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</si>
  <si>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</si>
  <si>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</si>
  <si>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</si>
  <si>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</si>
  <si>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</si>
  <si>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</si>
  <si>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</si>
  <si>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</si>
  <si>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</si>
  <si>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</si>
  <si>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</si>
  <si>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</si>
  <si>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</si>
  <si>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</si>
  <si>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</si>
  <si>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</si>
  <si>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</si>
  <si>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</si>
  <si>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</si>
  <si>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</si>
  <si>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</si>
  <si>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</si>
  <si>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</si>
  <si>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</si>
  <si>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</si>
  <si>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</si>
  <si>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</si>
  <si>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</si>
  <si>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</si>
  <si>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</si>
  <si>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</si>
  <si>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</si>
  <si>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</si>
  <si>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</si>
  <si>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</si>
  <si>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</si>
  <si>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</si>
  <si>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</si>
  <si>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</si>
  <si>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</si>
  <si>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</si>
  <si>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</si>
  <si>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</si>
  <si>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</si>
  <si>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</si>
  <si>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</si>
  <si>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</si>
  <si>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</si>
  <si>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</si>
  <si>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</si>
  <si>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</si>
  <si>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</si>
  <si>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</si>
  <si>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</si>
  <si>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</si>
  <si>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</si>
  <si>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</si>
  <si>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</si>
  <si>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</si>
  <si>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</si>
  <si>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</si>
  <si>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</si>
  <si>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</si>
  <si>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</si>
  <si>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</si>
  <si>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</si>
  <si>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</si>
  <si>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</si>
  <si>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</si>
  <si>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</si>
  <si>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</si>
  <si>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</si>
  <si>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</si>
  <si>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</si>
  <si>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</si>
  <si>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</si>
  <si>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</si>
  <si>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</si>
  <si>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</si>
  <si>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</si>
  <si>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</si>
  <si>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</si>
  <si>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</si>
  <si>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</si>
  <si>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</si>
  <si>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</si>
  <si>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</si>
  <si>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</si>
  <si>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</si>
  <si>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</si>
  <si>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</si>
  <si>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</si>
  <si>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</si>
  <si>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</si>
  <si>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</si>
  <si>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</si>
  <si>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</si>
  <si>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</si>
  <si>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</si>
  <si>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</si>
  <si>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</si>
  <si>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</si>
  <si>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</si>
  <si>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</si>
  <si>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</si>
  <si>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</si>
  <si>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</si>
  <si>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</si>
  <si>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</si>
  <si>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Patient health information at rest</t>
  </si>
  <si>
    <t>Information Asset</t>
  </si>
  <si>
    <t xml:space="preserve">User Passwords/Credentials provide access to ePHI, Software Binaries, read access to config files. </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</si>
  <si>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</si>
  <si>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</si>
  <si>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</si>
  <si>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</si>
  <si>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</si>
  <si>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</si>
  <si>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</si>
  <si>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</si>
  <si>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</si>
  <si>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</si>
  <si>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</si>
  <si>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</si>
  <si>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</si>
  <si>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</si>
  <si>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Application Whitelisting
Firewall
Virus Scan
User authentication</t>
  </si>
  <si>
    <t>Encrpyted ePHI in flight</t>
  </si>
  <si>
    <t xml:space="preserve">SRS.SR04
</t>
  </si>
  <si>
    <t>SRS.SR01
SRS.SR02
SRS.SR03
SRS.SR07</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</si>
  <si>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</si>
  <si>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</si>
  <si>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</si>
  <si>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</si>
  <si>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</si>
  <si>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</si>
  <si>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</si>
  <si>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</si>
  <si>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</si>
  <si>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</si>
  <si>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</si>
  <si>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</si>
  <si>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</si>
  <si>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TestReport #123</t>
  </si>
  <si>
    <t>TestReport #789</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</si>
  <si>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</si>
  <si>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</si>
  <si>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</si>
  <si>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</si>
  <si>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</si>
  <si>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</si>
  <si>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</si>
  <si>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</si>
  <si>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</si>
  <si>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</si>
  <si>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</si>
  <si>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</si>
  <si>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</si>
  <si>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</si>
  <si>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</si>
  <si>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</si>
  <si>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</si>
  <si>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</si>
  <si>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</si>
  <si>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</si>
  <si>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</si>
  <si>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</si>
  <si>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</si>
  <si>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</si>
  <si>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</si>
  <si>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</si>
  <si>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</si>
  <si>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</si>
  <si>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</si>
  <si>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</si>
  <si>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</si>
  <si>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</si>
  <si>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</si>
  <si>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</si>
  <si>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Justification</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</si>
  <si>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</si>
  <si>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</si>
  <si>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</si>
  <si>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</si>
  <si>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</si>
  <si>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</si>
  <si>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</si>
  <si>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</si>
  <si>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</si>
  <si>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</si>
  <si>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</si>
  <si>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</si>
  <si>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</si>
  <si>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</si>
  <si>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</si>
  <si>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</si>
  <si>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</si>
  <si>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</si>
  <si>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</si>
  <si>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</si>
  <si>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</si>
  <si>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</si>
  <si>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</si>
  <si>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</si>
  <si>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</si>
  <si>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TSA-1 -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</si>
  <si>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</si>
  <si>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</si>
  <si>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</si>
  <si>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</si>
  <si>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</si>
  <si>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</si>
  <si>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</si>
  <si>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</si>
  <si>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</si>
  <si>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</si>
  <si>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</si>
  <si>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</si>
  <si>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</si>
  <si>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</si>
  <si>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</si>
  <si>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</si>
  <si>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</si>
  <si>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</si>
  <si>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</si>
  <si>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</si>
  <si>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</si>
  <si>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</si>
  <si>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</si>
  <si>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</si>
  <si>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</si>
  <si>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</si>
  <si>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</si>
  <si>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</si>
  <si>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</si>
  <si>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</si>
  <si>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</si>
  <si>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</si>
  <si>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</si>
  <si>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</si>
  <si>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</si>
  <si>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</si>
  <si>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</si>
  <si>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</si>
  <si>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</si>
  <si>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</si>
  <si>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</si>
  <si>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</si>
  <si>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</si>
  <si>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</si>
  <si>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</si>
  <si>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</si>
  <si>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</si>
  <si>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</si>
  <si>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</si>
  <si>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</si>
  <si>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</si>
  <si>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</si>
  <si>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</si>
  <si>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</si>
  <si>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</si>
  <si>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</si>
  <si>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</si>
  <si>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</si>
  <si>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</si>
  <si>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</si>
  <si>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</si>
  <si>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</si>
  <si>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</si>
  <si>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</si>
  <si>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</si>
  <si>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</si>
  <si>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</si>
  <si>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</si>
  <si>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</si>
  <si>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</si>
  <si>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</si>
  <si>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</si>
  <si>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</si>
  <si>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</si>
  <si>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</si>
  <si>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</si>
  <si>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SSH credentials for system admin access</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</si>
  <si>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</si>
  <si>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</si>
  <si>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</si>
  <si>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</si>
  <si>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</si>
  <si>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</si>
  <si>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</si>
  <si>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</si>
  <si>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</si>
  <si>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</si>
  <si>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</si>
  <si>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</si>
  <si>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</si>
  <si>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</si>
  <si>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</si>
  <si>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</si>
  <si>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</si>
  <si>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</si>
  <si>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</si>
  <si>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</si>
  <si>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Datastored on hard disk after import. Contains patient identity, DOB, Age/Gender, image data</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</si>
  <si>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</si>
  <si>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</si>
  <si>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</si>
  <si>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</si>
  <si>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</si>
  <si>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</si>
  <si>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</si>
  <si>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</si>
  <si>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</si>
  <si>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</si>
  <si>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</si>
  <si>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</si>
  <si>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</si>
  <si>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</si>
  <si>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</si>
  <si>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</si>
  <si>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</si>
  <si>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</si>
  <si>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</si>
  <si>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</si>
  <si>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</si>
  <si>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</si>
  <si>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</si>
  <si>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</si>
  <si>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</si>
  <si>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</si>
  <si>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</si>
  <si>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A14</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</si>
  <si>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</si>
  <si>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</si>
  <si>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</si>
  <si>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</si>
  <si>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</si>
  <si>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</si>
  <si>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</si>
  <si>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</si>
  <si>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</si>
  <si>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</si>
  <si>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</si>
  <si>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</si>
  <si>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</si>
  <si>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</si>
  <si>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</si>
  <si>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</si>
  <si>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</si>
  <si>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</si>
  <si>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</si>
  <si>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</si>
  <si>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</si>
  <si>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</si>
  <si>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Session should get terminated after specified time-out</t>
  </si>
  <si>
    <t>T36</t>
  </si>
  <si>
    <t>T37</t>
  </si>
  <si>
    <t>Unpatched OS/SOUP's</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</si>
  <si>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</si>
  <si>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</si>
  <si>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</si>
  <si>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</si>
  <si>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</si>
  <si>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</si>
  <si>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</si>
  <si>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</si>
  <si>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</si>
  <si>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Patient Personal data</t>
  </si>
  <si>
    <t>Contains patient personal details such as patient identity, DOB, Age/Gender, image data</t>
  </si>
  <si>
    <t>A15</t>
  </si>
  <si>
    <t>System with hw resources/configurable bios</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</si>
  <si>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</si>
  <si>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</si>
  <si>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</si>
  <si>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</si>
  <si>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</si>
  <si>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</si>
  <si>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</si>
  <si>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</si>
  <si>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</si>
  <si>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</si>
  <si>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</si>
  <si>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</si>
  <si>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</si>
  <si>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</si>
  <si>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</si>
  <si>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</si>
  <si>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</si>
  <si>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</si>
  <si>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</si>
  <si>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</si>
  <si>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</si>
  <si>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Critical data transfer to the removable device</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</si>
  <si>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</si>
  <si>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</si>
  <si>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</si>
  <si>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</si>
  <si>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</si>
  <si>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</si>
  <si>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</si>
  <si>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</si>
  <si>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</si>
  <si>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</si>
  <si>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</si>
  <si>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</si>
  <si>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No session time out implemented for the application</t>
  </si>
  <si>
    <t>Unauthorized access/modification of secure data</t>
  </si>
  <si>
    <t>All removable devices connecting to the system should be scanned</t>
  </si>
  <si>
    <t>1. Critical/Sensitive data should be protected.
2. Data transfer to the removable devices should happen with proper authentication.</t>
  </si>
  <si>
    <t>1. Critical/Sensitive data should be protected.
2. Data transfer from one device to another device should be encrypted.</t>
  </si>
  <si>
    <t>1. All the removable devices should not be allowed to connect with the systsem
2. Authentication/Validation of input device should be mandatory</t>
  </si>
  <si>
    <t>1. Application should validate the input data
2. Data format and expected input should be properly documented</t>
  </si>
  <si>
    <t>1. Require multi-factor authentication
2. Limit authentication attempts (rate Limiting)
3. Maintain Access Logs
4. Maintain Server Security Logs
5. Stronger authentication methods</t>
  </si>
  <si>
    <t>1. Require multi-factor authentication
2. Limit authentication attempts (rate Limiting)
3. Maintain Access Logs
4. Maintain Server Security Logs"</t>
  </si>
  <si>
    <t>1. User configuration settings should be properly validated from security perspective
2. There should be limit/control over the user settings.</t>
  </si>
  <si>
    <t xml:space="preserve">1. OS updates should be properly planned for running the Intra-op application
2. Automatic/Manual pulling of the patches for severe vulnerabilities should be planned. </t>
  </si>
  <si>
    <t>1. Cryptography should be properly maintained for sensitive data
2. Latest crypto algorithms should be selected for ensuring proper security</t>
  </si>
  <si>
    <t>1. All the provided physical network components should be identified and unused should be identified
2. Unused componens should be properly disabled/limited 
3. System security elements such as firewall, antivirus etc.. should be properly identified</t>
  </si>
  <si>
    <t>1. Critical/Sensitive data should be protected.
2. Data transfer to the removable devices should happen with proper authentication.
3. System security elements such as firewall, antivirus etc.. should be properly identified</t>
  </si>
  <si>
    <t>1. Audit log data should be maintained for security
2. Access with proper authentication is needed
3. Unauthorized modification/copying should not be allowed</t>
  </si>
  <si>
    <t>A00</t>
  </si>
  <si>
    <t>Nav3i cart/ System running with windows 8.1</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</si>
  <si>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</si>
  <si>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</si>
  <si>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</si>
  <si>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</si>
  <si>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</si>
  <si>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</si>
  <si>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</si>
  <si>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</si>
  <si>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</si>
  <si>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</si>
  <si>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</si>
  <si>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</si>
  <si>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</si>
  <si>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</si>
  <si>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</si>
  <si>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</si>
  <si>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</si>
  <si>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</si>
  <si>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</si>
  <si>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</si>
  <si>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</si>
  <si>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</si>
  <si>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</si>
  <si>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</si>
  <si>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</si>
  <si>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</si>
  <si>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1. MDM should provide the details of updating the virus definitions, firewall rules etc… for the cart management.
2. Hospital IT staff should manage the same</t>
  </si>
  <si>
    <t xml:space="preserve">Unavailability of support from 3rd party tools for outdated OS </t>
  </si>
  <si>
    <t>1. List down all the 3rd party components and their EOL support
2.Assess the risk &amp; find the replacement for outdated/unsupported 3rd parties based on their dependency</t>
  </si>
  <si>
    <t>1. List down all the OS tools/components and their EOL support
2.Assess the risk &amp; find the alternatives for outdated/unsupported vendor tools based on their dependency</t>
  </si>
  <si>
    <t>1. Configure the restore points based on timeline from vendor if available
2. Design &amp; enable the plan for multiple restore points if vendor not supporting
3. Planning for the restore points should be suggested from MDM for the hospital
4. Ensure a safe and secure restore points design if vendor not supporting</t>
  </si>
  <si>
    <t>1. Configure the backup plan based on timeline from vendor if available
2. Design &amp; enable the plan for backup if vendor not supporting
3. Ensure a safe and secure backup design done if vendor not supporting</t>
  </si>
  <si>
    <t>1. Firewall rules/other resources should be properly maintained
2. Incoming network traffic should be monitored with the help of tools</t>
  </si>
  <si>
    <t>1. Audit logs should be enabled and capture all the user, network etc... activities
2. Periodic monitoring should not be ignored
3. Periodic plan for monitoring should be designed</t>
  </si>
  <si>
    <t>1. The vendor provided OS (8.1) should not be used as it is provided in the market
2. Customization of OS is required
3. OS services, frameworks &amp; network interfaces which are not being used can be avoided from running
4. Unnecessary OS services, frameworks &amp; network interfaces should be hardened or has to limited in functionality</t>
  </si>
  <si>
    <t>Packages like ip tables, ep tables, firewall-D &amp; other services that can provide a stronger security environment should be identified/enabled for linux OS</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</si>
  <si>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</si>
  <si>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</si>
  <si>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</si>
  <si>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</si>
  <si>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</si>
  <si>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</si>
  <si>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</si>
  <si>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</si>
  <si>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</si>
  <si>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</si>
  <si>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</si>
  <si>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</si>
  <si>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No session expiry</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</si>
  <si>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</si>
  <si>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</si>
  <si>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</si>
  <si>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</si>
  <si>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</si>
  <si>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</si>
  <si>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All security packages to be included during OS build. In absence of inbuilt security tools, security breaches can occur. 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</si>
  <si>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V67</t>
  </si>
  <si>
    <t>Critical patches not identified and integrated within timeline</t>
  </si>
  <si>
    <t>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</si>
  <si>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 xml:space="preserve">Automatic/Manual pulling of the patches for severe vulnerabilities should be planned. </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</si>
  <si>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</si>
  <si>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</si>
  <si>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</si>
  <si>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</si>
  <si>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</si>
  <si>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</si>
  <si>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</si>
  <si>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</si>
  <si>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</si>
  <si>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</si>
  <si>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</si>
  <si>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</si>
  <si>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</si>
  <si>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</si>
  <si>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</si>
  <si>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</si>
  <si>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</si>
  <si>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Extended arm of Nav3i cart contains multiple sensors &amp; navigation cameras. The data collected &amp; provided to the Intra-OP application has to be accurate</t>
  </si>
  <si>
    <t>Knee Intra-Op Software</t>
  </si>
  <si>
    <t>&lt;Siva Kumar / Security / L&amp;T&gt;
&lt;Author Name / Function / Organization&gt;</t>
  </si>
  <si>
    <t>Mar-11-2022</t>
  </si>
  <si>
    <t>0</t>
  </si>
  <si>
    <t>Q carts &amp; Ortho Q carts running with Linux OS</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</si>
  <si>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</si>
  <si>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</si>
  <si>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</si>
  <si>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</si>
  <si>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</si>
  <si>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</si>
  <si>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</si>
  <si>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</si>
  <si>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</si>
  <si>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</si>
  <si>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</si>
  <si>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</si>
  <si>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</si>
  <si>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</si>
  <si>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</si>
  <si>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</si>
  <si>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</si>
  <si>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&lt;2022-03-11&gt;</t>
  </si>
  <si>
    <t>Currently not in the scope of Intra-Op application</t>
  </si>
  <si>
    <t>Intellectual Property (Stryker IP)</t>
  </si>
  <si>
    <t>Any kind of removable device which is connected to knee intra-op from knee planning application</t>
  </si>
  <si>
    <t>Input device to Intra-OP</t>
  </si>
  <si>
    <t>Input data to Intra-OP</t>
  </si>
  <si>
    <t>Any kind of input data from removable device to knee intra-op from knee planning application</t>
  </si>
  <si>
    <t>Lack of validation for the editable configuration controls</t>
  </si>
  <si>
    <t>Developed code not validated using Static/Dynamic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</si>
</sst>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ont>
    <font>
      <sz val="11"/>
      <color theme="1"/>
      <name val="Calibri"/>
      <scheme val="minor"/>
    </font>
    <font>
      <sz val="11"/>
      <color rgb="FF0000FF"/>
      <name val="Cambria"/>
    </font>
    <font>
      <sz val="11"/>
      <name val="Cambria"/>
    </font>
    <font>
      <sz val="11"/>
      <color theme="1"/>
      <name val="Calibri"/>
      <family val="2"/>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2" fillId="0" borderId="0"/>
  </cellStyleXfs>
  <cellXfs count="376">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0" fillId="0" borderId="5" xfId="0" applyBorder="1" applyAlignment="1">
      <alignment horizontal="center" vertical="center"/>
    </xf>
    <xf numFmtId="0" fontId="0" fillId="0" borderId="0" xfId="0" applyAlignment="1">
      <alignment vertical="top" wrapText="1"/>
    </xf>
    <xf numFmtId="0" fontId="0" fillId="0" borderId="5" xfId="0" applyBorder="1" applyAlignment="1">
      <alignment horizontal="center" vertical="top" wrapText="1"/>
    </xf>
    <xf numFmtId="0" fontId="0" fillId="0" borderId="36" xfId="0" applyBorder="1" applyAlignment="1">
      <alignment vertical="top" wrapText="1"/>
    </xf>
    <xf numFmtId="0" fontId="15" fillId="0" borderId="36" xfId="0" applyFont="1" applyBorder="1" applyAlignment="1">
      <alignment vertical="top"/>
    </xf>
    <xf numFmtId="0" fontId="15" fillId="0" borderId="1" xfId="0" applyFont="1" applyBorder="1" applyAlignment="1">
      <alignment horizontal="center" vertical="center"/>
    </xf>
    <xf numFmtId="0" fontId="0" fillId="0" borderId="7" xfId="0" applyBorder="1" applyAlignment="1">
      <alignment horizontal="center" vertical="center" wrapText="1"/>
    </xf>
    <xf numFmtId="0" fontId="0" fillId="0" borderId="1" xfId="0" applyBorder="1" applyAlignment="1">
      <alignment vertical="top" wrapText="1"/>
    </xf>
    <xf numFmtId="0" fontId="0" fillId="0" borderId="5" xfId="0" applyBorder="1" applyAlignment="1">
      <alignment vertical="top" wrapText="1"/>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0" fillId="0" borderId="5" xfId="0" applyFont="1" applyBorder="1" applyAlignment="1">
      <alignment vertical="top" wrapText="1"/>
    </xf>
    <xf numFmtId="0" fontId="21" fillId="0" borderId="5" xfId="0" applyFont="1" applyBorder="1" applyAlignment="1">
      <alignment vertical="top" wrapText="1"/>
    </xf>
    <xf numFmtId="0" fontId="15" fillId="10" borderId="4" xfId="0" applyFont="1" applyFill="1" applyBorder="1" applyAlignment="1">
      <alignment vertical="top"/>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15" fillId="10" borderId="48" xfId="0" applyFont="1" applyFill="1" applyBorder="1" applyAlignment="1">
      <alignment horizontal="center" vertical="top" wrapText="1"/>
    </xf>
    <xf numFmtId="0" fontId="15" fillId="10" borderId="7" xfId="0" applyFont="1" applyFill="1" applyBorder="1" applyAlignment="1">
      <alignment horizontal="center"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54" fillId="0" borderId="4" xfId="0" applyFont="1" applyBorder="1" applyAlignment="1">
      <alignment horizontal="center" vertical="top" wrapText="1"/>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10" borderId="5" xfId="0" applyFont="1" applyFill="1" applyBorder="1" applyAlignment="1">
      <alignment horizontal="center" vertical="top"/>
    </xf>
    <xf numFmtId="0" fontId="0" fillId="10" borderId="1" xfId="0" applyFont="1" applyFill="1" applyBorder="1" applyAlignment="1">
      <alignment horizontal="center" vertical="top"/>
    </xf>
    <xf numFmtId="0" fontId="15" fillId="0" borderId="1" xfId="0" applyFont="1" applyBorder="1" applyAlignment="1">
      <alignment vertical="top" wrapText="1"/>
    </xf>
    <xf numFmtId="0" fontId="15" fillId="0" borderId="5" xfId="0" applyFont="1" applyBorder="1" applyAlignment="1">
      <alignment vertical="top" wrapText="1"/>
    </xf>
    <xf numFmtId="0" fontId="0" fillId="19" borderId="1" xfId="0" applyFont="1" applyFill="1" applyBorder="1" applyAlignment="1">
      <alignment horizontal="center" vertical="top" wrapText="1"/>
    </xf>
    <xf numFmtId="0" fontId="0" fillId="19" borderId="1" xfId="0" applyFont="1" applyFill="1" applyBorder="1" applyAlignment="1">
      <alignment vertical="top" wrapText="1"/>
    </xf>
    <xf numFmtId="0" fontId="53" fillId="10" borderId="39" xfId="0" applyFont="1" applyFill="1" applyBorder="1" applyAlignment="1">
      <alignment vertical="top"/>
    </xf>
    <xf numFmtId="0" fontId="53" fillId="10" borderId="4" xfId="0" applyFont="1" applyFill="1" applyBorder="1" applyAlignment="1">
      <alignment vertical="top"/>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5"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6"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5"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5" fillId="15" borderId="5" xfId="0" applyNumberFormat="1" applyFont="1" applyFill="1" applyBorder="1" applyAlignment="1">
      <alignment horizontal="center" vertical="center" wrapText="1"/>
    </xf>
    <xf numFmtId="164" fontId="55"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6"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5"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53" fillId="10" borderId="5" xfId="0" applyFont="1" applyFill="1" applyBorder="1" applyAlignment="1">
      <alignment horizontal="center" vertical="top"/>
    </xf>
    <xf numFmtId="0" fontId="53" fillId="10" borderId="1" xfId="0" applyFont="1" applyFill="1" applyBorder="1" applyAlignment="1">
      <alignment horizontal="center"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10" borderId="4"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57" fillId="0" borderId="1" xfId="0" applyFont="1" applyBorder="1" applyAlignment="1">
      <alignment vertical="top" wrapText="1"/>
    </xf>
    <xf numFmtId="0" fontId="57" fillId="0" borderId="1" xfId="0" applyFont="1" applyFill="1" applyBorder="1" applyAlignment="1">
      <alignmen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15" fillId="10" borderId="4" xfId="0" applyFont="1" applyFill="1" applyBorder="1" applyAlignment="1">
      <alignment horizontal="left" vertical="top"/>
    </xf>
    <xf numFmtId="0" fontId="57" fillId="0" borderId="1" xfId="0" applyFont="1" applyFill="1" applyBorder="1" applyAlignment="1">
      <alignment horizontal="left" vertical="top" wrapText="1"/>
    </xf>
    <xf numFmtId="0" fontId="57" fillId="0" borderId="1" xfId="0" applyFont="1" applyBorder="1" applyAlignment="1">
      <alignment horizontal="left" vertical="top" wrapText="1"/>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54" fillId="19" borderId="4" xfId="0" applyFont="1" applyFill="1" applyBorder="1" applyAlignment="1">
      <alignment horizontal="center" vertical="top" wrapText="1"/>
    </xf>
    <xf numFmtId="0" fontId="0" fillId="19" borderId="39" xfId="0" applyFont="1" applyFill="1" applyBorder="1" applyAlignment="1">
      <alignment horizontal="center" vertical="top" wrapText="1"/>
    </xf>
    <xf numFmtId="0" fontId="54" fillId="19" borderId="39" xfId="0" applyFont="1" applyFill="1" applyBorder="1" applyAlignment="1">
      <alignment horizontal="center" vertical="top" wrapText="1"/>
    </xf>
    <xf numFmtId="0" fontId="15" fillId="19" borderId="4" xfId="0" applyFont="1" applyFill="1" applyBorder="1" applyAlignment="1">
      <alignment vertical="top" wrapText="1"/>
    </xf>
  </cellXfs>
  <cellStyles count="6">
    <cellStyle name="Excel Built-in Normal" xfId="2" xr:uid="{00000000-0005-0000-0000-000000000000}"/>
    <cellStyle name="Normal" xfId="0" builtinId="0"/>
    <cellStyle name="Normal 2" xfId="1" xr:uid="{00000000-0005-0000-0000-000002000000}"/>
    <cellStyle name="Normal 3" xfId="5" xr:uid="{00000000-0005-0000-0000-000003000000}"/>
    <cellStyle name="Standard 2" xfId="4" xr:uid="{00000000-0005-0000-0000-000004000000}"/>
    <cellStyle name="Standard_Spreadsheet-Template(1)" xfId="3" xr:uid="{00000000-0005-0000-0000-000005000000}"/>
  </cellStyles>
  <dxfs count="193">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92"/>
      <tableStyleElement type="headerRow" dxfId="191"/>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D23" totalsRowShown="0" headerRowDxfId="190" dataDxfId="188" headerRowBorderDxfId="189" tableBorderDxfId="187" totalsRowBorderDxfId="186">
  <autoFilter ref="A9:D23" xr:uid="{00000000-0009-0000-0100-000003000000}"/>
  <tableColumns count="4">
    <tableColumn id="1" xr3:uid="{00000000-0010-0000-0000-000001000000}" name="ID #" dataDxfId="185"/>
    <tableColumn id="2" xr3:uid="{00000000-0010-0000-0000-000002000000}" name="Asset Type_x000a_(Information/Physical)" dataDxfId="184"/>
    <tableColumn id="3" xr3:uid="{00000000-0010-0000-0000-000003000000}" name="Asset" dataDxfId="183"/>
    <tableColumn id="4" xr3:uid="{00000000-0010-0000-0000-000004000000}" name="Asset Description" dataDxfId="182"/>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29">
  <autoFilter ref="A8:D14" xr:uid="{00000000-0009-0000-0100-000009000000}"/>
  <tableColumns count="4">
    <tableColumn id="1" xr3:uid="{00000000-0010-0000-0900-000001000000}" name="ID" dataDxfId="28"/>
    <tableColumn id="2" xr3:uid="{00000000-0010-0000-0900-000002000000}" name="Title" dataDxfId="27"/>
    <tableColumn id="3" xr3:uid="{00000000-0010-0000-0900-000003000000}" name="Rev.*" dataDxfId="26"/>
    <tableColumn id="4" xr3:uid="{00000000-0010-0000-0900-000004000000}" name="Doc. No." dataDxfId="25"/>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66" totalsRowShown="0" headerRowDxfId="181" dataDxfId="179" headerRowBorderDxfId="180" tableBorderDxfId="178" totalsRowBorderDxfId="177">
  <autoFilter ref="A4:D66" xr:uid="{00000000-0009-0000-0100-000002000000}"/>
  <tableColumns count="4">
    <tableColumn id="1" xr3:uid="{00000000-0010-0000-0100-000001000000}" name="Vuln. ID" dataDxfId="176"/>
    <tableColumn id="4" xr3:uid="{00000000-0010-0000-0100-000004000000}" name="Vulnerability Description" dataDxfId="175"/>
    <tableColumn id="5" xr3:uid="{00000000-0010-0000-0100-000005000000}" name="Applicable (Yes/No)" dataDxfId="174"/>
    <tableColumn id="6" xr3:uid="{00000000-0010-0000-0100-000006000000}" name="Rationale (if Vulnerability not applicable)" dataDxfId="173"/>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45" totalsRowShown="0" headerRowDxfId="172" headerRowBorderDxfId="171" tableBorderDxfId="170" totalsRowBorderDxfId="169">
  <autoFilter ref="A3:F45" xr:uid="{00000000-0009-0000-0100-000005000000}"/>
  <tableColumns count="6">
    <tableColumn id="1" xr3:uid="{00000000-0010-0000-0200-000001000000}" name="#" dataDxfId="168"/>
    <tableColumn id="2" xr3:uid="{00000000-0010-0000-0200-000002000000}" name="Threat Event " dataDxfId="167"/>
    <tableColumn id="3" xr3:uid="{00000000-0010-0000-0200-000003000000}" name="Description " dataDxfId="166"/>
    <tableColumn id="4" xr3:uid="{00000000-0010-0000-0200-000004000000}" name="Threat Source" dataDxfId="165"/>
    <tableColumn id="5" xr3:uid="{00000000-0010-0000-0200-000005000000}" name="In Scope (Yes/No)" dataDxfId="164"/>
    <tableColumn id="13" xr3:uid="{00000000-0010-0000-0200-00000D000000}" name="Rationale _x000a_(if out of scope)" dataDxfId="163"/>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72" totalsRowShown="0" headerRowDxfId="162" dataDxfId="161" tableBorderDxfId="160">
  <autoFilter ref="A4:AQ72" xr:uid="{00000000-0009-0000-0100-000004000000}"/>
  <tableColumns count="43">
    <tableColumn id="1" xr3:uid="{00000000-0010-0000-0300-000001000000}" name="_x000a_ID #" dataDxfId="159" totalsRowDxfId="158"/>
    <tableColumn id="23" xr3:uid="{00000000-0010-0000-0300-000017000000}" name="T ID" dataDxfId="157" totalsRowDxfId="156"/>
    <tableColumn id="2" xr3:uid="{00000000-0010-0000-0300-000002000000}" name="Threat Event(s)" dataDxfId="155" totalsRowDxfId="154">
      <calculatedColumnFormula>IF(VLOOKUP(Table4[[#This Row],[T ID]],Table5[#All],5,FALSE)="No","Not in scope",VLOOKUP(Table4[[#This Row],[T ID]],Table5[#All],2,FALSE))</calculatedColumnFormula>
    </tableColumn>
    <tableColumn id="22" xr3:uid="{00000000-0010-0000-0300-000016000000}" name="V ID" dataDxfId="153" totalsRowDxfId="152"/>
    <tableColumn id="3" xr3:uid="{00000000-0010-0000-0300-000003000000}" name="Vulnerabilities" dataDxfId="151" totalsRowDxfId="150">
      <calculatedColumnFormula>IF(VLOOKUP(Table4[[#This Row],[V ID]],Vulnerabilities[#All],3,FALSE)="No","Not in scope",VLOOKUP(Table4[[#This Row],[V ID]],Vulnerabilities[#All],2,FALSE))</calculatedColumnFormula>
    </tableColumn>
    <tableColumn id="24" xr3:uid="{00000000-0010-0000-0300-000018000000}" name="A ID" dataDxfId="149" totalsRowDxfId="148"/>
    <tableColumn id="4" xr3:uid="{00000000-0010-0000-0300-000004000000}" name="Asset" dataDxfId="147" totalsRowDxfId="146">
      <calculatedColumnFormula>VLOOKUP(Table4[[#This Row],[A ID]],Assets[#All],3,FALSE)</calculatedColumnFormula>
    </tableColumn>
    <tableColumn id="5" xr3:uid="{00000000-0010-0000-0300-000005000000}" name="Impact Description" dataDxfId="145" totalsRowDxfId="144"/>
    <tableColumn id="7" xr3:uid="{00000000-0010-0000-0300-000007000000}" name="Safety Impact _x000a_(Risk ID# or N/A)" dataDxfId="143" totalsRowDxfId="142"/>
    <tableColumn id="26" xr3:uid="{00000000-0010-0000-0300-00001A000000}" name="Confidentiality" dataDxfId="141" totalsRowDxfId="140"/>
    <tableColumn id="25" xr3:uid="{00000000-0010-0000-0300-000019000000}" name="Integrity" dataDxfId="139" totalsRowDxfId="138"/>
    <tableColumn id="21" xr3:uid="{00000000-0010-0000-0300-000015000000}" name="Availability" dataDxfId="137" totalsRowDxfId="136"/>
    <tableColumn id="44" xr3:uid="{00000000-0010-0000-0300-00002C000000}" name="Attack Vector" dataDxfId="135" totalsRowDxfId="134"/>
    <tableColumn id="45" xr3:uid="{00000000-0010-0000-0300-00002D000000}" name="Attack Complexity" dataDxfId="133" totalsRowDxfId="132"/>
    <tableColumn id="46" xr3:uid="{00000000-0010-0000-0300-00002E000000}" name="Privileges Required" dataDxfId="131" totalsRowDxfId="130"/>
    <tableColumn id="47" xr3:uid="{00000000-0010-0000-0300-00002F000000}" name="User Interaction" dataDxfId="129" totalsRowDxfId="128"/>
    <tableColumn id="43" xr3:uid="{00000000-0010-0000-0300-00002B000000}" name="Scope" dataDxfId="127" totalsRowDxfId="126"/>
    <tableColumn id="48" xr3:uid="{00000000-0010-0000-0300-000030000000}" name="Exploitability Sub Score" dataDxfId="125" totalsRowDxfId="124">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23" totalsRowDxfId="122">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21" totalsRowDxfId="120">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19" totalsRowDxfId="118">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17"/>
    <tableColumn id="33" xr3:uid="{00000000-0010-0000-0300-000021000000}" name="Threat Event Initiation_x000a_Score" dataDxfId="116" totalsRowDxfId="115">
      <calculatedColumnFormula>VLOOKUP(Table4[[#This Row],[Threat Event Initiation]],NIST_Scale_LOAI[],2,FALSE)</calculatedColumnFormula>
    </tableColumn>
    <tableColumn id="10" xr3:uid="{00000000-0010-0000-0300-00000A000000}" name="Overall Risk Score" dataDxfId="114" totalsRowDxfId="113">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12" totalsRowDxfId="111">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10" totalsRowDxfId="109"/>
    <tableColumn id="14" xr3:uid="{00000000-0010-0000-0300-00000E000000}" name="Implementation of Risk Control Measures " dataDxfId="108" totalsRowDxfId="107"/>
    <tableColumn id="15" xr3:uid="{00000000-0010-0000-0300-00000F000000}" name="Verification of Risk Control Measures (Effectiveness)" dataDxfId="106" totalsRowDxfId="105"/>
    <tableColumn id="13" xr3:uid="{00000000-0010-0000-0300-00000D000000}" name="ConfidentialityP" dataDxfId="104" totalsRowDxfId="103"/>
    <tableColumn id="27" xr3:uid="{00000000-0010-0000-0300-00001B000000}" name="IntegrityP" dataDxfId="102" totalsRowDxfId="101"/>
    <tableColumn id="28" xr3:uid="{00000000-0010-0000-0300-00001C000000}" name="AvailabilityP" dataDxfId="100" totalsRowDxfId="99"/>
    <tableColumn id="8" xr3:uid="{00000000-0010-0000-0300-000008000000}" name="Attack VectorP" dataDxfId="98" totalsRowDxfId="97"/>
    <tableColumn id="29" xr3:uid="{00000000-0010-0000-0300-00001D000000}" name="Attack ComplexityP" dataDxfId="96" totalsRowDxfId="95"/>
    <tableColumn id="30" xr3:uid="{00000000-0010-0000-0300-00001E000000}" name="Privileges RequiredP" dataDxfId="94" totalsRowDxfId="93"/>
    <tableColumn id="31" xr3:uid="{00000000-0010-0000-0300-00001F000000}" name="User InteractionP" dataDxfId="92"/>
    <tableColumn id="36" xr3:uid="{00000000-0010-0000-0300-000024000000}" name="ScopeP" dataDxfId="91" totalsRowDxfId="90"/>
    <tableColumn id="35" xr3:uid="{00000000-0010-0000-0300-000023000000}" name="Exploitability Sub ScoreP" dataDxfId="89" totalsRowDxfId="88">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87" totalsRowDxfId="86">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85" totalsRowDxfId="84">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83" totalsRowDxfId="82">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81" totalsRowDxfId="80">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79" totalsRowDxfId="78">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77" totalsRowDxfId="7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75" dataDxfId="74" tableBorderDxfId="73">
  <autoFilter ref="A4:M9" xr:uid="{00000000-0009-0000-0100-00000E000000}"/>
  <tableColumns count="13">
    <tableColumn id="1" xr3:uid="{00000000-0010-0000-0500-000001000000}" name="_x000a_ID #" dataDxfId="72" totalsRowDxfId="71">
      <calculatedColumnFormula>Table4[[#This Row],[
ID '#]]</calculatedColumnFormula>
    </tableColumn>
    <tableColumn id="23" xr3:uid="{00000000-0010-0000-0500-000017000000}" name="T ID" dataDxfId="70" totalsRowDxfId="69">
      <calculatedColumnFormula>IF(Table4[[#This Row],[A ID]]&gt;0,Table4[[#This Row],[T ID]],"")</calculatedColumnFormula>
    </tableColumn>
    <tableColumn id="2" xr3:uid="{00000000-0010-0000-0500-000002000000}" name="Threat Event(s)" dataDxfId="68" totalsRowDxfId="67">
      <calculatedColumnFormula>Table4[[#This Row],[Threat Event(s)]]</calculatedColumnFormula>
    </tableColumn>
    <tableColumn id="22" xr3:uid="{00000000-0010-0000-0500-000016000000}" name="V ID" dataDxfId="66" totalsRowDxfId="65">
      <calculatedColumnFormula>IF(Table4[[#This Row],[V ID]]&gt;0,Table4[[#This Row],[V ID]],"")</calculatedColumnFormula>
    </tableColumn>
    <tableColumn id="3" xr3:uid="{00000000-0010-0000-0500-000003000000}" name="Vulnerabilities" dataDxfId="64" totalsRowDxfId="63">
      <calculatedColumnFormula>Table4[[#This Row],[Vulnerabilities]]</calculatedColumnFormula>
    </tableColumn>
    <tableColumn id="24" xr3:uid="{00000000-0010-0000-0500-000018000000}" name="A ID" dataDxfId="62" totalsRowDxfId="61">
      <calculatedColumnFormula>IF(Table4[[#This Row],[A ID]]&gt;0,Table4[[#This Row],[A ID]],"")</calculatedColumnFormula>
    </tableColumn>
    <tableColumn id="4" xr3:uid="{00000000-0010-0000-0500-000004000000}" name="Assets" dataDxfId="60" totalsRowDxfId="59">
      <calculatedColumnFormula>Table4[[#This Row],[Asset]]</calculatedColumnFormula>
    </tableColumn>
    <tableColumn id="5" xr3:uid="{00000000-0010-0000-0500-000005000000}" name="Impact Description" dataDxfId="58" totalsRowDxfId="57">
      <calculatedColumnFormula>IF(Table4[[#This Row],[Impact Description]]&gt;0,Table4[[#This Row],[Impact Description]],"")</calculatedColumnFormula>
    </tableColumn>
    <tableColumn id="7" xr3:uid="{00000000-0010-0000-0500-000007000000}" name="Safety Impact _x000a_(Risk ID# or N/A)" dataDxfId="56" totalsRowDxfId="55">
      <calculatedColumnFormula>IF(Table4[[#This Row],[Safety Impact 
(Risk ID'# or N/A)]]&gt;0,Table4[[#This Row],[Safety Impact 
(Risk ID'# or N/A)]],"")</calculatedColumnFormula>
    </tableColumn>
    <tableColumn id="11" xr3:uid="{00000000-0010-0000-0500-00000B000000}" name="Pre-Controls _x000a_Risk Level" dataDxfId="54" totalsRowDxfId="53">
      <calculatedColumnFormula>Table4[[#This Row],[Security 
Risk 
Level]]</calculatedColumnFormula>
    </tableColumn>
    <tableColumn id="12" xr3:uid="{00000000-0010-0000-0500-00000C000000}" name="Security Risk Control Measures" dataDxfId="52" totalsRowDxfId="51">
      <calculatedColumnFormula>IF(Table4[[#This Row],[Security Risk Control Measures]]&gt;0,Table4[[#This Row],[Security Risk Control Measures]],"")</calculatedColumnFormula>
    </tableColumn>
    <tableColumn id="50" xr3:uid="{00000000-0010-0000-0500-000032000000}" name="Post-Controls Risk Level" dataDxfId="50" totalsRowDxfId="49">
      <calculatedColumnFormula>Table4[[#This Row],[Security Risk LevelP]]</calculatedColumnFormula>
    </tableColumn>
    <tableColumn id="20" xr3:uid="{00000000-0010-0000-0500-000014000000}" name="Residual Security Risk Acceptability Justification" dataDxfId="48" totalsRowDxfId="4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46" dataDxfId="45" tableBorderDxfId="44">
  <autoFilter ref="Q4:R10" xr:uid="{00000000-0009-0000-0100-000006000000}"/>
  <tableColumns count="2">
    <tableColumn id="1" xr3:uid="{00000000-0010-0000-0600-000001000000}" name="Rating" dataDxfId="43"/>
    <tableColumn id="2" xr3:uid="{00000000-0010-0000-0600-000002000000}" name="Score" dataDxfId="4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41" dataDxfId="40" tableBorderDxfId="39">
  <autoFilter ref="A4:C10" xr:uid="{00000000-0009-0000-0100-000007000000}"/>
  <tableColumns count="3">
    <tableColumn id="1" xr3:uid="{00000000-0010-0000-0700-000001000000}" name="ID#" dataDxfId="38"/>
    <tableColumn id="2" xr3:uid="{00000000-0010-0000-0700-000002000000}" name="Threat Source" dataDxfId="37"/>
    <tableColumn id="3" xr3:uid="{00000000-0010-0000-0700-000003000000}" name="In Scope (Y/N)" dataDxfId="36"/>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35" dataDxfId="34" tableBorderDxfId="33">
  <autoFilter ref="E4:G10" xr:uid="{00000000-0009-0000-0100-000008000000}"/>
  <tableColumns count="3">
    <tableColumn id="1" xr3:uid="{00000000-0010-0000-0800-000001000000}" name="ID#" dataDxfId="32"/>
    <tableColumn id="2" xr3:uid="{00000000-0010-0000-0800-000002000000}" name="Source" dataDxfId="31"/>
    <tableColumn id="3" xr3:uid="{00000000-0010-0000-0800-000003000000}" name="In Scope (Y/N)" dataDxfId="3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topLeftCell="A10" zoomScale="90" zoomScaleNormal="100" zoomScaleSheetLayoutView="90" workbookViewId="0">
      <selection activeCell="C21" sqref="C21:D21"/>
    </sheetView>
  </sheetViews>
  <sheetFormatPr defaultColWidth="11.54296875" defaultRowHeight="14.5" x14ac:dyDescent="0.35"/>
  <cols>
    <col min="2" max="2" width="21.453125" customWidth="1"/>
    <col min="3" max="3" width="38.81640625" customWidth="1"/>
    <col min="4" max="4" width="10.81640625" customWidth="1"/>
    <col min="5" max="5" width="26.1796875" customWidth="1"/>
    <col min="6" max="6" width="18.1796875" customWidth="1"/>
  </cols>
  <sheetData>
    <row r="4" spans="1:7" x14ac:dyDescent="0.35">
      <c r="A4" s="326" t="s">
        <v>204</v>
      </c>
      <c r="B4" s="326"/>
      <c r="C4" s="326"/>
      <c r="D4" s="326"/>
      <c r="E4" s="326"/>
      <c r="F4" s="326"/>
      <c r="G4" s="326"/>
    </row>
    <row r="5" spans="1:7" x14ac:dyDescent="0.35">
      <c r="A5" s="327"/>
      <c r="B5" s="327"/>
      <c r="C5" s="327"/>
      <c r="D5" s="327"/>
      <c r="E5" s="327"/>
      <c r="F5" s="327"/>
      <c r="G5" s="327"/>
    </row>
    <row r="6" spans="1:7" ht="23" x14ac:dyDescent="0.35">
      <c r="A6" s="184"/>
      <c r="B6" s="184"/>
      <c r="C6" s="184"/>
      <c r="D6" s="184"/>
      <c r="E6" s="184"/>
      <c r="F6" s="184"/>
      <c r="G6" s="184"/>
    </row>
    <row r="7" spans="1:7" ht="18" x14ac:dyDescent="0.35">
      <c r="B7" s="328" t="s">
        <v>524</v>
      </c>
      <c r="C7" s="329"/>
    </row>
    <row r="8" spans="1:7" ht="18" x14ac:dyDescent="0.35">
      <c r="B8" s="328" t="s">
        <v>132</v>
      </c>
      <c r="C8" s="329"/>
    </row>
    <row r="9" spans="1:7" x14ac:dyDescent="0.35">
      <c r="B9" s="24"/>
    </row>
    <row r="10" spans="1:7" x14ac:dyDescent="0.35">
      <c r="B10" s="24"/>
    </row>
    <row r="11" spans="1:7" x14ac:dyDescent="0.35">
      <c r="B11" s="185" t="s">
        <v>205</v>
      </c>
      <c r="C11" s="186"/>
    </row>
    <row r="12" spans="1:7" x14ac:dyDescent="0.35">
      <c r="B12" s="187" t="s">
        <v>206</v>
      </c>
      <c r="C12" s="323" t="s">
        <v>357</v>
      </c>
      <c r="D12" s="324"/>
      <c r="E12" s="324"/>
      <c r="F12" s="325"/>
    </row>
    <row r="13" spans="1:7" x14ac:dyDescent="0.35">
      <c r="B13" s="187" t="s">
        <v>208</v>
      </c>
      <c r="C13" s="323" t="s">
        <v>543</v>
      </c>
      <c r="D13" s="324"/>
      <c r="E13" s="324"/>
      <c r="F13" s="325"/>
    </row>
    <row r="14" spans="1:7" x14ac:dyDescent="0.35">
      <c r="B14" s="187" t="s">
        <v>209</v>
      </c>
      <c r="C14" s="323" t="s">
        <v>527</v>
      </c>
      <c r="D14" s="324"/>
      <c r="E14" s="324"/>
      <c r="F14" s="325"/>
    </row>
    <row r="15" spans="1:7" ht="27.75" customHeight="1" x14ac:dyDescent="0.35">
      <c r="B15" s="187" t="s">
        <v>210</v>
      </c>
      <c r="C15" s="323" t="s">
        <v>544</v>
      </c>
      <c r="D15" s="324"/>
      <c r="E15" s="324"/>
      <c r="F15" s="325"/>
    </row>
    <row r="16" spans="1:7" x14ac:dyDescent="0.35">
      <c r="B16" s="187" t="s">
        <v>211</v>
      </c>
      <c r="C16" s="323" t="s">
        <v>356</v>
      </c>
      <c r="D16" s="324"/>
      <c r="E16" s="324"/>
      <c r="F16" s="325"/>
    </row>
    <row r="17" spans="2:6" x14ac:dyDescent="0.35">
      <c r="B17" s="24"/>
    </row>
    <row r="18" spans="2:6" x14ac:dyDescent="0.35">
      <c r="B18" s="24"/>
    </row>
    <row r="19" spans="2:6" x14ac:dyDescent="0.35">
      <c r="B19" s="185" t="s">
        <v>212</v>
      </c>
    </row>
    <row r="20" spans="2:6" x14ac:dyDescent="0.35">
      <c r="B20" s="188" t="s">
        <v>213</v>
      </c>
      <c r="C20" s="330" t="s">
        <v>214</v>
      </c>
      <c r="D20" s="331"/>
      <c r="E20" s="188" t="s">
        <v>215</v>
      </c>
      <c r="F20" s="188" t="s">
        <v>207</v>
      </c>
    </row>
    <row r="21" spans="2:6" x14ac:dyDescent="0.35">
      <c r="B21" s="189" t="s">
        <v>527</v>
      </c>
      <c r="C21" s="321" t="s">
        <v>225</v>
      </c>
      <c r="D21" s="322"/>
      <c r="E21" s="190" t="s">
        <v>526</v>
      </c>
      <c r="F21" s="189"/>
    </row>
    <row r="22" spans="2:6" ht="50.5" customHeight="1" x14ac:dyDescent="0.35">
      <c r="B22" s="189"/>
      <c r="C22" s="321"/>
      <c r="D22" s="322"/>
      <c r="E22" s="190"/>
      <c r="F22" s="189"/>
    </row>
    <row r="23" spans="2:6" x14ac:dyDescent="0.35">
      <c r="B23" s="189"/>
      <c r="C23" s="321"/>
      <c r="D23" s="322"/>
      <c r="E23" s="190"/>
      <c r="F23" s="189"/>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defaultColWidth="11.54296875" defaultRowHeight="14.5" x14ac:dyDescent="0.35"/>
  <cols>
    <col min="1" max="1" width="20.453125" customWidth="1"/>
    <col min="2" max="2" width="51.1796875" customWidth="1"/>
    <col min="3" max="3" width="11.81640625" customWidth="1"/>
    <col min="4" max="4" width="23.453125" customWidth="1"/>
  </cols>
  <sheetData>
    <row r="4" spans="1:4" ht="23" x14ac:dyDescent="0.35">
      <c r="A4" s="194" t="str">
        <f>Form_Name</f>
        <v>Product Security Risk Table</v>
      </c>
    </row>
    <row r="5" spans="1:4" ht="15" customHeight="1" x14ac:dyDescent="0.35"/>
    <row r="6" spans="1:4" ht="14.25" customHeight="1" x14ac:dyDescent="0.35"/>
    <row r="7" spans="1:4" x14ac:dyDescent="0.35">
      <c r="A7" s="185" t="s">
        <v>223</v>
      </c>
    </row>
    <row r="8" spans="1:4" x14ac:dyDescent="0.35">
      <c r="A8" t="s">
        <v>216</v>
      </c>
      <c r="B8" t="s">
        <v>217</v>
      </c>
      <c r="C8" t="s">
        <v>218</v>
      </c>
      <c r="D8" t="s">
        <v>219</v>
      </c>
    </row>
    <row r="9" spans="1:4" x14ac:dyDescent="0.35">
      <c r="A9" s="196"/>
      <c r="B9" s="198"/>
      <c r="C9" s="196" t="s">
        <v>226</v>
      </c>
      <c r="D9" s="196"/>
    </row>
    <row r="10" spans="1:4" x14ac:dyDescent="0.35">
      <c r="A10" s="196"/>
      <c r="B10" s="198"/>
      <c r="C10" s="196" t="s">
        <v>226</v>
      </c>
      <c r="D10" s="196"/>
    </row>
    <row r="11" spans="1:4" x14ac:dyDescent="0.35">
      <c r="A11" s="196"/>
      <c r="B11" s="198"/>
      <c r="C11" s="196"/>
      <c r="D11" s="196"/>
    </row>
    <row r="12" spans="1:4" x14ac:dyDescent="0.35">
      <c r="A12" s="195"/>
      <c r="B12" s="196"/>
      <c r="C12" s="196"/>
      <c r="D12" s="196"/>
    </row>
    <row r="13" spans="1:4" x14ac:dyDescent="0.35">
      <c r="A13" s="195"/>
      <c r="B13" s="195"/>
      <c r="C13" s="195"/>
      <c r="D13" s="195"/>
    </row>
    <row r="14" spans="1:4" x14ac:dyDescent="0.35">
      <c r="A14" s="195"/>
      <c r="B14" s="195"/>
      <c r="C14" s="195"/>
      <c r="D14" s="195"/>
    </row>
    <row r="15" spans="1:4" x14ac:dyDescent="0.35">
      <c r="A15" s="195"/>
      <c r="B15" s="195"/>
      <c r="C15" s="195"/>
      <c r="D15" s="195"/>
    </row>
    <row r="16" spans="1:4" x14ac:dyDescent="0.35">
      <c r="A16" s="195"/>
      <c r="B16" s="195"/>
      <c r="C16" s="195"/>
      <c r="D16" s="195"/>
    </row>
    <row r="17" spans="1:4" x14ac:dyDescent="0.35">
      <c r="A17" s="195"/>
      <c r="B17" s="195"/>
      <c r="C17" s="195"/>
      <c r="D17" s="195"/>
    </row>
    <row r="18" spans="1:4" x14ac:dyDescent="0.35">
      <c r="A18" s="195"/>
      <c r="B18" s="195"/>
      <c r="C18" s="195"/>
      <c r="D18" s="195"/>
    </row>
    <row r="19" spans="1:4" x14ac:dyDescent="0.35">
      <c r="A19" s="195"/>
      <c r="B19" s="195"/>
      <c r="C19" s="195"/>
      <c r="D19" s="195"/>
    </row>
    <row r="20" spans="1:4" x14ac:dyDescent="0.35">
      <c r="A20" s="195"/>
      <c r="B20" s="195"/>
      <c r="C20" s="195"/>
      <c r="D20" s="195"/>
    </row>
    <row r="21" spans="1:4" x14ac:dyDescent="0.35">
      <c r="A21" s="195"/>
      <c r="B21" s="195"/>
      <c r="C21" s="195"/>
      <c r="D21" s="195"/>
    </row>
    <row r="22" spans="1:4" x14ac:dyDescent="0.35">
      <c r="A22" s="195"/>
      <c r="B22" s="195"/>
      <c r="C22" s="195"/>
      <c r="D22" s="195"/>
    </row>
    <row r="23" spans="1:4" x14ac:dyDescent="0.35">
      <c r="A23" s="195"/>
      <c r="B23" s="195"/>
      <c r="C23" s="195"/>
      <c r="D23" s="195"/>
    </row>
    <row r="24" spans="1:4" x14ac:dyDescent="0.35">
      <c r="A24" s="195"/>
      <c r="B24" s="195"/>
      <c r="C24" s="195"/>
      <c r="D24" s="195"/>
    </row>
    <row r="25" spans="1:4" x14ac:dyDescent="0.35">
      <c r="A25" s="195"/>
      <c r="B25" s="195"/>
      <c r="C25" s="195"/>
      <c r="D25" s="195"/>
    </row>
    <row r="26" spans="1:4" x14ac:dyDescent="0.35">
      <c r="A26" s="195"/>
      <c r="B26" s="195"/>
      <c r="C26" s="195"/>
      <c r="D26" s="195"/>
    </row>
    <row r="27" spans="1:4" x14ac:dyDescent="0.35">
      <c r="A27" s="195"/>
      <c r="B27" s="195"/>
      <c r="C27" s="195"/>
      <c r="D27" s="195"/>
    </row>
    <row r="28" spans="1:4" x14ac:dyDescent="0.35">
      <c r="A28" s="195"/>
      <c r="B28" s="195"/>
      <c r="C28" s="195"/>
      <c r="D28" s="195"/>
    </row>
    <row r="29" spans="1:4" x14ac:dyDescent="0.35">
      <c r="A29" s="195"/>
      <c r="B29" s="195"/>
      <c r="C29" s="195"/>
      <c r="D29" s="195"/>
    </row>
    <row r="30" spans="1:4" x14ac:dyDescent="0.35">
      <c r="A30" s="195"/>
      <c r="B30" s="195"/>
      <c r="C30" s="195"/>
      <c r="D30" s="195"/>
    </row>
    <row r="31" spans="1:4" x14ac:dyDescent="0.35">
      <c r="A31" s="195"/>
      <c r="B31" s="195"/>
      <c r="C31" s="195"/>
      <c r="D31" s="195"/>
    </row>
    <row r="32" spans="1:4" x14ac:dyDescent="0.35">
      <c r="A32" s="195"/>
      <c r="B32" s="195"/>
      <c r="C32" s="195"/>
      <c r="D32" s="195"/>
    </row>
    <row r="33" spans="1:4" x14ac:dyDescent="0.35">
      <c r="A33" s="195"/>
      <c r="B33" s="195"/>
      <c r="C33" s="195"/>
      <c r="D33" s="195"/>
    </row>
    <row r="34" spans="1:4" x14ac:dyDescent="0.35">
      <c r="A34" s="195"/>
      <c r="B34" s="195"/>
      <c r="C34" s="195"/>
      <c r="D34" s="195"/>
    </row>
    <row r="35" spans="1:4" x14ac:dyDescent="0.35">
      <c r="A35" s="195"/>
      <c r="B35" s="195"/>
      <c r="C35" s="195"/>
      <c r="D35" s="195"/>
    </row>
    <row r="36" spans="1:4" x14ac:dyDescent="0.35">
      <c r="A36" s="195"/>
      <c r="B36" s="195"/>
      <c r="C36" s="195"/>
      <c r="D36" s="195"/>
    </row>
    <row r="37" spans="1:4" x14ac:dyDescent="0.35">
      <c r="A37" s="195"/>
      <c r="B37" s="195"/>
      <c r="C37" s="195"/>
      <c r="D37" s="195"/>
    </row>
    <row r="38" spans="1:4" x14ac:dyDescent="0.35">
      <c r="A38" s="195"/>
      <c r="B38" s="195"/>
      <c r="C38" s="195"/>
      <c r="D38" s="195"/>
    </row>
    <row r="39" spans="1:4" x14ac:dyDescent="0.35">
      <c r="A39" s="195"/>
      <c r="B39" s="195"/>
      <c r="C39" s="195"/>
      <c r="D39" s="195"/>
    </row>
    <row r="40" spans="1:4" x14ac:dyDescent="0.35">
      <c r="A40" s="195"/>
      <c r="B40" s="195"/>
      <c r="C40" s="195"/>
      <c r="D40" s="195"/>
    </row>
    <row r="41" spans="1:4" x14ac:dyDescent="0.35">
      <c r="A41" s="195"/>
      <c r="B41" s="195"/>
      <c r="C41" s="195"/>
      <c r="D41" s="195"/>
    </row>
    <row r="42" spans="1:4" x14ac:dyDescent="0.35">
      <c r="A42" s="195"/>
      <c r="B42" s="195"/>
      <c r="C42" s="195"/>
      <c r="D42" s="195"/>
    </row>
    <row r="43" spans="1:4" x14ac:dyDescent="0.35">
      <c r="A43" s="195"/>
      <c r="B43" s="195"/>
      <c r="C43" s="195"/>
      <c r="D43" s="195"/>
    </row>
    <row r="44" spans="1:4" x14ac:dyDescent="0.35">
      <c r="A44" s="195"/>
      <c r="B44" s="195"/>
      <c r="C44" s="195"/>
      <c r="D44" s="195"/>
    </row>
    <row r="45" spans="1:4" x14ac:dyDescent="0.35">
      <c r="A45" s="195"/>
      <c r="B45" s="195"/>
      <c r="C45" s="195"/>
      <c r="D45" s="195"/>
    </row>
    <row r="46" spans="1:4" x14ac:dyDescent="0.35">
      <c r="A46" s="195"/>
      <c r="B46" s="195"/>
      <c r="C46" s="195"/>
      <c r="D46" s="195"/>
    </row>
    <row r="47" spans="1:4" x14ac:dyDescent="0.35">
      <c r="A47" s="197"/>
      <c r="B47" s="197"/>
      <c r="C47" s="197"/>
      <c r="D47" s="197"/>
    </row>
    <row r="48" spans="1:4" x14ac:dyDescent="0.35">
      <c r="A48" s="197"/>
      <c r="B48" s="197"/>
      <c r="C48" s="197"/>
      <c r="D48" s="197"/>
    </row>
    <row r="49" spans="1:4" x14ac:dyDescent="0.35">
      <c r="A49" s="197"/>
      <c r="B49" s="197"/>
      <c r="C49" s="197"/>
      <c r="D49" s="197"/>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796875" defaultRowHeight="14.5" x14ac:dyDescent="0.35"/>
  <cols>
    <col min="1" max="1" width="6.1796875" customWidth="1"/>
    <col min="2" max="2" width="38.1796875" customWidth="1"/>
    <col min="3" max="3" width="49.453125" customWidth="1"/>
    <col min="4" max="4" width="27.81640625" customWidth="1"/>
    <col min="5" max="5" width="14.54296875" customWidth="1"/>
    <col min="6" max="6" width="16.453125" customWidth="1"/>
    <col min="7" max="7" width="20.1796875" customWidth="1"/>
    <col min="8" max="8" width="20.453125" customWidth="1"/>
  </cols>
  <sheetData>
    <row r="1" spans="1:8" x14ac:dyDescent="0.35">
      <c r="A1" s="368" t="s">
        <v>19</v>
      </c>
      <c r="B1" s="368"/>
      <c r="C1" s="368"/>
      <c r="D1" s="368"/>
      <c r="E1" s="368"/>
      <c r="F1" s="368"/>
      <c r="G1" s="368"/>
      <c r="H1" s="368"/>
    </row>
    <row r="2" spans="1:8" ht="58" x14ac:dyDescent="0.35">
      <c r="A2" s="12" t="s">
        <v>20</v>
      </c>
      <c r="B2" s="12" t="s">
        <v>23</v>
      </c>
      <c r="C2" s="12" t="s">
        <v>21</v>
      </c>
      <c r="D2" s="13" t="s">
        <v>15</v>
      </c>
      <c r="E2" s="21" t="s">
        <v>40</v>
      </c>
      <c r="F2" s="14" t="s">
        <v>41</v>
      </c>
      <c r="G2" s="14" t="s">
        <v>42</v>
      </c>
      <c r="H2" s="14" t="s">
        <v>22</v>
      </c>
    </row>
    <row r="3" spans="1:8" s="19" customFormat="1" ht="48" x14ac:dyDescent="0.35">
      <c r="A3" s="15" t="s">
        <v>43</v>
      </c>
      <c r="B3" s="16" t="s">
        <v>44</v>
      </c>
      <c r="C3" s="16" t="s">
        <v>45</v>
      </c>
      <c r="D3" s="17" t="s">
        <v>46</v>
      </c>
      <c r="E3" s="22" t="s">
        <v>47</v>
      </c>
      <c r="F3" s="18" t="s">
        <v>48</v>
      </c>
      <c r="G3" s="18" t="s">
        <v>48</v>
      </c>
      <c r="H3" s="20" t="s">
        <v>48</v>
      </c>
    </row>
    <row r="4" spans="1:8" x14ac:dyDescent="0.35">
      <c r="A4" s="1"/>
      <c r="B4" s="1"/>
      <c r="C4" s="1"/>
      <c r="D4" s="1"/>
      <c r="E4" s="23"/>
      <c r="F4" s="1"/>
      <c r="G4" s="1"/>
      <c r="H4" s="1"/>
    </row>
    <row r="5" spans="1:8" x14ac:dyDescent="0.35">
      <c r="A5" s="1"/>
      <c r="B5" s="1"/>
      <c r="C5" s="1"/>
      <c r="D5" s="1"/>
      <c r="E5" s="23"/>
      <c r="F5" s="1"/>
      <c r="G5" s="1"/>
      <c r="H5" s="1"/>
    </row>
    <row r="6" spans="1:8" x14ac:dyDescent="0.35">
      <c r="A6" s="1"/>
      <c r="B6" s="1"/>
      <c r="C6" s="1"/>
      <c r="D6" s="1"/>
      <c r="E6" s="23"/>
      <c r="F6" s="1"/>
      <c r="G6" s="1"/>
      <c r="H6" s="1"/>
    </row>
    <row r="7" spans="1:8" x14ac:dyDescent="0.35">
      <c r="A7" s="1"/>
      <c r="B7" s="1"/>
      <c r="C7" s="1"/>
      <c r="D7" s="1"/>
      <c r="E7" s="23"/>
      <c r="F7" s="1"/>
      <c r="G7" s="1"/>
      <c r="H7" s="1"/>
    </row>
    <row r="8" spans="1:8" x14ac:dyDescent="0.35">
      <c r="A8" s="1"/>
      <c r="B8" s="1"/>
      <c r="C8" s="1"/>
      <c r="D8" s="1"/>
      <c r="E8" s="23"/>
      <c r="F8" s="1"/>
      <c r="G8" s="1"/>
      <c r="H8" s="1"/>
    </row>
    <row r="9" spans="1:8" x14ac:dyDescent="0.35">
      <c r="A9" s="1"/>
      <c r="B9" s="1"/>
      <c r="C9" s="1"/>
      <c r="D9" s="1"/>
      <c r="E9" s="23"/>
      <c r="F9" s="1"/>
      <c r="G9" s="1"/>
      <c r="H9" s="1"/>
    </row>
    <row r="10" spans="1:8" x14ac:dyDescent="0.3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796875" defaultRowHeight="14.5" x14ac:dyDescent="0.35"/>
  <cols>
    <col min="1" max="1" width="27.54296875" customWidth="1"/>
    <col min="2" max="2" width="102.1796875" customWidth="1"/>
  </cols>
  <sheetData>
    <row r="1" spans="1:2" ht="19" thickBot="1" x14ac:dyDescent="0.4">
      <c r="A1" s="3"/>
      <c r="B1" s="4"/>
    </row>
    <row r="2" spans="1:2" ht="19" thickBot="1" x14ac:dyDescent="0.4">
      <c r="A2" s="5" t="s">
        <v>17</v>
      </c>
      <c r="B2" s="6" t="s">
        <v>18</v>
      </c>
    </row>
    <row r="3" spans="1:2" ht="19" thickBot="1" x14ac:dyDescent="0.4">
      <c r="A3" s="7"/>
      <c r="B3" s="8"/>
    </row>
    <row r="4" spans="1:2" x14ac:dyDescent="0.35">
      <c r="A4" s="369"/>
      <c r="B4" s="9"/>
    </row>
    <row r="5" spans="1:2" x14ac:dyDescent="0.35">
      <c r="A5" s="370"/>
      <c r="B5" s="10"/>
    </row>
    <row r="6" spans="1:2" x14ac:dyDescent="0.35">
      <c r="A6" s="370"/>
      <c r="B6" s="10"/>
    </row>
    <row r="7" spans="1:2" ht="15" thickBot="1" x14ac:dyDescent="0.4">
      <c r="A7" s="371"/>
      <c r="B7" s="11"/>
    </row>
    <row r="8" spans="1:2" ht="19" thickBot="1" x14ac:dyDescent="0.4">
      <c r="A8" s="3"/>
      <c r="B8" s="4"/>
    </row>
    <row r="9" spans="1:2" x14ac:dyDescent="0.35">
      <c r="A9" s="369"/>
      <c r="B9" s="9"/>
    </row>
    <row r="10" spans="1:2" x14ac:dyDescent="0.35">
      <c r="A10" s="370"/>
      <c r="B10" s="10"/>
    </row>
    <row r="11" spans="1:2" x14ac:dyDescent="0.35">
      <c r="A11" s="370"/>
      <c r="B11" s="10"/>
    </row>
    <row r="12" spans="1:2" x14ac:dyDescent="0.35">
      <c r="A12" s="370"/>
      <c r="B12" s="10"/>
    </row>
    <row r="13" spans="1:2" ht="15" thickBot="1" x14ac:dyDescent="0.4">
      <c r="A13" s="371"/>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4"/>
  <sheetViews>
    <sheetView view="pageBreakPreview" topLeftCell="A17" zoomScaleNormal="100" zoomScaleSheetLayoutView="100" workbookViewId="0">
      <selection activeCell="D22" sqref="D22"/>
    </sheetView>
  </sheetViews>
  <sheetFormatPr defaultColWidth="9.1796875" defaultRowHeight="14" x14ac:dyDescent="0.35"/>
  <cols>
    <col min="1" max="1" width="7.81640625" style="28" customWidth="1"/>
    <col min="2" max="2" width="25.453125" style="28" customWidth="1"/>
    <col min="3" max="3" width="40.81640625" style="28" customWidth="1"/>
    <col min="4" max="4" width="51.453125" style="28" customWidth="1"/>
    <col min="5" max="5" width="14.453125" style="28" customWidth="1"/>
    <col min="6" max="16384" width="9.1796875" style="28"/>
  </cols>
  <sheetData>
    <row r="1" spans="1:4" s="32" customFormat="1" x14ac:dyDescent="0.35">
      <c r="A1" s="31" t="s">
        <v>154</v>
      </c>
    </row>
    <row r="2" spans="1:4" s="32" customFormat="1" x14ac:dyDescent="0.35"/>
    <row r="3" spans="1:4" s="32" customFormat="1" x14ac:dyDescent="0.35">
      <c r="A3" s="33" t="s">
        <v>155</v>
      </c>
      <c r="B3" s="34"/>
      <c r="C3" s="332" t="s">
        <v>545</v>
      </c>
      <c r="D3" s="332"/>
    </row>
    <row r="4" spans="1:4" s="32" customFormat="1" x14ac:dyDescent="0.35">
      <c r="A4" s="35" t="s">
        <v>158</v>
      </c>
      <c r="B4" s="36"/>
      <c r="C4" s="332" t="s">
        <v>544</v>
      </c>
      <c r="D4" s="332"/>
    </row>
    <row r="5" spans="1:4" s="32" customFormat="1" x14ac:dyDescent="0.35">
      <c r="A5" s="35" t="s">
        <v>156</v>
      </c>
      <c r="B5" s="36"/>
      <c r="C5" s="332" t="s">
        <v>546</v>
      </c>
      <c r="D5" s="332"/>
    </row>
    <row r="6" spans="1:4" s="32" customFormat="1" ht="30" customHeight="1" x14ac:dyDescent="0.35">
      <c r="A6" s="37" t="s">
        <v>157</v>
      </c>
      <c r="B6" s="38"/>
      <c r="C6" s="332" t="s">
        <v>525</v>
      </c>
      <c r="D6" s="332"/>
    </row>
    <row r="7" spans="1:4" s="32" customFormat="1" x14ac:dyDescent="0.35"/>
    <row r="8" spans="1:4" s="32" customFormat="1" x14ac:dyDescent="0.35"/>
    <row r="9" spans="1:4" s="32" customFormat="1" ht="28" x14ac:dyDescent="0.35">
      <c r="A9" s="39" t="s">
        <v>8</v>
      </c>
      <c r="B9" s="40" t="s">
        <v>169</v>
      </c>
      <c r="C9" s="40" t="s">
        <v>0</v>
      </c>
      <c r="D9" s="41" t="s">
        <v>11</v>
      </c>
    </row>
    <row r="10" spans="1:4" s="32" customFormat="1" ht="43.5" x14ac:dyDescent="0.35">
      <c r="A10" s="308" t="s">
        <v>444</v>
      </c>
      <c r="B10" s="280" t="s">
        <v>9</v>
      </c>
      <c r="C10" s="281" t="s">
        <v>528</v>
      </c>
      <c r="D10" s="319" t="s">
        <v>331</v>
      </c>
    </row>
    <row r="11" spans="1:4" s="32" customFormat="1" ht="43.5" x14ac:dyDescent="0.35">
      <c r="A11" s="42" t="s">
        <v>106</v>
      </c>
      <c r="B11" s="309" t="s">
        <v>9</v>
      </c>
      <c r="C11" s="310" t="s">
        <v>445</v>
      </c>
      <c r="D11" s="319" t="s">
        <v>331</v>
      </c>
    </row>
    <row r="12" spans="1:4" s="32" customFormat="1" ht="58" x14ac:dyDescent="0.35">
      <c r="A12" s="42" t="s">
        <v>107</v>
      </c>
      <c r="B12" s="309" t="s">
        <v>134</v>
      </c>
      <c r="C12" s="259" t="s">
        <v>301</v>
      </c>
      <c r="D12" s="311" t="s">
        <v>302</v>
      </c>
    </row>
    <row r="13" spans="1:4" s="32" customFormat="1" ht="29" x14ac:dyDescent="0.35">
      <c r="A13" s="42" t="s">
        <v>108</v>
      </c>
      <c r="B13" s="309" t="s">
        <v>134</v>
      </c>
      <c r="C13" s="259" t="s">
        <v>303</v>
      </c>
      <c r="D13" s="320" t="s">
        <v>135</v>
      </c>
    </row>
    <row r="14" spans="1:4" s="32" customFormat="1" ht="29" x14ac:dyDescent="0.35">
      <c r="A14" s="42" t="s">
        <v>109</v>
      </c>
      <c r="B14" s="309" t="s">
        <v>10</v>
      </c>
      <c r="C14" s="310" t="s">
        <v>133</v>
      </c>
      <c r="D14" s="319" t="s">
        <v>327</v>
      </c>
    </row>
    <row r="15" spans="1:4" s="32" customFormat="1" ht="29" x14ac:dyDescent="0.35">
      <c r="A15" s="42" t="s">
        <v>110</v>
      </c>
      <c r="B15" s="309" t="s">
        <v>10</v>
      </c>
      <c r="C15" s="259" t="s">
        <v>146</v>
      </c>
      <c r="D15" s="311" t="s">
        <v>145</v>
      </c>
    </row>
    <row r="16" spans="1:4" s="32" customFormat="1" ht="29" x14ac:dyDescent="0.35">
      <c r="A16" s="42" t="s">
        <v>111</v>
      </c>
      <c r="B16" s="309" t="s">
        <v>134</v>
      </c>
      <c r="C16" s="259" t="s">
        <v>548</v>
      </c>
      <c r="D16" s="311" t="s">
        <v>304</v>
      </c>
    </row>
    <row r="17" spans="1:7" s="32" customFormat="1" ht="43.5" x14ac:dyDescent="0.35">
      <c r="A17" s="42" t="s">
        <v>112</v>
      </c>
      <c r="B17" s="309" t="s">
        <v>134</v>
      </c>
      <c r="C17" s="259" t="s">
        <v>305</v>
      </c>
      <c r="D17" s="312" t="s">
        <v>523</v>
      </c>
    </row>
    <row r="18" spans="1:7" ht="43.5" x14ac:dyDescent="0.35">
      <c r="A18" s="42" t="s">
        <v>105</v>
      </c>
      <c r="B18" s="309" t="s">
        <v>134</v>
      </c>
      <c r="C18" s="259" t="s">
        <v>306</v>
      </c>
      <c r="D18" s="311" t="s">
        <v>307</v>
      </c>
    </row>
    <row r="19" spans="1:7" ht="43.5" x14ac:dyDescent="0.35">
      <c r="A19" s="265" t="s">
        <v>330</v>
      </c>
      <c r="B19" s="309" t="s">
        <v>10</v>
      </c>
      <c r="C19" s="259" t="s">
        <v>389</v>
      </c>
      <c r="D19" s="311" t="s">
        <v>390</v>
      </c>
      <c r="E19" s="238"/>
      <c r="F19" s="238"/>
      <c r="G19" s="238"/>
    </row>
    <row r="20" spans="1:7" ht="29" x14ac:dyDescent="0.35">
      <c r="A20" s="265" t="s">
        <v>332</v>
      </c>
      <c r="B20" s="309" t="s">
        <v>10</v>
      </c>
      <c r="C20" s="259" t="s">
        <v>391</v>
      </c>
      <c r="D20" s="311" t="s">
        <v>392</v>
      </c>
    </row>
    <row r="21" spans="1:7" ht="29" x14ac:dyDescent="0.35">
      <c r="A21" s="372" t="s">
        <v>333</v>
      </c>
      <c r="B21" s="309" t="s">
        <v>9</v>
      </c>
      <c r="C21" s="247" t="s">
        <v>550</v>
      </c>
      <c r="D21" s="311" t="s">
        <v>549</v>
      </c>
    </row>
    <row r="22" spans="1:7" ht="29" x14ac:dyDescent="0.35">
      <c r="A22" s="373" t="s">
        <v>355</v>
      </c>
      <c r="B22" s="258" t="s">
        <v>134</v>
      </c>
      <c r="C22" s="247" t="s">
        <v>551</v>
      </c>
      <c r="D22" s="311" t="s">
        <v>552</v>
      </c>
    </row>
    <row r="23" spans="1:7" ht="29" x14ac:dyDescent="0.35">
      <c r="A23" s="374" t="s">
        <v>393</v>
      </c>
      <c r="B23" s="258" t="s">
        <v>9</v>
      </c>
      <c r="C23" s="247" t="s">
        <v>394</v>
      </c>
      <c r="D23" s="311" t="s">
        <v>482</v>
      </c>
    </row>
    <row r="31" spans="1:7" ht="34.5" customHeight="1" x14ac:dyDescent="0.25">
      <c r="A31" s="29" t="s">
        <v>170</v>
      </c>
      <c r="E31" s="30"/>
      <c r="F31" s="30"/>
      <c r="G31" s="30"/>
    </row>
    <row r="32" spans="1:7" ht="40.4" customHeight="1" x14ac:dyDescent="0.25">
      <c r="B32" s="333" t="s">
        <v>171</v>
      </c>
      <c r="C32" s="333"/>
      <c r="D32" s="30"/>
    </row>
    <row r="34" spans="2:2" x14ac:dyDescent="0.35">
      <c r="B34" s="32"/>
    </row>
  </sheetData>
  <mergeCells count="5">
    <mergeCell ref="C3:D3"/>
    <mergeCell ref="C4:D4"/>
    <mergeCell ref="C5:D5"/>
    <mergeCell ref="C6:D6"/>
    <mergeCell ref="B32:C32"/>
  </mergeCells>
  <pageMargins left="0.70866141732283505" right="0.70866141732283505" top="1.5748031496063" bottom="0.74803149606299202" header="0.31496062992126" footer="0.31496062992126"/>
  <pageSetup scale="69"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69"/>
  <sheetViews>
    <sheetView tabSelected="1" view="pageBreakPreview" topLeftCell="A55" zoomScaleNormal="100" zoomScaleSheetLayoutView="100" workbookViewId="0">
      <selection activeCell="B18" sqref="B18"/>
    </sheetView>
  </sheetViews>
  <sheetFormatPr defaultColWidth="9.1796875" defaultRowHeight="14.5" x14ac:dyDescent="0.35"/>
  <cols>
    <col min="1" max="1" width="31.54296875" style="26" customWidth="1"/>
    <col min="2" max="2" width="58.54296875" style="26" customWidth="1"/>
    <col min="3" max="3" width="20.54296875" style="26" customWidth="1"/>
    <col min="4" max="4" width="42.54296875" style="26" customWidth="1"/>
    <col min="5" max="16384" width="9.1796875" style="26"/>
  </cols>
  <sheetData>
    <row r="1" spans="1:4" s="48" customFormat="1" ht="15" customHeight="1" x14ac:dyDescent="0.35">
      <c r="A1" s="31" t="s">
        <v>160</v>
      </c>
    </row>
    <row r="2" spans="1:4" s="48" customFormat="1" ht="15" customHeight="1" x14ac:dyDescent="0.35">
      <c r="A2" s="31"/>
    </row>
    <row r="3" spans="1:4" s="48" customFormat="1" ht="14" hidden="1" x14ac:dyDescent="0.35"/>
    <row r="4" spans="1:4" s="48" customFormat="1" ht="14" x14ac:dyDescent="0.35">
      <c r="A4" s="49" t="s">
        <v>7</v>
      </c>
      <c r="B4" s="50" t="s">
        <v>13</v>
      </c>
      <c r="C4" s="50" t="s">
        <v>66</v>
      </c>
      <c r="D4" s="50" t="s">
        <v>67</v>
      </c>
    </row>
    <row r="5" spans="1:4" s="48" customFormat="1" ht="14" x14ac:dyDescent="0.35">
      <c r="A5" s="51" t="s">
        <v>113</v>
      </c>
      <c r="B5" s="52" t="s">
        <v>143</v>
      </c>
      <c r="C5" s="45" t="s">
        <v>124</v>
      </c>
      <c r="D5" s="45" t="s">
        <v>125</v>
      </c>
    </row>
    <row r="6" spans="1:4" s="48" customFormat="1" ht="14" x14ac:dyDescent="0.35">
      <c r="A6" s="53" t="s">
        <v>114</v>
      </c>
      <c r="B6" s="52" t="s">
        <v>144</v>
      </c>
      <c r="C6" s="45" t="s">
        <v>124</v>
      </c>
      <c r="D6" s="45" t="s">
        <v>125</v>
      </c>
    </row>
    <row r="7" spans="1:4" s="48" customFormat="1" ht="14" x14ac:dyDescent="0.35">
      <c r="A7" s="53" t="s">
        <v>293</v>
      </c>
      <c r="B7" s="233" t="s">
        <v>396</v>
      </c>
      <c r="C7" s="45" t="s">
        <v>124</v>
      </c>
      <c r="D7" s="45" t="s">
        <v>125</v>
      </c>
    </row>
    <row r="8" spans="1:4" s="48" customFormat="1" ht="14" x14ac:dyDescent="0.35">
      <c r="A8" s="53" t="s">
        <v>294</v>
      </c>
      <c r="B8" s="54" t="s">
        <v>395</v>
      </c>
      <c r="C8" s="45" t="s">
        <v>124</v>
      </c>
      <c r="D8" s="45" t="s">
        <v>125</v>
      </c>
    </row>
    <row r="9" spans="1:4" s="48" customFormat="1" ht="14" x14ac:dyDescent="0.35">
      <c r="A9" s="249" t="s">
        <v>420</v>
      </c>
      <c r="B9" s="253" t="s">
        <v>421</v>
      </c>
      <c r="C9" s="250" t="s">
        <v>124</v>
      </c>
      <c r="D9" s="250" t="s">
        <v>125</v>
      </c>
    </row>
    <row r="10" spans="1:4" s="48" customFormat="1" ht="14" x14ac:dyDescent="0.35">
      <c r="A10" s="249" t="s">
        <v>423</v>
      </c>
      <c r="B10" s="253" t="s">
        <v>424</v>
      </c>
      <c r="C10" s="250" t="s">
        <v>124</v>
      </c>
      <c r="D10" s="250" t="s">
        <v>125</v>
      </c>
    </row>
    <row r="11" spans="1:4" s="48" customFormat="1" ht="14" x14ac:dyDescent="0.35">
      <c r="A11" s="249" t="s">
        <v>425</v>
      </c>
      <c r="B11" s="253" t="s">
        <v>427</v>
      </c>
      <c r="C11" s="250" t="s">
        <v>124</v>
      </c>
      <c r="D11" s="250" t="s">
        <v>125</v>
      </c>
    </row>
    <row r="12" spans="1:4" s="48" customFormat="1" ht="14" x14ac:dyDescent="0.35">
      <c r="A12" s="249" t="s">
        <v>428</v>
      </c>
      <c r="B12" s="253" t="s">
        <v>429</v>
      </c>
      <c r="C12" s="250" t="s">
        <v>124</v>
      </c>
      <c r="D12" s="250" t="s">
        <v>125</v>
      </c>
    </row>
    <row r="13" spans="1:4" s="239" customFormat="1" ht="14" x14ac:dyDescent="0.35">
      <c r="A13" s="55" t="s">
        <v>397</v>
      </c>
      <c r="B13" s="55"/>
      <c r="C13" s="55"/>
      <c r="D13" s="55"/>
    </row>
    <row r="14" spans="1:4" s="239" customFormat="1" ht="14" x14ac:dyDescent="0.35">
      <c r="A14" s="56" t="s">
        <v>140</v>
      </c>
      <c r="B14" s="56" t="s">
        <v>398</v>
      </c>
      <c r="C14" s="45" t="s">
        <v>124</v>
      </c>
      <c r="D14" s="45" t="s">
        <v>125</v>
      </c>
    </row>
    <row r="15" spans="1:4" s="239" customFormat="1" ht="14" x14ac:dyDescent="0.35">
      <c r="A15" s="53" t="s">
        <v>295</v>
      </c>
      <c r="B15" s="54" t="s">
        <v>296</v>
      </c>
      <c r="C15" s="45" t="s">
        <v>124</v>
      </c>
      <c r="D15" s="54" t="s">
        <v>125</v>
      </c>
    </row>
    <row r="16" spans="1:4" s="48" customFormat="1" ht="14" x14ac:dyDescent="0.35">
      <c r="A16" s="249" t="s">
        <v>297</v>
      </c>
      <c r="B16" s="54" t="s">
        <v>554</v>
      </c>
      <c r="C16" s="45" t="s">
        <v>124</v>
      </c>
      <c r="D16" s="54" t="s">
        <v>125</v>
      </c>
    </row>
    <row r="17" spans="1:8" s="48" customFormat="1" ht="14" x14ac:dyDescent="0.35">
      <c r="A17" s="249" t="s">
        <v>334</v>
      </c>
      <c r="B17" s="243" t="s">
        <v>337</v>
      </c>
      <c r="C17" s="246" t="s">
        <v>124</v>
      </c>
      <c r="D17" s="243" t="s">
        <v>125</v>
      </c>
    </row>
    <row r="18" spans="1:8" s="48" customFormat="1" ht="14" x14ac:dyDescent="0.35">
      <c r="A18" s="249" t="s">
        <v>335</v>
      </c>
      <c r="B18" s="375" t="s">
        <v>399</v>
      </c>
      <c r="C18" s="246" t="s">
        <v>124</v>
      </c>
      <c r="D18" s="243" t="s">
        <v>125</v>
      </c>
    </row>
    <row r="19" spans="1:8" s="48" customFormat="1" ht="14" x14ac:dyDescent="0.35">
      <c r="A19" s="249" t="s">
        <v>336</v>
      </c>
      <c r="B19" s="243" t="s">
        <v>400</v>
      </c>
      <c r="C19" s="246" t="s">
        <v>124</v>
      </c>
      <c r="D19" s="243" t="s">
        <v>125</v>
      </c>
    </row>
    <row r="20" spans="1:8" s="48" customFormat="1" ht="14" x14ac:dyDescent="0.35">
      <c r="A20" s="249" t="s">
        <v>338</v>
      </c>
      <c r="B20" s="54" t="s">
        <v>401</v>
      </c>
      <c r="C20" s="246" t="s">
        <v>124</v>
      </c>
      <c r="D20" s="54" t="s">
        <v>125</v>
      </c>
    </row>
    <row r="21" spans="1:8" s="241" customFormat="1" ht="14" x14ac:dyDescent="0.35">
      <c r="A21" s="55" t="s">
        <v>12</v>
      </c>
      <c r="B21" s="55"/>
      <c r="C21" s="55"/>
      <c r="D21" s="55"/>
    </row>
    <row r="22" spans="1:8" s="241" customFormat="1" ht="14" x14ac:dyDescent="0.35">
      <c r="A22" s="53" t="s">
        <v>141</v>
      </c>
      <c r="B22" s="54" t="s">
        <v>123</v>
      </c>
      <c r="C22" s="45" t="s">
        <v>124</v>
      </c>
      <c r="D22" s="45" t="s">
        <v>125</v>
      </c>
    </row>
    <row r="23" spans="1:8" s="48" customFormat="1" ht="14" x14ac:dyDescent="0.35">
      <c r="A23" s="56" t="s">
        <v>142</v>
      </c>
      <c r="B23" s="54" t="s">
        <v>139</v>
      </c>
      <c r="C23" s="45" t="s">
        <v>124</v>
      </c>
      <c r="D23" s="45" t="s">
        <v>125</v>
      </c>
    </row>
    <row r="24" spans="1:8" s="241" customFormat="1" ht="14" x14ac:dyDescent="0.35">
      <c r="A24" s="53" t="s">
        <v>292</v>
      </c>
      <c r="B24" s="54" t="s">
        <v>402</v>
      </c>
      <c r="C24" s="45" t="s">
        <v>124</v>
      </c>
      <c r="D24" s="45" t="s">
        <v>125</v>
      </c>
      <c r="E24" s="251"/>
      <c r="F24" s="251"/>
      <c r="G24" s="251"/>
      <c r="H24" s="251"/>
    </row>
    <row r="25" spans="1:8" s="48" customFormat="1" ht="14" x14ac:dyDescent="0.35">
      <c r="A25" s="249" t="s">
        <v>339</v>
      </c>
      <c r="B25" s="243" t="s">
        <v>403</v>
      </c>
      <c r="C25" s="246" t="s">
        <v>124</v>
      </c>
      <c r="D25" s="246" t="s">
        <v>125</v>
      </c>
    </row>
    <row r="26" spans="1:8" s="48" customFormat="1" ht="14" x14ac:dyDescent="0.35">
      <c r="A26" s="242"/>
      <c r="B26" s="243"/>
      <c r="C26" s="262"/>
      <c r="D26" s="246"/>
    </row>
    <row r="27" spans="1:8" s="48" customFormat="1" ht="14" x14ac:dyDescent="0.35">
      <c r="A27" s="55" t="s">
        <v>508</v>
      </c>
      <c r="B27" s="55"/>
      <c r="C27" s="55"/>
      <c r="D27" s="55"/>
    </row>
    <row r="28" spans="1:8" s="48" customFormat="1" ht="14" x14ac:dyDescent="0.35">
      <c r="A28" s="252" t="s">
        <v>149</v>
      </c>
      <c r="B28" s="253" t="s">
        <v>138</v>
      </c>
      <c r="C28" s="250" t="s">
        <v>124</v>
      </c>
      <c r="D28" s="253" t="s">
        <v>125</v>
      </c>
    </row>
    <row r="29" spans="1:8" s="48" customFormat="1" ht="14" x14ac:dyDescent="0.35">
      <c r="A29" s="249" t="s">
        <v>340</v>
      </c>
      <c r="B29" s="243" t="s">
        <v>516</v>
      </c>
      <c r="C29" s="278" t="s">
        <v>124</v>
      </c>
      <c r="D29" s="253" t="s">
        <v>125</v>
      </c>
    </row>
    <row r="30" spans="1:8" s="48" customFormat="1" ht="14" x14ac:dyDescent="0.35">
      <c r="A30" s="249" t="s">
        <v>341</v>
      </c>
      <c r="B30" s="243" t="s">
        <v>404</v>
      </c>
      <c r="C30" s="278" t="s">
        <v>124</v>
      </c>
      <c r="D30" s="253" t="s">
        <v>125</v>
      </c>
    </row>
    <row r="31" spans="1:8" s="48" customFormat="1" ht="28" x14ac:dyDescent="0.35">
      <c r="A31" s="249" t="s">
        <v>342</v>
      </c>
      <c r="B31" s="246" t="s">
        <v>405</v>
      </c>
      <c r="C31" s="278" t="s">
        <v>124</v>
      </c>
      <c r="D31" s="253" t="s">
        <v>125</v>
      </c>
    </row>
    <row r="32" spans="1:8" s="48" customFormat="1" ht="14" x14ac:dyDescent="0.35">
      <c r="A32" s="249" t="s">
        <v>343</v>
      </c>
      <c r="B32" s="243" t="s">
        <v>406</v>
      </c>
      <c r="C32" s="278" t="s">
        <v>124</v>
      </c>
      <c r="D32" s="253" t="s">
        <v>125</v>
      </c>
    </row>
    <row r="33" spans="1:8" s="241" customFormat="1" ht="14" x14ac:dyDescent="0.35">
      <c r="A33" s="249" t="s">
        <v>344</v>
      </c>
      <c r="B33" s="243" t="s">
        <v>407</v>
      </c>
      <c r="C33" s="278" t="s">
        <v>124</v>
      </c>
      <c r="D33" s="253" t="s">
        <v>125</v>
      </c>
    </row>
    <row r="34" spans="1:8" s="241" customFormat="1" ht="28" x14ac:dyDescent="0.35">
      <c r="A34" s="249" t="s">
        <v>345</v>
      </c>
      <c r="B34" s="278" t="s">
        <v>408</v>
      </c>
      <c r="C34" s="278" t="s">
        <v>124</v>
      </c>
      <c r="D34" s="253" t="s">
        <v>125</v>
      </c>
    </row>
    <row r="35" spans="1:8" s="241" customFormat="1" ht="14" x14ac:dyDescent="0.35">
      <c r="A35" s="249" t="s">
        <v>346</v>
      </c>
      <c r="B35" s="243" t="s">
        <v>409</v>
      </c>
      <c r="C35" s="278" t="s">
        <v>124</v>
      </c>
      <c r="D35" s="253" t="s">
        <v>125</v>
      </c>
    </row>
    <row r="36" spans="1:8" s="241" customFormat="1" ht="14" x14ac:dyDescent="0.35">
      <c r="A36" s="249" t="s">
        <v>358</v>
      </c>
      <c r="B36" s="262" t="s">
        <v>410</v>
      </c>
      <c r="C36" s="278" t="s">
        <v>124</v>
      </c>
      <c r="D36" s="253" t="s">
        <v>125</v>
      </c>
    </row>
    <row r="37" spans="1:8" s="241" customFormat="1" ht="14" x14ac:dyDescent="0.35">
      <c r="A37" s="283" t="s">
        <v>348</v>
      </c>
      <c r="B37" s="262" t="s">
        <v>520</v>
      </c>
      <c r="C37" s="278" t="s">
        <v>124</v>
      </c>
      <c r="D37" s="253" t="s">
        <v>125</v>
      </c>
    </row>
    <row r="38" spans="1:8" s="241" customFormat="1" ht="14" x14ac:dyDescent="0.35">
      <c r="A38" s="261" t="s">
        <v>347</v>
      </c>
      <c r="B38" s="263"/>
      <c r="C38" s="263"/>
      <c r="D38" s="263"/>
    </row>
    <row r="39" spans="1:8" s="241" customFormat="1" ht="14" x14ac:dyDescent="0.35">
      <c r="A39" s="260" t="s">
        <v>349</v>
      </c>
      <c r="B39" s="262" t="s">
        <v>553</v>
      </c>
      <c r="C39" s="278" t="s">
        <v>124</v>
      </c>
      <c r="D39" s="253" t="s">
        <v>125</v>
      </c>
    </row>
    <row r="40" spans="1:8" s="48" customFormat="1" ht="14" x14ac:dyDescent="0.35">
      <c r="A40" s="260" t="s">
        <v>350</v>
      </c>
      <c r="B40" s="262" t="s">
        <v>411</v>
      </c>
      <c r="C40" s="278" t="s">
        <v>124</v>
      </c>
      <c r="D40" s="253" t="s">
        <v>125</v>
      </c>
    </row>
    <row r="41" spans="1:8" s="48" customFormat="1" ht="14" x14ac:dyDescent="0.25">
      <c r="A41" s="260" t="s">
        <v>351</v>
      </c>
      <c r="B41" s="262" t="s">
        <v>412</v>
      </c>
      <c r="C41" s="278" t="s">
        <v>124</v>
      </c>
      <c r="D41" s="253" t="s">
        <v>125</v>
      </c>
      <c r="E41" s="30"/>
      <c r="F41" s="30"/>
      <c r="G41" s="30"/>
      <c r="H41" s="30"/>
    </row>
    <row r="42" spans="1:8" s="48" customFormat="1" ht="14" x14ac:dyDescent="0.35">
      <c r="A42" s="260" t="s">
        <v>519</v>
      </c>
      <c r="B42" s="262" t="s">
        <v>352</v>
      </c>
      <c r="C42" s="278" t="s">
        <v>124</v>
      </c>
      <c r="D42" s="253" t="s">
        <v>125</v>
      </c>
    </row>
    <row r="43" spans="1:8" x14ac:dyDescent="0.35">
      <c r="A43" s="260"/>
      <c r="B43" s="262"/>
      <c r="C43" s="262"/>
      <c r="D43" s="262"/>
    </row>
    <row r="44" spans="1:8" x14ac:dyDescent="0.35">
      <c r="A44" s="261" t="s">
        <v>506</v>
      </c>
      <c r="B44" s="263"/>
      <c r="C44" s="263"/>
      <c r="D44" s="263"/>
    </row>
    <row r="45" spans="1:8" x14ac:dyDescent="0.35">
      <c r="A45" s="282" t="s">
        <v>447</v>
      </c>
      <c r="B45" s="262" t="s">
        <v>446</v>
      </c>
      <c r="C45" s="278" t="s">
        <v>124</v>
      </c>
      <c r="D45" s="253" t="s">
        <v>125</v>
      </c>
    </row>
    <row r="46" spans="1:8" x14ac:dyDescent="0.35">
      <c r="A46" s="283" t="s">
        <v>448</v>
      </c>
      <c r="B46" s="262" t="s">
        <v>473</v>
      </c>
      <c r="C46" s="278" t="s">
        <v>124</v>
      </c>
      <c r="D46" s="253" t="s">
        <v>125</v>
      </c>
    </row>
    <row r="47" spans="1:8" x14ac:dyDescent="0.35">
      <c r="A47" s="283" t="s">
        <v>449</v>
      </c>
      <c r="B47" s="262" t="s">
        <v>507</v>
      </c>
      <c r="C47" s="278" t="s">
        <v>124</v>
      </c>
      <c r="D47" s="253" t="s">
        <v>125</v>
      </c>
    </row>
    <row r="48" spans="1:8" x14ac:dyDescent="0.35">
      <c r="A48" s="283" t="s">
        <v>452</v>
      </c>
      <c r="B48" s="262" t="s">
        <v>450</v>
      </c>
      <c r="C48" s="278" t="s">
        <v>124</v>
      </c>
      <c r="D48" s="253" t="s">
        <v>125</v>
      </c>
    </row>
    <row r="49" spans="1:4" x14ac:dyDescent="0.35">
      <c r="A49" s="283" t="s">
        <v>456</v>
      </c>
      <c r="B49" s="264" t="s">
        <v>451</v>
      </c>
      <c r="C49" s="278" t="s">
        <v>124</v>
      </c>
      <c r="D49" s="253" t="s">
        <v>125</v>
      </c>
    </row>
    <row r="50" spans="1:4" x14ac:dyDescent="0.35">
      <c r="A50" s="283" t="s">
        <v>453</v>
      </c>
      <c r="B50" s="262" t="s">
        <v>454</v>
      </c>
      <c r="C50" s="278" t="s">
        <v>124</v>
      </c>
      <c r="D50" s="253" t="s">
        <v>125</v>
      </c>
    </row>
    <row r="51" spans="1:4" ht="28" x14ac:dyDescent="0.35">
      <c r="A51" s="283" t="s">
        <v>455</v>
      </c>
      <c r="B51" s="254" t="s">
        <v>457</v>
      </c>
      <c r="C51" s="278" t="s">
        <v>124</v>
      </c>
      <c r="D51" s="253" t="s">
        <v>125</v>
      </c>
    </row>
    <row r="52" spans="1:4" x14ac:dyDescent="0.35">
      <c r="A52" s="283" t="s">
        <v>460</v>
      </c>
      <c r="B52" s="262" t="s">
        <v>461</v>
      </c>
      <c r="C52" s="278" t="s">
        <v>124</v>
      </c>
      <c r="D52" s="253" t="s">
        <v>125</v>
      </c>
    </row>
    <row r="53" spans="1:4" x14ac:dyDescent="0.35">
      <c r="A53" s="260"/>
      <c r="B53" s="262"/>
      <c r="C53" s="262"/>
      <c r="D53" s="262"/>
    </row>
    <row r="54" spans="1:4" x14ac:dyDescent="0.35">
      <c r="A54" s="261" t="s">
        <v>462</v>
      </c>
      <c r="B54" s="263"/>
      <c r="C54" s="263"/>
      <c r="D54" s="263"/>
    </row>
    <row r="55" spans="1:4" x14ac:dyDescent="0.35">
      <c r="A55" s="283" t="s">
        <v>463</v>
      </c>
      <c r="B55" s="262" t="s">
        <v>450</v>
      </c>
      <c r="C55" s="278" t="s">
        <v>124</v>
      </c>
      <c r="D55" s="253" t="s">
        <v>125</v>
      </c>
    </row>
    <row r="56" spans="1:4" x14ac:dyDescent="0.35">
      <c r="A56" s="283" t="s">
        <v>464</v>
      </c>
      <c r="B56" s="264" t="s">
        <v>451</v>
      </c>
      <c r="C56" s="278" t="s">
        <v>124</v>
      </c>
      <c r="D56" s="253" t="s">
        <v>125</v>
      </c>
    </row>
    <row r="57" spans="1:4" x14ac:dyDescent="0.35">
      <c r="A57" s="283" t="s">
        <v>465</v>
      </c>
      <c r="B57" s="262" t="s">
        <v>454</v>
      </c>
      <c r="C57" s="278" t="s">
        <v>124</v>
      </c>
      <c r="D57" s="253" t="s">
        <v>125</v>
      </c>
    </row>
    <row r="58" spans="1:4" x14ac:dyDescent="0.35">
      <c r="A58" s="283" t="s">
        <v>466</v>
      </c>
      <c r="B58" s="262" t="s">
        <v>457</v>
      </c>
      <c r="C58" s="278" t="s">
        <v>124</v>
      </c>
      <c r="D58" s="253" t="s">
        <v>125</v>
      </c>
    </row>
    <row r="59" spans="1:4" x14ac:dyDescent="0.35">
      <c r="A59" s="283" t="s">
        <v>467</v>
      </c>
      <c r="B59" s="262" t="s">
        <v>461</v>
      </c>
      <c r="C59" s="278" t="s">
        <v>124</v>
      </c>
      <c r="D59" s="253" t="s">
        <v>125</v>
      </c>
    </row>
    <row r="60" spans="1:4" x14ac:dyDescent="0.35">
      <c r="A60" s="283" t="s">
        <v>469</v>
      </c>
      <c r="B60" s="262" t="s">
        <v>468</v>
      </c>
      <c r="C60" s="278" t="s">
        <v>124</v>
      </c>
      <c r="D60" s="253" t="s">
        <v>125</v>
      </c>
    </row>
    <row r="61" spans="1:4" x14ac:dyDescent="0.35">
      <c r="A61" s="249" t="s">
        <v>502</v>
      </c>
      <c r="B61" s="253" t="s">
        <v>503</v>
      </c>
      <c r="C61" s="278" t="s">
        <v>124</v>
      </c>
      <c r="D61" s="253" t="s">
        <v>125</v>
      </c>
    </row>
    <row r="62" spans="1:4" x14ac:dyDescent="0.35">
      <c r="A62" s="303"/>
      <c r="B62" s="262"/>
      <c r="C62" s="254"/>
      <c r="D62" s="262"/>
    </row>
    <row r="63" spans="1:4" x14ac:dyDescent="0.35">
      <c r="A63" s="315" t="s">
        <v>509</v>
      </c>
      <c r="B63" s="316"/>
      <c r="C63" s="316"/>
      <c r="D63" s="316"/>
    </row>
    <row r="64" spans="1:4" ht="28" x14ac:dyDescent="0.35">
      <c r="A64" s="318" t="s">
        <v>513</v>
      </c>
      <c r="B64" s="317" t="s">
        <v>510</v>
      </c>
      <c r="C64" s="278" t="s">
        <v>177</v>
      </c>
      <c r="D64" s="278" t="s">
        <v>547</v>
      </c>
    </row>
    <row r="65" spans="1:4" ht="28" x14ac:dyDescent="0.35">
      <c r="A65" s="318" t="s">
        <v>514</v>
      </c>
      <c r="B65" s="317" t="s">
        <v>511</v>
      </c>
      <c r="C65" s="278" t="s">
        <v>177</v>
      </c>
      <c r="D65" s="278" t="s">
        <v>547</v>
      </c>
    </row>
    <row r="66" spans="1:4" ht="28" x14ac:dyDescent="0.35">
      <c r="A66" s="318" t="s">
        <v>515</v>
      </c>
      <c r="B66" s="317" t="s">
        <v>512</v>
      </c>
      <c r="C66" s="278" t="s">
        <v>177</v>
      </c>
      <c r="D66" s="278" t="s">
        <v>547</v>
      </c>
    </row>
    <row r="67" spans="1:4" x14ac:dyDescent="0.25">
      <c r="A67" s="29" t="s">
        <v>170</v>
      </c>
      <c r="B67" s="48"/>
      <c r="C67" s="48"/>
    </row>
    <row r="68" spans="1:4" ht="42" x14ac:dyDescent="0.25">
      <c r="A68" s="48"/>
      <c r="B68" s="30" t="s">
        <v>171</v>
      </c>
      <c r="C68" s="30"/>
    </row>
    <row r="69" spans="1:4" x14ac:dyDescent="0.35">
      <c r="A69" s="48"/>
      <c r="B69" s="48"/>
      <c r="C69" s="48"/>
    </row>
  </sheetData>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C28:C37 C14:C20 C5:C12 C45:C52 C39:C42 C22:C25 C55:C62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3"/>
  <sheetViews>
    <sheetView view="pageBreakPreview" topLeftCell="A31" zoomScale="90" zoomScaleNormal="100" zoomScaleSheetLayoutView="90" workbookViewId="0">
      <selection activeCell="C45" sqref="C45"/>
    </sheetView>
  </sheetViews>
  <sheetFormatPr defaultColWidth="9.1796875" defaultRowHeight="14.5" x14ac:dyDescent="0.35"/>
  <cols>
    <col min="1" max="1" width="6.1796875" style="26" customWidth="1"/>
    <col min="2" max="2" width="38.1796875" style="26" customWidth="1"/>
    <col min="3" max="3" width="49.453125" style="26" customWidth="1"/>
    <col min="4" max="4" width="27.81640625" style="26" customWidth="1"/>
    <col min="5" max="5" width="15.1796875" style="27" customWidth="1"/>
    <col min="6" max="6" width="24.54296875" style="26" customWidth="1"/>
    <col min="7" max="16384" width="9.1796875" style="26"/>
  </cols>
  <sheetData>
    <row r="1" spans="1:7" s="48" customFormat="1" ht="14" x14ac:dyDescent="0.35">
      <c r="A1" s="31" t="s">
        <v>161</v>
      </c>
      <c r="E1" s="58"/>
    </row>
    <row r="2" spans="1:7" s="48" customFormat="1" ht="14" x14ac:dyDescent="0.35">
      <c r="E2" s="58"/>
    </row>
    <row r="3" spans="1:7" s="48" customFormat="1" ht="28" x14ac:dyDescent="0.35">
      <c r="A3" s="59" t="s">
        <v>20</v>
      </c>
      <c r="B3" s="59" t="s">
        <v>23</v>
      </c>
      <c r="C3" s="59" t="s">
        <v>21</v>
      </c>
      <c r="D3" s="59" t="s">
        <v>15</v>
      </c>
      <c r="E3" s="59" t="s">
        <v>178</v>
      </c>
      <c r="F3" s="60" t="s">
        <v>179</v>
      </c>
    </row>
    <row r="4" spans="1:7" s="68" customFormat="1" ht="126" x14ac:dyDescent="0.35">
      <c r="A4" s="61" t="s">
        <v>118</v>
      </c>
      <c r="B4" s="62" t="s">
        <v>413</v>
      </c>
      <c r="C4" s="63" t="s">
        <v>529</v>
      </c>
      <c r="D4" s="64" t="s">
        <v>227</v>
      </c>
      <c r="E4" s="65" t="s">
        <v>124</v>
      </c>
      <c r="F4" s="67" t="s">
        <v>125</v>
      </c>
    </row>
    <row r="5" spans="1:7" s="48" customFormat="1" ht="112" x14ac:dyDescent="0.35">
      <c r="A5" s="61" t="s">
        <v>119</v>
      </c>
      <c r="B5" s="62" t="s">
        <v>414</v>
      </c>
      <c r="C5" s="63" t="s">
        <v>530</v>
      </c>
      <c r="D5" s="64" t="s">
        <v>159</v>
      </c>
      <c r="E5" s="65" t="s">
        <v>124</v>
      </c>
      <c r="F5" s="43" t="s">
        <v>125</v>
      </c>
    </row>
    <row r="6" spans="1:7" s="48" customFormat="1" ht="70" x14ac:dyDescent="0.35">
      <c r="A6" s="61" t="s">
        <v>120</v>
      </c>
      <c r="B6" s="62" t="s">
        <v>44</v>
      </c>
      <c r="C6" s="62" t="s">
        <v>45</v>
      </c>
      <c r="D6" s="64" t="s">
        <v>228</v>
      </c>
      <c r="E6" s="65" t="s">
        <v>124</v>
      </c>
      <c r="F6" s="67" t="s">
        <v>125</v>
      </c>
    </row>
    <row r="7" spans="1:7" s="48" customFormat="1" ht="56" x14ac:dyDescent="0.35">
      <c r="A7" s="69" t="s">
        <v>121</v>
      </c>
      <c r="B7" s="70" t="s">
        <v>136</v>
      </c>
      <c r="C7" s="70" t="s">
        <v>531</v>
      </c>
      <c r="D7" s="64" t="s">
        <v>159</v>
      </c>
      <c r="E7" s="234" t="s">
        <v>177</v>
      </c>
      <c r="F7" s="235" t="s">
        <v>532</v>
      </c>
    </row>
    <row r="8" spans="1:7" s="48" customFormat="1" ht="28" x14ac:dyDescent="0.35">
      <c r="A8" s="61" t="s">
        <v>122</v>
      </c>
      <c r="B8" s="70" t="s">
        <v>137</v>
      </c>
      <c r="C8" s="70" t="s">
        <v>533</v>
      </c>
      <c r="D8" s="64" t="s">
        <v>229</v>
      </c>
      <c r="E8" s="65" t="s">
        <v>124</v>
      </c>
      <c r="F8" s="67" t="s">
        <v>125</v>
      </c>
    </row>
    <row r="9" spans="1:7" s="48" customFormat="1" ht="56" x14ac:dyDescent="0.35">
      <c r="A9" s="61" t="s">
        <v>230</v>
      </c>
      <c r="B9" s="62" t="s">
        <v>231</v>
      </c>
      <c r="C9" s="62" t="s">
        <v>232</v>
      </c>
      <c r="D9" s="64" t="s">
        <v>229</v>
      </c>
      <c r="E9" s="65" t="s">
        <v>124</v>
      </c>
      <c r="F9" s="67" t="s">
        <v>125</v>
      </c>
    </row>
    <row r="10" spans="1:7" s="48" customFormat="1" ht="42" x14ac:dyDescent="0.35">
      <c r="A10" s="65" t="s">
        <v>233</v>
      </c>
      <c r="B10" s="62" t="s">
        <v>234</v>
      </c>
      <c r="C10" s="62" t="s">
        <v>235</v>
      </c>
      <c r="D10" s="64" t="s">
        <v>159</v>
      </c>
      <c r="E10" s="65" t="s">
        <v>124</v>
      </c>
      <c r="F10" s="67" t="s">
        <v>125</v>
      </c>
    </row>
    <row r="11" spans="1:7" s="48" customFormat="1" ht="70" x14ac:dyDescent="0.35">
      <c r="A11" s="65" t="s">
        <v>236</v>
      </c>
      <c r="B11" s="62" t="s">
        <v>237</v>
      </c>
      <c r="C11" s="62" t="s">
        <v>534</v>
      </c>
      <c r="D11" s="64" t="s">
        <v>238</v>
      </c>
      <c r="E11" s="65" t="s">
        <v>124</v>
      </c>
      <c r="F11" s="67" t="s">
        <v>125</v>
      </c>
    </row>
    <row r="12" spans="1:7" s="48" customFormat="1" ht="43.5" x14ac:dyDescent="0.35">
      <c r="A12" s="199" t="s">
        <v>239</v>
      </c>
      <c r="B12" s="247" t="s">
        <v>240</v>
      </c>
      <c r="C12" s="200" t="s">
        <v>241</v>
      </c>
      <c r="D12" s="201" t="s">
        <v>242</v>
      </c>
      <c r="E12" s="65" t="s">
        <v>177</v>
      </c>
      <c r="F12" s="202" t="s">
        <v>243</v>
      </c>
    </row>
    <row r="13" spans="1:7" s="48" customFormat="1" ht="42" x14ac:dyDescent="0.35">
      <c r="A13" s="65" t="s">
        <v>244</v>
      </c>
      <c r="B13" s="70" t="s">
        <v>245</v>
      </c>
      <c r="C13" s="237" t="s">
        <v>246</v>
      </c>
      <c r="D13" s="142" t="s">
        <v>247</v>
      </c>
      <c r="E13" s="65" t="s">
        <v>124</v>
      </c>
      <c r="F13" s="67" t="s">
        <v>125</v>
      </c>
    </row>
    <row r="14" spans="1:7" s="48" customFormat="1" ht="45.75" customHeight="1" x14ac:dyDescent="0.25">
      <c r="A14" s="65" t="s">
        <v>248</v>
      </c>
      <c r="B14" s="54" t="s">
        <v>415</v>
      </c>
      <c r="C14" s="45" t="s">
        <v>535</v>
      </c>
      <c r="D14" s="65" t="s">
        <v>249</v>
      </c>
      <c r="E14" s="65" t="s">
        <v>124</v>
      </c>
      <c r="F14" s="67" t="s">
        <v>125</v>
      </c>
      <c r="G14" s="30"/>
    </row>
    <row r="15" spans="1:7" s="48" customFormat="1" ht="56" x14ac:dyDescent="0.35">
      <c r="A15" s="65" t="s">
        <v>250</v>
      </c>
      <c r="B15" s="57" t="s">
        <v>251</v>
      </c>
      <c r="C15" s="46" t="s">
        <v>252</v>
      </c>
      <c r="D15" s="142" t="s">
        <v>247</v>
      </c>
      <c r="E15" s="65" t="s">
        <v>124</v>
      </c>
      <c r="F15" s="203" t="s">
        <v>125</v>
      </c>
    </row>
    <row r="16" spans="1:7" s="48" customFormat="1" ht="42" x14ac:dyDescent="0.35">
      <c r="A16" s="65" t="s">
        <v>253</v>
      </c>
      <c r="B16" s="240" t="s">
        <v>254</v>
      </c>
      <c r="C16" s="236" t="s">
        <v>328</v>
      </c>
      <c r="D16" s="65" t="s">
        <v>249</v>
      </c>
      <c r="E16" s="65" t="s">
        <v>124</v>
      </c>
      <c r="F16" s="203" t="s">
        <v>125</v>
      </c>
    </row>
    <row r="17" spans="1:6" s="48" customFormat="1" ht="29" x14ac:dyDescent="0.35">
      <c r="A17" s="204" t="s">
        <v>255</v>
      </c>
      <c r="B17" s="57" t="s">
        <v>256</v>
      </c>
      <c r="C17" s="46" t="s">
        <v>257</v>
      </c>
      <c r="D17" s="65" t="s">
        <v>249</v>
      </c>
      <c r="E17" s="65" t="s">
        <v>177</v>
      </c>
      <c r="F17" s="202" t="s">
        <v>243</v>
      </c>
    </row>
    <row r="18" spans="1:6" s="48" customFormat="1" ht="70" x14ac:dyDescent="0.35">
      <c r="A18" s="204" t="s">
        <v>258</v>
      </c>
      <c r="B18" s="46" t="s">
        <v>259</v>
      </c>
      <c r="C18" s="46" t="s">
        <v>260</v>
      </c>
      <c r="D18" s="65" t="s">
        <v>162</v>
      </c>
      <c r="E18" s="65" t="s">
        <v>177</v>
      </c>
      <c r="F18" s="47" t="s">
        <v>536</v>
      </c>
    </row>
    <row r="19" spans="1:6" s="48" customFormat="1" ht="56" x14ac:dyDescent="0.35">
      <c r="A19" s="204" t="s">
        <v>261</v>
      </c>
      <c r="B19" s="46" t="s">
        <v>262</v>
      </c>
      <c r="C19" s="46" t="s">
        <v>263</v>
      </c>
      <c r="D19" s="44" t="s">
        <v>264</v>
      </c>
      <c r="E19" s="65" t="s">
        <v>124</v>
      </c>
      <c r="F19" s="203" t="s">
        <v>125</v>
      </c>
    </row>
    <row r="20" spans="1:6" s="48" customFormat="1" ht="72.5" x14ac:dyDescent="0.35">
      <c r="A20" s="205" t="s">
        <v>265</v>
      </c>
      <c r="B20" s="206" t="s">
        <v>266</v>
      </c>
      <c r="C20" s="206" t="s">
        <v>537</v>
      </c>
      <c r="D20" s="44" t="s">
        <v>162</v>
      </c>
      <c r="E20" s="65" t="s">
        <v>124</v>
      </c>
      <c r="F20" s="67" t="s">
        <v>125</v>
      </c>
    </row>
    <row r="21" spans="1:6" s="48" customFormat="1" ht="98" x14ac:dyDescent="0.35">
      <c r="A21" s="199" t="s">
        <v>267</v>
      </c>
      <c r="B21" s="207" t="s">
        <v>268</v>
      </c>
      <c r="C21" s="200" t="s">
        <v>269</v>
      </c>
      <c r="D21" s="313" t="s">
        <v>242</v>
      </c>
      <c r="E21" s="65" t="s">
        <v>177</v>
      </c>
      <c r="F21" s="47" t="s">
        <v>538</v>
      </c>
    </row>
    <row r="22" spans="1:6" s="48" customFormat="1" ht="70" x14ac:dyDescent="0.35">
      <c r="A22" s="205" t="s">
        <v>270</v>
      </c>
      <c r="B22" s="207" t="s">
        <v>271</v>
      </c>
      <c r="C22" s="207" t="s">
        <v>539</v>
      </c>
      <c r="D22" s="313" t="s">
        <v>159</v>
      </c>
      <c r="E22" s="65" t="s">
        <v>177</v>
      </c>
      <c r="F22" s="47" t="s">
        <v>272</v>
      </c>
    </row>
    <row r="23" spans="1:6" s="48" customFormat="1" ht="72.5" x14ac:dyDescent="0.35">
      <c r="A23" s="199" t="s">
        <v>273</v>
      </c>
      <c r="B23" s="207" t="s">
        <v>274</v>
      </c>
      <c r="C23" s="200" t="s">
        <v>275</v>
      </c>
      <c r="D23" s="313" t="s">
        <v>242</v>
      </c>
      <c r="E23" s="65" t="s">
        <v>177</v>
      </c>
      <c r="F23" s="47" t="s">
        <v>272</v>
      </c>
    </row>
    <row r="24" spans="1:6" s="48" customFormat="1" ht="29" x14ac:dyDescent="0.35">
      <c r="A24" s="205" t="s">
        <v>276</v>
      </c>
      <c r="B24" s="207" t="s">
        <v>277</v>
      </c>
      <c r="C24" s="200" t="s">
        <v>278</v>
      </c>
      <c r="D24" s="313" t="s">
        <v>279</v>
      </c>
      <c r="E24" s="65" t="s">
        <v>124</v>
      </c>
      <c r="F24" s="47" t="s">
        <v>125</v>
      </c>
    </row>
    <row r="25" spans="1:6" s="48" customFormat="1" ht="56" x14ac:dyDescent="0.35">
      <c r="A25" s="208" t="s">
        <v>280</v>
      </c>
      <c r="B25" s="45" t="s">
        <v>281</v>
      </c>
      <c r="C25" s="45" t="s">
        <v>282</v>
      </c>
      <c r="D25" s="313" t="s">
        <v>242</v>
      </c>
      <c r="E25" s="65" t="s">
        <v>177</v>
      </c>
      <c r="F25" s="47" t="s">
        <v>283</v>
      </c>
    </row>
    <row r="26" spans="1:6" s="48" customFormat="1" ht="56" x14ac:dyDescent="0.35">
      <c r="A26" s="61" t="s">
        <v>284</v>
      </c>
      <c r="B26" s="62" t="s">
        <v>285</v>
      </c>
      <c r="C26" s="45" t="s">
        <v>540</v>
      </c>
      <c r="D26" s="313" t="s">
        <v>242</v>
      </c>
      <c r="E26" s="234" t="s">
        <v>177</v>
      </c>
      <c r="F26" s="314" t="s">
        <v>541</v>
      </c>
    </row>
    <row r="27" spans="1:6" s="48" customFormat="1" ht="42" x14ac:dyDescent="0.35">
      <c r="A27" s="69" t="s">
        <v>286</v>
      </c>
      <c r="B27" s="62" t="s">
        <v>287</v>
      </c>
      <c r="C27" s="45" t="s">
        <v>288</v>
      </c>
      <c r="D27" s="313" t="s">
        <v>242</v>
      </c>
      <c r="E27" s="65" t="s">
        <v>124</v>
      </c>
      <c r="F27" s="47" t="s">
        <v>125</v>
      </c>
    </row>
    <row r="28" spans="1:6" s="48" customFormat="1" ht="42" x14ac:dyDescent="0.35">
      <c r="A28" s="69" t="s">
        <v>289</v>
      </c>
      <c r="B28" s="62" t="s">
        <v>290</v>
      </c>
      <c r="C28" s="45" t="s">
        <v>291</v>
      </c>
      <c r="D28" s="313" t="s">
        <v>242</v>
      </c>
      <c r="E28" s="65" t="s">
        <v>177</v>
      </c>
      <c r="F28" s="47" t="s">
        <v>542</v>
      </c>
    </row>
    <row r="29" spans="1:6" s="241" customFormat="1" ht="28" x14ac:dyDescent="0.35">
      <c r="A29" s="256" t="s">
        <v>353</v>
      </c>
      <c r="B29" s="248" t="s">
        <v>419</v>
      </c>
      <c r="C29" s="240" t="s">
        <v>354</v>
      </c>
      <c r="D29" s="313" t="s">
        <v>242</v>
      </c>
      <c r="E29" s="245" t="s">
        <v>124</v>
      </c>
      <c r="F29" s="47" t="s">
        <v>125</v>
      </c>
    </row>
    <row r="30" spans="1:6" s="241" customFormat="1" ht="28" x14ac:dyDescent="0.35">
      <c r="A30" s="256" t="s">
        <v>359</v>
      </c>
      <c r="B30" s="248" t="s">
        <v>360</v>
      </c>
      <c r="C30" s="255" t="s">
        <v>361</v>
      </c>
      <c r="D30" s="313" t="s">
        <v>242</v>
      </c>
      <c r="E30" s="245" t="s">
        <v>124</v>
      </c>
      <c r="F30" s="47" t="s">
        <v>125</v>
      </c>
    </row>
    <row r="31" spans="1:6" s="251" customFormat="1" ht="28" x14ac:dyDescent="0.35">
      <c r="A31" s="257" t="s">
        <v>362</v>
      </c>
      <c r="B31" s="62" t="s">
        <v>416</v>
      </c>
      <c r="C31" s="254" t="s">
        <v>363</v>
      </c>
      <c r="D31" s="313" t="s">
        <v>242</v>
      </c>
      <c r="E31" s="245" t="s">
        <v>124</v>
      </c>
      <c r="F31" s="47" t="s">
        <v>125</v>
      </c>
    </row>
    <row r="32" spans="1:6" s="251" customFormat="1" ht="28" x14ac:dyDescent="0.35">
      <c r="A32" s="257" t="s">
        <v>364</v>
      </c>
      <c r="B32" s="62" t="s">
        <v>417</v>
      </c>
      <c r="C32" s="254" t="s">
        <v>365</v>
      </c>
      <c r="D32" s="313" t="s">
        <v>242</v>
      </c>
      <c r="E32" s="245" t="s">
        <v>124</v>
      </c>
      <c r="F32" s="47" t="s">
        <v>125</v>
      </c>
    </row>
    <row r="33" spans="1:6" s="251" customFormat="1" ht="42" x14ac:dyDescent="0.35">
      <c r="A33" s="257" t="s">
        <v>366</v>
      </c>
      <c r="B33" s="62" t="s">
        <v>418</v>
      </c>
      <c r="C33" s="254" t="s">
        <v>367</v>
      </c>
      <c r="D33" s="313" t="s">
        <v>242</v>
      </c>
      <c r="E33" s="245" t="s">
        <v>124</v>
      </c>
      <c r="F33" s="47" t="s">
        <v>125</v>
      </c>
    </row>
    <row r="34" spans="1:6" s="251" customFormat="1" ht="28" x14ac:dyDescent="0.35">
      <c r="A34" s="257" t="s">
        <v>368</v>
      </c>
      <c r="B34" s="62" t="s">
        <v>369</v>
      </c>
      <c r="C34" s="254" t="s">
        <v>370</v>
      </c>
      <c r="D34" s="313" t="s">
        <v>242</v>
      </c>
      <c r="E34" s="245" t="s">
        <v>124</v>
      </c>
      <c r="F34" s="47" t="s">
        <v>125</v>
      </c>
    </row>
    <row r="35" spans="1:6" s="251" customFormat="1" ht="28" x14ac:dyDescent="0.35">
      <c r="A35" s="257" t="s">
        <v>371</v>
      </c>
      <c r="B35" s="62" t="s">
        <v>372</v>
      </c>
      <c r="C35" s="254" t="s">
        <v>373</v>
      </c>
      <c r="D35" s="313" t="s">
        <v>242</v>
      </c>
      <c r="E35" s="245" t="s">
        <v>124</v>
      </c>
      <c r="F35" s="47" t="s">
        <v>125</v>
      </c>
    </row>
    <row r="36" spans="1:6" s="251" customFormat="1" ht="28" x14ac:dyDescent="0.35">
      <c r="A36" s="257" t="s">
        <v>374</v>
      </c>
      <c r="B36" s="62" t="s">
        <v>492</v>
      </c>
      <c r="C36" s="250" t="s">
        <v>422</v>
      </c>
      <c r="D36" s="313" t="s">
        <v>242</v>
      </c>
      <c r="E36" s="245" t="s">
        <v>124</v>
      </c>
      <c r="F36" s="47" t="s">
        <v>125</v>
      </c>
    </row>
    <row r="37" spans="1:6" s="251" customFormat="1" ht="28" x14ac:dyDescent="0.35">
      <c r="A37" s="257" t="s">
        <v>375</v>
      </c>
      <c r="B37" s="62" t="s">
        <v>426</v>
      </c>
      <c r="C37" s="250" t="s">
        <v>376</v>
      </c>
      <c r="D37" s="313" t="s">
        <v>242</v>
      </c>
      <c r="E37" s="245" t="s">
        <v>124</v>
      </c>
      <c r="F37" s="47" t="s">
        <v>125</v>
      </c>
    </row>
    <row r="38" spans="1:6" s="251" customFormat="1" ht="14" x14ac:dyDescent="0.35">
      <c r="A38" s="257" t="s">
        <v>377</v>
      </c>
      <c r="B38" s="62" t="s">
        <v>494</v>
      </c>
      <c r="C38" s="254" t="s">
        <v>378</v>
      </c>
      <c r="D38" s="313" t="s">
        <v>242</v>
      </c>
      <c r="E38" s="245" t="s">
        <v>124</v>
      </c>
      <c r="F38" s="47" t="s">
        <v>125</v>
      </c>
    </row>
    <row r="39" spans="1:6" s="251" customFormat="1" ht="14" x14ac:dyDescent="0.35">
      <c r="A39" s="257" t="s">
        <v>379</v>
      </c>
      <c r="B39" s="62" t="s">
        <v>381</v>
      </c>
      <c r="C39" s="254" t="s">
        <v>382</v>
      </c>
      <c r="D39" s="313" t="s">
        <v>242</v>
      </c>
      <c r="E39" s="245" t="s">
        <v>124</v>
      </c>
      <c r="F39" s="47" t="s">
        <v>125</v>
      </c>
    </row>
    <row r="40" spans="1:6" s="251" customFormat="1" ht="28" x14ac:dyDescent="0.35">
      <c r="A40" s="257" t="s">
        <v>380</v>
      </c>
      <c r="B40" s="62" t="s">
        <v>384</v>
      </c>
      <c r="C40" s="254" t="s">
        <v>385</v>
      </c>
      <c r="D40" s="313" t="s">
        <v>242</v>
      </c>
      <c r="E40" s="245" t="s">
        <v>124</v>
      </c>
      <c r="F40" s="47" t="s">
        <v>125</v>
      </c>
    </row>
    <row r="41" spans="1:6" s="251" customFormat="1" ht="28" x14ac:dyDescent="0.35">
      <c r="A41" s="256" t="s">
        <v>383</v>
      </c>
      <c r="B41" s="248" t="s">
        <v>386</v>
      </c>
      <c r="C41" s="255" t="s">
        <v>387</v>
      </c>
      <c r="D41" s="313" t="s">
        <v>242</v>
      </c>
      <c r="E41" s="245" t="s">
        <v>124</v>
      </c>
      <c r="F41" s="47" t="s">
        <v>125</v>
      </c>
    </row>
    <row r="42" spans="1:6" ht="28.5" customHeight="1" x14ac:dyDescent="0.35">
      <c r="A42" s="277" t="s">
        <v>388</v>
      </c>
      <c r="B42" s="278" t="s">
        <v>430</v>
      </c>
      <c r="C42" s="278" t="s">
        <v>483</v>
      </c>
      <c r="D42" s="313" t="s">
        <v>242</v>
      </c>
      <c r="E42" s="245" t="s">
        <v>124</v>
      </c>
      <c r="F42" s="47" t="s">
        <v>125</v>
      </c>
    </row>
    <row r="43" spans="1:6" s="48" customFormat="1" ht="28" x14ac:dyDescent="0.35">
      <c r="A43" s="257" t="s">
        <v>459</v>
      </c>
      <c r="B43" s="62" t="s">
        <v>458</v>
      </c>
      <c r="C43" s="278" t="s">
        <v>484</v>
      </c>
      <c r="D43" s="313" t="s">
        <v>242</v>
      </c>
      <c r="E43" s="245" t="s">
        <v>124</v>
      </c>
      <c r="F43" s="47" t="s">
        <v>125</v>
      </c>
    </row>
    <row r="44" spans="1:6" s="48" customFormat="1" ht="42" x14ac:dyDescent="0.35">
      <c r="A44" s="257" t="s">
        <v>470</v>
      </c>
      <c r="B44" s="62" t="s">
        <v>471</v>
      </c>
      <c r="C44" s="278" t="s">
        <v>485</v>
      </c>
      <c r="D44" s="313" t="s">
        <v>242</v>
      </c>
      <c r="E44" s="245" t="s">
        <v>124</v>
      </c>
      <c r="F44" s="47" t="s">
        <v>125</v>
      </c>
    </row>
    <row r="45" spans="1:6" s="48" customFormat="1" ht="42" x14ac:dyDescent="0.35">
      <c r="A45" s="257" t="s">
        <v>517</v>
      </c>
      <c r="B45" s="62" t="s">
        <v>518</v>
      </c>
      <c r="C45" s="254" t="s">
        <v>522</v>
      </c>
      <c r="D45" s="313" t="s">
        <v>242</v>
      </c>
      <c r="E45" s="245" t="s">
        <v>124</v>
      </c>
      <c r="F45" s="47" t="s">
        <v>125</v>
      </c>
    </row>
    <row r="46" spans="1:6" s="48" customFormat="1" ht="14" x14ac:dyDescent="0.25">
      <c r="A46" s="29" t="s">
        <v>170</v>
      </c>
      <c r="E46" s="58"/>
    </row>
    <row r="47" spans="1:6" s="48" customFormat="1" ht="14" x14ac:dyDescent="0.25">
      <c r="B47" s="333" t="s">
        <v>171</v>
      </c>
      <c r="C47" s="333"/>
      <c r="D47" s="333"/>
      <c r="E47" s="30"/>
      <c r="F47" s="30"/>
    </row>
    <row r="48" spans="1:6" s="48" customFormat="1" ht="14" x14ac:dyDescent="0.35">
      <c r="E48" s="58"/>
    </row>
    <row r="49" spans="5:5" s="48" customFormat="1" ht="14" x14ac:dyDescent="0.35">
      <c r="E49" s="58"/>
    </row>
    <row r="50" spans="5:5" s="48" customFormat="1" ht="14" x14ac:dyDescent="0.35">
      <c r="E50" s="58"/>
    </row>
    <row r="51" spans="5:5" s="48" customFormat="1" ht="14" x14ac:dyDescent="0.35">
      <c r="E51" s="58"/>
    </row>
    <row r="52" spans="5:5" s="48" customFormat="1" ht="14" x14ac:dyDescent="0.35">
      <c r="E52" s="58"/>
    </row>
    <row r="53" spans="5:5" s="48" customFormat="1" ht="14" x14ac:dyDescent="0.35">
      <c r="E53" s="58"/>
    </row>
    <row r="54" spans="5:5" s="48" customFormat="1" ht="14" x14ac:dyDescent="0.35">
      <c r="E54" s="58"/>
    </row>
    <row r="55" spans="5:5" s="48" customFormat="1" ht="14" x14ac:dyDescent="0.35">
      <c r="E55" s="58"/>
    </row>
    <row r="56" spans="5:5" s="48" customFormat="1" ht="14" x14ac:dyDescent="0.35">
      <c r="E56" s="58"/>
    </row>
    <row r="57" spans="5:5" s="48" customFormat="1" ht="14" x14ac:dyDescent="0.35">
      <c r="E57" s="58"/>
    </row>
    <row r="58" spans="5:5" s="48" customFormat="1" ht="14" x14ac:dyDescent="0.35">
      <c r="E58" s="58"/>
    </row>
    <row r="59" spans="5:5" s="48" customFormat="1" ht="14" x14ac:dyDescent="0.35">
      <c r="E59" s="58"/>
    </row>
    <row r="60" spans="5:5" s="48" customFormat="1" ht="14" x14ac:dyDescent="0.35">
      <c r="E60" s="58"/>
    </row>
    <row r="61" spans="5:5" s="48" customFormat="1" ht="14" x14ac:dyDescent="0.35">
      <c r="E61" s="58"/>
    </row>
    <row r="62" spans="5:5" s="48" customFormat="1" ht="14" x14ac:dyDescent="0.35">
      <c r="E62" s="58"/>
    </row>
    <row r="63" spans="5:5" s="48" customFormat="1" ht="14" x14ac:dyDescent="0.35">
      <c r="E63" s="58"/>
    </row>
    <row r="64" spans="5:5" s="48" customFormat="1" ht="14" x14ac:dyDescent="0.35">
      <c r="E64" s="58"/>
    </row>
    <row r="65" spans="1:6" s="48" customFormat="1" ht="14" x14ac:dyDescent="0.35">
      <c r="E65" s="58"/>
    </row>
    <row r="66" spans="1:6" s="48" customFormat="1" ht="14" x14ac:dyDescent="0.35">
      <c r="E66" s="58"/>
    </row>
    <row r="67" spans="1:6" s="48" customFormat="1" ht="14" x14ac:dyDescent="0.35">
      <c r="E67" s="58"/>
    </row>
    <row r="68" spans="1:6" s="48" customFormat="1" ht="14" x14ac:dyDescent="0.35">
      <c r="E68" s="58"/>
    </row>
    <row r="69" spans="1:6" s="48" customFormat="1" ht="14" x14ac:dyDescent="0.35">
      <c r="E69" s="58"/>
    </row>
    <row r="70" spans="1:6" s="48" customFormat="1" ht="14" x14ac:dyDescent="0.35">
      <c r="E70" s="58"/>
    </row>
    <row r="71" spans="1:6" s="48" customFormat="1" ht="14" x14ac:dyDescent="0.35">
      <c r="E71" s="58"/>
    </row>
    <row r="72" spans="1:6" s="48" customFormat="1" ht="14" x14ac:dyDescent="0.35">
      <c r="E72" s="58"/>
    </row>
    <row r="73" spans="1:6" s="48" customFormat="1" ht="14" x14ac:dyDescent="0.35">
      <c r="E73" s="58"/>
    </row>
    <row r="74" spans="1:6" s="48" customFormat="1" ht="14" x14ac:dyDescent="0.35">
      <c r="E74" s="58"/>
    </row>
    <row r="75" spans="1:6" x14ac:dyDescent="0.35">
      <c r="A75" s="48"/>
      <c r="B75" s="48"/>
      <c r="C75" s="48"/>
      <c r="D75" s="48"/>
      <c r="E75" s="58"/>
      <c r="F75" s="48"/>
    </row>
    <row r="76" spans="1:6" x14ac:dyDescent="0.35">
      <c r="A76" s="48"/>
      <c r="B76" s="48"/>
      <c r="C76" s="48"/>
      <c r="D76" s="48"/>
      <c r="E76" s="58"/>
      <c r="F76" s="48"/>
    </row>
    <row r="77" spans="1:6" x14ac:dyDescent="0.35">
      <c r="A77" s="48"/>
      <c r="B77" s="48"/>
      <c r="C77" s="48"/>
      <c r="D77" s="48"/>
      <c r="E77" s="58"/>
      <c r="F77" s="48"/>
    </row>
    <row r="78" spans="1:6" x14ac:dyDescent="0.35">
      <c r="A78" s="48"/>
      <c r="B78" s="48"/>
      <c r="C78" s="48"/>
      <c r="D78" s="48"/>
      <c r="E78" s="58"/>
      <c r="F78" s="48"/>
    </row>
    <row r="79" spans="1:6" x14ac:dyDescent="0.35">
      <c r="A79" s="48"/>
      <c r="B79" s="48"/>
      <c r="C79" s="48"/>
      <c r="D79" s="48"/>
      <c r="E79" s="58"/>
      <c r="F79" s="48"/>
    </row>
    <row r="80" spans="1:6" x14ac:dyDescent="0.35">
      <c r="A80" s="48"/>
      <c r="B80" s="48"/>
      <c r="C80" s="48"/>
      <c r="D80" s="48"/>
      <c r="E80" s="58"/>
      <c r="F80" s="48"/>
    </row>
    <row r="81" spans="1:6" x14ac:dyDescent="0.35">
      <c r="A81" s="48"/>
      <c r="B81" s="48"/>
      <c r="C81" s="48"/>
      <c r="D81" s="48"/>
      <c r="E81" s="58"/>
      <c r="F81" s="48"/>
    </row>
    <row r="82" spans="1:6" x14ac:dyDescent="0.35">
      <c r="A82" s="48"/>
      <c r="B82" s="48"/>
      <c r="C82" s="48"/>
      <c r="D82" s="48"/>
      <c r="E82" s="58"/>
      <c r="F82" s="48"/>
    </row>
    <row r="83" spans="1:6" x14ac:dyDescent="0.35">
      <c r="A83" s="48"/>
      <c r="B83" s="48"/>
      <c r="C83" s="48"/>
      <c r="D83" s="48"/>
      <c r="E83" s="58"/>
      <c r="F83" s="48"/>
    </row>
    <row r="84" spans="1:6" x14ac:dyDescent="0.35">
      <c r="A84" s="48"/>
      <c r="B84" s="48"/>
      <c r="C84" s="48"/>
      <c r="D84" s="48"/>
      <c r="E84" s="58"/>
      <c r="F84" s="48"/>
    </row>
    <row r="85" spans="1:6" x14ac:dyDescent="0.35">
      <c r="A85" s="48"/>
      <c r="B85" s="48"/>
      <c r="C85" s="48"/>
      <c r="D85" s="48"/>
      <c r="E85" s="58"/>
      <c r="F85" s="48"/>
    </row>
    <row r="86" spans="1:6" x14ac:dyDescent="0.35">
      <c r="A86" s="48"/>
      <c r="B86" s="48"/>
      <c r="C86" s="48"/>
      <c r="D86" s="48"/>
      <c r="E86" s="58"/>
      <c r="F86" s="48"/>
    </row>
    <row r="87" spans="1:6" x14ac:dyDescent="0.35">
      <c r="A87" s="48"/>
      <c r="B87" s="48"/>
      <c r="C87" s="48"/>
      <c r="D87" s="48"/>
      <c r="E87" s="58"/>
      <c r="F87" s="48"/>
    </row>
    <row r="88" spans="1:6" x14ac:dyDescent="0.35">
      <c r="A88" s="48"/>
      <c r="B88" s="48"/>
      <c r="C88" s="48"/>
      <c r="D88" s="48"/>
      <c r="E88" s="58"/>
      <c r="F88" s="48"/>
    </row>
    <row r="89" spans="1:6" x14ac:dyDescent="0.35">
      <c r="A89" s="48"/>
      <c r="B89" s="48"/>
      <c r="C89" s="48"/>
      <c r="D89" s="48"/>
      <c r="E89" s="58"/>
      <c r="F89" s="48"/>
    </row>
    <row r="90" spans="1:6" x14ac:dyDescent="0.35">
      <c r="A90" s="48"/>
      <c r="B90" s="48"/>
      <c r="C90" s="48"/>
      <c r="D90" s="48"/>
      <c r="E90" s="58"/>
      <c r="F90" s="48"/>
    </row>
    <row r="91" spans="1:6" x14ac:dyDescent="0.35">
      <c r="A91" s="48"/>
      <c r="B91" s="48"/>
      <c r="C91" s="48"/>
      <c r="D91" s="48"/>
      <c r="E91" s="58"/>
      <c r="F91" s="48"/>
    </row>
    <row r="92" spans="1:6" x14ac:dyDescent="0.35">
      <c r="A92" s="48"/>
      <c r="B92" s="48"/>
      <c r="C92" s="48"/>
      <c r="D92" s="48"/>
      <c r="E92" s="58"/>
      <c r="F92" s="48"/>
    </row>
    <row r="93" spans="1:6" x14ac:dyDescent="0.35">
      <c r="A93" s="48"/>
      <c r="B93" s="48"/>
      <c r="C93" s="48"/>
      <c r="D93" s="48"/>
      <c r="E93" s="58"/>
      <c r="F93" s="48"/>
    </row>
  </sheetData>
  <mergeCells count="1">
    <mergeCell ref="B47:D47"/>
  </mergeCells>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2"/>
  <sheetViews>
    <sheetView view="pageBreakPreview" zoomScale="80" zoomScaleNormal="90" zoomScaleSheetLayoutView="80" workbookViewId="0">
      <pane xSplit="7" ySplit="4" topLeftCell="H5" activePane="bottomRight" state="frozen"/>
      <selection pane="topRight" activeCell="H1" sqref="H1"/>
      <selection pane="bottomLeft" activeCell="A5" sqref="A5"/>
      <selection pane="bottomRight" activeCell="B33" sqref="B33"/>
    </sheetView>
  </sheetViews>
  <sheetFormatPr defaultColWidth="9.1796875" defaultRowHeight="14.5" x14ac:dyDescent="0.35"/>
  <cols>
    <col min="2" max="2" width="4.81640625" customWidth="1"/>
    <col min="3" max="3" width="25.54296875" customWidth="1"/>
    <col min="4" max="4" width="5" customWidth="1"/>
    <col min="5" max="5" width="22" customWidth="1"/>
    <col min="6" max="6" width="6.453125" customWidth="1"/>
    <col min="7" max="7" width="26.1796875" customWidth="1"/>
    <col min="8" max="8" width="42.1796875" customWidth="1"/>
    <col min="9" max="9" width="25.453125" customWidth="1"/>
    <col min="10" max="12" width="9.1796875" customWidth="1"/>
    <col min="13" max="21" width="15.81640625" customWidth="1"/>
    <col min="22" max="22" width="15.453125" customWidth="1"/>
    <col min="23" max="23" width="17.453125" customWidth="1"/>
    <col min="24" max="25" width="12.1796875" customWidth="1"/>
    <col min="26" max="26" width="35.54296875" customWidth="1"/>
    <col min="27" max="27" width="32.54296875" customWidth="1"/>
    <col min="28" max="28" width="23.1796875" customWidth="1"/>
    <col min="29" max="31" width="9.1796875" customWidth="1"/>
    <col min="32" max="36" width="15.81640625" customWidth="1"/>
    <col min="37" max="39" width="15.81640625" hidden="1" customWidth="1"/>
    <col min="40" max="42" width="15.81640625" customWidth="1"/>
    <col min="43" max="43" width="40.54296875" style="2" customWidth="1"/>
    <col min="44" max="44" width="13.453125" style="2" customWidth="1"/>
    <col min="45" max="45" width="24.81640625" customWidth="1"/>
  </cols>
  <sheetData>
    <row r="1" spans="1:45" s="71" customFormat="1" ht="14" x14ac:dyDescent="0.3">
      <c r="A1" s="31" t="s">
        <v>163</v>
      </c>
    </row>
    <row r="2" spans="1:45" s="71" customFormat="1" ht="14" x14ac:dyDescent="0.3">
      <c r="A2" s="71" t="s">
        <v>132</v>
      </c>
    </row>
    <row r="3" spans="1:45" s="71" customFormat="1" ht="23.25" customHeight="1" x14ac:dyDescent="0.3">
      <c r="A3" s="72"/>
      <c r="B3" s="73"/>
      <c r="C3" s="73"/>
      <c r="D3" s="74"/>
      <c r="E3" s="75"/>
      <c r="F3" s="340" t="s">
        <v>3</v>
      </c>
      <c r="G3" s="340"/>
      <c r="H3" s="340"/>
      <c r="I3" s="340"/>
      <c r="J3" s="341" t="s">
        <v>127</v>
      </c>
      <c r="K3" s="342"/>
      <c r="L3" s="342"/>
      <c r="M3" s="342"/>
      <c r="N3" s="342"/>
      <c r="O3" s="342"/>
      <c r="P3" s="342"/>
      <c r="Q3" s="342"/>
      <c r="R3" s="342"/>
      <c r="S3" s="342"/>
      <c r="T3" s="342"/>
      <c r="U3" s="342"/>
      <c r="V3" s="342"/>
      <c r="W3" s="342"/>
      <c r="X3" s="342"/>
      <c r="Y3" s="343"/>
      <c r="Z3" s="337" t="s">
        <v>5</v>
      </c>
      <c r="AA3" s="338"/>
      <c r="AB3" s="339"/>
      <c r="AC3" s="334" t="s">
        <v>128</v>
      </c>
      <c r="AD3" s="335"/>
      <c r="AE3" s="335"/>
      <c r="AF3" s="335"/>
      <c r="AG3" s="335"/>
      <c r="AH3" s="335"/>
      <c r="AI3" s="335"/>
      <c r="AJ3" s="335"/>
      <c r="AK3" s="335"/>
      <c r="AL3" s="335"/>
      <c r="AM3" s="335"/>
      <c r="AN3" s="335"/>
      <c r="AO3" s="335"/>
      <c r="AP3" s="335"/>
      <c r="AQ3" s="336"/>
      <c r="AR3" s="76"/>
      <c r="AS3" s="76"/>
    </row>
    <row r="4" spans="1:45" s="71" customFormat="1" ht="88.5" customHeight="1" x14ac:dyDescent="0.3">
      <c r="A4" s="77" t="s">
        <v>1</v>
      </c>
      <c r="B4" s="78" t="s">
        <v>116</v>
      </c>
      <c r="C4" s="79" t="s">
        <v>2</v>
      </c>
      <c r="D4" s="80" t="s">
        <v>115</v>
      </c>
      <c r="E4" s="81" t="s">
        <v>14</v>
      </c>
      <c r="F4" s="82" t="s">
        <v>117</v>
      </c>
      <c r="G4" s="83" t="s">
        <v>0</v>
      </c>
      <c r="H4" s="83" t="s">
        <v>6</v>
      </c>
      <c r="I4" s="84" t="s">
        <v>166</v>
      </c>
      <c r="J4" s="161" t="s">
        <v>69</v>
      </c>
      <c r="K4" s="161" t="s">
        <v>70</v>
      </c>
      <c r="L4" s="161" t="s">
        <v>71</v>
      </c>
      <c r="M4" s="158" t="s">
        <v>81</v>
      </c>
      <c r="N4" s="158" t="s">
        <v>82</v>
      </c>
      <c r="O4" s="158" t="s">
        <v>200</v>
      </c>
      <c r="P4" s="158" t="s">
        <v>84</v>
      </c>
      <c r="Q4" s="158" t="s">
        <v>68</v>
      </c>
      <c r="R4" s="158" t="s">
        <v>173</v>
      </c>
      <c r="S4" s="158" t="s">
        <v>174</v>
      </c>
      <c r="T4" s="158" t="s">
        <v>175</v>
      </c>
      <c r="U4" s="158" t="s">
        <v>198</v>
      </c>
      <c r="V4" s="162" t="s">
        <v>129</v>
      </c>
      <c r="W4" s="162" t="s">
        <v>130</v>
      </c>
      <c r="X4" s="163" t="s">
        <v>180</v>
      </c>
      <c r="Y4" s="164" t="s">
        <v>131</v>
      </c>
      <c r="Z4" s="157" t="s">
        <v>195</v>
      </c>
      <c r="AA4" s="157" t="s">
        <v>202</v>
      </c>
      <c r="AB4" s="157" t="s">
        <v>16</v>
      </c>
      <c r="AC4" s="165" t="s">
        <v>181</v>
      </c>
      <c r="AD4" s="165" t="s">
        <v>182</v>
      </c>
      <c r="AE4" s="165" t="s">
        <v>183</v>
      </c>
      <c r="AF4" s="166" t="s">
        <v>184</v>
      </c>
      <c r="AG4" s="166" t="s">
        <v>185</v>
      </c>
      <c r="AH4" s="166" t="s">
        <v>201</v>
      </c>
      <c r="AI4" s="166" t="s">
        <v>186</v>
      </c>
      <c r="AJ4" s="166" t="s">
        <v>187</v>
      </c>
      <c r="AK4" s="166" t="s">
        <v>188</v>
      </c>
      <c r="AL4" s="166" t="s">
        <v>189</v>
      </c>
      <c r="AM4" s="166" t="s">
        <v>190</v>
      </c>
      <c r="AN4" s="166" t="s">
        <v>199</v>
      </c>
      <c r="AO4" s="166" t="s">
        <v>191</v>
      </c>
      <c r="AP4" s="166" t="s">
        <v>192</v>
      </c>
      <c r="AQ4" s="179" t="s">
        <v>4</v>
      </c>
      <c r="AR4" s="76"/>
      <c r="AS4" s="76"/>
    </row>
    <row r="5" spans="1:45" s="48" customFormat="1" ht="56" x14ac:dyDescent="0.35">
      <c r="A5" s="66">
        <v>1</v>
      </c>
      <c r="B5" s="220" t="s">
        <v>118</v>
      </c>
      <c r="C5" s="85" t="str">
        <f>IF(VLOOKUP(Table4[[#This Row],[T ID]],Table5[#All],5,FALSE)="No","Not in scope",VLOOKUP(Table4[[#This Row],[T ID]],Table5[#All],2,FALSE))</f>
        <v>Deliver undirected malware
(CAPEC-185)</v>
      </c>
      <c r="D5" s="220" t="s">
        <v>140</v>
      </c>
      <c r="E5" s="85" t="str">
        <f>IF(VLOOKUP(Table4[[#This Row],[V ID]],Vulnerabilities[#All],3,FALSE)="No","Not in scope",VLOOKUP(Table4[[#This Row],[V ID]],Vulnerabilities[#All],2,FALSE))</f>
        <v>Unpatched OS</v>
      </c>
      <c r="F5" s="45" t="s">
        <v>106</v>
      </c>
      <c r="G5" s="86" t="str">
        <f>VLOOKUP(Table4[[#This Row],[A ID]],Assets[#All],3,FALSE)</f>
        <v>Nav3i cart/ System running with windows 8.1</v>
      </c>
      <c r="H5" s="45" t="s">
        <v>147</v>
      </c>
      <c r="I5" s="54"/>
      <c r="J5" s="87" t="s">
        <v>55</v>
      </c>
      <c r="K5" s="87" t="s">
        <v>55</v>
      </c>
      <c r="L5" s="87" t="s">
        <v>55</v>
      </c>
      <c r="M5" s="156" t="s">
        <v>78</v>
      </c>
      <c r="N5" s="156" t="s">
        <v>55</v>
      </c>
      <c r="O5" s="156" t="s">
        <v>55</v>
      </c>
      <c r="P5" s="156" t="s">
        <v>75</v>
      </c>
      <c r="Q5" s="156" t="s">
        <v>73</v>
      </c>
      <c r="R5" s="1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60">
        <f>(1 - ((1 - VLOOKUP(Table4[[#This Row],[Confidentiality]],'Reference - CVSSv3.0'!$B$15:$C$17,2,FALSE)) * (1 - VLOOKUP(Table4[[#This Row],[Integrity]],'Reference - CVSSv3.0'!$B$15:$C$17,2,FALSE)) *  (1 - VLOOKUP(Table4[[#This Row],[Availability]],'Reference - CVSSv3.0'!$B$15:$C$17,2,FALSE))))</f>
        <v>0.52544799999999992</v>
      </c>
      <c r="T5" s="160">
        <f>IF(Table4[[#This Row],[Scope]]="Unchanged",6.42*Table4[[#This Row],[ISC Base]],IF(Table4[[#This Row],[Scope]]="Changed",7.52*(Table4[[#This Row],[ISC Base]] - 0.029) - 3.25 * POWER(Table4[[#This Row],[ISC Base]] - 0.02,15),NA()))</f>
        <v>3.3733761599999994</v>
      </c>
      <c r="U5" s="160">
        <f>IF(Table4[[#This Row],[Impact Sub Score]]&lt;=0,0,IF(Table4[[#This Row],[Scope]]="Unchanged",ROUNDUP(MIN((Table4[[#This Row],[Impact Sub Score]]+Table4[[#This Row],[Exploitability Sub Score]]),10),1),IF(Table4[[#This Row],[Scope]]="Changed",ROUNDUP(MIN((1.08*(Table4[[#This Row],[Impact Sub Score]]+Table4[[#This Row],[Exploitability Sub Score]])),10),1),NA())))</f>
        <v>4.8</v>
      </c>
      <c r="V5" s="180" t="s">
        <v>54</v>
      </c>
      <c r="W5" s="181">
        <f>VLOOKUP(Table4[[#This Row],[Threat Event Initiation]],NIST_Scale_LOAI[],2,FALSE)</f>
        <v>0.5</v>
      </c>
      <c r="X5" s="16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45" t="s">
        <v>150</v>
      </c>
      <c r="AA5" s="45" t="s">
        <v>153</v>
      </c>
      <c r="AB5" s="88" t="s">
        <v>167</v>
      </c>
      <c r="AC5" s="87" t="s">
        <v>55</v>
      </c>
      <c r="AD5" s="87" t="s">
        <v>76</v>
      </c>
      <c r="AE5" s="87" t="s">
        <v>76</v>
      </c>
      <c r="AF5" s="156" t="s">
        <v>77</v>
      </c>
      <c r="AG5" s="156" t="s">
        <v>55</v>
      </c>
      <c r="AH5" s="156" t="s">
        <v>76</v>
      </c>
      <c r="AI5" s="156" t="s">
        <v>76</v>
      </c>
      <c r="AJ5" s="156" t="s">
        <v>98</v>
      </c>
      <c r="AK5" s="160">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5" s="160">
        <f>(1 - ((1 - VLOOKUP(Table4[[#This Row],[ConfidentialityP]],'Reference - CVSSv3.0'!$B$15:$C$17,2,FALSE)) * (1 - VLOOKUP(Table4[[#This Row],[IntegrityP]],'Reference - CVSSv3.0'!$B$15:$C$17,2,FALSE)) *  (1 - VLOOKUP(Table4[[#This Row],[AvailabilityP]],'Reference - CVSSv3.0'!$B$15:$C$17,2,FALSE))))</f>
        <v>0.21999999999999997</v>
      </c>
      <c r="AM5" s="160">
        <f>IF(Table4[[#This Row],[ScopeP]]="Unchanged",6.42*Table4[[#This Row],[ISC BaseP]],IF(Table4[[#This Row],[ScopeP]]="Changed",7.52*(Table4[[#This Row],[ISC BaseP]] - 0.029) - 3.25 * POWER(Table4[[#This Row],[ISC BaseP]] - 0.02,15),NA()))</f>
        <v>1.4363199998935039</v>
      </c>
      <c r="AN5" s="160">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160">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54" t="s">
        <v>132</v>
      </c>
    </row>
    <row r="6" spans="1:45" s="48" customFormat="1" ht="75.650000000000006" customHeight="1" x14ac:dyDescent="0.35">
      <c r="A6" s="209">
        <v>2</v>
      </c>
      <c r="B6" s="45" t="s">
        <v>119</v>
      </c>
      <c r="C6" s="211" t="str">
        <f>IF(VLOOKUP(Table4[[#This Row],[T ID]],Table5[#All],5,FALSE)="No","Not in scope",VLOOKUP(Table4[[#This Row],[T ID]],Table5[#All],2,FALSE))</f>
        <v>Deliver directed malware
(CAPEC-185)</v>
      </c>
      <c r="D6" s="45" t="s">
        <v>292</v>
      </c>
      <c r="E6" s="211" t="str">
        <f>IF(VLOOKUP(Table4[[#This Row],[V ID]],Vulnerabilities[#All],3,FALSE)="No","Not in scope",VLOOKUP(Table4[[#This Row],[V ID]],Vulnerabilities[#All],2,FALSE))</f>
        <v>Any unprotected hardware</v>
      </c>
      <c r="F6" s="232" t="s">
        <v>106</v>
      </c>
      <c r="G6" s="211" t="str">
        <f>VLOOKUP(Table4[[#This Row],[A ID]],Assets[#All],3,FALSE)</f>
        <v>Nav3i cart/ System running with windows 8.1</v>
      </c>
      <c r="H6" s="45" t="s">
        <v>309</v>
      </c>
      <c r="I6" s="54"/>
      <c r="J6" s="87" t="s">
        <v>55</v>
      </c>
      <c r="K6" s="87" t="s">
        <v>64</v>
      </c>
      <c r="L6" s="87" t="s">
        <v>55</v>
      </c>
      <c r="M6" s="87" t="s">
        <v>78</v>
      </c>
      <c r="N6" s="87" t="s">
        <v>64</v>
      </c>
      <c r="O6" s="87" t="s">
        <v>55</v>
      </c>
      <c r="P6" s="87" t="s">
        <v>76</v>
      </c>
      <c r="Q6" s="87" t="s">
        <v>73</v>
      </c>
      <c r="R6"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6" s="215">
        <f>(1 - ((1 - VLOOKUP(Table4[[#This Row],[Confidentiality]],'Reference - CVSSv3.0'!$B$15:$C$17,2,FALSE)) * (1 - VLOOKUP(Table4[[#This Row],[Integrity]],'Reference - CVSSv3.0'!$B$15:$C$17,2,FALSE)) *  (1 - VLOOKUP(Table4[[#This Row],[Availability]],'Reference - CVSSv3.0'!$B$15:$C$17,2,FALSE))))</f>
        <v>0.73230400000000007</v>
      </c>
      <c r="T6" s="215">
        <f>IF(Table4[[#This Row],[Scope]]="Unchanged",6.42*Table4[[#This Row],[ISC Base]],IF(Table4[[#This Row],[Scope]]="Changed",7.52*(Table4[[#This Row],[ISC Base]] - 0.029) - 3.25 * POWER(Table4[[#This Row],[ISC Base]] - 0.02,15),NA()))</f>
        <v>4.7013916800000004</v>
      </c>
      <c r="U6" s="215">
        <f>IF(Table4[[#This Row],[Impact Sub Score]]&lt;=0,0,IF(Table4[[#This Row],[Scope]]="Unchanged",ROUNDUP(MIN((Table4[[#This Row],[Impact Sub Score]]+Table4[[#This Row],[Exploitability Sub Score]]),10),1),IF(Table4[[#This Row],[Scope]]="Changed",ROUNDUP(MIN((1.08*(Table4[[#This Row],[Impact Sub Score]]+Table4[[#This Row],[Exploitability Sub Score]])),10),1),NA())))</f>
        <v>5.8</v>
      </c>
      <c r="V6" s="180" t="s">
        <v>54</v>
      </c>
      <c r="W6" s="215">
        <f>VLOOKUP(Table4[[#This Row],[Threat Event Initiation]],NIST_Scale_LOAI[],2,FALSE)</f>
        <v>0.5</v>
      </c>
      <c r="X6"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6"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12"/>
      <c r="AA6" s="212"/>
      <c r="AB6" s="217"/>
      <c r="AC6" s="210"/>
      <c r="AD6" s="210"/>
      <c r="AE6" s="210"/>
      <c r="AF6" s="213"/>
      <c r="AG6" s="213"/>
      <c r="AH6" s="213"/>
      <c r="AI6" s="213"/>
      <c r="AJ6" s="218"/>
      <c r="AK6"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15" t="e">
        <f>(1 - ((1 - VLOOKUP(Table4[[#This Row],[ConfidentialityP]],'Reference - CVSSv3.0'!$B$15:$C$17,2,FALSE)) * (1 - VLOOKUP(Table4[[#This Row],[IntegrityP]],'Reference - CVSSv3.0'!$B$15:$C$17,2,FALSE)) *  (1 - VLOOKUP(Table4[[#This Row],[AvailabilityP]],'Reference - CVSSv3.0'!$B$15:$C$17,2,FALSE))))</f>
        <v>#N/A</v>
      </c>
      <c r="AM6" s="215" t="e">
        <f>IF(Table4[[#This Row],[ScopeP]]="Unchanged",6.42*Table4[[#This Row],[ISC BaseP]],IF(Table4[[#This Row],[ScopeP]]="Changed",7.52*(Table4[[#This Row],[ISC BaseP]] - 0.029) - 3.25 * POWER(Table4[[#This Row],[ISC BaseP]] - 0.02,15),NA()))</f>
        <v>#N/A</v>
      </c>
      <c r="AN6"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10"/>
    </row>
    <row r="7" spans="1:45" s="48" customFormat="1" ht="56" x14ac:dyDescent="0.35">
      <c r="A7" s="65">
        <v>3</v>
      </c>
      <c r="B7" s="45" t="s">
        <v>244</v>
      </c>
      <c r="C7" s="85" t="str">
        <f>IF(VLOOKUP(Table4[[#This Row],[T ID]],Table5[#All],5,FALSE)="No","Not in scope",VLOOKUP(Table4[[#This Row],[T ID]],Table5[#All],2,FALSE))</f>
        <v>Mis-configuration by user</v>
      </c>
      <c r="D7" s="45" t="s">
        <v>293</v>
      </c>
      <c r="E7" s="85" t="str">
        <f>IF(VLOOKUP(Table4[[#This Row],[V ID]],Vulnerabilities[#All],3,FALSE)="No","Not in scope",VLOOKUP(Table4[[#This Row],[V ID]],Vulnerabilities[#All],2,FALSE))</f>
        <v>Untrained/Malicious User</v>
      </c>
      <c r="F7" s="232" t="s">
        <v>107</v>
      </c>
      <c r="G7" s="86" t="str">
        <f>VLOOKUP(Table4[[#This Row],[A ID]],Assets[#All],3,FALSE)</f>
        <v>Admin Password / Credentials / System Configuration / Certificates</v>
      </c>
      <c r="H7" s="45" t="s">
        <v>310</v>
      </c>
      <c r="I7" s="233"/>
      <c r="J7" s="87" t="s">
        <v>76</v>
      </c>
      <c r="K7" s="87" t="s">
        <v>55</v>
      </c>
      <c r="L7" s="87" t="s">
        <v>55</v>
      </c>
      <c r="M7" s="87" t="s">
        <v>78</v>
      </c>
      <c r="N7" s="87" t="s">
        <v>55</v>
      </c>
      <c r="O7" s="87" t="s">
        <v>55</v>
      </c>
      <c r="P7" s="87" t="s">
        <v>75</v>
      </c>
      <c r="Q7" s="87" t="s">
        <v>73</v>
      </c>
      <c r="R7" s="1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160">
        <f>(1 - ((1 - VLOOKUP(Table4[[#This Row],[Confidentiality]],'Reference - CVSSv3.0'!$B$15:$C$17,2,FALSE)) * (1 - VLOOKUP(Table4[[#This Row],[Integrity]],'Reference - CVSSv3.0'!$B$15:$C$17,2,FALSE)) *  (1 - VLOOKUP(Table4[[#This Row],[Availability]],'Reference - CVSSv3.0'!$B$15:$C$17,2,FALSE))))</f>
        <v>0.39159999999999995</v>
      </c>
      <c r="T7" s="160">
        <f>IF(Table4[[#This Row],[Scope]]="Unchanged",6.42*Table4[[#This Row],[ISC Base]],IF(Table4[[#This Row],[Scope]]="Changed",7.52*(Table4[[#This Row],[ISC Base]] - 0.029) - 3.25 * POWER(Table4[[#This Row],[ISC Base]] - 0.02,15),NA()))</f>
        <v>2.5140719999999996</v>
      </c>
      <c r="U7" s="160">
        <f>IF(Table4[[#This Row],[Impact Sub Score]]&lt;=0,0,IF(Table4[[#This Row],[Scope]]="Unchanged",ROUNDUP(MIN((Table4[[#This Row],[Impact Sub Score]]+Table4[[#This Row],[Exploitability Sub Score]]),10),1),IF(Table4[[#This Row],[Scope]]="Changed",ROUNDUP(MIN((1.08*(Table4[[#This Row],[Impact Sub Score]]+Table4[[#This Row],[Exploitability Sub Score]])),10),1),NA())))</f>
        <v>3.9</v>
      </c>
      <c r="V7" s="180" t="s">
        <v>55</v>
      </c>
      <c r="W7" s="181">
        <f>VLOOKUP(Table4[[#This Row],[Threat Event Initiation]],NIST_Scale_LOAI[],2,FALSE)</f>
        <v>0.2</v>
      </c>
      <c r="X7" s="16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7"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45" t="s">
        <v>150</v>
      </c>
      <c r="AA7" s="45" t="s">
        <v>153</v>
      </c>
      <c r="AB7" s="88" t="s">
        <v>167</v>
      </c>
      <c r="AC7" s="87" t="s">
        <v>64</v>
      </c>
      <c r="AD7" s="87" t="s">
        <v>64</v>
      </c>
      <c r="AE7" s="87" t="s">
        <v>55</v>
      </c>
      <c r="AF7" s="156" t="s">
        <v>74</v>
      </c>
      <c r="AG7" s="156" t="s">
        <v>64</v>
      </c>
      <c r="AH7" s="156" t="s">
        <v>64</v>
      </c>
      <c r="AI7" s="156" t="s">
        <v>75</v>
      </c>
      <c r="AJ7" s="156" t="s">
        <v>73</v>
      </c>
      <c r="AK7" s="160">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0.12109046400000002</v>
      </c>
      <c r="AL7" s="160">
        <f>(1 - ((1 - VLOOKUP(Table4[[#This Row],[ConfidentialityP]],'Reference - CVSSv3.0'!$B$15:$C$17,2,FALSE)) * (1 - VLOOKUP(Table4[[#This Row],[IntegrityP]],'Reference - CVSSv3.0'!$B$15:$C$17,2,FALSE)) *  (1 - VLOOKUP(Table4[[#This Row],[AvailabilityP]],'Reference - CVSSv3.0'!$B$15:$C$17,2,FALSE))))</f>
        <v>0.84899199999999997</v>
      </c>
      <c r="AM7" s="160">
        <f>IF(Table4[[#This Row],[ScopeP]]="Unchanged",6.42*Table4[[#This Row],[ISC BaseP]],IF(Table4[[#This Row],[ScopeP]]="Changed",7.52*(Table4[[#This Row],[ISC BaseP]] - 0.029) - 3.25 * POWER(Table4[[#This Row],[ISC BaseP]] - 0.02,15),NA()))</f>
        <v>5.4505286399999999</v>
      </c>
      <c r="AN7" s="160">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7" s="160">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5.5</v>
      </c>
      <c r="AP7"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7" s="54" t="s">
        <v>203</v>
      </c>
    </row>
    <row r="8" spans="1:45" s="48" customFormat="1" ht="56" x14ac:dyDescent="0.35">
      <c r="A8" s="66">
        <v>4</v>
      </c>
      <c r="B8" s="220" t="s">
        <v>120</v>
      </c>
      <c r="C8" s="211" t="str">
        <f>IF(VLOOKUP(Table4[[#This Row],[T ID]],Table5[#All],5,FALSE)="No","Not in scope",VLOOKUP(Table4[[#This Row],[T ID]],Table5[#All],2,FALSE))</f>
        <v xml:space="preserve">Perform perimeter network reconnaissance/scanning. </v>
      </c>
      <c r="D8" s="45" t="s">
        <v>141</v>
      </c>
      <c r="E8" s="211" t="str">
        <f>IF(VLOOKUP(Table4[[#This Row],[V ID]],Vulnerabilities[#All],3,FALSE)="No","Not in scope",VLOOKUP(Table4[[#This Row],[V ID]],Vulnerabilities[#All],2,FALSE))</f>
        <v>Unprotected network port</v>
      </c>
      <c r="F8" s="45" t="s">
        <v>110</v>
      </c>
      <c r="G8" s="211" t="str">
        <f>VLOOKUP(Table4[[#This Row],[A ID]],Assets[#All],3,FALSE)</f>
        <v>Computer/OS network identification</v>
      </c>
      <c r="H8" s="45" t="s">
        <v>148</v>
      </c>
      <c r="I8" s="233"/>
      <c r="J8" s="87" t="s">
        <v>55</v>
      </c>
      <c r="K8" s="87" t="s">
        <v>76</v>
      </c>
      <c r="L8" s="87" t="s">
        <v>55</v>
      </c>
      <c r="M8" s="87" t="s">
        <v>77</v>
      </c>
      <c r="N8" s="87" t="s">
        <v>64</v>
      </c>
      <c r="O8" s="87" t="s">
        <v>76</v>
      </c>
      <c r="P8" s="87" t="s">
        <v>76</v>
      </c>
      <c r="Q8" s="87" t="s">
        <v>73</v>
      </c>
      <c r="R8"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8" s="215">
        <f>(1 - ((1 - VLOOKUP(Table4[[#This Row],[Confidentiality]],'Reference - CVSSv3.0'!$B$15:$C$17,2,FALSE)) * (1 - VLOOKUP(Table4[[#This Row],[Integrity]],'Reference - CVSSv3.0'!$B$15:$C$17,2,FALSE)) *  (1 - VLOOKUP(Table4[[#This Row],[Availability]],'Reference - CVSSv3.0'!$B$15:$C$17,2,FALSE))))</f>
        <v>0.39159999999999995</v>
      </c>
      <c r="T8" s="215">
        <f>IF(Table4[[#This Row],[Scope]]="Unchanged",6.42*Table4[[#This Row],[ISC Base]],IF(Table4[[#This Row],[Scope]]="Changed",7.52*(Table4[[#This Row],[ISC Base]] - 0.029) - 3.25 * POWER(Table4[[#This Row],[ISC Base]] - 0.02,15),NA()))</f>
        <v>2.5140719999999996</v>
      </c>
      <c r="U8" s="215">
        <f>IF(Table4[[#This Row],[Impact Sub Score]]&lt;=0,0,IF(Table4[[#This Row],[Scope]]="Unchanged",ROUNDUP(MIN((Table4[[#This Row],[Impact Sub Score]]+Table4[[#This Row],[Exploitability Sub Score]]),10),1),IF(Table4[[#This Row],[Scope]]="Changed",ROUNDUP(MIN((1.08*(Table4[[#This Row],[Impact Sub Score]]+Table4[[#This Row],[Exploitability Sub Score]])),10),1),NA())))</f>
        <v>4.8</v>
      </c>
      <c r="V8" s="180" t="s">
        <v>54</v>
      </c>
      <c r="W8" s="215">
        <f>VLOOKUP(Table4[[#This Row],[Threat Event Initiation]],NIST_Scale_LOAI[],2,FALSE)</f>
        <v>0.5</v>
      </c>
      <c r="X8"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8"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12"/>
      <c r="AA8" s="212"/>
      <c r="AB8" s="217"/>
      <c r="AC8" s="210"/>
      <c r="AD8" s="210"/>
      <c r="AE8" s="210"/>
      <c r="AF8" s="213"/>
      <c r="AG8" s="213"/>
      <c r="AH8" s="213"/>
      <c r="AI8" s="213"/>
      <c r="AJ8" s="218"/>
      <c r="AK8"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15" t="e">
        <f>(1 - ((1 - VLOOKUP(Table4[[#This Row],[ConfidentialityP]],'Reference - CVSSv3.0'!$B$15:$C$17,2,FALSE)) * (1 - VLOOKUP(Table4[[#This Row],[IntegrityP]],'Reference - CVSSv3.0'!$B$15:$C$17,2,FALSE)) *  (1 - VLOOKUP(Table4[[#This Row],[AvailabilityP]],'Reference - CVSSv3.0'!$B$15:$C$17,2,FALSE))))</f>
        <v>#N/A</v>
      </c>
      <c r="AM8" s="215" t="e">
        <f>IF(Table4[[#This Row],[ScopeP]]="Unchanged",6.42*Table4[[#This Row],[ISC BaseP]],IF(Table4[[#This Row],[ScopeP]]="Changed",7.52*(Table4[[#This Row],[ISC BaseP]] - 0.029) - 3.25 * POWER(Table4[[#This Row],[ISC BaseP]] - 0.02,15),NA()))</f>
        <v>#N/A</v>
      </c>
      <c r="AN8"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10"/>
    </row>
    <row r="9" spans="1:45" s="48" customFormat="1" ht="28" x14ac:dyDescent="0.35">
      <c r="A9" s="209">
        <v>5</v>
      </c>
      <c r="B9" s="45" t="s">
        <v>122</v>
      </c>
      <c r="C9" s="211" t="str">
        <f>IF(VLOOKUP(Table4[[#This Row],[T ID]],Table5[#All],5,FALSE)="No","Not in scope",VLOOKUP(Table4[[#This Row],[T ID]],Table5[#All],2,FALSE))</f>
        <v xml:space="preserve">Conduct scavenging of ePHI at rest </v>
      </c>
      <c r="D9" s="45" t="s">
        <v>113</v>
      </c>
      <c r="E9" s="211" t="str">
        <f>IF(VLOOKUP(Table4[[#This Row],[V ID]],Vulnerabilities[#All],3,FALSE)="No","Not in scope",VLOOKUP(Table4[[#This Row],[V ID]],Vulnerabilities[#All],2,FALSE))</f>
        <v>Ineffective management of user credentials</v>
      </c>
      <c r="F9" s="232" t="s">
        <v>109</v>
      </c>
      <c r="G9" s="211" t="str">
        <f>VLOOKUP(Table4[[#This Row],[A ID]],Assets[#All],3,FALSE)</f>
        <v>Patient health information at rest</v>
      </c>
      <c r="H9" s="45" t="s">
        <v>300</v>
      </c>
      <c r="I9" s="54"/>
      <c r="J9" s="87" t="s">
        <v>64</v>
      </c>
      <c r="K9" s="87" t="s">
        <v>76</v>
      </c>
      <c r="L9" s="87" t="s">
        <v>55</v>
      </c>
      <c r="M9" s="87" t="s">
        <v>77</v>
      </c>
      <c r="N9" s="87" t="s">
        <v>64</v>
      </c>
      <c r="O9" s="87" t="s">
        <v>55</v>
      </c>
      <c r="P9" s="87" t="s">
        <v>76</v>
      </c>
      <c r="Q9" s="87" t="s">
        <v>73</v>
      </c>
      <c r="R9"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 s="215">
        <f>(1 - ((1 - VLOOKUP(Table4[[#This Row],[Confidentiality]],'Reference - CVSSv3.0'!$B$15:$C$17,2,FALSE)) * (1 - VLOOKUP(Table4[[#This Row],[Integrity]],'Reference - CVSSv3.0'!$B$15:$C$17,2,FALSE)) *  (1 - VLOOKUP(Table4[[#This Row],[Availability]],'Reference - CVSSv3.0'!$B$15:$C$17,2,FALSE))))</f>
        <v>0.65680000000000005</v>
      </c>
      <c r="T9" s="215">
        <f>IF(Table4[[#This Row],[Scope]]="Unchanged",6.42*Table4[[#This Row],[ISC Base]],IF(Table4[[#This Row],[Scope]]="Changed",7.52*(Table4[[#This Row],[ISC Base]] - 0.029) - 3.25 * POWER(Table4[[#This Row],[ISC Base]] - 0.02,15),NA()))</f>
        <v>4.2166560000000004</v>
      </c>
      <c r="U9" s="215">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9" s="180" t="s">
        <v>55</v>
      </c>
      <c r="W9" s="215">
        <f>VLOOKUP(Table4[[#This Row],[Threat Event Initiation]],NIST_Scale_LOAI[],2,FALSE)</f>
        <v>0.2</v>
      </c>
      <c r="X9"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9"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210"/>
      <c r="AA9" s="212"/>
      <c r="AB9" s="217"/>
      <c r="AC9" s="210"/>
      <c r="AD9" s="210"/>
      <c r="AE9" s="210"/>
      <c r="AF9" s="213"/>
      <c r="AG9" s="213"/>
      <c r="AH9" s="213"/>
      <c r="AI9" s="213"/>
      <c r="AJ9" s="218"/>
      <c r="AK9"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15" t="e">
        <f>(1 - ((1 - VLOOKUP(Table4[[#This Row],[ConfidentialityP]],'Reference - CVSSv3.0'!$B$15:$C$17,2,FALSE)) * (1 - VLOOKUP(Table4[[#This Row],[IntegrityP]],'Reference - CVSSv3.0'!$B$15:$C$17,2,FALSE)) *  (1 - VLOOKUP(Table4[[#This Row],[AvailabilityP]],'Reference - CVSSv3.0'!$B$15:$C$17,2,FALSE))))</f>
        <v>#N/A</v>
      </c>
      <c r="AM9" s="215" t="e">
        <f>IF(Table4[[#This Row],[ScopeP]]="Unchanged",6.42*Table4[[#This Row],[ISC BaseP]],IF(Table4[[#This Row],[ScopeP]]="Changed",7.52*(Table4[[#This Row],[ISC BaseP]] - 0.029) - 3.25 * POWER(Table4[[#This Row],[ISC BaseP]] - 0.02,15),NA()))</f>
        <v>#N/A</v>
      </c>
      <c r="AN9"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10"/>
    </row>
    <row r="10" spans="1:45" s="48" customFormat="1" ht="56" x14ac:dyDescent="0.35">
      <c r="A10" s="65">
        <v>6</v>
      </c>
      <c r="B10" s="45" t="s">
        <v>119</v>
      </c>
      <c r="C10" s="211" t="str">
        <f>IF(VLOOKUP(Table4[[#This Row],[T ID]],Table5[#All],5,FALSE)="No","Not in scope",VLOOKUP(Table4[[#This Row],[T ID]],Table5[#All],2,FALSE))</f>
        <v>Deliver directed malware
(CAPEC-185)</v>
      </c>
      <c r="D10" s="45" t="s">
        <v>308</v>
      </c>
      <c r="E10" s="211" t="str">
        <f>IF(VLOOKUP(Table4[[#This Row],[V ID]],Vulnerabilities[#All],3,FALSE)="No","Not in scope",VLOOKUP(Table4[[#This Row],[V ID]],Vulnerabilities[#All],2,FALSE))</f>
        <v>Ineffective management of admin credentials</v>
      </c>
      <c r="F10" s="232" t="s">
        <v>107</v>
      </c>
      <c r="G10" s="211" t="str">
        <f>VLOOKUP(Table4[[#This Row],[A ID]],Assets[#All],3,FALSE)</f>
        <v>Admin Password / Credentials / System Configuration / Certificates</v>
      </c>
      <c r="H10" s="45" t="s">
        <v>298</v>
      </c>
      <c r="I10" s="54"/>
      <c r="J10" s="87" t="s">
        <v>55</v>
      </c>
      <c r="K10" s="87" t="s">
        <v>64</v>
      </c>
      <c r="L10" s="87" t="s">
        <v>55</v>
      </c>
      <c r="M10" s="87" t="s">
        <v>78</v>
      </c>
      <c r="N10" s="87" t="s">
        <v>64</v>
      </c>
      <c r="O10" s="87" t="s">
        <v>55</v>
      </c>
      <c r="P10" s="87" t="s">
        <v>76</v>
      </c>
      <c r="Q10" s="87" t="s">
        <v>73</v>
      </c>
      <c r="R10"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0" s="215">
        <f>(1 - ((1 - VLOOKUP(Table4[[#This Row],[Confidentiality]],'Reference - CVSSv3.0'!$B$15:$C$17,2,FALSE)) * (1 - VLOOKUP(Table4[[#This Row],[Integrity]],'Reference - CVSSv3.0'!$B$15:$C$17,2,FALSE)) *  (1 - VLOOKUP(Table4[[#This Row],[Availability]],'Reference - CVSSv3.0'!$B$15:$C$17,2,FALSE))))</f>
        <v>0.73230400000000007</v>
      </c>
      <c r="T10" s="215">
        <f>IF(Table4[[#This Row],[Scope]]="Unchanged",6.42*Table4[[#This Row],[ISC Base]],IF(Table4[[#This Row],[Scope]]="Changed",7.52*(Table4[[#This Row],[ISC Base]] - 0.029) - 3.25 * POWER(Table4[[#This Row],[ISC Base]] - 0.02,15),NA()))</f>
        <v>4.7013916800000004</v>
      </c>
      <c r="U10" s="215">
        <f>IF(Table4[[#This Row],[Impact Sub Score]]&lt;=0,0,IF(Table4[[#This Row],[Scope]]="Unchanged",ROUNDUP(MIN((Table4[[#This Row],[Impact Sub Score]]+Table4[[#This Row],[Exploitability Sub Score]]),10),1),IF(Table4[[#This Row],[Scope]]="Changed",ROUNDUP(MIN((1.08*(Table4[[#This Row],[Impact Sub Score]]+Table4[[#This Row],[Exploitability Sub Score]])),10),1),NA())))</f>
        <v>5.8</v>
      </c>
      <c r="V10" s="180" t="s">
        <v>54</v>
      </c>
      <c r="W10" s="215">
        <f>VLOOKUP(Table4[[#This Row],[Threat Event Initiation]],NIST_Scale_LOAI[],2,FALSE)</f>
        <v>0.5</v>
      </c>
      <c r="X10"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0"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210"/>
      <c r="AA10" s="212"/>
      <c r="AB10" s="217"/>
      <c r="AC10" s="210"/>
      <c r="AD10" s="210"/>
      <c r="AE10" s="210"/>
      <c r="AF10" s="213"/>
      <c r="AG10" s="213"/>
      <c r="AH10" s="213"/>
      <c r="AI10" s="213"/>
      <c r="AJ10" s="218"/>
      <c r="AK10"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15" t="e">
        <f>(1 - ((1 - VLOOKUP(Table4[[#This Row],[ConfidentialityP]],'Reference - CVSSv3.0'!$B$15:$C$17,2,FALSE)) * (1 - VLOOKUP(Table4[[#This Row],[IntegrityP]],'Reference - CVSSv3.0'!$B$15:$C$17,2,FALSE)) *  (1 - VLOOKUP(Table4[[#This Row],[AvailabilityP]],'Reference - CVSSv3.0'!$B$15:$C$17,2,FALSE))))</f>
        <v>#N/A</v>
      </c>
      <c r="AM10" s="215" t="e">
        <f>IF(Table4[[#This Row],[ScopeP]]="Unchanged",6.42*Table4[[#This Row],[ISC BaseP]],IF(Table4[[#This Row],[ScopeP]]="Changed",7.52*(Table4[[#This Row],[ISC BaseP]] - 0.029) - 3.25 * POWER(Table4[[#This Row],[ISC BaseP]] - 0.02,15),NA()))</f>
        <v>#N/A</v>
      </c>
      <c r="AN10"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10"/>
    </row>
    <row r="11" spans="1:45" s="48" customFormat="1" ht="42" x14ac:dyDescent="0.35">
      <c r="A11" s="66">
        <v>7</v>
      </c>
      <c r="B11" s="45" t="s">
        <v>253</v>
      </c>
      <c r="C11" s="211" t="str">
        <f>IF(VLOOKUP(Table4[[#This Row],[T ID]],Table5[#All],5,FALSE)="No","Not in scope",VLOOKUP(Table4[[#This Row],[T ID]],Table5[#All],2,FALSE))</f>
        <v>Man-in-the middle attack / intercept Navigation communication</v>
      </c>
      <c r="D11" s="45" t="s">
        <v>292</v>
      </c>
      <c r="E11" s="211" t="str">
        <f>IF(VLOOKUP(Table4[[#This Row],[V ID]],Vulnerabilities[#All],3,FALSE)="No","Not in scope",VLOOKUP(Table4[[#This Row],[V ID]],Vulnerabilities[#All],2,FALSE))</f>
        <v>Any unprotected hardware</v>
      </c>
      <c r="F11" s="232" t="s">
        <v>112</v>
      </c>
      <c r="G11" s="211" t="str">
        <f>VLOOKUP(Table4[[#This Row],[A ID]],Assets[#All],3,FALSE)</f>
        <v>Navigation Accuracy</v>
      </c>
      <c r="H11" s="45" t="s">
        <v>329</v>
      </c>
      <c r="I11" s="54"/>
      <c r="J11" s="87" t="s">
        <v>55</v>
      </c>
      <c r="K11" s="87" t="s">
        <v>64</v>
      </c>
      <c r="L11" s="87" t="s">
        <v>64</v>
      </c>
      <c r="M11" s="87" t="s">
        <v>77</v>
      </c>
      <c r="N11" s="87" t="s">
        <v>64</v>
      </c>
      <c r="O11" s="87" t="s">
        <v>64</v>
      </c>
      <c r="P11" s="87" t="s">
        <v>76</v>
      </c>
      <c r="Q11" s="87" t="s">
        <v>73</v>
      </c>
      <c r="R11"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 s="215">
        <f>(1 - ((1 - VLOOKUP(Table4[[#This Row],[Confidentiality]],'Reference - CVSSv3.0'!$B$15:$C$17,2,FALSE)) * (1 - VLOOKUP(Table4[[#This Row],[Integrity]],'Reference - CVSSv3.0'!$B$15:$C$17,2,FALSE)) *  (1 - VLOOKUP(Table4[[#This Row],[Availability]],'Reference - CVSSv3.0'!$B$15:$C$17,2,FALSE))))</f>
        <v>0.84899200000000008</v>
      </c>
      <c r="T11" s="215">
        <f>IF(Table4[[#This Row],[Scope]]="Unchanged",6.42*Table4[[#This Row],[ISC Base]],IF(Table4[[#This Row],[Scope]]="Changed",7.52*(Table4[[#This Row],[ISC Base]] - 0.029) - 3.25 * POWER(Table4[[#This Row],[ISC Base]] - 0.02,15),NA()))</f>
        <v>5.4505286400000008</v>
      </c>
      <c r="U11" s="215">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 s="180" t="s">
        <v>48</v>
      </c>
      <c r="W11" s="215">
        <f>VLOOKUP(Table4[[#This Row],[Threat Event Initiation]],NIST_Scale_LOAI[],2,FALSE)</f>
        <v>0.04</v>
      </c>
      <c r="X11"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1"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210"/>
      <c r="AA11" s="212"/>
      <c r="AB11" s="217"/>
      <c r="AC11" s="210"/>
      <c r="AD11" s="210"/>
      <c r="AE11" s="210"/>
      <c r="AF11" s="213"/>
      <c r="AG11" s="213"/>
      <c r="AH11" s="213"/>
      <c r="AI11" s="213"/>
      <c r="AJ11" s="218"/>
      <c r="AK11"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15" t="e">
        <f>(1 - ((1 - VLOOKUP(Table4[[#This Row],[ConfidentialityP]],'Reference - CVSSv3.0'!$B$15:$C$17,2,FALSE)) * (1 - VLOOKUP(Table4[[#This Row],[IntegrityP]],'Reference - CVSSv3.0'!$B$15:$C$17,2,FALSE)) *  (1 - VLOOKUP(Table4[[#This Row],[AvailabilityP]],'Reference - CVSSv3.0'!$B$15:$C$17,2,FALSE))))</f>
        <v>#N/A</v>
      </c>
      <c r="AM11" s="215" t="e">
        <f>IF(Table4[[#This Row],[ScopeP]]="Unchanged",6.42*Table4[[#This Row],[ISC BaseP]],IF(Table4[[#This Row],[ScopeP]]="Changed",7.52*(Table4[[#This Row],[ISC BaseP]] - 0.029) - 3.25 * POWER(Table4[[#This Row],[ISC BaseP]] - 0.02,15),NA()))</f>
        <v>#N/A</v>
      </c>
      <c r="AN11"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10"/>
    </row>
    <row r="12" spans="1:45" s="48" customFormat="1" ht="48" customHeight="1" x14ac:dyDescent="0.35">
      <c r="A12" s="209">
        <v>8</v>
      </c>
      <c r="B12" s="45" t="s">
        <v>236</v>
      </c>
      <c r="C12" s="211" t="str">
        <f>IF(VLOOKUP(Table4[[#This Row],[T ID]],Table5[#All],5,FALSE)="No","Not in scope",VLOOKUP(Table4[[#This Row],[T ID]],Table5[#All],2,FALSE))</f>
        <v>Network-based denial of service (DoS) attack</v>
      </c>
      <c r="D12" s="45" t="s">
        <v>141</v>
      </c>
      <c r="E12" s="211" t="str">
        <f>IF(VLOOKUP(Table4[[#This Row],[V ID]],Vulnerabilities[#All],3,FALSE)="No","Not in scope",VLOOKUP(Table4[[#This Row],[V ID]],Vulnerabilities[#All],2,FALSE))</f>
        <v>Unprotected network port</v>
      </c>
      <c r="F12" s="232" t="s">
        <v>106</v>
      </c>
      <c r="G12" s="211" t="str">
        <f>VLOOKUP(Table4[[#This Row],[A ID]],Assets[#All],3,FALSE)</f>
        <v>Nav3i cart/ System running with windows 8.1</v>
      </c>
      <c r="H12" s="45" t="s">
        <v>311</v>
      </c>
      <c r="I12" s="54"/>
      <c r="J12" s="87" t="s">
        <v>76</v>
      </c>
      <c r="K12" s="87" t="s">
        <v>76</v>
      </c>
      <c r="L12" s="87" t="s">
        <v>64</v>
      </c>
      <c r="M12" s="87" t="s">
        <v>77</v>
      </c>
      <c r="N12" s="87" t="s">
        <v>55</v>
      </c>
      <c r="O12" s="87" t="s">
        <v>64</v>
      </c>
      <c r="P12" s="87" t="s">
        <v>76</v>
      </c>
      <c r="Q12" s="87" t="s">
        <v>73</v>
      </c>
      <c r="R12"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2" s="215">
        <f>(1 - ((1 - VLOOKUP(Table4[[#This Row],[Confidentiality]],'Reference - CVSSv3.0'!$B$15:$C$17,2,FALSE)) * (1 - VLOOKUP(Table4[[#This Row],[Integrity]],'Reference - CVSSv3.0'!$B$15:$C$17,2,FALSE)) *  (1 - VLOOKUP(Table4[[#This Row],[Availability]],'Reference - CVSSv3.0'!$B$15:$C$17,2,FALSE))))</f>
        <v>0.56000000000000005</v>
      </c>
      <c r="T12" s="215">
        <f>IF(Table4[[#This Row],[Scope]]="Unchanged",6.42*Table4[[#This Row],[ISC Base]],IF(Table4[[#This Row],[Scope]]="Changed",7.52*(Table4[[#This Row],[ISC Base]] - 0.029) - 3.25 * POWER(Table4[[#This Row],[ISC Base]] - 0.02,15),NA()))</f>
        <v>3.5952000000000002</v>
      </c>
      <c r="U12" s="21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2" s="180" t="s">
        <v>54</v>
      </c>
      <c r="W12" s="215">
        <f>VLOOKUP(Table4[[#This Row],[Threat Event Initiation]],NIST_Scale_LOAI[],2,FALSE)</f>
        <v>0.5</v>
      </c>
      <c r="X12"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2"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210"/>
      <c r="AA12" s="212"/>
      <c r="AB12" s="217"/>
      <c r="AC12" s="210"/>
      <c r="AD12" s="210"/>
      <c r="AE12" s="210"/>
      <c r="AF12" s="213"/>
      <c r="AG12" s="213"/>
      <c r="AH12" s="213"/>
      <c r="AI12" s="213"/>
      <c r="AJ12" s="218"/>
      <c r="AK12"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215" t="e">
        <f>(1 - ((1 - VLOOKUP(Table4[[#This Row],[ConfidentialityP]],'Reference - CVSSv3.0'!$B$15:$C$17,2,FALSE)) * (1 - VLOOKUP(Table4[[#This Row],[IntegrityP]],'Reference - CVSSv3.0'!$B$15:$C$17,2,FALSE)) *  (1 - VLOOKUP(Table4[[#This Row],[AvailabilityP]],'Reference - CVSSv3.0'!$B$15:$C$17,2,FALSE))))</f>
        <v>#N/A</v>
      </c>
      <c r="AM12" s="215" t="e">
        <f>IF(Table4[[#This Row],[ScopeP]]="Unchanged",6.42*Table4[[#This Row],[ISC BaseP]],IF(Table4[[#This Row],[ScopeP]]="Changed",7.52*(Table4[[#This Row],[ISC BaseP]] - 0.029) - 3.25 * POWER(Table4[[#This Row],[ISC BaseP]] - 0.02,15),NA()))</f>
        <v>#N/A</v>
      </c>
      <c r="AN12"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210"/>
    </row>
    <row r="13" spans="1:45" ht="84" x14ac:dyDescent="0.35">
      <c r="A13" s="65">
        <v>9</v>
      </c>
      <c r="B13" s="45" t="s">
        <v>248</v>
      </c>
      <c r="C13" s="211" t="str">
        <f>IF(VLOOKUP(Table4[[#This Row],[T ID]],Table5[#All],5,FALSE)="No","Not in scope",VLOOKUP(Table4[[#This Row],[T ID]],Table5[#All],2,FALSE))</f>
        <v>Remote exploitation</v>
      </c>
      <c r="D13" s="45" t="s">
        <v>141</v>
      </c>
      <c r="E13" s="211" t="str">
        <f>IF(VLOOKUP(Table4[[#This Row],[V ID]],Vulnerabilities[#All],3,FALSE)="No","Not in scope",VLOOKUP(Table4[[#This Row],[V ID]],Vulnerabilities[#All],2,FALSE))</f>
        <v>Unprotected network port</v>
      </c>
      <c r="F13" s="232" t="s">
        <v>112</v>
      </c>
      <c r="G13" s="211" t="str">
        <f>VLOOKUP(Table4[[#This Row],[A ID]],Assets[#All],3,FALSE)</f>
        <v>Navigation Accuracy</v>
      </c>
      <c r="H13" s="45" t="s">
        <v>312</v>
      </c>
      <c r="I13" s="54"/>
      <c r="J13" s="87" t="s">
        <v>76</v>
      </c>
      <c r="K13" s="87" t="s">
        <v>64</v>
      </c>
      <c r="L13" s="87" t="s">
        <v>55</v>
      </c>
      <c r="M13" s="87" t="s">
        <v>77</v>
      </c>
      <c r="N13" s="87" t="s">
        <v>64</v>
      </c>
      <c r="O13" s="87" t="s">
        <v>55</v>
      </c>
      <c r="P13" s="87" t="s">
        <v>76</v>
      </c>
      <c r="Q13" s="87" t="s">
        <v>98</v>
      </c>
      <c r="R13"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3" s="215">
        <f>(1 - ((1 - VLOOKUP(Table4[[#This Row],[Confidentiality]],'Reference - CVSSv3.0'!$B$15:$C$17,2,FALSE)) * (1 - VLOOKUP(Table4[[#This Row],[Integrity]],'Reference - CVSSv3.0'!$B$15:$C$17,2,FALSE)) *  (1 - VLOOKUP(Table4[[#This Row],[Availability]],'Reference - CVSSv3.0'!$B$15:$C$17,2,FALSE))))</f>
        <v>0.65680000000000005</v>
      </c>
      <c r="T13" s="215">
        <f>IF(Table4[[#This Row],[Scope]]="Unchanged",6.42*Table4[[#This Row],[ISC Base]],IF(Table4[[#This Row],[Scope]]="Changed",7.52*(Table4[[#This Row],[ISC Base]] - 0.029) - 3.25 * POWER(Table4[[#This Row],[ISC Base]] - 0.02,15),NA()))</f>
        <v>4.7173241070114784</v>
      </c>
      <c r="U13" s="215">
        <f>IF(Table4[[#This Row],[Impact Sub Score]]&lt;=0,0,IF(Table4[[#This Row],[Scope]]="Unchanged",ROUNDUP(MIN((Table4[[#This Row],[Impact Sub Score]]+Table4[[#This Row],[Exploitability Sub Score]]),10),1),IF(Table4[[#This Row],[Scope]]="Changed",ROUNDUP(MIN((1.08*(Table4[[#This Row],[Impact Sub Score]]+Table4[[#This Row],[Exploitability Sub Score]])),10),1),NA())))</f>
        <v>7.1</v>
      </c>
      <c r="V13" s="180" t="s">
        <v>55</v>
      </c>
      <c r="W13" s="215">
        <f>VLOOKUP(Table4[[#This Row],[Threat Event Initiation]],NIST_Scale_LOAI[],2,FALSE)</f>
        <v>0.2</v>
      </c>
      <c r="X13"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3"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210"/>
      <c r="AA13" s="212"/>
      <c r="AB13" s="217"/>
      <c r="AC13" s="210"/>
      <c r="AD13" s="210"/>
      <c r="AE13" s="210"/>
      <c r="AF13" s="213"/>
      <c r="AG13" s="213"/>
      <c r="AH13" s="213"/>
      <c r="AI13" s="213"/>
      <c r="AJ13" s="218"/>
      <c r="AK13"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215" t="e">
        <f>(1 - ((1 - VLOOKUP(Table4[[#This Row],[ConfidentialityP]],'Reference - CVSSv3.0'!$B$15:$C$17,2,FALSE)) * (1 - VLOOKUP(Table4[[#This Row],[IntegrityP]],'Reference - CVSSv3.0'!$B$15:$C$17,2,FALSE)) *  (1 - VLOOKUP(Table4[[#This Row],[AvailabilityP]],'Reference - CVSSv3.0'!$B$15:$C$17,2,FALSE))))</f>
        <v>#N/A</v>
      </c>
      <c r="AM13" s="215" t="e">
        <f>IF(Table4[[#This Row],[ScopeP]]="Unchanged",6.42*Table4[[#This Row],[ISC BaseP]],IF(Table4[[#This Row],[ScopeP]]="Changed",7.52*(Table4[[#This Row],[ISC BaseP]] - 0.029) - 3.25 * POWER(Table4[[#This Row],[ISC BaseP]] - 0.02,15),NA()))</f>
        <v>#N/A</v>
      </c>
      <c r="AN13"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210"/>
    </row>
    <row r="14" spans="1:45" ht="70" x14ac:dyDescent="0.35">
      <c r="A14" s="66">
        <v>10</v>
      </c>
      <c r="B14" s="45" t="s">
        <v>248</v>
      </c>
      <c r="C14" s="211" t="str">
        <f>IF(VLOOKUP(Table4[[#This Row],[T ID]],Table5[#All],5,FALSE)="No","Not in scope",VLOOKUP(Table4[[#This Row],[T ID]],Table5[#All],2,FALSE))</f>
        <v>Remote exploitation</v>
      </c>
      <c r="D14" s="45" t="s">
        <v>141</v>
      </c>
      <c r="E14" s="211" t="str">
        <f>IF(VLOOKUP(Table4[[#This Row],[V ID]],Vulnerabilities[#All],3,FALSE)="No","Not in scope",VLOOKUP(Table4[[#This Row],[V ID]],Vulnerabilities[#All],2,FALSE))</f>
        <v>Unprotected network port</v>
      </c>
      <c r="F14" s="232" t="s">
        <v>106</v>
      </c>
      <c r="G14" s="211" t="str">
        <f>VLOOKUP(Table4[[#This Row],[A ID]],Assets[#All],3,FALSE)</f>
        <v>Nav3i cart/ System running with windows 8.1</v>
      </c>
      <c r="H14" s="45" t="s">
        <v>313</v>
      </c>
      <c r="I14" s="54"/>
      <c r="J14" s="87" t="s">
        <v>76</v>
      </c>
      <c r="K14" s="87" t="s">
        <v>55</v>
      </c>
      <c r="L14" s="87" t="s">
        <v>64</v>
      </c>
      <c r="M14" s="87" t="s">
        <v>77</v>
      </c>
      <c r="N14" s="87" t="s">
        <v>64</v>
      </c>
      <c r="O14" s="87" t="s">
        <v>55</v>
      </c>
      <c r="P14" s="87" t="s">
        <v>76</v>
      </c>
      <c r="Q14" s="87" t="s">
        <v>73</v>
      </c>
      <c r="R14"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4" s="215">
        <f>(1 - ((1 - VLOOKUP(Table4[[#This Row],[Confidentiality]],'Reference - CVSSv3.0'!$B$15:$C$17,2,FALSE)) * (1 - VLOOKUP(Table4[[#This Row],[Integrity]],'Reference - CVSSv3.0'!$B$15:$C$17,2,FALSE)) *  (1 - VLOOKUP(Table4[[#This Row],[Availability]],'Reference - CVSSv3.0'!$B$15:$C$17,2,FALSE))))</f>
        <v>0.65680000000000005</v>
      </c>
      <c r="T14" s="215">
        <f>IF(Table4[[#This Row],[Scope]]="Unchanged",6.42*Table4[[#This Row],[ISC Base]],IF(Table4[[#This Row],[Scope]]="Changed",7.52*(Table4[[#This Row],[ISC Base]] - 0.029) - 3.25 * POWER(Table4[[#This Row],[ISC Base]] - 0.02,15),NA()))</f>
        <v>4.2166560000000004</v>
      </c>
      <c r="U14" s="215">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4" s="180" t="s">
        <v>54</v>
      </c>
      <c r="W14" s="215">
        <f>VLOOKUP(Table4[[#This Row],[Threat Event Initiation]],NIST_Scale_LOAI[],2,FALSE)</f>
        <v>0.5</v>
      </c>
      <c r="X14"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4"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210"/>
      <c r="AA14" s="212"/>
      <c r="AB14" s="217"/>
      <c r="AC14" s="210"/>
      <c r="AD14" s="210"/>
      <c r="AE14" s="210"/>
      <c r="AF14" s="213"/>
      <c r="AG14" s="213"/>
      <c r="AH14" s="213"/>
      <c r="AI14" s="213"/>
      <c r="AJ14" s="218"/>
      <c r="AK14"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15" t="e">
        <f>(1 - ((1 - VLOOKUP(Table4[[#This Row],[ConfidentialityP]],'Reference - CVSSv3.0'!$B$15:$C$17,2,FALSE)) * (1 - VLOOKUP(Table4[[#This Row],[IntegrityP]],'Reference - CVSSv3.0'!$B$15:$C$17,2,FALSE)) *  (1 - VLOOKUP(Table4[[#This Row],[AvailabilityP]],'Reference - CVSSv3.0'!$B$15:$C$17,2,FALSE))))</f>
        <v>#N/A</v>
      </c>
      <c r="AM14" s="215" t="e">
        <f>IF(Table4[[#This Row],[ScopeP]]="Unchanged",6.42*Table4[[#This Row],[ISC BaseP]],IF(Table4[[#This Row],[ScopeP]]="Changed",7.52*(Table4[[#This Row],[ISC BaseP]] - 0.029) - 3.25 * POWER(Table4[[#This Row],[ISC BaseP]] - 0.02,15),NA()))</f>
        <v>#N/A</v>
      </c>
      <c r="AN14"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10"/>
    </row>
    <row r="15" spans="1:45" ht="70" x14ac:dyDescent="0.35">
      <c r="A15" s="209">
        <v>11</v>
      </c>
      <c r="B15" s="45" t="s">
        <v>248</v>
      </c>
      <c r="C15" s="211" t="str">
        <f>IF(VLOOKUP(Table4[[#This Row],[T ID]],Table5[#All],5,FALSE)="No","Not in scope",VLOOKUP(Table4[[#This Row],[T ID]],Table5[#All],2,FALSE))</f>
        <v>Remote exploitation</v>
      </c>
      <c r="D15" s="45" t="s">
        <v>140</v>
      </c>
      <c r="E15" s="211" t="str">
        <f>IF(VLOOKUP(Table4[[#This Row],[V ID]],Vulnerabilities[#All],3,FALSE)="No","Not in scope",VLOOKUP(Table4[[#This Row],[V ID]],Vulnerabilities[#All],2,FALSE))</f>
        <v>Unpatched OS</v>
      </c>
      <c r="F15" s="232" t="s">
        <v>107</v>
      </c>
      <c r="G15" s="211" t="str">
        <f>VLOOKUP(Table4[[#This Row],[A ID]],Assets[#All],3,FALSE)</f>
        <v>Admin Password / Credentials / System Configuration / Certificates</v>
      </c>
      <c r="H15" s="45" t="s">
        <v>314</v>
      </c>
      <c r="I15" s="54"/>
      <c r="J15" s="87" t="s">
        <v>64</v>
      </c>
      <c r="K15" s="87" t="s">
        <v>64</v>
      </c>
      <c r="L15" s="87" t="s">
        <v>55</v>
      </c>
      <c r="M15" s="87" t="s">
        <v>77</v>
      </c>
      <c r="N15" s="87" t="s">
        <v>55</v>
      </c>
      <c r="O15" s="87" t="s">
        <v>64</v>
      </c>
      <c r="P15" s="87" t="s">
        <v>76</v>
      </c>
      <c r="Q15" s="87" t="s">
        <v>73</v>
      </c>
      <c r="R15"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15">
        <f>(1 - ((1 - VLOOKUP(Table4[[#This Row],[Confidentiality]],'Reference - CVSSv3.0'!$B$15:$C$17,2,FALSE)) * (1 - VLOOKUP(Table4[[#This Row],[Integrity]],'Reference - CVSSv3.0'!$B$15:$C$17,2,FALSE)) *  (1 - VLOOKUP(Table4[[#This Row],[Availability]],'Reference - CVSSv3.0'!$B$15:$C$17,2,FALSE))))</f>
        <v>0.84899199999999997</v>
      </c>
      <c r="T15" s="215">
        <f>IF(Table4[[#This Row],[Scope]]="Unchanged",6.42*Table4[[#This Row],[ISC Base]],IF(Table4[[#This Row],[Scope]]="Changed",7.52*(Table4[[#This Row],[ISC Base]] - 0.029) - 3.25 * POWER(Table4[[#This Row],[ISC Base]] - 0.02,15),NA()))</f>
        <v>5.4505286399999999</v>
      </c>
      <c r="U15" s="215">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5" s="180" t="s">
        <v>54</v>
      </c>
      <c r="W15" s="215">
        <f>VLOOKUP(Table4[[#This Row],[Threat Event Initiation]],NIST_Scale_LOAI[],2,FALSE)</f>
        <v>0.5</v>
      </c>
      <c r="X15"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15"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210"/>
      <c r="AA15" s="212"/>
      <c r="AB15" s="217"/>
      <c r="AC15" s="210"/>
      <c r="AD15" s="210"/>
      <c r="AE15" s="210"/>
      <c r="AF15" s="213"/>
      <c r="AG15" s="213"/>
      <c r="AH15" s="213"/>
      <c r="AI15" s="213"/>
      <c r="AJ15" s="218"/>
      <c r="AK15"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215" t="e">
        <f>(1 - ((1 - VLOOKUP(Table4[[#This Row],[ConfidentialityP]],'Reference - CVSSv3.0'!$B$15:$C$17,2,FALSE)) * (1 - VLOOKUP(Table4[[#This Row],[IntegrityP]],'Reference - CVSSv3.0'!$B$15:$C$17,2,FALSE)) *  (1 - VLOOKUP(Table4[[#This Row],[AvailabilityP]],'Reference - CVSSv3.0'!$B$15:$C$17,2,FALSE))))</f>
        <v>#N/A</v>
      </c>
      <c r="AM15" s="215" t="e">
        <f>IF(Table4[[#This Row],[ScopeP]]="Unchanged",6.42*Table4[[#This Row],[ISC BaseP]],IF(Table4[[#This Row],[ScopeP]]="Changed",7.52*(Table4[[#This Row],[ISC BaseP]] - 0.029) - 3.25 * POWER(Table4[[#This Row],[ISC BaseP]] - 0.02,15),NA()))</f>
        <v>#N/A</v>
      </c>
      <c r="AN15"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210"/>
    </row>
    <row r="16" spans="1:45" ht="42" x14ac:dyDescent="0.35">
      <c r="A16" s="65">
        <v>12</v>
      </c>
      <c r="B16" s="45" t="s">
        <v>250</v>
      </c>
      <c r="C16" s="211" t="str">
        <f>IF(VLOOKUP(Table4[[#This Row],[T ID]],Table5[#All],5,FALSE)="No","Not in scope",VLOOKUP(Table4[[#This Row],[T ID]],Table5[#All],2,FALSE))</f>
        <v>Improper disposal of hard disks</v>
      </c>
      <c r="D16" s="45" t="s">
        <v>292</v>
      </c>
      <c r="E16" s="211" t="str">
        <f>IF(VLOOKUP(Table4[[#This Row],[V ID]],Vulnerabilities[#All],3,FALSE)="No","Not in scope",VLOOKUP(Table4[[#This Row],[V ID]],Vulnerabilities[#All],2,FALSE))</f>
        <v>Any unprotected hardware</v>
      </c>
      <c r="F16" s="232" t="s">
        <v>109</v>
      </c>
      <c r="G16" s="211" t="str">
        <f>VLOOKUP(Table4[[#This Row],[A ID]],Assets[#All],3,FALSE)</f>
        <v>Patient health information at rest</v>
      </c>
      <c r="H16" s="45" t="s">
        <v>315</v>
      </c>
      <c r="I16" s="54"/>
      <c r="J16" s="87" t="s">
        <v>64</v>
      </c>
      <c r="K16" s="87" t="s">
        <v>76</v>
      </c>
      <c r="L16" s="87" t="s">
        <v>76</v>
      </c>
      <c r="M16" s="87" t="s">
        <v>74</v>
      </c>
      <c r="N16" s="87" t="s">
        <v>55</v>
      </c>
      <c r="O16" s="87" t="s">
        <v>55</v>
      </c>
      <c r="P16" s="87" t="s">
        <v>76</v>
      </c>
      <c r="Q16" s="87" t="s">
        <v>73</v>
      </c>
      <c r="R16"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6" s="215">
        <f>(1 - ((1 - VLOOKUP(Table4[[#This Row],[Confidentiality]],'Reference - CVSSv3.0'!$B$15:$C$17,2,FALSE)) * (1 - VLOOKUP(Table4[[#This Row],[Integrity]],'Reference - CVSSv3.0'!$B$15:$C$17,2,FALSE)) *  (1 - VLOOKUP(Table4[[#This Row],[Availability]],'Reference - CVSSv3.0'!$B$15:$C$17,2,FALSE))))</f>
        <v>0.56000000000000005</v>
      </c>
      <c r="T16" s="215">
        <f>IF(Table4[[#This Row],[Scope]]="Unchanged",6.42*Table4[[#This Row],[ISC Base]],IF(Table4[[#This Row],[Scope]]="Changed",7.52*(Table4[[#This Row],[ISC Base]] - 0.029) - 3.25 * POWER(Table4[[#This Row],[ISC Base]] - 0.02,15),NA()))</f>
        <v>3.5952000000000002</v>
      </c>
      <c r="U16" s="215">
        <f>IF(Table4[[#This Row],[Impact Sub Score]]&lt;=0,0,IF(Table4[[#This Row],[Scope]]="Unchanged",ROUNDUP(MIN((Table4[[#This Row],[Impact Sub Score]]+Table4[[#This Row],[Exploitability Sub Score]]),10),1),IF(Table4[[#This Row],[Scope]]="Changed",ROUNDUP(MIN((1.08*(Table4[[#This Row],[Impact Sub Score]]+Table4[[#This Row],[Exploitability Sub Score]])),10),1),NA())))</f>
        <v>4.3</v>
      </c>
      <c r="V16" s="180" t="s">
        <v>55</v>
      </c>
      <c r="W16" s="215">
        <f>VLOOKUP(Table4[[#This Row],[Threat Event Initiation]],NIST_Scale_LOAI[],2,FALSE)</f>
        <v>0.2</v>
      </c>
      <c r="X16"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10"/>
      <c r="AA16" s="212"/>
      <c r="AB16" s="217"/>
      <c r="AC16" s="210"/>
      <c r="AD16" s="210"/>
      <c r="AE16" s="210"/>
      <c r="AF16" s="213"/>
      <c r="AG16" s="213"/>
      <c r="AH16" s="213"/>
      <c r="AI16" s="213"/>
      <c r="AJ16" s="218"/>
      <c r="AK16"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15" t="e">
        <f>(1 - ((1 - VLOOKUP(Table4[[#This Row],[ConfidentialityP]],'Reference - CVSSv3.0'!$B$15:$C$17,2,FALSE)) * (1 - VLOOKUP(Table4[[#This Row],[IntegrityP]],'Reference - CVSSv3.0'!$B$15:$C$17,2,FALSE)) *  (1 - VLOOKUP(Table4[[#This Row],[AvailabilityP]],'Reference - CVSSv3.0'!$B$15:$C$17,2,FALSE))))</f>
        <v>#N/A</v>
      </c>
      <c r="AM16" s="215" t="e">
        <f>IF(Table4[[#This Row],[ScopeP]]="Unchanged",6.42*Table4[[#This Row],[ISC BaseP]],IF(Table4[[#This Row],[ScopeP]]="Changed",7.52*(Table4[[#This Row],[ISC BaseP]] - 0.029) - 3.25 * POWER(Table4[[#This Row],[ISC BaseP]] - 0.02,15),NA()))</f>
        <v>#N/A</v>
      </c>
      <c r="AN16"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10"/>
    </row>
    <row r="17" spans="1:43" ht="42" x14ac:dyDescent="0.35">
      <c r="A17" s="66">
        <v>13</v>
      </c>
      <c r="B17" s="45" t="s">
        <v>230</v>
      </c>
      <c r="C17" s="85" t="str">
        <f>IF(VLOOKUP(Table4[[#This Row],[T ID]],Table5[#All],5,FALSE)="No","Not in scope",VLOOKUP(Table4[[#This Row],[T ID]],Table5[#All],2,FALSE))</f>
        <v>Theft of system or hard drives</v>
      </c>
      <c r="D17" s="45" t="s">
        <v>292</v>
      </c>
      <c r="E17" s="85" t="str">
        <f>IF(VLOOKUP(Table4[[#This Row],[V ID]],Vulnerabilities[#All],3,FALSE)="No","Not in scope",VLOOKUP(Table4[[#This Row],[V ID]],Vulnerabilities[#All],2,FALSE))</f>
        <v>Any unprotected hardware</v>
      </c>
      <c r="F17" s="232" t="s">
        <v>106</v>
      </c>
      <c r="G17" s="86" t="str">
        <f>VLOOKUP(Table4[[#This Row],[A ID]],Assets[#All],3,FALSE)</f>
        <v>Nav3i cart/ System running with windows 8.1</v>
      </c>
      <c r="H17" s="45" t="s">
        <v>316</v>
      </c>
      <c r="I17" s="54"/>
      <c r="J17" s="87" t="s">
        <v>64</v>
      </c>
      <c r="K17" s="87" t="s">
        <v>324</v>
      </c>
      <c r="L17" s="87" t="s">
        <v>64</v>
      </c>
      <c r="M17" s="87" t="s">
        <v>74</v>
      </c>
      <c r="N17" s="87" t="s">
        <v>325</v>
      </c>
      <c r="O17" s="87" t="s">
        <v>325</v>
      </c>
      <c r="P17" s="87" t="s">
        <v>324</v>
      </c>
      <c r="Q17" s="87" t="s">
        <v>326</v>
      </c>
      <c r="R17" s="1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7" s="160">
        <f>(1 - ((1 - VLOOKUP(Table4[[#This Row],[Confidentiality]],'Reference - CVSSv3.0'!$B$15:$C$17,2,FALSE)) * (1 - VLOOKUP(Table4[[#This Row],[Integrity]],'Reference - CVSSv3.0'!$B$15:$C$17,2,FALSE)) *  (1 - VLOOKUP(Table4[[#This Row],[Availability]],'Reference - CVSSv3.0'!$B$15:$C$17,2,FALSE))))</f>
        <v>0.80640000000000001</v>
      </c>
      <c r="T17" s="160">
        <f>IF(Table4[[#This Row],[Scope]]="Unchanged",6.42*Table4[[#This Row],[ISC Base]],IF(Table4[[#This Row],[Scope]]="Changed",7.52*(Table4[[#This Row],[ISC Base]] - 0.029) - 3.25 * POWER(Table4[[#This Row],[ISC Base]] - 0.02,15),NA()))</f>
        <v>5.1770880000000004</v>
      </c>
      <c r="U17" s="160">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7" s="180" t="s">
        <v>55</v>
      </c>
      <c r="W17" s="181">
        <f>VLOOKUP(Table4[[#This Row],[Threat Event Initiation]],NIST_Scale_LOAI[],2,FALSE)</f>
        <v>0.2</v>
      </c>
      <c r="X17" s="16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7"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54" t="s">
        <v>151</v>
      </c>
      <c r="AA17" s="45" t="s">
        <v>152</v>
      </c>
      <c r="AB17" s="88" t="s">
        <v>168</v>
      </c>
      <c r="AC17" s="87" t="s">
        <v>55</v>
      </c>
      <c r="AD17" s="87" t="s">
        <v>76</v>
      </c>
      <c r="AE17" s="87" t="s">
        <v>76</v>
      </c>
      <c r="AF17" s="156" t="s">
        <v>77</v>
      </c>
      <c r="AG17" s="156" t="s">
        <v>64</v>
      </c>
      <c r="AH17" s="156" t="s">
        <v>76</v>
      </c>
      <c r="AI17" s="156" t="s">
        <v>76</v>
      </c>
      <c r="AJ17" s="156" t="s">
        <v>73</v>
      </c>
      <c r="AK17" s="160">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L17" s="160">
        <f>(1 - ((1 - VLOOKUP(Table4[[#This Row],[ConfidentialityP]],'Reference - CVSSv3.0'!$B$15:$C$17,2,FALSE)) * (1 - VLOOKUP(Table4[[#This Row],[IntegrityP]],'Reference - CVSSv3.0'!$B$15:$C$17,2,FALSE)) *  (1 - VLOOKUP(Table4[[#This Row],[AvailabilityP]],'Reference - CVSSv3.0'!$B$15:$C$17,2,FALSE))))</f>
        <v>0.21999999999999997</v>
      </c>
      <c r="AM17" s="160">
        <f>IF(Table4[[#This Row],[ScopeP]]="Unchanged",6.42*Table4[[#This Row],[ISC BaseP]],IF(Table4[[#This Row],[ScopeP]]="Changed",7.52*(Table4[[#This Row],[ISC BaseP]] - 0.029) - 3.25 * POWER(Table4[[#This Row],[ISC BaseP]] - 0.02,15),NA()))</f>
        <v>1.4123999999999999</v>
      </c>
      <c r="AN17" s="160">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17" s="160">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17"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7" s="54"/>
    </row>
    <row r="18" spans="1:43" ht="42" x14ac:dyDescent="0.35">
      <c r="A18" s="209">
        <v>14</v>
      </c>
      <c r="B18" s="45" t="s">
        <v>233</v>
      </c>
      <c r="C18" s="211" t="str">
        <f>IF(VLOOKUP(Table4[[#This Row],[T ID]],Table5[#All],5,FALSE)="No","Not in scope",VLOOKUP(Table4[[#This Row],[T ID]],Table5[#All],2,FALSE))</f>
        <v>Data theft via physical media</v>
      </c>
      <c r="D18" s="45" t="s">
        <v>142</v>
      </c>
      <c r="E18" s="211" t="str">
        <f>IF(VLOOKUP(Table4[[#This Row],[V ID]],Vulnerabilities[#All],3,FALSE)="No","Not in scope",VLOOKUP(Table4[[#This Row],[V ID]],Vulnerabilities[#All],2,FALSE))</f>
        <v>Unprotected external USB Port</v>
      </c>
      <c r="F18" s="232" t="s">
        <v>109</v>
      </c>
      <c r="G18" s="211" t="str">
        <f>VLOOKUP(Table4[[#This Row],[A ID]],Assets[#All],3,FALSE)</f>
        <v>Patient health information at rest</v>
      </c>
      <c r="H18" s="45" t="s">
        <v>317</v>
      </c>
      <c r="I18" s="54"/>
      <c r="J18" s="87" t="s">
        <v>64</v>
      </c>
      <c r="K18" s="87" t="s">
        <v>324</v>
      </c>
      <c r="L18" s="87" t="s">
        <v>324</v>
      </c>
      <c r="M18" s="87" t="s">
        <v>74</v>
      </c>
      <c r="N18" s="87" t="s">
        <v>325</v>
      </c>
      <c r="O18" s="87" t="s">
        <v>325</v>
      </c>
      <c r="P18" s="87" t="s">
        <v>324</v>
      </c>
      <c r="Q18" s="87" t="s">
        <v>326</v>
      </c>
      <c r="R18"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8" s="215">
        <f>(1 - ((1 - VLOOKUP(Table4[[#This Row],[Confidentiality]],'Reference - CVSSv3.0'!$B$15:$C$17,2,FALSE)) * (1 - VLOOKUP(Table4[[#This Row],[Integrity]],'Reference - CVSSv3.0'!$B$15:$C$17,2,FALSE)) *  (1 - VLOOKUP(Table4[[#This Row],[Availability]],'Reference - CVSSv3.0'!$B$15:$C$17,2,FALSE))))</f>
        <v>0.56000000000000005</v>
      </c>
      <c r="T18" s="215">
        <f>IF(Table4[[#This Row],[Scope]]="Unchanged",6.42*Table4[[#This Row],[ISC Base]],IF(Table4[[#This Row],[Scope]]="Changed",7.52*(Table4[[#This Row],[ISC Base]] - 0.029) - 3.25 * POWER(Table4[[#This Row],[ISC Base]] - 0.02,15),NA()))</f>
        <v>3.5952000000000002</v>
      </c>
      <c r="U18" s="215">
        <f>IF(Table4[[#This Row],[Impact Sub Score]]&lt;=0,0,IF(Table4[[#This Row],[Scope]]="Unchanged",ROUNDUP(MIN((Table4[[#This Row],[Impact Sub Score]]+Table4[[#This Row],[Exploitability Sub Score]]),10),1),IF(Table4[[#This Row],[Scope]]="Changed",ROUNDUP(MIN((1.08*(Table4[[#This Row],[Impact Sub Score]]+Table4[[#This Row],[Exploitability Sub Score]])),10),1),NA())))</f>
        <v>4.3</v>
      </c>
      <c r="V18" s="180" t="s">
        <v>55</v>
      </c>
      <c r="W18" s="215">
        <f>VLOOKUP(Table4[[#This Row],[Threat Event Initiation]],NIST_Scale_LOAI[],2,FALSE)</f>
        <v>0.2</v>
      </c>
      <c r="X18"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8"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10"/>
      <c r="AA18" s="212"/>
      <c r="AB18" s="217"/>
      <c r="AC18" s="210"/>
      <c r="AD18" s="210"/>
      <c r="AE18" s="210"/>
      <c r="AF18" s="213"/>
      <c r="AG18" s="213"/>
      <c r="AH18" s="213"/>
      <c r="AI18" s="213"/>
      <c r="AJ18" s="218"/>
      <c r="AK18"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15" t="e">
        <f>(1 - ((1 - VLOOKUP(Table4[[#This Row],[ConfidentialityP]],'Reference - CVSSv3.0'!$B$15:$C$17,2,FALSE)) * (1 - VLOOKUP(Table4[[#This Row],[IntegrityP]],'Reference - CVSSv3.0'!$B$15:$C$17,2,FALSE)) *  (1 - VLOOKUP(Table4[[#This Row],[AvailabilityP]],'Reference - CVSSv3.0'!$B$15:$C$17,2,FALSE))))</f>
        <v>#N/A</v>
      </c>
      <c r="AM18" s="215" t="e">
        <f>IF(Table4[[#This Row],[ScopeP]]="Unchanged",6.42*Table4[[#This Row],[ISC BaseP]],IF(Table4[[#This Row],[ScopeP]]="Changed",7.52*(Table4[[#This Row],[ISC BaseP]] - 0.029) - 3.25 * POWER(Table4[[#This Row],[ISC BaseP]] - 0.02,15),NA()))</f>
        <v>#N/A</v>
      </c>
      <c r="AN18"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10"/>
    </row>
    <row r="19" spans="1:43" ht="112" x14ac:dyDescent="0.35">
      <c r="A19" s="65">
        <v>15</v>
      </c>
      <c r="B19" s="45" t="s">
        <v>261</v>
      </c>
      <c r="C19" s="211" t="str">
        <f>IF(VLOOKUP(Table4[[#This Row],[T ID]],Table5[#All],5,FALSE)="No","Not in scope",VLOOKUP(Table4[[#This Row],[T ID]],Table5[#All],2,FALSE))</f>
        <v>Physical Manipulation of Hardware</v>
      </c>
      <c r="D19" s="45" t="s">
        <v>292</v>
      </c>
      <c r="E19" s="211" t="str">
        <f>IF(VLOOKUP(Table4[[#This Row],[V ID]],Vulnerabilities[#All],3,FALSE)="No","Not in scope",VLOOKUP(Table4[[#This Row],[V ID]],Vulnerabilities[#All],2,FALSE))</f>
        <v>Any unprotected hardware</v>
      </c>
      <c r="F19" s="232" t="s">
        <v>107</v>
      </c>
      <c r="G19" s="211" t="str">
        <f>VLOOKUP(Table4[[#This Row],[A ID]],Assets[#All],3,FALSE)</f>
        <v>Admin Password / Credentials / System Configuration / Certificates</v>
      </c>
      <c r="H19" s="45" t="s">
        <v>318</v>
      </c>
      <c r="I19" s="54"/>
      <c r="J19" s="87" t="s">
        <v>55</v>
      </c>
      <c r="K19" s="87" t="s">
        <v>64</v>
      </c>
      <c r="L19" s="87" t="s">
        <v>324</v>
      </c>
      <c r="M19" s="87" t="s">
        <v>74</v>
      </c>
      <c r="N19" s="87" t="s">
        <v>55</v>
      </c>
      <c r="O19" s="87" t="s">
        <v>64</v>
      </c>
      <c r="P19" s="87" t="s">
        <v>324</v>
      </c>
      <c r="Q19" s="87" t="s">
        <v>73</v>
      </c>
      <c r="R19"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19" s="215">
        <f>(1 - ((1 - VLOOKUP(Table4[[#This Row],[Confidentiality]],'Reference - CVSSv3.0'!$B$15:$C$17,2,FALSE)) * (1 - VLOOKUP(Table4[[#This Row],[Integrity]],'Reference - CVSSv3.0'!$B$15:$C$17,2,FALSE)) *  (1 - VLOOKUP(Table4[[#This Row],[Availability]],'Reference - CVSSv3.0'!$B$15:$C$17,2,FALSE))))</f>
        <v>0.65680000000000005</v>
      </c>
      <c r="T19" s="215">
        <f>IF(Table4[[#This Row],[Scope]]="Unchanged",6.42*Table4[[#This Row],[ISC Base]],IF(Table4[[#This Row],[Scope]]="Changed",7.52*(Table4[[#This Row],[ISC Base]] - 0.029) - 3.25 * POWER(Table4[[#This Row],[ISC Base]] - 0.02,15),NA()))</f>
        <v>4.2166560000000004</v>
      </c>
      <c r="U19" s="215">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19" s="180" t="s">
        <v>55</v>
      </c>
      <c r="W19" s="215">
        <f>VLOOKUP(Table4[[#This Row],[Threat Event Initiation]],NIST_Scale_LOAI[],2,FALSE)</f>
        <v>0.2</v>
      </c>
      <c r="X19"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9"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10"/>
      <c r="AA19" s="212"/>
      <c r="AB19" s="217"/>
      <c r="AC19" s="210"/>
      <c r="AD19" s="210"/>
      <c r="AE19" s="210"/>
      <c r="AF19" s="213"/>
      <c r="AG19" s="213"/>
      <c r="AH19" s="213"/>
      <c r="AI19" s="213"/>
      <c r="AJ19" s="218"/>
      <c r="AK19"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15" t="e">
        <f>(1 - ((1 - VLOOKUP(Table4[[#This Row],[ConfidentialityP]],'Reference - CVSSv3.0'!$B$15:$C$17,2,FALSE)) * (1 - VLOOKUP(Table4[[#This Row],[IntegrityP]],'Reference - CVSSv3.0'!$B$15:$C$17,2,FALSE)) *  (1 - VLOOKUP(Table4[[#This Row],[AvailabilityP]],'Reference - CVSSv3.0'!$B$15:$C$17,2,FALSE))))</f>
        <v>#N/A</v>
      </c>
      <c r="AM19" s="215" t="e">
        <f>IF(Table4[[#This Row],[ScopeP]]="Unchanged",6.42*Table4[[#This Row],[ISC BaseP]],IF(Table4[[#This Row],[ScopeP]]="Changed",7.52*(Table4[[#This Row],[ISC BaseP]] - 0.029) - 3.25 * POWER(Table4[[#This Row],[ISC BaseP]] - 0.02,15),NA()))</f>
        <v>#N/A</v>
      </c>
      <c r="AN19"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10"/>
    </row>
    <row r="20" spans="1:43" ht="56" x14ac:dyDescent="0.35">
      <c r="A20" s="66">
        <v>16</v>
      </c>
      <c r="B20" s="45" t="s">
        <v>276</v>
      </c>
      <c r="C20" s="211" t="str">
        <f>IF(VLOOKUP(Table4[[#This Row],[T ID]],Table5[#All],5,FALSE)="No","Not in scope",VLOOKUP(Table4[[#This Row],[T ID]],Table5[#All],2,FALSE))</f>
        <v>Power Failure at primary facility</v>
      </c>
      <c r="D20" s="45" t="s">
        <v>292</v>
      </c>
      <c r="E20" s="211" t="str">
        <f>IF(VLOOKUP(Table4[[#This Row],[V ID]],Vulnerabilities[#All],3,FALSE)="No","Not in scope",VLOOKUP(Table4[[#This Row],[V ID]],Vulnerabilities[#All],2,FALSE))</f>
        <v>Any unprotected hardware</v>
      </c>
      <c r="F20" s="232" t="s">
        <v>106</v>
      </c>
      <c r="G20" s="211" t="str">
        <f>VLOOKUP(Table4[[#This Row],[A ID]],Assets[#All],3,FALSE)</f>
        <v>Nav3i cart/ System running with windows 8.1</v>
      </c>
      <c r="H20" s="45" t="s">
        <v>319</v>
      </c>
      <c r="I20" s="54"/>
      <c r="J20" s="87" t="s">
        <v>76</v>
      </c>
      <c r="K20" s="87" t="s">
        <v>76</v>
      </c>
      <c r="L20" s="87" t="s">
        <v>64</v>
      </c>
      <c r="M20" s="87" t="s">
        <v>78</v>
      </c>
      <c r="N20" s="87" t="s">
        <v>55</v>
      </c>
      <c r="O20" s="87" t="s">
        <v>76</v>
      </c>
      <c r="P20" s="87" t="s">
        <v>76</v>
      </c>
      <c r="Q20" s="87" t="s">
        <v>73</v>
      </c>
      <c r="R20"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0" s="215">
        <f>(1 - ((1 - VLOOKUP(Table4[[#This Row],[Confidentiality]],'Reference - CVSSv3.0'!$B$15:$C$17,2,FALSE)) * (1 - VLOOKUP(Table4[[#This Row],[Integrity]],'Reference - CVSSv3.0'!$B$15:$C$17,2,FALSE)) *  (1 - VLOOKUP(Table4[[#This Row],[Availability]],'Reference - CVSSv3.0'!$B$15:$C$17,2,FALSE))))</f>
        <v>0.56000000000000005</v>
      </c>
      <c r="T20" s="215">
        <f>IF(Table4[[#This Row],[Scope]]="Unchanged",6.42*Table4[[#This Row],[ISC Base]],IF(Table4[[#This Row],[Scope]]="Changed",7.52*(Table4[[#This Row],[ISC Base]] - 0.029) - 3.25 * POWER(Table4[[#This Row],[ISC Base]] - 0.02,15),NA()))</f>
        <v>3.5952000000000002</v>
      </c>
      <c r="U20" s="215">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0" s="180" t="s">
        <v>48</v>
      </c>
      <c r="W20" s="215">
        <f>VLOOKUP(Table4[[#This Row],[Threat Event Initiation]],NIST_Scale_LOAI[],2,FALSE)</f>
        <v>0.04</v>
      </c>
      <c r="X20"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0"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10"/>
      <c r="AA20" s="212"/>
      <c r="AB20" s="217"/>
      <c r="AC20" s="210"/>
      <c r="AD20" s="210"/>
      <c r="AE20" s="210"/>
      <c r="AF20" s="213"/>
      <c r="AG20" s="213"/>
      <c r="AH20" s="213"/>
      <c r="AI20" s="213"/>
      <c r="AJ20" s="218"/>
      <c r="AK20"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15" t="e">
        <f>(1 - ((1 - VLOOKUP(Table4[[#This Row],[ConfidentialityP]],'Reference - CVSSv3.0'!$B$15:$C$17,2,FALSE)) * (1 - VLOOKUP(Table4[[#This Row],[IntegrityP]],'Reference - CVSSv3.0'!$B$15:$C$17,2,FALSE)) *  (1 - VLOOKUP(Table4[[#This Row],[AvailabilityP]],'Reference - CVSSv3.0'!$B$15:$C$17,2,FALSE))))</f>
        <v>#N/A</v>
      </c>
      <c r="AM20" s="215" t="e">
        <f>IF(Table4[[#This Row],[ScopeP]]="Unchanged",6.42*Table4[[#This Row],[ISC BaseP]],IF(Table4[[#This Row],[ScopeP]]="Changed",7.52*(Table4[[#This Row],[ISC BaseP]] - 0.029) - 3.25 * POWER(Table4[[#This Row],[ISC BaseP]] - 0.02,15),NA()))</f>
        <v>#N/A</v>
      </c>
      <c r="AN20"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10"/>
    </row>
    <row r="21" spans="1:43" ht="112" x14ac:dyDescent="0.35">
      <c r="A21" s="209">
        <v>17</v>
      </c>
      <c r="B21" s="45" t="s">
        <v>265</v>
      </c>
      <c r="C21" s="211" t="str">
        <f>IF(VLOOKUP(Table4[[#This Row],[T ID]],Table5[#All],5,FALSE)="No","Not in scope",VLOOKUP(Table4[[#This Row],[T ID]],Table5[#All],2,FALSE))</f>
        <v>Gather information using open source discovery of organizational information</v>
      </c>
      <c r="D21" s="45" t="s">
        <v>141</v>
      </c>
      <c r="E21" s="211" t="str">
        <f>IF(VLOOKUP(Table4[[#This Row],[V ID]],Vulnerabilities[#All],3,FALSE)="No","Not in scope",VLOOKUP(Table4[[#This Row],[V ID]],Vulnerabilities[#All],2,FALSE))</f>
        <v>Unprotected network port</v>
      </c>
      <c r="F21" s="232" t="s">
        <v>106</v>
      </c>
      <c r="G21" s="211" t="str">
        <f>VLOOKUP(Table4[[#This Row],[A ID]],Assets[#All],3,FALSE)</f>
        <v>Nav3i cart/ System running with windows 8.1</v>
      </c>
      <c r="H21" s="45" t="s">
        <v>320</v>
      </c>
      <c r="I21" s="54"/>
      <c r="J21" s="87" t="s">
        <v>55</v>
      </c>
      <c r="K21" s="87" t="s">
        <v>55</v>
      </c>
      <c r="L21" s="87" t="s">
        <v>64</v>
      </c>
      <c r="M21" s="87" t="s">
        <v>77</v>
      </c>
      <c r="N21" s="87" t="s">
        <v>64</v>
      </c>
      <c r="O21" s="87" t="s">
        <v>55</v>
      </c>
      <c r="P21" s="87" t="s">
        <v>76</v>
      </c>
      <c r="Q21" s="87" t="s">
        <v>73</v>
      </c>
      <c r="R21"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1" s="215">
        <f>(1 - ((1 - VLOOKUP(Table4[[#This Row],[Confidentiality]],'Reference - CVSSv3.0'!$B$15:$C$17,2,FALSE)) * (1 - VLOOKUP(Table4[[#This Row],[Integrity]],'Reference - CVSSv3.0'!$B$15:$C$17,2,FALSE)) *  (1 - VLOOKUP(Table4[[#This Row],[Availability]],'Reference - CVSSv3.0'!$B$15:$C$17,2,FALSE))))</f>
        <v>0.73230400000000007</v>
      </c>
      <c r="T21" s="215">
        <f>IF(Table4[[#This Row],[Scope]]="Unchanged",6.42*Table4[[#This Row],[ISC Base]],IF(Table4[[#This Row],[Scope]]="Changed",7.52*(Table4[[#This Row],[ISC Base]] - 0.029) - 3.25 * POWER(Table4[[#This Row],[ISC Base]] - 0.02,15),NA()))</f>
        <v>4.7013916800000004</v>
      </c>
      <c r="U21" s="215">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1" s="180" t="s">
        <v>55</v>
      </c>
      <c r="W21" s="215">
        <f>VLOOKUP(Table4[[#This Row],[Threat Event Initiation]],NIST_Scale_LOAI[],2,FALSE)</f>
        <v>0.2</v>
      </c>
      <c r="X21"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1"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210"/>
      <c r="AA21" s="212"/>
      <c r="AB21" s="217"/>
      <c r="AC21" s="210"/>
      <c r="AD21" s="210"/>
      <c r="AE21" s="210"/>
      <c r="AF21" s="213"/>
      <c r="AG21" s="213"/>
      <c r="AH21" s="213"/>
      <c r="AI21" s="213"/>
      <c r="AJ21" s="218"/>
      <c r="AK21"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15" t="e">
        <f>(1 - ((1 - VLOOKUP(Table4[[#This Row],[ConfidentialityP]],'Reference - CVSSv3.0'!$B$15:$C$17,2,FALSE)) * (1 - VLOOKUP(Table4[[#This Row],[IntegrityP]],'Reference - CVSSv3.0'!$B$15:$C$17,2,FALSE)) *  (1 - VLOOKUP(Table4[[#This Row],[AvailabilityP]],'Reference - CVSSv3.0'!$B$15:$C$17,2,FALSE))))</f>
        <v>#N/A</v>
      </c>
      <c r="AM21" s="215" t="e">
        <f>IF(Table4[[#This Row],[ScopeP]]="Unchanged",6.42*Table4[[#This Row],[ISC BaseP]],IF(Table4[[#This Row],[ScopeP]]="Changed",7.52*(Table4[[#This Row],[ISC BaseP]] - 0.029) - 3.25 * POWER(Table4[[#This Row],[ISC BaseP]] - 0.02,15),NA()))</f>
        <v>#N/A</v>
      </c>
      <c r="AN21"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10"/>
    </row>
    <row r="22" spans="1:43" ht="70" x14ac:dyDescent="0.35">
      <c r="A22" s="65">
        <v>18</v>
      </c>
      <c r="B22" s="45" t="s">
        <v>118</v>
      </c>
      <c r="C22" s="211" t="str">
        <f>IF(VLOOKUP(Table4[[#This Row],[T ID]],Table5[#All],5,FALSE)="No","Not in scope",VLOOKUP(Table4[[#This Row],[T ID]],Table5[#All],2,FALSE))</f>
        <v>Deliver undirected malware
(CAPEC-185)</v>
      </c>
      <c r="D22" s="45" t="s">
        <v>297</v>
      </c>
      <c r="E22" s="211" t="str">
        <f>IF(VLOOKUP(Table4[[#This Row],[V ID]],Vulnerabilities[#All],3,FALSE)="No","Not in scope",VLOOKUP(Table4[[#This Row],[V ID]],Vulnerabilities[#All],2,FALSE))</f>
        <v>Developed code not validated using Static/Dynamic Tools</v>
      </c>
      <c r="F22" s="232" t="s">
        <v>106</v>
      </c>
      <c r="G22" s="211" t="str">
        <f>VLOOKUP(Table4[[#This Row],[A ID]],Assets[#All],3,FALSE)</f>
        <v>Nav3i cart/ System running with windows 8.1</v>
      </c>
      <c r="H22" s="45" t="s">
        <v>321</v>
      </c>
      <c r="I22" s="54"/>
      <c r="J22" s="87" t="s">
        <v>55</v>
      </c>
      <c r="K22" s="87" t="s">
        <v>55</v>
      </c>
      <c r="L22" s="87" t="s">
        <v>64</v>
      </c>
      <c r="M22" s="87" t="s">
        <v>78</v>
      </c>
      <c r="N22" s="87" t="s">
        <v>55</v>
      </c>
      <c r="O22" s="87" t="s">
        <v>55</v>
      </c>
      <c r="P22" s="87" t="s">
        <v>75</v>
      </c>
      <c r="Q22" s="87" t="s">
        <v>73</v>
      </c>
      <c r="R22"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2" s="215">
        <f>(1 - ((1 - VLOOKUP(Table4[[#This Row],[Confidentiality]],'Reference - CVSSv3.0'!$B$15:$C$17,2,FALSE)) * (1 - VLOOKUP(Table4[[#This Row],[Integrity]],'Reference - CVSSv3.0'!$B$15:$C$17,2,FALSE)) *  (1 - VLOOKUP(Table4[[#This Row],[Availability]],'Reference - CVSSv3.0'!$B$15:$C$17,2,FALSE))))</f>
        <v>0.73230400000000007</v>
      </c>
      <c r="T22" s="215">
        <f>IF(Table4[[#This Row],[Scope]]="Unchanged",6.42*Table4[[#This Row],[ISC Base]],IF(Table4[[#This Row],[Scope]]="Changed",7.52*(Table4[[#This Row],[ISC Base]] - 0.029) - 3.25 * POWER(Table4[[#This Row],[ISC Base]] - 0.02,15),NA()))</f>
        <v>4.7013916800000004</v>
      </c>
      <c r="U22" s="215">
        <f>IF(Table4[[#This Row],[Impact Sub Score]]&lt;=0,0,IF(Table4[[#This Row],[Scope]]="Unchanged",ROUNDUP(MIN((Table4[[#This Row],[Impact Sub Score]]+Table4[[#This Row],[Exploitability Sub Score]]),10),1),IF(Table4[[#This Row],[Scope]]="Changed",ROUNDUP(MIN((1.08*(Table4[[#This Row],[Impact Sub Score]]+Table4[[#This Row],[Exploitability Sub Score]])),10),1),NA())))</f>
        <v>6.1</v>
      </c>
      <c r="V22" s="180" t="s">
        <v>48</v>
      </c>
      <c r="W22" s="215">
        <f>VLOOKUP(Table4[[#This Row],[Threat Event Initiation]],NIST_Scale_LOAI[],2,FALSE)</f>
        <v>0.04</v>
      </c>
      <c r="X22"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22"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10"/>
      <c r="AA22" s="212"/>
      <c r="AB22" s="217"/>
      <c r="AC22" s="210"/>
      <c r="AD22" s="210"/>
      <c r="AE22" s="210"/>
      <c r="AF22" s="213"/>
      <c r="AG22" s="213"/>
      <c r="AH22" s="213"/>
      <c r="AI22" s="213"/>
      <c r="AJ22" s="218"/>
      <c r="AK22"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15" t="e">
        <f>(1 - ((1 - VLOOKUP(Table4[[#This Row],[ConfidentialityP]],'Reference - CVSSv3.0'!$B$15:$C$17,2,FALSE)) * (1 - VLOOKUP(Table4[[#This Row],[IntegrityP]],'Reference - CVSSv3.0'!$B$15:$C$17,2,FALSE)) *  (1 - VLOOKUP(Table4[[#This Row],[AvailabilityP]],'Reference - CVSSv3.0'!$B$15:$C$17,2,FALSE))))</f>
        <v>#N/A</v>
      </c>
      <c r="AM22" s="215" t="e">
        <f>IF(Table4[[#This Row],[ScopeP]]="Unchanged",6.42*Table4[[#This Row],[ISC BaseP]],IF(Table4[[#This Row],[ScopeP]]="Changed",7.52*(Table4[[#This Row],[ISC BaseP]] - 0.029) - 3.25 * POWER(Table4[[#This Row],[ISC BaseP]] - 0.02,15),NA()))</f>
        <v>#N/A</v>
      </c>
      <c r="AN22"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10"/>
    </row>
    <row r="23" spans="1:43" ht="84" x14ac:dyDescent="0.35">
      <c r="A23" s="66">
        <v>19</v>
      </c>
      <c r="B23" s="45" t="s">
        <v>122</v>
      </c>
      <c r="C23" s="211" t="str">
        <f>IF(VLOOKUP(Table4[[#This Row],[T ID]],Table5[#All],5,FALSE)="No","Not in scope",VLOOKUP(Table4[[#This Row],[T ID]],Table5[#All],2,FALSE))</f>
        <v xml:space="preserve">Conduct scavenging of ePHI at rest </v>
      </c>
      <c r="D23" s="45" t="s">
        <v>294</v>
      </c>
      <c r="E23" s="211" t="str">
        <f>IF(VLOOKUP(Table4[[#This Row],[V ID]],Vulnerabilities[#All],3,FALSE)="No","Not in scope",VLOOKUP(Table4[[#This Row],[V ID]],Vulnerabilities[#All],2,FALSE))</f>
        <v>Unauthorized modification to system bios</v>
      </c>
      <c r="F23" s="232" t="s">
        <v>109</v>
      </c>
      <c r="G23" s="211" t="str">
        <f>VLOOKUP(Table4[[#This Row],[A ID]],Assets[#All],3,FALSE)</f>
        <v>Patient health information at rest</v>
      </c>
      <c r="H23" s="45" t="s">
        <v>299</v>
      </c>
      <c r="I23" s="54"/>
      <c r="J23" s="87" t="s">
        <v>64</v>
      </c>
      <c r="K23" s="87" t="s">
        <v>55</v>
      </c>
      <c r="L23" s="87" t="s">
        <v>55</v>
      </c>
      <c r="M23" s="87" t="s">
        <v>78</v>
      </c>
      <c r="N23" s="87" t="s">
        <v>55</v>
      </c>
      <c r="O23" s="87" t="s">
        <v>55</v>
      </c>
      <c r="P23" s="87" t="s">
        <v>76</v>
      </c>
      <c r="Q23" s="87" t="s">
        <v>73</v>
      </c>
      <c r="R23"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3" s="215">
        <f>(1 - ((1 - VLOOKUP(Table4[[#This Row],[Confidentiality]],'Reference - CVSSv3.0'!$B$15:$C$17,2,FALSE)) * (1 - VLOOKUP(Table4[[#This Row],[Integrity]],'Reference - CVSSv3.0'!$B$15:$C$17,2,FALSE)) *  (1 - VLOOKUP(Table4[[#This Row],[Availability]],'Reference - CVSSv3.0'!$B$15:$C$17,2,FALSE))))</f>
        <v>0.73230400000000007</v>
      </c>
      <c r="T23" s="215">
        <f>IF(Table4[[#This Row],[Scope]]="Unchanged",6.42*Table4[[#This Row],[ISC Base]],IF(Table4[[#This Row],[Scope]]="Changed",7.52*(Table4[[#This Row],[ISC Base]] - 0.029) - 3.25 * POWER(Table4[[#This Row],[ISC Base]] - 0.02,15),NA()))</f>
        <v>4.7013916800000004</v>
      </c>
      <c r="U23" s="215">
        <f>IF(Table4[[#This Row],[Impact Sub Score]]&lt;=0,0,IF(Table4[[#This Row],[Scope]]="Unchanged",ROUNDUP(MIN((Table4[[#This Row],[Impact Sub Score]]+Table4[[#This Row],[Exploitability Sub Score]]),10),1),IF(Table4[[#This Row],[Scope]]="Changed",ROUNDUP(MIN((1.08*(Table4[[#This Row],[Impact Sub Score]]+Table4[[#This Row],[Exploitability Sub Score]])),10),1),NA())))</f>
        <v>6.6</v>
      </c>
      <c r="V23" s="180" t="s">
        <v>55</v>
      </c>
      <c r="W23" s="215">
        <f>VLOOKUP(Table4[[#This Row],[Threat Event Initiation]],NIST_Scale_LOAI[],2,FALSE)</f>
        <v>0.2</v>
      </c>
      <c r="X23"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3"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10"/>
      <c r="AA23" s="212"/>
      <c r="AB23" s="217"/>
      <c r="AC23" s="210"/>
      <c r="AD23" s="210"/>
      <c r="AE23" s="210"/>
      <c r="AF23" s="213"/>
      <c r="AG23" s="213"/>
      <c r="AH23" s="213"/>
      <c r="AI23" s="213"/>
      <c r="AJ23" s="218"/>
      <c r="AK23"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15" t="e">
        <f>(1 - ((1 - VLOOKUP(Table4[[#This Row],[ConfidentialityP]],'Reference - CVSSv3.0'!$B$15:$C$17,2,FALSE)) * (1 - VLOOKUP(Table4[[#This Row],[IntegrityP]],'Reference - CVSSv3.0'!$B$15:$C$17,2,FALSE)) *  (1 - VLOOKUP(Table4[[#This Row],[AvailabilityP]],'Reference - CVSSv3.0'!$B$15:$C$17,2,FALSE))))</f>
        <v>#N/A</v>
      </c>
      <c r="AM23" s="215" t="e">
        <f>IF(Table4[[#This Row],[ScopeP]]="Unchanged",6.42*Table4[[#This Row],[ISC BaseP]],IF(Table4[[#This Row],[ScopeP]]="Changed",7.52*(Table4[[#This Row],[ISC BaseP]] - 0.029) - 3.25 * POWER(Table4[[#This Row],[ISC BaseP]] - 0.02,15),NA()))</f>
        <v>#N/A</v>
      </c>
      <c r="AN23"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10"/>
    </row>
    <row r="24" spans="1:43" ht="56" x14ac:dyDescent="0.35">
      <c r="A24" s="209">
        <v>20</v>
      </c>
      <c r="B24" s="45" t="s">
        <v>286</v>
      </c>
      <c r="C24" s="211" t="str">
        <f>IF(VLOOKUP(Table4[[#This Row],[T ID]],Table5[#All],5,FALSE)="No","Not in scope",VLOOKUP(Table4[[#This Row],[T ID]],Table5[#All],2,FALSE))</f>
        <v>Manipulation of navigation camera firmware / memory</v>
      </c>
      <c r="D24" s="45" t="s">
        <v>292</v>
      </c>
      <c r="E24" s="211" t="str">
        <f>IF(VLOOKUP(Table4[[#This Row],[V ID]],Vulnerabilities[#All],3,FALSE)="No","Not in scope",VLOOKUP(Table4[[#This Row],[V ID]],Vulnerabilities[#All],2,FALSE))</f>
        <v>Any unprotected hardware</v>
      </c>
      <c r="F24" s="232" t="s">
        <v>112</v>
      </c>
      <c r="G24" s="211" t="str">
        <f>VLOOKUP(Table4[[#This Row],[A ID]],Assets[#All],3,FALSE)</f>
        <v>Navigation Accuracy</v>
      </c>
      <c r="H24" s="45" t="s">
        <v>322</v>
      </c>
      <c r="I24" s="54"/>
      <c r="J24" s="87" t="s">
        <v>64</v>
      </c>
      <c r="K24" s="87" t="s">
        <v>55</v>
      </c>
      <c r="L24" s="87" t="s">
        <v>55</v>
      </c>
      <c r="M24" s="87" t="s">
        <v>78</v>
      </c>
      <c r="N24" s="87" t="s">
        <v>64</v>
      </c>
      <c r="O24" s="87" t="s">
        <v>55</v>
      </c>
      <c r="P24" s="87" t="s">
        <v>76</v>
      </c>
      <c r="Q24" s="87" t="s">
        <v>73</v>
      </c>
      <c r="R24" s="21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4" s="215">
        <f>(1 - ((1 - VLOOKUP(Table4[[#This Row],[Confidentiality]],'Reference - CVSSv3.0'!$B$15:$C$17,2,FALSE)) * (1 - VLOOKUP(Table4[[#This Row],[Integrity]],'Reference - CVSSv3.0'!$B$15:$C$17,2,FALSE)) *  (1 - VLOOKUP(Table4[[#This Row],[Availability]],'Reference - CVSSv3.0'!$B$15:$C$17,2,FALSE))))</f>
        <v>0.73230400000000007</v>
      </c>
      <c r="T24" s="215">
        <f>IF(Table4[[#This Row],[Scope]]="Unchanged",6.42*Table4[[#This Row],[ISC Base]],IF(Table4[[#This Row],[Scope]]="Changed",7.52*(Table4[[#This Row],[ISC Base]] - 0.029) - 3.25 * POWER(Table4[[#This Row],[ISC Base]] - 0.02,15),NA()))</f>
        <v>4.7013916800000004</v>
      </c>
      <c r="U24" s="215">
        <f>IF(Table4[[#This Row],[Impact Sub Score]]&lt;=0,0,IF(Table4[[#This Row],[Scope]]="Unchanged",ROUNDUP(MIN((Table4[[#This Row],[Impact Sub Score]]+Table4[[#This Row],[Exploitability Sub Score]]),10),1),IF(Table4[[#This Row],[Scope]]="Changed",ROUNDUP(MIN((1.08*(Table4[[#This Row],[Impact Sub Score]]+Table4[[#This Row],[Exploitability Sub Score]])),10),1),NA())))</f>
        <v>5.8</v>
      </c>
      <c r="V24" s="180" t="s">
        <v>55</v>
      </c>
      <c r="W24" s="215">
        <f>VLOOKUP(Table4[[#This Row],[Threat Event Initiation]],NIST_Scale_LOAI[],2,FALSE)</f>
        <v>0.2</v>
      </c>
      <c r="X24" s="21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4" s="21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210"/>
      <c r="AA24" s="210"/>
      <c r="AB24" s="221"/>
      <c r="AC24" s="210"/>
      <c r="AD24" s="210"/>
      <c r="AE24" s="210"/>
      <c r="AF24" s="213"/>
      <c r="AG24" s="213"/>
      <c r="AH24" s="213"/>
      <c r="AI24" s="213"/>
      <c r="AJ24" s="218"/>
      <c r="AK24" s="21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15" t="e">
        <f>(1 - ((1 - VLOOKUP(Table4[[#This Row],[ConfidentialityP]],'Reference - CVSSv3.0'!$B$15:$C$17,2,FALSE)) * (1 - VLOOKUP(Table4[[#This Row],[IntegrityP]],'Reference - CVSSv3.0'!$B$15:$C$17,2,FALSE)) *  (1 - VLOOKUP(Table4[[#This Row],[AvailabilityP]],'Reference - CVSSv3.0'!$B$15:$C$17,2,FALSE))))</f>
        <v>#N/A</v>
      </c>
      <c r="AM24" s="215" t="e">
        <f>IF(Table4[[#This Row],[ScopeP]]="Unchanged",6.42*Table4[[#This Row],[ISC BaseP]],IF(Table4[[#This Row],[ScopeP]]="Changed",7.52*(Table4[[#This Row],[ISC BaseP]] - 0.029) - 3.25 * POWER(Table4[[#This Row],[ISC BaseP]] - 0.02,15),NA()))</f>
        <v>#N/A</v>
      </c>
      <c r="AN24" s="21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1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10"/>
    </row>
    <row r="25" spans="1:43" ht="56" x14ac:dyDescent="0.35">
      <c r="A25" s="65">
        <v>21</v>
      </c>
      <c r="B25" s="222" t="s">
        <v>261</v>
      </c>
      <c r="C25" s="223" t="str">
        <f>IF(VLOOKUP(Table4[[#This Row],[T ID]],Table5[#All],5,FALSE)="No","Not in scope",VLOOKUP(Table4[[#This Row],[T ID]],Table5[#All],2,FALSE))</f>
        <v>Physical Manipulation of Hardware</v>
      </c>
      <c r="D25" s="45" t="s">
        <v>292</v>
      </c>
      <c r="E25" s="223" t="str">
        <f>IF(VLOOKUP(Table4[[#This Row],[V ID]],Vulnerabilities[#All],3,FALSE)="No","Not in scope",VLOOKUP(Table4[[#This Row],[V ID]],Vulnerabilities[#All],2,FALSE))</f>
        <v>Any unprotected hardware</v>
      </c>
      <c r="F25" s="232" t="s">
        <v>112</v>
      </c>
      <c r="G25" s="223" t="str">
        <f>VLOOKUP(Table4[[#This Row],[A ID]],Assets[#All],3,FALSE)</f>
        <v>Navigation Accuracy</v>
      </c>
      <c r="H25" s="45" t="s">
        <v>323</v>
      </c>
      <c r="I25" s="54"/>
      <c r="J25" s="87" t="s">
        <v>55</v>
      </c>
      <c r="K25" s="87" t="s">
        <v>64</v>
      </c>
      <c r="L25" s="87" t="s">
        <v>324</v>
      </c>
      <c r="M25" s="87" t="s">
        <v>74</v>
      </c>
      <c r="N25" s="87" t="s">
        <v>55</v>
      </c>
      <c r="O25" s="87" t="s">
        <v>64</v>
      </c>
      <c r="P25" s="87" t="s">
        <v>76</v>
      </c>
      <c r="Q25" s="87" t="s">
        <v>73</v>
      </c>
      <c r="R25" s="22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5" s="227">
        <f>(1 - ((1 - VLOOKUP(Table4[[#This Row],[Confidentiality]],'Reference - CVSSv3.0'!$B$15:$C$17,2,FALSE)) * (1 - VLOOKUP(Table4[[#This Row],[Integrity]],'Reference - CVSSv3.0'!$B$15:$C$17,2,FALSE)) *  (1 - VLOOKUP(Table4[[#This Row],[Availability]],'Reference - CVSSv3.0'!$B$15:$C$17,2,FALSE))))</f>
        <v>0.65680000000000005</v>
      </c>
      <c r="T25" s="227">
        <f>IF(Table4[[#This Row],[Scope]]="Unchanged",6.42*Table4[[#This Row],[ISC Base]],IF(Table4[[#This Row],[Scope]]="Changed",7.52*(Table4[[#This Row],[ISC Base]] - 0.029) - 3.25 * POWER(Table4[[#This Row],[ISC Base]] - 0.02,15),NA()))</f>
        <v>4.2166560000000004</v>
      </c>
      <c r="U25" s="227">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5" s="180" t="s">
        <v>55</v>
      </c>
      <c r="W25" s="227">
        <f>VLOOKUP(Table4[[#This Row],[Threat Event Initiation]],NIST_Scale_LOAI[],2,FALSE)</f>
        <v>0.2</v>
      </c>
      <c r="X25" s="22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5" s="22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224"/>
      <c r="AA25" s="224"/>
      <c r="AB25" s="229"/>
      <c r="AC25" s="224"/>
      <c r="AD25" s="224"/>
      <c r="AE25" s="224"/>
      <c r="AF25" s="225"/>
      <c r="AG25" s="225"/>
      <c r="AH25" s="225"/>
      <c r="AI25" s="225"/>
      <c r="AJ25" s="230"/>
      <c r="AK25" s="22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27" t="e">
        <f>(1 - ((1 - VLOOKUP(Table4[[#This Row],[ConfidentialityP]],'Reference - CVSSv3.0'!$B$15:$C$17,2,FALSE)) * (1 - VLOOKUP(Table4[[#This Row],[IntegrityP]],'Reference - CVSSv3.0'!$B$15:$C$17,2,FALSE)) *  (1 - VLOOKUP(Table4[[#This Row],[AvailabilityP]],'Reference - CVSSv3.0'!$B$15:$C$17,2,FALSE))))</f>
        <v>#N/A</v>
      </c>
      <c r="AM25" s="227" t="e">
        <f>IF(Table4[[#This Row],[ScopeP]]="Unchanged",6.42*Table4[[#This Row],[ISC BaseP]],IF(Table4[[#This Row],[ScopeP]]="Changed",7.52*(Table4[[#This Row],[ISC BaseP]] - 0.029) - 3.25 * POWER(Table4[[#This Row],[ISC BaseP]] - 0.02,15),NA()))</f>
        <v>#N/A</v>
      </c>
      <c r="AN25" s="22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2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3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24"/>
    </row>
    <row r="26" spans="1:43" ht="56" x14ac:dyDescent="0.35">
      <c r="A26" s="276">
        <v>22</v>
      </c>
      <c r="B26" s="244" t="s">
        <v>353</v>
      </c>
      <c r="C26" s="266" t="str">
        <f>IF(VLOOKUP(Table4[[#This Row],[T ID]],Table5[#All],5,FALSE)="No","Not in scope",VLOOKUP(Table4[[#This Row],[T ID]],Table5[#All],2,FALSE))</f>
        <v xml:space="preserve">Unexpected/Damaged input to CT Knee Intra-op </v>
      </c>
      <c r="D26" s="244" t="s">
        <v>358</v>
      </c>
      <c r="E26" s="266" t="str">
        <f>IF(VLOOKUP(Table4[[#This Row],[V ID]],Vulnerabilities[#All],3,FALSE)="No","Not in scope",VLOOKUP(Table4[[#This Row],[V ID]],Vulnerabilities[#All],2,FALSE))</f>
        <v>Lack of input sanitization in knee intra-op application</v>
      </c>
      <c r="F26" s="267" t="s">
        <v>355</v>
      </c>
      <c r="G26" s="266" t="str">
        <f>VLOOKUP(Table4[[#This Row],[A ID]],Assets[#All],3,FALSE)</f>
        <v>Input data to Intra-OP</v>
      </c>
      <c r="H26" s="279" t="s">
        <v>486</v>
      </c>
      <c r="I26" s="244"/>
      <c r="J26" s="306" t="s">
        <v>76</v>
      </c>
      <c r="K26" s="306" t="s">
        <v>76</v>
      </c>
      <c r="L26" s="306" t="s">
        <v>64</v>
      </c>
      <c r="M26" s="268" t="s">
        <v>74</v>
      </c>
      <c r="N26" s="268" t="s">
        <v>55</v>
      </c>
      <c r="O26" s="268" t="s">
        <v>55</v>
      </c>
      <c r="P26" s="87" t="s">
        <v>76</v>
      </c>
      <c r="Q26" s="268" t="s">
        <v>73</v>
      </c>
      <c r="R26"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6" s="270">
        <f>(1 - ((1 - VLOOKUP(Table4[[#This Row],[Confidentiality]],'Reference - CVSSv3.0'!$B$15:$C$17,2,FALSE)) * (1 - VLOOKUP(Table4[[#This Row],[Integrity]],'Reference - CVSSv3.0'!$B$15:$C$17,2,FALSE)) *  (1 - VLOOKUP(Table4[[#This Row],[Availability]],'Reference - CVSSv3.0'!$B$15:$C$17,2,FALSE))))</f>
        <v>0.56000000000000005</v>
      </c>
      <c r="T26" s="270">
        <f>IF(Table4[[#This Row],[Scope]]="Unchanged",6.42*Table4[[#This Row],[ISC Base]],IF(Table4[[#This Row],[Scope]]="Changed",7.52*(Table4[[#This Row],[ISC Base]] - 0.029) - 3.25 * POWER(Table4[[#This Row],[ISC Base]] - 0.02,15),NA()))</f>
        <v>3.5952000000000002</v>
      </c>
      <c r="U26" s="270">
        <f>IF(Table4[[#This Row],[Impact Sub Score]]&lt;=0,0,IF(Table4[[#This Row],[Scope]]="Unchanged",ROUNDUP(MIN((Table4[[#This Row],[Impact Sub Score]]+Table4[[#This Row],[Exploitability Sub Score]]),10),1),IF(Table4[[#This Row],[Scope]]="Changed",ROUNDUP(MIN((1.08*(Table4[[#This Row],[Impact Sub Score]]+Table4[[#This Row],[Exploitability Sub Score]])),10),1),NA())))</f>
        <v>4.3</v>
      </c>
      <c r="V26" s="271" t="s">
        <v>55</v>
      </c>
      <c r="W26" s="270">
        <f>VLOOKUP(Table4[[#This Row],[Threat Event Initiation]],NIST_Scale_LOAI[],2,FALSE)</f>
        <v>0.2</v>
      </c>
      <c r="X26"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6"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40" t="s">
        <v>435</v>
      </c>
      <c r="AA26" s="244"/>
      <c r="AB26" s="273"/>
      <c r="AC26" s="244"/>
      <c r="AD26" s="244"/>
      <c r="AE26" s="244"/>
      <c r="AF26" s="268"/>
      <c r="AG26" s="268"/>
      <c r="AH26" s="268"/>
      <c r="AI26" s="268"/>
      <c r="AJ26" s="274"/>
      <c r="AK26"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70" t="e">
        <f>(1 - ((1 - VLOOKUP(Table4[[#This Row],[ConfidentialityP]],'Reference - CVSSv3.0'!$B$15:$C$17,2,FALSE)) * (1 - VLOOKUP(Table4[[#This Row],[IntegrityP]],'Reference - CVSSv3.0'!$B$15:$C$17,2,FALSE)) *  (1 - VLOOKUP(Table4[[#This Row],[AvailabilityP]],'Reference - CVSSv3.0'!$B$15:$C$17,2,FALSE))))</f>
        <v>#N/A</v>
      </c>
      <c r="AM26" s="270" t="e">
        <f>IF(Table4[[#This Row],[ScopeP]]="Unchanged",6.42*Table4[[#This Row],[ISC BaseP]],IF(Table4[[#This Row],[ScopeP]]="Changed",7.52*(Table4[[#This Row],[ISC BaseP]] - 0.029) - 3.25 * POWER(Table4[[#This Row],[ISC BaseP]] - 0.02,15),NA()))</f>
        <v>#N/A</v>
      </c>
      <c r="AN26"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44"/>
    </row>
    <row r="27" spans="1:43" ht="42" x14ac:dyDescent="0.35">
      <c r="A27" s="276">
        <v>23</v>
      </c>
      <c r="B27" s="244" t="s">
        <v>359</v>
      </c>
      <c r="C27" s="266" t="str">
        <f>IF(VLOOKUP(Table4[[#This Row],[T ID]],Table5[#All],5,FALSE)="No","Not in scope",VLOOKUP(Table4[[#This Row],[T ID]],Table5[#All],2,FALSE))</f>
        <v>Malware affected input device</v>
      </c>
      <c r="D27" s="244" t="s">
        <v>349</v>
      </c>
      <c r="E27" s="266" t="str">
        <f>IF(VLOOKUP(Table4[[#This Row],[V ID]],Vulnerabilities[#All],3,FALSE)="No","Not in scope",VLOOKUP(Table4[[#This Row],[V ID]],Vulnerabilities[#All],2,FALSE))</f>
        <v>Lack of validation for the editable configuration controls</v>
      </c>
      <c r="F27" s="267" t="s">
        <v>333</v>
      </c>
      <c r="G27" s="266" t="str">
        <f>VLOOKUP(Table4[[#This Row],[A ID]],Assets[#All],3,FALSE)</f>
        <v>Input device to Intra-OP</v>
      </c>
      <c r="H27" s="279" t="s">
        <v>487</v>
      </c>
      <c r="I27" s="244"/>
      <c r="J27" s="306" t="s">
        <v>76</v>
      </c>
      <c r="K27" s="306" t="s">
        <v>55</v>
      </c>
      <c r="L27" s="306" t="s">
        <v>64</v>
      </c>
      <c r="M27" s="268" t="s">
        <v>74</v>
      </c>
      <c r="N27" s="268" t="s">
        <v>55</v>
      </c>
      <c r="O27" s="268" t="s">
        <v>55</v>
      </c>
      <c r="P27" s="87" t="s">
        <v>76</v>
      </c>
      <c r="Q27" s="268" t="s">
        <v>73</v>
      </c>
      <c r="R27"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70">
        <f>(1 - ((1 - VLOOKUP(Table4[[#This Row],[Confidentiality]],'Reference - CVSSv3.0'!$B$15:$C$17,2,FALSE)) * (1 - VLOOKUP(Table4[[#This Row],[Integrity]],'Reference - CVSSv3.0'!$B$15:$C$17,2,FALSE)) *  (1 - VLOOKUP(Table4[[#This Row],[Availability]],'Reference - CVSSv3.0'!$B$15:$C$17,2,FALSE))))</f>
        <v>0.65680000000000005</v>
      </c>
      <c r="T27" s="270">
        <f>IF(Table4[[#This Row],[Scope]]="Unchanged",6.42*Table4[[#This Row],[ISC Base]],IF(Table4[[#This Row],[Scope]]="Changed",7.52*(Table4[[#This Row],[ISC Base]] - 0.029) - 3.25 * POWER(Table4[[#This Row],[ISC Base]] - 0.02,15),NA()))</f>
        <v>4.2166560000000004</v>
      </c>
      <c r="U27" s="270">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71" t="s">
        <v>55</v>
      </c>
      <c r="W27" s="270">
        <f>VLOOKUP(Table4[[#This Row],[Threat Event Initiation]],NIST_Scale_LOAI[],2,FALSE)</f>
        <v>0.2</v>
      </c>
      <c r="X27"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79" t="s">
        <v>431</v>
      </c>
      <c r="AA27" s="244"/>
      <c r="AB27" s="273"/>
      <c r="AC27" s="244"/>
      <c r="AD27" s="244"/>
      <c r="AE27" s="244"/>
      <c r="AF27" s="268"/>
      <c r="AG27" s="268"/>
      <c r="AH27" s="268"/>
      <c r="AI27" s="268"/>
      <c r="AJ27" s="274"/>
      <c r="AK27"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70" t="e">
        <f>(1 - ((1 - VLOOKUP(Table4[[#This Row],[ConfidentialityP]],'Reference - CVSSv3.0'!$B$15:$C$17,2,FALSE)) * (1 - VLOOKUP(Table4[[#This Row],[IntegrityP]],'Reference - CVSSv3.0'!$B$15:$C$17,2,FALSE)) *  (1 - VLOOKUP(Table4[[#This Row],[AvailabilityP]],'Reference - CVSSv3.0'!$B$15:$C$17,2,FALSE))))</f>
        <v>#N/A</v>
      </c>
      <c r="AM27" s="270" t="e">
        <f>IF(Table4[[#This Row],[ScopeP]]="Unchanged",6.42*Table4[[#This Row],[ISC BaseP]],IF(Table4[[#This Row],[ScopeP]]="Changed",7.52*(Table4[[#This Row],[ISC BaseP]] - 0.029) - 3.25 * POWER(Table4[[#This Row],[ISC BaseP]] - 0.02,15),NA()))</f>
        <v>#N/A</v>
      </c>
      <c r="AN27"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44"/>
    </row>
    <row r="28" spans="1:43" ht="112" x14ac:dyDescent="0.35">
      <c r="A28" s="276">
        <v>25</v>
      </c>
      <c r="B28" s="244" t="s">
        <v>362</v>
      </c>
      <c r="C28" s="266" t="str">
        <f>IF(VLOOKUP(Table4[[#This Row],[T ID]],Table5[#All],5,FALSE)="No","Not in scope",VLOOKUP(Table4[[#This Row],[T ID]],Table5[#All],2,FALSE))</f>
        <v>Critical data transfer to the removable device</v>
      </c>
      <c r="D28" s="244" t="s">
        <v>142</v>
      </c>
      <c r="E28" s="266" t="str">
        <f>IF(VLOOKUP(Table4[[#This Row],[V ID]],Vulnerabilities[#All],3,FALSE)="No","Not in scope",VLOOKUP(Table4[[#This Row],[V ID]],Vulnerabilities[#All],2,FALSE))</f>
        <v>Unprotected external USB Port</v>
      </c>
      <c r="F28" s="267" t="s">
        <v>355</v>
      </c>
      <c r="G28" s="266" t="str">
        <f>VLOOKUP(Table4[[#This Row],[A ID]],Assets[#All],3,FALSE)</f>
        <v>Input data to Intra-OP</v>
      </c>
      <c r="H28" s="279" t="s">
        <v>488</v>
      </c>
      <c r="I28" s="244"/>
      <c r="J28" s="306" t="s">
        <v>64</v>
      </c>
      <c r="K28" s="306" t="s">
        <v>55</v>
      </c>
      <c r="L28" s="306" t="s">
        <v>76</v>
      </c>
      <c r="M28" s="268" t="s">
        <v>74</v>
      </c>
      <c r="N28" s="268" t="s">
        <v>55</v>
      </c>
      <c r="O28" s="268" t="s">
        <v>55</v>
      </c>
      <c r="P28" s="87" t="s">
        <v>76</v>
      </c>
      <c r="Q28" s="268" t="s">
        <v>73</v>
      </c>
      <c r="R28"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70">
        <f>(1 - ((1 - VLOOKUP(Table4[[#This Row],[Confidentiality]],'Reference - CVSSv3.0'!$B$15:$C$17,2,FALSE)) * (1 - VLOOKUP(Table4[[#This Row],[Integrity]],'Reference - CVSSv3.0'!$B$15:$C$17,2,FALSE)) *  (1 - VLOOKUP(Table4[[#This Row],[Availability]],'Reference - CVSSv3.0'!$B$15:$C$17,2,FALSE))))</f>
        <v>0.65680000000000005</v>
      </c>
      <c r="T28" s="270">
        <f>IF(Table4[[#This Row],[Scope]]="Unchanged",6.42*Table4[[#This Row],[ISC Base]],IF(Table4[[#This Row],[Scope]]="Changed",7.52*(Table4[[#This Row],[ISC Base]] - 0.029) - 3.25 * POWER(Table4[[#This Row],[ISC Base]] - 0.02,15),NA()))</f>
        <v>4.2166560000000004</v>
      </c>
      <c r="U28" s="270">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8" s="271" t="s">
        <v>55</v>
      </c>
      <c r="W28" s="270">
        <f>VLOOKUP(Table4[[#This Row],[Threat Event Initiation]],NIST_Scale_LOAI[],2,FALSE)</f>
        <v>0.2</v>
      </c>
      <c r="X28"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8"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240" t="s">
        <v>442</v>
      </c>
      <c r="AA28" s="244"/>
      <c r="AB28" s="273"/>
      <c r="AC28" s="244"/>
      <c r="AD28" s="244"/>
      <c r="AE28" s="244"/>
      <c r="AF28" s="268"/>
      <c r="AG28" s="268"/>
      <c r="AH28" s="268"/>
      <c r="AI28" s="268"/>
      <c r="AJ28" s="274"/>
      <c r="AK28"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70" t="e">
        <f>(1 - ((1 - VLOOKUP(Table4[[#This Row],[ConfidentialityP]],'Reference - CVSSv3.0'!$B$15:$C$17,2,FALSE)) * (1 - VLOOKUP(Table4[[#This Row],[IntegrityP]],'Reference - CVSSv3.0'!$B$15:$C$17,2,FALSE)) *  (1 - VLOOKUP(Table4[[#This Row],[AvailabilityP]],'Reference - CVSSv3.0'!$B$15:$C$17,2,FALSE))))</f>
        <v>#N/A</v>
      </c>
      <c r="AM28" s="270" t="e">
        <f>IF(Table4[[#This Row],[ScopeP]]="Unchanged",6.42*Table4[[#This Row],[ISC BaseP]],IF(Table4[[#This Row],[ScopeP]]="Changed",7.52*(Table4[[#This Row],[ISC BaseP]] - 0.029) - 3.25 * POWER(Table4[[#This Row],[ISC BaseP]] - 0.02,15),NA()))</f>
        <v>#N/A</v>
      </c>
      <c r="AN28"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44"/>
    </row>
    <row r="29" spans="1:43" ht="70" x14ac:dyDescent="0.35">
      <c r="A29" s="276">
        <v>27</v>
      </c>
      <c r="B29" s="244" t="s">
        <v>362</v>
      </c>
      <c r="C29" s="266" t="str">
        <f>IF(VLOOKUP(Table4[[#This Row],[T ID]],Table5[#All],5,FALSE)="No","Not in scope",VLOOKUP(Table4[[#This Row],[T ID]],Table5[#All],2,FALSE))</f>
        <v>Critical data transfer to the removable device</v>
      </c>
      <c r="D29" s="244" t="s">
        <v>344</v>
      </c>
      <c r="E29" s="266" t="str">
        <f>IF(VLOOKUP(Table4[[#This Row],[V ID]],Vulnerabilities[#All],3,FALSE)="No","Not in scope",VLOOKUP(Table4[[#This Row],[V ID]],Vulnerabilities[#All],2,FALSE))</f>
        <v>Malicious activities not being recorded in administrator/user logs</v>
      </c>
      <c r="F29" s="267" t="s">
        <v>355</v>
      </c>
      <c r="G29" s="266" t="str">
        <f>VLOOKUP(Table4[[#This Row],[A ID]],Assets[#All],3,FALSE)</f>
        <v>Input data to Intra-OP</v>
      </c>
      <c r="H29" s="279" t="s">
        <v>488</v>
      </c>
      <c r="I29" s="244"/>
      <c r="J29" s="306" t="s">
        <v>76</v>
      </c>
      <c r="K29" s="306" t="s">
        <v>76</v>
      </c>
      <c r="L29" s="306" t="s">
        <v>76</v>
      </c>
      <c r="M29" s="268" t="s">
        <v>74</v>
      </c>
      <c r="N29" s="268" t="s">
        <v>55</v>
      </c>
      <c r="O29" s="268" t="s">
        <v>55</v>
      </c>
      <c r="P29" s="87" t="s">
        <v>76</v>
      </c>
      <c r="Q29" s="268" t="s">
        <v>73</v>
      </c>
      <c r="R29"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70">
        <f>(1 - ((1 - VLOOKUP(Table4[[#This Row],[Confidentiality]],'Reference - CVSSv3.0'!$B$15:$C$17,2,FALSE)) * (1 - VLOOKUP(Table4[[#This Row],[Integrity]],'Reference - CVSSv3.0'!$B$15:$C$17,2,FALSE)) *  (1 - VLOOKUP(Table4[[#This Row],[Availability]],'Reference - CVSSv3.0'!$B$15:$C$17,2,FALSE))))</f>
        <v>0</v>
      </c>
      <c r="T29" s="270">
        <f>IF(Table4[[#This Row],[Scope]]="Unchanged",6.42*Table4[[#This Row],[ISC Base]],IF(Table4[[#This Row],[Scope]]="Changed",7.52*(Table4[[#This Row],[ISC Base]] - 0.029) - 3.25 * POWER(Table4[[#This Row],[ISC Base]] - 0.02,15),NA()))</f>
        <v>0</v>
      </c>
      <c r="U29" s="270">
        <f>IF(Table4[[#This Row],[Impact Sub Score]]&lt;=0,0,IF(Table4[[#This Row],[Scope]]="Unchanged",ROUNDUP(MIN((Table4[[#This Row],[Impact Sub Score]]+Table4[[#This Row],[Exploitability Sub Score]]),10),1),IF(Table4[[#This Row],[Scope]]="Changed",ROUNDUP(MIN((1.08*(Table4[[#This Row],[Impact Sub Score]]+Table4[[#This Row],[Exploitability Sub Score]])),10),1),NA())))</f>
        <v>0</v>
      </c>
      <c r="V29" s="271" t="s">
        <v>48</v>
      </c>
      <c r="W29" s="270">
        <f>VLOOKUP(Table4[[#This Row],[Threat Event Initiation]],NIST_Scale_LOAI[],2,FALSE)</f>
        <v>0.04</v>
      </c>
      <c r="X29"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0</v>
      </c>
      <c r="Y29"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NONE</v>
      </c>
      <c r="Z29" s="240" t="s">
        <v>432</v>
      </c>
      <c r="AA29" s="244"/>
      <c r="AB29" s="273"/>
      <c r="AC29" s="244"/>
      <c r="AD29" s="244"/>
      <c r="AE29" s="244"/>
      <c r="AF29" s="268"/>
      <c r="AG29" s="268"/>
      <c r="AH29" s="268"/>
      <c r="AI29" s="268"/>
      <c r="AJ29" s="274"/>
      <c r="AK29"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70" t="e">
        <f>(1 - ((1 - VLOOKUP(Table4[[#This Row],[ConfidentialityP]],'Reference - CVSSv3.0'!$B$15:$C$17,2,FALSE)) * (1 - VLOOKUP(Table4[[#This Row],[IntegrityP]],'Reference - CVSSv3.0'!$B$15:$C$17,2,FALSE)) *  (1 - VLOOKUP(Table4[[#This Row],[AvailabilityP]],'Reference - CVSSv3.0'!$B$15:$C$17,2,FALSE))))</f>
        <v>#N/A</v>
      </c>
      <c r="AM29" s="270" t="e">
        <f>IF(Table4[[#This Row],[ScopeP]]="Unchanged",6.42*Table4[[#This Row],[ISC BaseP]],IF(Table4[[#This Row],[ScopeP]]="Changed",7.52*(Table4[[#This Row],[ISC BaseP]] - 0.029) - 3.25 * POWER(Table4[[#This Row],[ISC BaseP]] - 0.02,15),NA()))</f>
        <v>#N/A</v>
      </c>
      <c r="AN29"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44"/>
    </row>
    <row r="30" spans="1:43" ht="56" x14ac:dyDescent="0.35">
      <c r="A30" s="276">
        <v>29</v>
      </c>
      <c r="B30" s="244" t="s">
        <v>364</v>
      </c>
      <c r="C30" s="266" t="str">
        <f>IF(VLOOKUP(Table4[[#This Row],[T ID]],Table5[#All],5,FALSE)="No","Not in scope",VLOOKUP(Table4[[#This Row],[T ID]],Table5[#All],2,FALSE))</f>
        <v>Lack of encryption for input data to Intra-op</v>
      </c>
      <c r="D30" s="244" t="s">
        <v>340</v>
      </c>
      <c r="E30" s="266" t="str">
        <f>IF(VLOOKUP(Table4[[#This Row],[V ID]],Vulnerabilities[#All],3,FALSE)="No","Not in scope",VLOOKUP(Table4[[#This Row],[V ID]],Vulnerabilities[#All],2,FALSE))</f>
        <v>Unencrypted ePHI in transit (as output, input)</v>
      </c>
      <c r="F30" s="267" t="s">
        <v>355</v>
      </c>
      <c r="G30" s="266" t="str">
        <f>VLOOKUP(Table4[[#This Row],[A ID]],Assets[#All],3,FALSE)</f>
        <v>Input data to Intra-OP</v>
      </c>
      <c r="H30" s="279" t="s">
        <v>489</v>
      </c>
      <c r="I30" s="244"/>
      <c r="J30" s="306" t="s">
        <v>64</v>
      </c>
      <c r="K30" s="306" t="s">
        <v>64</v>
      </c>
      <c r="L30" s="306" t="s">
        <v>76</v>
      </c>
      <c r="M30" s="268" t="s">
        <v>78</v>
      </c>
      <c r="N30" s="268" t="s">
        <v>55</v>
      </c>
      <c r="O30" s="268" t="s">
        <v>55</v>
      </c>
      <c r="P30" s="87" t="s">
        <v>76</v>
      </c>
      <c r="Q30" s="268" t="s">
        <v>73</v>
      </c>
      <c r="R30"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0" s="270">
        <f>(1 - ((1 - VLOOKUP(Table4[[#This Row],[Confidentiality]],'Reference - CVSSv3.0'!$B$15:$C$17,2,FALSE)) * (1 - VLOOKUP(Table4[[#This Row],[Integrity]],'Reference - CVSSv3.0'!$B$15:$C$17,2,FALSE)) *  (1 - VLOOKUP(Table4[[#This Row],[Availability]],'Reference - CVSSv3.0'!$B$15:$C$17,2,FALSE))))</f>
        <v>0.80640000000000001</v>
      </c>
      <c r="T30" s="270">
        <f>IF(Table4[[#This Row],[Scope]]="Unchanged",6.42*Table4[[#This Row],[ISC Base]],IF(Table4[[#This Row],[Scope]]="Changed",7.52*(Table4[[#This Row],[ISC Base]] - 0.029) - 3.25 * POWER(Table4[[#This Row],[ISC Base]] - 0.02,15),NA()))</f>
        <v>5.1770880000000004</v>
      </c>
      <c r="U30" s="270">
        <f>IF(Table4[[#This Row],[Impact Sub Score]]&lt;=0,0,IF(Table4[[#This Row],[Scope]]="Unchanged",ROUNDUP(MIN((Table4[[#This Row],[Impact Sub Score]]+Table4[[#This Row],[Exploitability Sub Score]]),10),1),IF(Table4[[#This Row],[Scope]]="Changed",ROUNDUP(MIN((1.08*(Table4[[#This Row],[Impact Sub Score]]+Table4[[#This Row],[Exploitability Sub Score]])),10),1),NA())))</f>
        <v>7.1</v>
      </c>
      <c r="V30" s="271" t="s">
        <v>55</v>
      </c>
      <c r="W30" s="270">
        <f>VLOOKUP(Table4[[#This Row],[Threat Event Initiation]],NIST_Scale_LOAI[],2,FALSE)</f>
        <v>0.2</v>
      </c>
      <c r="X30"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0"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40" t="s">
        <v>433</v>
      </c>
      <c r="AA30" s="244"/>
      <c r="AB30" s="273"/>
      <c r="AC30" s="244"/>
      <c r="AD30" s="244"/>
      <c r="AE30" s="244"/>
      <c r="AF30" s="268"/>
      <c r="AG30" s="268"/>
      <c r="AH30" s="268"/>
      <c r="AI30" s="268"/>
      <c r="AJ30" s="274"/>
      <c r="AK30"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70" t="e">
        <f>(1 - ((1 - VLOOKUP(Table4[[#This Row],[ConfidentialityP]],'Reference - CVSSv3.0'!$B$15:$C$17,2,FALSE)) * (1 - VLOOKUP(Table4[[#This Row],[IntegrityP]],'Reference - CVSSv3.0'!$B$15:$C$17,2,FALSE)) *  (1 - VLOOKUP(Table4[[#This Row],[AvailabilityP]],'Reference - CVSSv3.0'!$B$15:$C$17,2,FALSE))))</f>
        <v>#N/A</v>
      </c>
      <c r="AM30" s="270" t="e">
        <f>IF(Table4[[#This Row],[ScopeP]]="Unchanged",6.42*Table4[[#This Row],[ISC BaseP]],IF(Table4[[#This Row],[ScopeP]]="Changed",7.52*(Table4[[#This Row],[ISC BaseP]] - 0.029) - 3.25 * POWER(Table4[[#This Row],[ISC BaseP]] - 0.02,15),NA()))</f>
        <v>#N/A</v>
      </c>
      <c r="AN30"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44"/>
    </row>
    <row r="31" spans="1:43" ht="84" x14ac:dyDescent="0.35">
      <c r="A31" s="276">
        <v>30</v>
      </c>
      <c r="B31" s="244" t="s">
        <v>364</v>
      </c>
      <c r="C31" s="266" t="str">
        <f>IF(VLOOKUP(Table4[[#This Row],[T ID]],Table5[#All],5,FALSE)="No","Not in scope",VLOOKUP(Table4[[#This Row],[T ID]],Table5[#All],2,FALSE))</f>
        <v>Lack of encryption for input data to Intra-op</v>
      </c>
      <c r="D31" s="244" t="s">
        <v>342</v>
      </c>
      <c r="E31" s="266" t="str">
        <f>IF(VLOOKUP(Table4[[#This Row],[V ID]],Vulnerabilities[#All],3,FALSE)="No","Not in scope",VLOOKUP(Table4[[#This Row],[V ID]],Vulnerabilities[#All],2,FALSE))</f>
        <v>Use of a Broken or Risky Cryptographic Algorithm or Inadequate encryption strength in Intra-op application</v>
      </c>
      <c r="F31" s="267" t="s">
        <v>355</v>
      </c>
      <c r="G31" s="266" t="str">
        <f>VLOOKUP(Table4[[#This Row],[A ID]],Assets[#All],3,FALSE)</f>
        <v>Input data to Intra-OP</v>
      </c>
      <c r="H31" s="279" t="s">
        <v>489</v>
      </c>
      <c r="I31" s="244"/>
      <c r="J31" s="306" t="s">
        <v>64</v>
      </c>
      <c r="K31" s="306" t="s">
        <v>55</v>
      </c>
      <c r="L31" s="306" t="s">
        <v>76</v>
      </c>
      <c r="M31" s="268" t="s">
        <v>78</v>
      </c>
      <c r="N31" s="268" t="s">
        <v>55</v>
      </c>
      <c r="O31" s="268" t="s">
        <v>55</v>
      </c>
      <c r="P31" s="87" t="s">
        <v>76</v>
      </c>
      <c r="Q31" s="268" t="s">
        <v>73</v>
      </c>
      <c r="R31"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70">
        <f>(1 - ((1 - VLOOKUP(Table4[[#This Row],[Confidentiality]],'Reference - CVSSv3.0'!$B$15:$C$17,2,FALSE)) * (1 - VLOOKUP(Table4[[#This Row],[Integrity]],'Reference - CVSSv3.0'!$B$15:$C$17,2,FALSE)) *  (1 - VLOOKUP(Table4[[#This Row],[Availability]],'Reference - CVSSv3.0'!$B$15:$C$17,2,FALSE))))</f>
        <v>0.65680000000000005</v>
      </c>
      <c r="T31" s="270">
        <f>IF(Table4[[#This Row],[Scope]]="Unchanged",6.42*Table4[[#This Row],[ISC Base]],IF(Table4[[#This Row],[Scope]]="Changed",7.52*(Table4[[#This Row],[ISC Base]] - 0.029) - 3.25 * POWER(Table4[[#This Row],[ISC Base]] - 0.02,15),NA()))</f>
        <v>4.2166560000000004</v>
      </c>
      <c r="U31"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31" s="271" t="s">
        <v>55</v>
      </c>
      <c r="W31" s="270">
        <f>VLOOKUP(Table4[[#This Row],[Threat Event Initiation]],NIST_Scale_LOAI[],2,FALSE)</f>
        <v>0.2</v>
      </c>
      <c r="X31"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1"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40" t="s">
        <v>433</v>
      </c>
      <c r="AA31" s="244"/>
      <c r="AB31" s="273"/>
      <c r="AC31" s="244"/>
      <c r="AD31" s="244"/>
      <c r="AE31" s="244"/>
      <c r="AF31" s="268"/>
      <c r="AG31" s="268"/>
      <c r="AH31" s="268"/>
      <c r="AI31" s="268"/>
      <c r="AJ31" s="274"/>
      <c r="AK31"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70" t="e">
        <f>(1 - ((1 - VLOOKUP(Table4[[#This Row],[ConfidentialityP]],'Reference - CVSSv3.0'!$B$15:$C$17,2,FALSE)) * (1 - VLOOKUP(Table4[[#This Row],[IntegrityP]],'Reference - CVSSv3.0'!$B$15:$C$17,2,FALSE)) *  (1 - VLOOKUP(Table4[[#This Row],[AvailabilityP]],'Reference - CVSSv3.0'!$B$15:$C$17,2,FALSE))))</f>
        <v>#N/A</v>
      </c>
      <c r="AM31" s="270" t="e">
        <f>IF(Table4[[#This Row],[ScopeP]]="Unchanged",6.42*Table4[[#This Row],[ISC BaseP]],IF(Table4[[#This Row],[ScopeP]]="Changed",7.52*(Table4[[#This Row],[ISC BaseP]] - 0.029) - 3.25 * POWER(Table4[[#This Row],[ISC BaseP]] - 0.02,15),NA()))</f>
        <v>#N/A</v>
      </c>
      <c r="AN31"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44"/>
    </row>
    <row r="32" spans="1:43" ht="70" x14ac:dyDescent="0.35">
      <c r="A32" s="276">
        <v>31</v>
      </c>
      <c r="B32" s="244" t="s">
        <v>366</v>
      </c>
      <c r="C32" s="266" t="str">
        <f>IF(VLOOKUP(Table4[[#This Row],[T ID]],Table5[#All],5,FALSE)="No","Not in scope",VLOOKUP(Table4[[#This Row],[T ID]],Table5[#All],2,FALSE))</f>
        <v>Lack of authentication for the connected removable device</v>
      </c>
      <c r="D32" s="244" t="s">
        <v>420</v>
      </c>
      <c r="E32" s="266" t="str">
        <f>IF(VLOOKUP(Table4[[#This Row],[V ID]],Vulnerabilities[#All],3,FALSE)="No","Not in scope",VLOOKUP(Table4[[#This Row],[V ID]],Vulnerabilities[#All],2,FALSE))</f>
        <v>No proper validation for the removable devices</v>
      </c>
      <c r="F32" s="267" t="s">
        <v>333</v>
      </c>
      <c r="G32" s="266" t="str">
        <f>VLOOKUP(Table4[[#This Row],[A ID]],Assets[#All],3,FALSE)</f>
        <v>Input device to Intra-OP</v>
      </c>
      <c r="H32" s="279" t="s">
        <v>490</v>
      </c>
      <c r="I32" s="244"/>
      <c r="J32" s="306" t="s">
        <v>76</v>
      </c>
      <c r="K32" s="306" t="s">
        <v>55</v>
      </c>
      <c r="L32" s="306" t="s">
        <v>64</v>
      </c>
      <c r="M32" s="268" t="s">
        <v>74</v>
      </c>
      <c r="N32" s="268" t="s">
        <v>55</v>
      </c>
      <c r="O32" s="268" t="s">
        <v>55</v>
      </c>
      <c r="P32" s="87" t="s">
        <v>76</v>
      </c>
      <c r="Q32" s="268" t="s">
        <v>73</v>
      </c>
      <c r="R32"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2" s="270">
        <f>(1 - ((1 - VLOOKUP(Table4[[#This Row],[Confidentiality]],'Reference - CVSSv3.0'!$B$15:$C$17,2,FALSE)) * (1 - VLOOKUP(Table4[[#This Row],[Integrity]],'Reference - CVSSv3.0'!$B$15:$C$17,2,FALSE)) *  (1 - VLOOKUP(Table4[[#This Row],[Availability]],'Reference - CVSSv3.0'!$B$15:$C$17,2,FALSE))))</f>
        <v>0.65680000000000005</v>
      </c>
      <c r="T32" s="270">
        <f>IF(Table4[[#This Row],[Scope]]="Unchanged",6.42*Table4[[#This Row],[ISC Base]],IF(Table4[[#This Row],[Scope]]="Changed",7.52*(Table4[[#This Row],[ISC Base]] - 0.029) - 3.25 * POWER(Table4[[#This Row],[ISC Base]] - 0.02,15),NA()))</f>
        <v>4.2166560000000004</v>
      </c>
      <c r="U32" s="270">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2" s="271" t="s">
        <v>55</v>
      </c>
      <c r="W32" s="270">
        <f>VLOOKUP(Table4[[#This Row],[Threat Event Initiation]],NIST_Scale_LOAI[],2,FALSE)</f>
        <v>0.2</v>
      </c>
      <c r="X32"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2"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40" t="s">
        <v>434</v>
      </c>
      <c r="AA32" s="244"/>
      <c r="AB32" s="273"/>
      <c r="AC32" s="244"/>
      <c r="AD32" s="244"/>
      <c r="AE32" s="244"/>
      <c r="AF32" s="268"/>
      <c r="AG32" s="268"/>
      <c r="AH32" s="268"/>
      <c r="AI32" s="268"/>
      <c r="AJ32" s="274"/>
      <c r="AK32"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70" t="e">
        <f>(1 - ((1 - VLOOKUP(Table4[[#This Row],[ConfidentialityP]],'Reference - CVSSv3.0'!$B$15:$C$17,2,FALSE)) * (1 - VLOOKUP(Table4[[#This Row],[IntegrityP]],'Reference - CVSSv3.0'!$B$15:$C$17,2,FALSE)) *  (1 - VLOOKUP(Table4[[#This Row],[AvailabilityP]],'Reference - CVSSv3.0'!$B$15:$C$17,2,FALSE))))</f>
        <v>#N/A</v>
      </c>
      <c r="AM32" s="270" t="e">
        <f>IF(Table4[[#This Row],[ScopeP]]="Unchanged",6.42*Table4[[#This Row],[ISC BaseP]],IF(Table4[[#This Row],[ScopeP]]="Changed",7.52*(Table4[[#This Row],[ISC BaseP]] - 0.029) - 3.25 * POWER(Table4[[#This Row],[ISC BaseP]] - 0.02,15),NA()))</f>
        <v>#N/A</v>
      </c>
      <c r="AN32"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44"/>
    </row>
    <row r="33" spans="1:43" ht="56" x14ac:dyDescent="0.35">
      <c r="A33" s="276">
        <v>33</v>
      </c>
      <c r="B33" s="244" t="s">
        <v>368</v>
      </c>
      <c r="C33" s="266" t="str">
        <f>IF(VLOOKUP(Table4[[#This Row],[T ID]],Table5[#All],5,FALSE)="No","Not in scope",VLOOKUP(Table4[[#This Row],[T ID]],Table5[#All],2,FALSE))</f>
        <v>Absence of data validation</v>
      </c>
      <c r="D33" s="244" t="s">
        <v>358</v>
      </c>
      <c r="E33" s="266" t="str">
        <f>IF(VLOOKUP(Table4[[#This Row],[V ID]],Vulnerabilities[#All],3,FALSE)="No","Not in scope",VLOOKUP(Table4[[#This Row],[V ID]],Vulnerabilities[#All],2,FALSE))</f>
        <v>Lack of input sanitization in knee intra-op application</v>
      </c>
      <c r="F33" s="267" t="s">
        <v>355</v>
      </c>
      <c r="G33" s="266" t="str">
        <f>VLOOKUP(Table4[[#This Row],[A ID]],Assets[#All],3,FALSE)</f>
        <v>Input data to Intra-OP</v>
      </c>
      <c r="H33" s="279" t="s">
        <v>486</v>
      </c>
      <c r="I33" s="244"/>
      <c r="J33" s="306" t="s">
        <v>76</v>
      </c>
      <c r="K33" s="306" t="s">
        <v>55</v>
      </c>
      <c r="L33" s="306" t="s">
        <v>64</v>
      </c>
      <c r="M33" s="268" t="s">
        <v>78</v>
      </c>
      <c r="N33" s="268" t="s">
        <v>55</v>
      </c>
      <c r="O33" s="268" t="s">
        <v>55</v>
      </c>
      <c r="P33" s="87" t="s">
        <v>76</v>
      </c>
      <c r="Q33" s="268" t="s">
        <v>73</v>
      </c>
      <c r="R33"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270">
        <f>(1 - ((1 - VLOOKUP(Table4[[#This Row],[Confidentiality]],'Reference - CVSSv3.0'!$B$15:$C$17,2,FALSE)) * (1 - VLOOKUP(Table4[[#This Row],[Integrity]],'Reference - CVSSv3.0'!$B$15:$C$17,2,FALSE)) *  (1 - VLOOKUP(Table4[[#This Row],[Availability]],'Reference - CVSSv3.0'!$B$15:$C$17,2,FALSE))))</f>
        <v>0.65680000000000005</v>
      </c>
      <c r="T33" s="270">
        <f>IF(Table4[[#This Row],[Scope]]="Unchanged",6.42*Table4[[#This Row],[ISC Base]],IF(Table4[[#This Row],[Scope]]="Changed",7.52*(Table4[[#This Row],[ISC Base]] - 0.029) - 3.25 * POWER(Table4[[#This Row],[ISC Base]] - 0.02,15),NA()))</f>
        <v>4.2166560000000004</v>
      </c>
      <c r="U33"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33" s="271" t="s">
        <v>55</v>
      </c>
      <c r="W33" s="270">
        <f>VLOOKUP(Table4[[#This Row],[Threat Event Initiation]],NIST_Scale_LOAI[],2,FALSE)</f>
        <v>0.2</v>
      </c>
      <c r="X33"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3"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40" t="s">
        <v>435</v>
      </c>
      <c r="AA33" s="244"/>
      <c r="AB33" s="273"/>
      <c r="AC33" s="244"/>
      <c r="AD33" s="244"/>
      <c r="AE33" s="244"/>
      <c r="AF33" s="268"/>
      <c r="AG33" s="268"/>
      <c r="AH33" s="268"/>
      <c r="AI33" s="268"/>
      <c r="AJ33" s="274"/>
      <c r="AK33"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70" t="e">
        <f>(1 - ((1 - VLOOKUP(Table4[[#This Row],[ConfidentialityP]],'Reference - CVSSv3.0'!$B$15:$C$17,2,FALSE)) * (1 - VLOOKUP(Table4[[#This Row],[IntegrityP]],'Reference - CVSSv3.0'!$B$15:$C$17,2,FALSE)) *  (1 - VLOOKUP(Table4[[#This Row],[AvailabilityP]],'Reference - CVSSv3.0'!$B$15:$C$17,2,FALSE))))</f>
        <v>#N/A</v>
      </c>
      <c r="AM33" s="270" t="e">
        <f>IF(Table4[[#This Row],[ScopeP]]="Unchanged",6.42*Table4[[#This Row],[ISC BaseP]],IF(Table4[[#This Row],[ScopeP]]="Changed",7.52*(Table4[[#This Row],[ISC BaseP]] - 0.029) - 3.25 * POWER(Table4[[#This Row],[ISC BaseP]] - 0.02,15),NA()))</f>
        <v>#N/A</v>
      </c>
      <c r="AN33"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44"/>
    </row>
    <row r="34" spans="1:43" ht="84" x14ac:dyDescent="0.35">
      <c r="A34" s="276">
        <v>34</v>
      </c>
      <c r="B34" s="244" t="s">
        <v>374</v>
      </c>
      <c r="C34" s="266" t="str">
        <f>IF(VLOOKUP(Table4[[#This Row],[T ID]],Table5[#All],5,FALSE)="No","Not in scope",VLOOKUP(Table4[[#This Row],[T ID]],Table5[#All],2,FALSE))</f>
        <v>Broken authentication (user name, password…)</v>
      </c>
      <c r="D34" s="244" t="s">
        <v>423</v>
      </c>
      <c r="E34" s="266" t="str">
        <f>IF(VLOOKUP(Table4[[#This Row],[V ID]],Vulnerabilities[#All],3,FALSE)="No","Not in scope",VLOOKUP(Table4[[#This Row],[V ID]],Vulnerabilities[#All],2,FALSE))</f>
        <v>Lack of multi-factor authentication</v>
      </c>
      <c r="F34" s="267" t="s">
        <v>330</v>
      </c>
      <c r="G34" s="266" t="str">
        <f>VLOOKUP(Table4[[#This Row],[A ID]],Assets[#All],3,FALSE)</f>
        <v>THOR Knee Intra-op Application</v>
      </c>
      <c r="H34" s="279" t="s">
        <v>491</v>
      </c>
      <c r="I34" s="244"/>
      <c r="J34" s="306" t="s">
        <v>76</v>
      </c>
      <c r="K34" s="306" t="s">
        <v>55</v>
      </c>
      <c r="L34" s="306" t="s">
        <v>64</v>
      </c>
      <c r="M34" s="268" t="s">
        <v>78</v>
      </c>
      <c r="N34" s="268" t="s">
        <v>55</v>
      </c>
      <c r="O34" s="268" t="s">
        <v>55</v>
      </c>
      <c r="P34" s="87" t="s">
        <v>76</v>
      </c>
      <c r="Q34" s="268" t="s">
        <v>73</v>
      </c>
      <c r="R34"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70">
        <f>(1 - ((1 - VLOOKUP(Table4[[#This Row],[Confidentiality]],'Reference - CVSSv3.0'!$B$15:$C$17,2,FALSE)) * (1 - VLOOKUP(Table4[[#This Row],[Integrity]],'Reference - CVSSv3.0'!$B$15:$C$17,2,FALSE)) *  (1 - VLOOKUP(Table4[[#This Row],[Availability]],'Reference - CVSSv3.0'!$B$15:$C$17,2,FALSE))))</f>
        <v>0.65680000000000005</v>
      </c>
      <c r="T34" s="270">
        <f>IF(Table4[[#This Row],[Scope]]="Unchanged",6.42*Table4[[#This Row],[ISC Base]],IF(Table4[[#This Row],[Scope]]="Changed",7.52*(Table4[[#This Row],[ISC Base]] - 0.029) - 3.25 * POWER(Table4[[#This Row],[ISC Base]] - 0.02,15),NA()))</f>
        <v>4.2166560000000004</v>
      </c>
      <c r="U34"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71" t="s">
        <v>48</v>
      </c>
      <c r="W34" s="270">
        <f>VLOOKUP(Table4[[#This Row],[Threat Event Initiation]],NIST_Scale_LOAI[],2,FALSE)</f>
        <v>0.04</v>
      </c>
      <c r="X34"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4"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78" t="s">
        <v>436</v>
      </c>
      <c r="AA34" s="244"/>
      <c r="AB34" s="273"/>
      <c r="AC34" s="244"/>
      <c r="AD34" s="244"/>
      <c r="AE34" s="244"/>
      <c r="AF34" s="268"/>
      <c r="AG34" s="268"/>
      <c r="AH34" s="268"/>
      <c r="AI34" s="268"/>
      <c r="AJ34" s="274"/>
      <c r="AK34"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70" t="e">
        <f>(1 - ((1 - VLOOKUP(Table4[[#This Row],[ConfidentialityP]],'Reference - CVSSv3.0'!$B$15:$C$17,2,FALSE)) * (1 - VLOOKUP(Table4[[#This Row],[IntegrityP]],'Reference - CVSSv3.0'!$B$15:$C$17,2,FALSE)) *  (1 - VLOOKUP(Table4[[#This Row],[AvailabilityP]],'Reference - CVSSv3.0'!$B$15:$C$17,2,FALSE))))</f>
        <v>#N/A</v>
      </c>
      <c r="AM34" s="270" t="e">
        <f>IF(Table4[[#This Row],[ScopeP]]="Unchanged",6.42*Table4[[#This Row],[ISC BaseP]],IF(Table4[[#This Row],[ScopeP]]="Changed",7.52*(Table4[[#This Row],[ISC BaseP]] - 0.029) - 3.25 * POWER(Table4[[#This Row],[ISC BaseP]] - 0.02,15),NA()))</f>
        <v>#N/A</v>
      </c>
      <c r="AN34"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44"/>
    </row>
    <row r="35" spans="1:43" ht="70" x14ac:dyDescent="0.35">
      <c r="A35" s="276">
        <v>35</v>
      </c>
      <c r="B35" s="244" t="s">
        <v>375</v>
      </c>
      <c r="C35" s="266" t="str">
        <f>IF(VLOOKUP(Table4[[#This Row],[T ID]],Table5[#All],5,FALSE)="No","Not in scope",VLOOKUP(Table4[[#This Row],[T ID]],Table5[#All],2,FALSE))</f>
        <v>BRUTE force/Dictonary attacks</v>
      </c>
      <c r="D35" s="244" t="s">
        <v>423</v>
      </c>
      <c r="E35" s="266" t="str">
        <f>IF(VLOOKUP(Table4[[#This Row],[V ID]],Vulnerabilities[#All],3,FALSE)="No","Not in scope",VLOOKUP(Table4[[#This Row],[V ID]],Vulnerabilities[#All],2,FALSE))</f>
        <v>Lack of multi-factor authentication</v>
      </c>
      <c r="F35" s="267" t="s">
        <v>330</v>
      </c>
      <c r="G35" s="266" t="str">
        <f>VLOOKUP(Table4[[#This Row],[A ID]],Assets[#All],3,FALSE)</f>
        <v>THOR Knee Intra-op Application</v>
      </c>
      <c r="H35" s="279" t="s">
        <v>493</v>
      </c>
      <c r="I35" s="244"/>
      <c r="J35" s="306" t="s">
        <v>76</v>
      </c>
      <c r="K35" s="306" t="s">
        <v>55</v>
      </c>
      <c r="L35" s="306" t="s">
        <v>64</v>
      </c>
      <c r="M35" s="268" t="s">
        <v>77</v>
      </c>
      <c r="N35" s="268" t="s">
        <v>64</v>
      </c>
      <c r="O35" s="268" t="s">
        <v>55</v>
      </c>
      <c r="P35" s="87" t="s">
        <v>76</v>
      </c>
      <c r="Q35" s="268" t="s">
        <v>73</v>
      </c>
      <c r="R35"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5" s="270">
        <f>(1 - ((1 - VLOOKUP(Table4[[#This Row],[Confidentiality]],'Reference - CVSSv3.0'!$B$15:$C$17,2,FALSE)) * (1 - VLOOKUP(Table4[[#This Row],[Integrity]],'Reference - CVSSv3.0'!$B$15:$C$17,2,FALSE)) *  (1 - VLOOKUP(Table4[[#This Row],[Availability]],'Reference - CVSSv3.0'!$B$15:$C$17,2,FALSE))))</f>
        <v>0.65680000000000005</v>
      </c>
      <c r="T35" s="270">
        <f>IF(Table4[[#This Row],[Scope]]="Unchanged",6.42*Table4[[#This Row],[ISC Base]],IF(Table4[[#This Row],[Scope]]="Changed",7.52*(Table4[[#This Row],[ISC Base]] - 0.029) - 3.25 * POWER(Table4[[#This Row],[ISC Base]] - 0.02,15),NA()))</f>
        <v>4.2166560000000004</v>
      </c>
      <c r="U35" s="270">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5" s="271" t="s">
        <v>54</v>
      </c>
      <c r="W35" s="270">
        <f>VLOOKUP(Table4[[#This Row],[Threat Event Initiation]],NIST_Scale_LOAI[],2,FALSE)</f>
        <v>0.5</v>
      </c>
      <c r="X35"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5"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40" t="s">
        <v>437</v>
      </c>
      <c r="AA35" s="244"/>
      <c r="AB35" s="273"/>
      <c r="AC35" s="244"/>
      <c r="AD35" s="244"/>
      <c r="AE35" s="244"/>
      <c r="AF35" s="268"/>
      <c r="AG35" s="268"/>
      <c r="AH35" s="268"/>
      <c r="AI35" s="268"/>
      <c r="AJ35" s="274"/>
      <c r="AK35"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70" t="e">
        <f>(1 - ((1 - VLOOKUP(Table4[[#This Row],[ConfidentialityP]],'Reference - CVSSv3.0'!$B$15:$C$17,2,FALSE)) * (1 - VLOOKUP(Table4[[#This Row],[IntegrityP]],'Reference - CVSSv3.0'!$B$15:$C$17,2,FALSE)) *  (1 - VLOOKUP(Table4[[#This Row],[AvailabilityP]],'Reference - CVSSv3.0'!$B$15:$C$17,2,FALSE))))</f>
        <v>#N/A</v>
      </c>
      <c r="AM35" s="270" t="e">
        <f>IF(Table4[[#This Row],[ScopeP]]="Unchanged",6.42*Table4[[#This Row],[ISC BaseP]],IF(Table4[[#This Row],[ScopeP]]="Changed",7.52*(Table4[[#This Row],[ISC BaseP]] - 0.029) - 3.25 * POWER(Table4[[#This Row],[ISC BaseP]] - 0.02,15),NA()))</f>
        <v>#N/A</v>
      </c>
      <c r="AN35"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44"/>
    </row>
    <row r="36" spans="1:43" ht="70" x14ac:dyDescent="0.35">
      <c r="A36" s="276">
        <v>36</v>
      </c>
      <c r="B36" s="244" t="s">
        <v>375</v>
      </c>
      <c r="C36" s="266" t="str">
        <f>IF(VLOOKUP(Table4[[#This Row],[T ID]],Table5[#All],5,FALSE)="No","Not in scope",VLOOKUP(Table4[[#This Row],[T ID]],Table5[#All],2,FALSE))</f>
        <v>BRUTE force/Dictonary attacks</v>
      </c>
      <c r="D36" s="244" t="s">
        <v>425</v>
      </c>
      <c r="E36" s="266" t="str">
        <f>IF(VLOOKUP(Table4[[#This Row],[V ID]],Vulnerabilities[#All],3,FALSE)="No","Not in scope",VLOOKUP(Table4[[#This Row],[V ID]],Vulnerabilities[#All],2,FALSE))</f>
        <v>Application allowing unlimited login attempts</v>
      </c>
      <c r="F36" s="267" t="s">
        <v>330</v>
      </c>
      <c r="G36" s="266" t="str">
        <f>VLOOKUP(Table4[[#This Row],[A ID]],Assets[#All],3,FALSE)</f>
        <v>THOR Knee Intra-op Application</v>
      </c>
      <c r="H36" s="279" t="s">
        <v>493</v>
      </c>
      <c r="I36" s="244"/>
      <c r="J36" s="306" t="s">
        <v>76</v>
      </c>
      <c r="K36" s="306" t="s">
        <v>55</v>
      </c>
      <c r="L36" s="306" t="s">
        <v>64</v>
      </c>
      <c r="M36" s="268" t="s">
        <v>77</v>
      </c>
      <c r="N36" s="268" t="s">
        <v>64</v>
      </c>
      <c r="O36" s="268" t="s">
        <v>55</v>
      </c>
      <c r="P36" s="87" t="s">
        <v>76</v>
      </c>
      <c r="Q36" s="268" t="s">
        <v>73</v>
      </c>
      <c r="R36"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70">
        <f>(1 - ((1 - VLOOKUP(Table4[[#This Row],[Confidentiality]],'Reference - CVSSv3.0'!$B$15:$C$17,2,FALSE)) * (1 - VLOOKUP(Table4[[#This Row],[Integrity]],'Reference - CVSSv3.0'!$B$15:$C$17,2,FALSE)) *  (1 - VLOOKUP(Table4[[#This Row],[Availability]],'Reference - CVSSv3.0'!$B$15:$C$17,2,FALSE))))</f>
        <v>0.65680000000000005</v>
      </c>
      <c r="T36" s="270">
        <f>IF(Table4[[#This Row],[Scope]]="Unchanged",6.42*Table4[[#This Row],[ISC Base]],IF(Table4[[#This Row],[Scope]]="Changed",7.52*(Table4[[#This Row],[ISC Base]] - 0.029) - 3.25 * POWER(Table4[[#This Row],[ISC Base]] - 0.02,15),NA()))</f>
        <v>4.2166560000000004</v>
      </c>
      <c r="U36" s="270">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6" s="271" t="s">
        <v>54</v>
      </c>
      <c r="W36" s="270">
        <f>VLOOKUP(Table4[[#This Row],[Threat Event Initiation]],NIST_Scale_LOAI[],2,FALSE)</f>
        <v>0.5</v>
      </c>
      <c r="X36"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6"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279" t="s">
        <v>437</v>
      </c>
      <c r="AA36" s="244"/>
      <c r="AB36" s="273"/>
      <c r="AC36" s="244"/>
      <c r="AD36" s="244"/>
      <c r="AE36" s="244"/>
      <c r="AF36" s="268"/>
      <c r="AG36" s="268"/>
      <c r="AH36" s="268"/>
      <c r="AI36" s="268"/>
      <c r="AJ36" s="274"/>
      <c r="AK36"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70" t="e">
        <f>(1 - ((1 - VLOOKUP(Table4[[#This Row],[ConfidentialityP]],'Reference - CVSSv3.0'!$B$15:$C$17,2,FALSE)) * (1 - VLOOKUP(Table4[[#This Row],[IntegrityP]],'Reference - CVSSv3.0'!$B$15:$C$17,2,FALSE)) *  (1 - VLOOKUP(Table4[[#This Row],[AvailabilityP]],'Reference - CVSSv3.0'!$B$15:$C$17,2,FALSE))))</f>
        <v>#N/A</v>
      </c>
      <c r="AM36" s="270" t="e">
        <f>IF(Table4[[#This Row],[ScopeP]]="Unchanged",6.42*Table4[[#This Row],[ISC BaseP]],IF(Table4[[#This Row],[ScopeP]]="Changed",7.52*(Table4[[#This Row],[ISC BaseP]] - 0.029) - 3.25 * POWER(Table4[[#This Row],[ISC BaseP]] - 0.02,15),NA()))</f>
        <v>#N/A</v>
      </c>
      <c r="AN36"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44"/>
    </row>
    <row r="37" spans="1:43" ht="70" x14ac:dyDescent="0.35">
      <c r="A37" s="276">
        <v>37</v>
      </c>
      <c r="B37" s="244" t="s">
        <v>375</v>
      </c>
      <c r="C37" s="266" t="str">
        <f>IF(VLOOKUP(Table4[[#This Row],[T ID]],Table5[#All],5,FALSE)="No","Not in scope",VLOOKUP(Table4[[#This Row],[T ID]],Table5[#All],2,FALSE))</f>
        <v>BRUTE force/Dictonary attacks</v>
      </c>
      <c r="D37" s="244" t="s">
        <v>344</v>
      </c>
      <c r="E37" s="266" t="str">
        <f>IF(VLOOKUP(Table4[[#This Row],[V ID]],Vulnerabilities[#All],3,FALSE)="No","Not in scope",VLOOKUP(Table4[[#This Row],[V ID]],Vulnerabilities[#All],2,FALSE))</f>
        <v>Malicious activities not being recorded in administrator/user logs</v>
      </c>
      <c r="F37" s="267" t="s">
        <v>330</v>
      </c>
      <c r="G37" s="266" t="str">
        <f>VLOOKUP(Table4[[#This Row],[A ID]],Assets[#All],3,FALSE)</f>
        <v>THOR Knee Intra-op Application</v>
      </c>
      <c r="H37" s="279" t="s">
        <v>493</v>
      </c>
      <c r="I37" s="244"/>
      <c r="J37" s="306" t="s">
        <v>76</v>
      </c>
      <c r="K37" s="306" t="s">
        <v>55</v>
      </c>
      <c r="L37" s="306" t="s">
        <v>64</v>
      </c>
      <c r="M37" s="268" t="s">
        <v>77</v>
      </c>
      <c r="N37" s="268" t="s">
        <v>64</v>
      </c>
      <c r="O37" s="268" t="s">
        <v>55</v>
      </c>
      <c r="P37" s="87" t="s">
        <v>76</v>
      </c>
      <c r="Q37" s="268" t="s">
        <v>73</v>
      </c>
      <c r="R37"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70">
        <f>(1 - ((1 - VLOOKUP(Table4[[#This Row],[Confidentiality]],'Reference - CVSSv3.0'!$B$15:$C$17,2,FALSE)) * (1 - VLOOKUP(Table4[[#This Row],[Integrity]],'Reference - CVSSv3.0'!$B$15:$C$17,2,FALSE)) *  (1 - VLOOKUP(Table4[[#This Row],[Availability]],'Reference - CVSSv3.0'!$B$15:$C$17,2,FALSE))))</f>
        <v>0.65680000000000005</v>
      </c>
      <c r="T37" s="270">
        <f>IF(Table4[[#This Row],[Scope]]="Unchanged",6.42*Table4[[#This Row],[ISC Base]],IF(Table4[[#This Row],[Scope]]="Changed",7.52*(Table4[[#This Row],[ISC Base]] - 0.029) - 3.25 * POWER(Table4[[#This Row],[ISC Base]] - 0.02,15),NA()))</f>
        <v>4.2166560000000004</v>
      </c>
      <c r="U37" s="270">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7" s="271" t="s">
        <v>54</v>
      </c>
      <c r="W37" s="270">
        <f>VLOOKUP(Table4[[#This Row],[Threat Event Initiation]],NIST_Scale_LOAI[],2,FALSE)</f>
        <v>0.5</v>
      </c>
      <c r="X37"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7"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279" t="s">
        <v>437</v>
      </c>
      <c r="AA37" s="244"/>
      <c r="AB37" s="273"/>
      <c r="AC37" s="244"/>
      <c r="AD37" s="244"/>
      <c r="AE37" s="244"/>
      <c r="AF37" s="268"/>
      <c r="AG37" s="268"/>
      <c r="AH37" s="268"/>
      <c r="AI37" s="268"/>
      <c r="AJ37" s="274"/>
      <c r="AK37"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70" t="e">
        <f>(1 - ((1 - VLOOKUP(Table4[[#This Row],[ConfidentialityP]],'Reference - CVSSv3.0'!$B$15:$C$17,2,FALSE)) * (1 - VLOOKUP(Table4[[#This Row],[IntegrityP]],'Reference - CVSSv3.0'!$B$15:$C$17,2,FALSE)) *  (1 - VLOOKUP(Table4[[#This Row],[AvailabilityP]],'Reference - CVSSv3.0'!$B$15:$C$17,2,FALSE))))</f>
        <v>#N/A</v>
      </c>
      <c r="AM37" s="270" t="e">
        <f>IF(Table4[[#This Row],[ScopeP]]="Unchanged",6.42*Table4[[#This Row],[ISC BaseP]],IF(Table4[[#This Row],[ScopeP]]="Changed",7.52*(Table4[[#This Row],[ISC BaseP]] - 0.029) - 3.25 * POWER(Table4[[#This Row],[ISC BaseP]] - 0.02,15),NA()))</f>
        <v>#N/A</v>
      </c>
      <c r="AN37"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44"/>
    </row>
    <row r="38" spans="1:43" ht="70" x14ac:dyDescent="0.35">
      <c r="A38" s="276">
        <v>38</v>
      </c>
      <c r="B38" s="244" t="s">
        <v>377</v>
      </c>
      <c r="C38" s="266" t="str">
        <f>IF(VLOOKUP(Table4[[#This Row],[T ID]],Table5[#All],5,FALSE)="No","Not in scope",VLOOKUP(Table4[[#This Row],[T ID]],Table5[#All],2,FALSE))</f>
        <v>No session expiry</v>
      </c>
      <c r="D38" s="244" t="s">
        <v>428</v>
      </c>
      <c r="E38" s="266" t="str">
        <f>IF(VLOOKUP(Table4[[#This Row],[V ID]],Vulnerabilities[#All],3,FALSE)="No","Not in scope",VLOOKUP(Table4[[#This Row],[V ID]],Vulnerabilities[#All],2,FALSE))</f>
        <v>No session time out implemented for the application</v>
      </c>
      <c r="F38" s="267" t="s">
        <v>330</v>
      </c>
      <c r="G38" s="266" t="str">
        <f>VLOOKUP(Table4[[#This Row],[A ID]],Assets[#All],3,FALSE)</f>
        <v>THOR Knee Intra-op Application</v>
      </c>
      <c r="H38" s="279" t="s">
        <v>495</v>
      </c>
      <c r="I38" s="244"/>
      <c r="J38" s="306" t="s">
        <v>76</v>
      </c>
      <c r="K38" s="306" t="s">
        <v>55</v>
      </c>
      <c r="L38" s="306" t="s">
        <v>64</v>
      </c>
      <c r="M38" s="268" t="s">
        <v>78</v>
      </c>
      <c r="N38" s="268" t="s">
        <v>55</v>
      </c>
      <c r="O38" s="268" t="s">
        <v>55</v>
      </c>
      <c r="P38" s="87" t="s">
        <v>76</v>
      </c>
      <c r="Q38" s="268" t="s">
        <v>73</v>
      </c>
      <c r="R38"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8" s="270">
        <f>(1 - ((1 - VLOOKUP(Table4[[#This Row],[Confidentiality]],'Reference - CVSSv3.0'!$B$15:$C$17,2,FALSE)) * (1 - VLOOKUP(Table4[[#This Row],[Integrity]],'Reference - CVSSv3.0'!$B$15:$C$17,2,FALSE)) *  (1 - VLOOKUP(Table4[[#This Row],[Availability]],'Reference - CVSSv3.0'!$B$15:$C$17,2,FALSE))))</f>
        <v>0.65680000000000005</v>
      </c>
      <c r="T38" s="270">
        <f>IF(Table4[[#This Row],[Scope]]="Unchanged",6.42*Table4[[#This Row],[ISC Base]],IF(Table4[[#This Row],[Scope]]="Changed",7.52*(Table4[[#This Row],[ISC Base]] - 0.029) - 3.25 * POWER(Table4[[#This Row],[ISC Base]] - 0.02,15),NA()))</f>
        <v>4.2166560000000004</v>
      </c>
      <c r="U38"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38" s="271" t="s">
        <v>55</v>
      </c>
      <c r="W38" s="270">
        <f>VLOOKUP(Table4[[#This Row],[Threat Event Initiation]],NIST_Scale_LOAI[],2,FALSE)</f>
        <v>0.2</v>
      </c>
      <c r="X38"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8"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240" t="s">
        <v>438</v>
      </c>
      <c r="AA38" s="244"/>
      <c r="AB38" s="273"/>
      <c r="AC38" s="244"/>
      <c r="AD38" s="244"/>
      <c r="AE38" s="244"/>
      <c r="AF38" s="268"/>
      <c r="AG38" s="268"/>
      <c r="AH38" s="268"/>
      <c r="AI38" s="268"/>
      <c r="AJ38" s="274"/>
      <c r="AK38"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70" t="e">
        <f>(1 - ((1 - VLOOKUP(Table4[[#This Row],[ConfidentialityP]],'Reference - CVSSv3.0'!$B$15:$C$17,2,FALSE)) * (1 - VLOOKUP(Table4[[#This Row],[IntegrityP]],'Reference - CVSSv3.0'!$B$15:$C$17,2,FALSE)) *  (1 - VLOOKUP(Table4[[#This Row],[AvailabilityP]],'Reference - CVSSv3.0'!$B$15:$C$17,2,FALSE))))</f>
        <v>#N/A</v>
      </c>
      <c r="AM38" s="270" t="e">
        <f>IF(Table4[[#This Row],[ScopeP]]="Unchanged",6.42*Table4[[#This Row],[ISC BaseP]],IF(Table4[[#This Row],[ScopeP]]="Changed",7.52*(Table4[[#This Row],[ISC BaseP]] - 0.029) - 3.25 * POWER(Table4[[#This Row],[ISC BaseP]] - 0.02,15),NA()))</f>
        <v>#N/A</v>
      </c>
      <c r="AN38"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44"/>
    </row>
    <row r="39" spans="1:43" ht="84" x14ac:dyDescent="0.35">
      <c r="A39" s="276">
        <v>39</v>
      </c>
      <c r="B39" s="244" t="s">
        <v>379</v>
      </c>
      <c r="C39" s="266" t="str">
        <f>IF(VLOOKUP(Table4[[#This Row],[T ID]],Table5[#All],5,FALSE)="No","Not in scope",VLOOKUP(Table4[[#This Row],[T ID]],Table5[#All],2,FALSE))</f>
        <v>Unpatched OS/SOUP's</v>
      </c>
      <c r="D39" s="244" t="s">
        <v>140</v>
      </c>
      <c r="E39" s="266" t="str">
        <f>IF(VLOOKUP(Table4[[#This Row],[V ID]],Vulnerabilities[#All],3,FALSE)="No","Not in scope",VLOOKUP(Table4[[#This Row],[V ID]],Vulnerabilities[#All],2,FALSE))</f>
        <v>Unpatched OS</v>
      </c>
      <c r="F39" s="267" t="s">
        <v>106</v>
      </c>
      <c r="G39" s="266" t="str">
        <f>VLOOKUP(Table4[[#This Row],[A ID]],Assets[#All],3,FALSE)</f>
        <v>Nav3i cart/ System running with windows 8.1</v>
      </c>
      <c r="H39" s="279" t="s">
        <v>496</v>
      </c>
      <c r="I39" s="244"/>
      <c r="J39" s="306" t="s">
        <v>76</v>
      </c>
      <c r="K39" s="306" t="s">
        <v>76</v>
      </c>
      <c r="L39" s="306" t="s">
        <v>64</v>
      </c>
      <c r="M39" s="268" t="s">
        <v>78</v>
      </c>
      <c r="N39" s="268" t="s">
        <v>55</v>
      </c>
      <c r="O39" s="268" t="s">
        <v>55</v>
      </c>
      <c r="P39" s="87" t="s">
        <v>76</v>
      </c>
      <c r="Q39" s="268" t="s">
        <v>73</v>
      </c>
      <c r="R39"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270">
        <f>(1 - ((1 - VLOOKUP(Table4[[#This Row],[Confidentiality]],'Reference - CVSSv3.0'!$B$15:$C$17,2,FALSE)) * (1 - VLOOKUP(Table4[[#This Row],[Integrity]],'Reference - CVSSv3.0'!$B$15:$C$17,2,FALSE)) *  (1 - VLOOKUP(Table4[[#This Row],[Availability]],'Reference - CVSSv3.0'!$B$15:$C$17,2,FALSE))))</f>
        <v>0.56000000000000005</v>
      </c>
      <c r="T39" s="270">
        <f>IF(Table4[[#This Row],[Scope]]="Unchanged",6.42*Table4[[#This Row],[ISC Base]],IF(Table4[[#This Row],[Scope]]="Changed",7.52*(Table4[[#This Row],[ISC Base]] - 0.029) - 3.25 * POWER(Table4[[#This Row],[ISC Base]] - 0.02,15),NA()))</f>
        <v>3.5952000000000002</v>
      </c>
      <c r="U39" s="270">
        <f>IF(Table4[[#This Row],[Impact Sub Score]]&lt;=0,0,IF(Table4[[#This Row],[Scope]]="Unchanged",ROUNDUP(MIN((Table4[[#This Row],[Impact Sub Score]]+Table4[[#This Row],[Exploitability Sub Score]]),10),1),IF(Table4[[#This Row],[Scope]]="Changed",ROUNDUP(MIN((1.08*(Table4[[#This Row],[Impact Sub Score]]+Table4[[#This Row],[Exploitability Sub Score]])),10),1),NA())))</f>
        <v>5.5</v>
      </c>
      <c r="V39" s="271" t="s">
        <v>54</v>
      </c>
      <c r="W39" s="270">
        <f>VLOOKUP(Table4[[#This Row],[Threat Event Initiation]],NIST_Scale_LOAI[],2,FALSE)</f>
        <v>0.5</v>
      </c>
      <c r="X39"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9"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40" t="s">
        <v>439</v>
      </c>
      <c r="AA39" s="244"/>
      <c r="AB39" s="273"/>
      <c r="AC39" s="244"/>
      <c r="AD39" s="244"/>
      <c r="AE39" s="244"/>
      <c r="AF39" s="268"/>
      <c r="AG39" s="268"/>
      <c r="AH39" s="268"/>
      <c r="AI39" s="268"/>
      <c r="AJ39" s="274"/>
      <c r="AK39"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70" t="e">
        <f>(1 - ((1 - VLOOKUP(Table4[[#This Row],[ConfidentialityP]],'Reference - CVSSv3.0'!$B$15:$C$17,2,FALSE)) * (1 - VLOOKUP(Table4[[#This Row],[IntegrityP]],'Reference - CVSSv3.0'!$B$15:$C$17,2,FALSE)) *  (1 - VLOOKUP(Table4[[#This Row],[AvailabilityP]],'Reference - CVSSv3.0'!$B$15:$C$17,2,FALSE))))</f>
        <v>#N/A</v>
      </c>
      <c r="AM39" s="270" t="e">
        <f>IF(Table4[[#This Row],[ScopeP]]="Unchanged",6.42*Table4[[#This Row],[ISC BaseP]],IF(Table4[[#This Row],[ScopeP]]="Changed",7.52*(Table4[[#This Row],[ISC BaseP]] - 0.029) - 3.25 * POWER(Table4[[#This Row],[ISC BaseP]] - 0.02,15),NA()))</f>
        <v>#N/A</v>
      </c>
      <c r="AN39"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44"/>
    </row>
    <row r="40" spans="1:43" ht="84" x14ac:dyDescent="0.35">
      <c r="A40" s="276">
        <v>40</v>
      </c>
      <c r="B40" s="244" t="s">
        <v>379</v>
      </c>
      <c r="C40" s="266" t="str">
        <f>IF(VLOOKUP(Table4[[#This Row],[T ID]],Table5[#All],5,FALSE)="No","Not in scope",VLOOKUP(Table4[[#This Row],[T ID]],Table5[#All],2,FALSE))</f>
        <v>Unpatched OS/SOUP's</v>
      </c>
      <c r="D40" s="244" t="s">
        <v>140</v>
      </c>
      <c r="E40" s="266" t="str">
        <f>IF(VLOOKUP(Table4[[#This Row],[V ID]],Vulnerabilities[#All],3,FALSE)="No","Not in scope",VLOOKUP(Table4[[#This Row],[V ID]],Vulnerabilities[#All],2,FALSE))</f>
        <v>Unpatched OS</v>
      </c>
      <c r="F40" s="267" t="s">
        <v>330</v>
      </c>
      <c r="G40" s="266" t="str">
        <f>VLOOKUP(Table4[[#This Row],[A ID]],Assets[#All],3,FALSE)</f>
        <v>THOR Knee Intra-op Application</v>
      </c>
      <c r="H40" s="279" t="s">
        <v>496</v>
      </c>
      <c r="I40" s="244"/>
      <c r="J40" s="306" t="s">
        <v>76</v>
      </c>
      <c r="K40" s="306" t="s">
        <v>76</v>
      </c>
      <c r="L40" s="306" t="s">
        <v>64</v>
      </c>
      <c r="M40" s="268" t="s">
        <v>78</v>
      </c>
      <c r="N40" s="268" t="s">
        <v>55</v>
      </c>
      <c r="O40" s="268" t="s">
        <v>55</v>
      </c>
      <c r="P40" s="87" t="s">
        <v>76</v>
      </c>
      <c r="Q40" s="268" t="s">
        <v>73</v>
      </c>
      <c r="R40"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70">
        <f>(1 - ((1 - VLOOKUP(Table4[[#This Row],[Confidentiality]],'Reference - CVSSv3.0'!$B$15:$C$17,2,FALSE)) * (1 - VLOOKUP(Table4[[#This Row],[Integrity]],'Reference - CVSSv3.0'!$B$15:$C$17,2,FALSE)) *  (1 - VLOOKUP(Table4[[#This Row],[Availability]],'Reference - CVSSv3.0'!$B$15:$C$17,2,FALSE))))</f>
        <v>0.56000000000000005</v>
      </c>
      <c r="T40" s="270">
        <f>IF(Table4[[#This Row],[Scope]]="Unchanged",6.42*Table4[[#This Row],[ISC Base]],IF(Table4[[#This Row],[Scope]]="Changed",7.52*(Table4[[#This Row],[ISC Base]] - 0.029) - 3.25 * POWER(Table4[[#This Row],[ISC Base]] - 0.02,15),NA()))</f>
        <v>3.5952000000000002</v>
      </c>
      <c r="U40" s="270">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71" t="s">
        <v>54</v>
      </c>
      <c r="W40" s="270">
        <f>VLOOKUP(Table4[[#This Row],[Threat Event Initiation]],NIST_Scale_LOAI[],2,FALSE)</f>
        <v>0.5</v>
      </c>
      <c r="X40"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79" t="s">
        <v>439</v>
      </c>
      <c r="AA40" s="244"/>
      <c r="AB40" s="273"/>
      <c r="AC40" s="244"/>
      <c r="AD40" s="244"/>
      <c r="AE40" s="244"/>
      <c r="AF40" s="268"/>
      <c r="AG40" s="268"/>
      <c r="AH40" s="268"/>
      <c r="AI40" s="268"/>
      <c r="AJ40" s="274"/>
      <c r="AK40"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70" t="e">
        <f>(1 - ((1 - VLOOKUP(Table4[[#This Row],[ConfidentialityP]],'Reference - CVSSv3.0'!$B$15:$C$17,2,FALSE)) * (1 - VLOOKUP(Table4[[#This Row],[IntegrityP]],'Reference - CVSSv3.0'!$B$15:$C$17,2,FALSE)) *  (1 - VLOOKUP(Table4[[#This Row],[AvailabilityP]],'Reference - CVSSv3.0'!$B$15:$C$17,2,FALSE))))</f>
        <v>#N/A</v>
      </c>
      <c r="AM40" s="270" t="e">
        <f>IF(Table4[[#This Row],[ScopeP]]="Unchanged",6.42*Table4[[#This Row],[ISC BaseP]],IF(Table4[[#This Row],[ScopeP]]="Changed",7.52*(Table4[[#This Row],[ISC BaseP]] - 0.029) - 3.25 * POWER(Table4[[#This Row],[ISC BaseP]] - 0.02,15),NA()))</f>
        <v>#N/A</v>
      </c>
      <c r="AN40"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44"/>
    </row>
    <row r="41" spans="1:43" ht="84" x14ac:dyDescent="0.35">
      <c r="A41" s="276">
        <v>41</v>
      </c>
      <c r="B41" s="244" t="s">
        <v>379</v>
      </c>
      <c r="C41" s="266" t="str">
        <f>IF(VLOOKUP(Table4[[#This Row],[T ID]],Table5[#All],5,FALSE)="No","Not in scope",VLOOKUP(Table4[[#This Row],[T ID]],Table5[#All],2,FALSE))</f>
        <v>Unpatched OS/SOUP's</v>
      </c>
      <c r="D41" s="244" t="s">
        <v>295</v>
      </c>
      <c r="E41" s="266" t="str">
        <f>IF(VLOOKUP(Table4[[#This Row],[V ID]],Vulnerabilities[#All],3,FALSE)="No","Not in scope",VLOOKUP(Table4[[#This Row],[V ID]],Vulnerabilities[#All],2,FALSE))</f>
        <v>Potentially outdated SW-Library SOUPs</v>
      </c>
      <c r="F41" s="267" t="s">
        <v>106</v>
      </c>
      <c r="G41" s="266" t="str">
        <f>VLOOKUP(Table4[[#This Row],[A ID]],Assets[#All],3,FALSE)</f>
        <v>Nav3i cart/ System running with windows 8.1</v>
      </c>
      <c r="H41" s="279" t="s">
        <v>496</v>
      </c>
      <c r="I41" s="244"/>
      <c r="J41" s="306" t="s">
        <v>76</v>
      </c>
      <c r="K41" s="306" t="s">
        <v>76</v>
      </c>
      <c r="L41" s="306" t="s">
        <v>64</v>
      </c>
      <c r="M41" s="268" t="s">
        <v>78</v>
      </c>
      <c r="N41" s="268" t="s">
        <v>55</v>
      </c>
      <c r="O41" s="268" t="s">
        <v>55</v>
      </c>
      <c r="P41" s="87" t="s">
        <v>76</v>
      </c>
      <c r="Q41" s="268" t="s">
        <v>73</v>
      </c>
      <c r="R41"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70">
        <f>(1 - ((1 - VLOOKUP(Table4[[#This Row],[Confidentiality]],'Reference - CVSSv3.0'!$B$15:$C$17,2,FALSE)) * (1 - VLOOKUP(Table4[[#This Row],[Integrity]],'Reference - CVSSv3.0'!$B$15:$C$17,2,FALSE)) *  (1 - VLOOKUP(Table4[[#This Row],[Availability]],'Reference - CVSSv3.0'!$B$15:$C$17,2,FALSE))))</f>
        <v>0.56000000000000005</v>
      </c>
      <c r="T41" s="270">
        <f>IF(Table4[[#This Row],[Scope]]="Unchanged",6.42*Table4[[#This Row],[ISC Base]],IF(Table4[[#This Row],[Scope]]="Changed",7.52*(Table4[[#This Row],[ISC Base]] - 0.029) - 3.25 * POWER(Table4[[#This Row],[ISC Base]] - 0.02,15),NA()))</f>
        <v>3.5952000000000002</v>
      </c>
      <c r="U41" s="270">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71" t="s">
        <v>54</v>
      </c>
      <c r="W41" s="270">
        <f>VLOOKUP(Table4[[#This Row],[Threat Event Initiation]],NIST_Scale_LOAI[],2,FALSE)</f>
        <v>0.5</v>
      </c>
      <c r="X41"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79" t="s">
        <v>439</v>
      </c>
      <c r="AA41" s="244"/>
      <c r="AB41" s="273"/>
      <c r="AC41" s="244"/>
      <c r="AD41" s="244"/>
      <c r="AE41" s="244"/>
      <c r="AF41" s="268"/>
      <c r="AG41" s="268"/>
      <c r="AH41" s="268"/>
      <c r="AI41" s="268"/>
      <c r="AJ41" s="274"/>
      <c r="AK41"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70" t="e">
        <f>(1 - ((1 - VLOOKUP(Table4[[#This Row],[ConfidentialityP]],'Reference - CVSSv3.0'!$B$15:$C$17,2,FALSE)) * (1 - VLOOKUP(Table4[[#This Row],[IntegrityP]],'Reference - CVSSv3.0'!$B$15:$C$17,2,FALSE)) *  (1 - VLOOKUP(Table4[[#This Row],[AvailabilityP]],'Reference - CVSSv3.0'!$B$15:$C$17,2,FALSE))))</f>
        <v>#N/A</v>
      </c>
      <c r="AM41" s="270" t="e">
        <f>IF(Table4[[#This Row],[ScopeP]]="Unchanged",6.42*Table4[[#This Row],[ISC BaseP]],IF(Table4[[#This Row],[ScopeP]]="Changed",7.52*(Table4[[#This Row],[ISC BaseP]] - 0.029) - 3.25 * POWER(Table4[[#This Row],[ISC BaseP]] - 0.02,15),NA()))</f>
        <v>#N/A</v>
      </c>
      <c r="AN41"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44"/>
    </row>
    <row r="42" spans="1:43" ht="84" x14ac:dyDescent="0.35">
      <c r="A42" s="276">
        <v>42</v>
      </c>
      <c r="B42" s="244" t="s">
        <v>379</v>
      </c>
      <c r="C42" s="266" t="str">
        <f>IF(VLOOKUP(Table4[[#This Row],[T ID]],Table5[#All],5,FALSE)="No","Not in scope",VLOOKUP(Table4[[#This Row],[T ID]],Table5[#All],2,FALSE))</f>
        <v>Unpatched OS/SOUP's</v>
      </c>
      <c r="D42" s="244" t="s">
        <v>295</v>
      </c>
      <c r="E42" s="266" t="str">
        <f>IF(VLOOKUP(Table4[[#This Row],[V ID]],Vulnerabilities[#All],3,FALSE)="No","Not in scope",VLOOKUP(Table4[[#This Row],[V ID]],Vulnerabilities[#All],2,FALSE))</f>
        <v>Potentially outdated SW-Library SOUPs</v>
      </c>
      <c r="F42" s="267" t="s">
        <v>330</v>
      </c>
      <c r="G42" s="266" t="str">
        <f>VLOOKUP(Table4[[#This Row],[A ID]],Assets[#All],3,FALSE)</f>
        <v>THOR Knee Intra-op Application</v>
      </c>
      <c r="H42" s="279" t="s">
        <v>496</v>
      </c>
      <c r="I42" s="244"/>
      <c r="J42" s="306" t="s">
        <v>76</v>
      </c>
      <c r="K42" s="306" t="s">
        <v>76</v>
      </c>
      <c r="L42" s="306" t="s">
        <v>64</v>
      </c>
      <c r="M42" s="268" t="s">
        <v>78</v>
      </c>
      <c r="N42" s="268" t="s">
        <v>55</v>
      </c>
      <c r="O42" s="268" t="s">
        <v>55</v>
      </c>
      <c r="P42" s="87" t="s">
        <v>76</v>
      </c>
      <c r="Q42" s="268" t="s">
        <v>73</v>
      </c>
      <c r="R42"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70">
        <f>(1 - ((1 - VLOOKUP(Table4[[#This Row],[Confidentiality]],'Reference - CVSSv3.0'!$B$15:$C$17,2,FALSE)) * (1 - VLOOKUP(Table4[[#This Row],[Integrity]],'Reference - CVSSv3.0'!$B$15:$C$17,2,FALSE)) *  (1 - VLOOKUP(Table4[[#This Row],[Availability]],'Reference - CVSSv3.0'!$B$15:$C$17,2,FALSE))))</f>
        <v>0.56000000000000005</v>
      </c>
      <c r="T42" s="270">
        <f>IF(Table4[[#This Row],[Scope]]="Unchanged",6.42*Table4[[#This Row],[ISC Base]],IF(Table4[[#This Row],[Scope]]="Changed",7.52*(Table4[[#This Row],[ISC Base]] - 0.029) - 3.25 * POWER(Table4[[#This Row],[ISC Base]] - 0.02,15),NA()))</f>
        <v>3.5952000000000002</v>
      </c>
      <c r="U42" s="270">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71" t="s">
        <v>54</v>
      </c>
      <c r="W42" s="270">
        <f>VLOOKUP(Table4[[#This Row],[Threat Event Initiation]],NIST_Scale_LOAI[],2,FALSE)</f>
        <v>0.5</v>
      </c>
      <c r="X42"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79" t="s">
        <v>439</v>
      </c>
      <c r="AA42" s="244"/>
      <c r="AB42" s="273"/>
      <c r="AC42" s="244"/>
      <c r="AD42" s="244"/>
      <c r="AE42" s="244"/>
      <c r="AF42" s="268"/>
      <c r="AG42" s="268"/>
      <c r="AH42" s="268"/>
      <c r="AI42" s="268"/>
      <c r="AJ42" s="274"/>
      <c r="AK42"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70" t="e">
        <f>(1 - ((1 - VLOOKUP(Table4[[#This Row],[ConfidentialityP]],'Reference - CVSSv3.0'!$B$15:$C$17,2,FALSE)) * (1 - VLOOKUP(Table4[[#This Row],[IntegrityP]],'Reference - CVSSv3.0'!$B$15:$C$17,2,FALSE)) *  (1 - VLOOKUP(Table4[[#This Row],[AvailabilityP]],'Reference - CVSSv3.0'!$B$15:$C$17,2,FALSE))))</f>
        <v>#N/A</v>
      </c>
      <c r="AM42" s="270" t="e">
        <f>IF(Table4[[#This Row],[ScopeP]]="Unchanged",6.42*Table4[[#This Row],[ISC BaseP]],IF(Table4[[#This Row],[ScopeP]]="Changed",7.52*(Table4[[#This Row],[ISC BaseP]] - 0.029) - 3.25 * POWER(Table4[[#This Row],[ISC BaseP]] - 0.02,15),NA()))</f>
        <v>#N/A</v>
      </c>
      <c r="AN42"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44"/>
    </row>
    <row r="43" spans="1:43" ht="84" x14ac:dyDescent="0.35">
      <c r="A43" s="276">
        <v>43</v>
      </c>
      <c r="B43" s="244" t="s">
        <v>379</v>
      </c>
      <c r="C43" s="266" t="str">
        <f>IF(VLOOKUP(Table4[[#This Row],[T ID]],Table5[#All],5,FALSE)="No","Not in scope",VLOOKUP(Table4[[#This Row],[T ID]],Table5[#All],2,FALSE))</f>
        <v>Unpatched OS/SOUP's</v>
      </c>
      <c r="D43" s="244" t="s">
        <v>336</v>
      </c>
      <c r="E43" s="266" t="str">
        <f>IF(VLOOKUP(Table4[[#This Row],[V ID]],Vulnerabilities[#All],3,FALSE)="No","Not in scope",VLOOKUP(Table4[[#This Row],[V ID]],Vulnerabilities[#All],2,FALSE))</f>
        <v>3rd Party Component/SOUP Risk/Dependency not validated</v>
      </c>
      <c r="F43" s="267" t="s">
        <v>106</v>
      </c>
      <c r="G43" s="266" t="str">
        <f>VLOOKUP(Table4[[#This Row],[A ID]],Assets[#All],3,FALSE)</f>
        <v>Nav3i cart/ System running with windows 8.1</v>
      </c>
      <c r="H43" s="279" t="s">
        <v>496</v>
      </c>
      <c r="I43" s="244"/>
      <c r="J43" s="306" t="s">
        <v>76</v>
      </c>
      <c r="K43" s="306" t="s">
        <v>76</v>
      </c>
      <c r="L43" s="306" t="s">
        <v>64</v>
      </c>
      <c r="M43" s="268" t="s">
        <v>78</v>
      </c>
      <c r="N43" s="268" t="s">
        <v>55</v>
      </c>
      <c r="O43" s="268" t="s">
        <v>55</v>
      </c>
      <c r="P43" s="87" t="s">
        <v>76</v>
      </c>
      <c r="Q43" s="268" t="s">
        <v>73</v>
      </c>
      <c r="R43"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70">
        <f>(1 - ((1 - VLOOKUP(Table4[[#This Row],[Confidentiality]],'Reference - CVSSv3.0'!$B$15:$C$17,2,FALSE)) * (1 - VLOOKUP(Table4[[#This Row],[Integrity]],'Reference - CVSSv3.0'!$B$15:$C$17,2,FALSE)) *  (1 - VLOOKUP(Table4[[#This Row],[Availability]],'Reference - CVSSv3.0'!$B$15:$C$17,2,FALSE))))</f>
        <v>0.56000000000000005</v>
      </c>
      <c r="T43" s="270">
        <f>IF(Table4[[#This Row],[Scope]]="Unchanged",6.42*Table4[[#This Row],[ISC Base]],IF(Table4[[#This Row],[Scope]]="Changed",7.52*(Table4[[#This Row],[ISC Base]] - 0.029) - 3.25 * POWER(Table4[[#This Row],[ISC Base]] - 0.02,15),NA()))</f>
        <v>3.5952000000000002</v>
      </c>
      <c r="U43" s="270">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71" t="s">
        <v>54</v>
      </c>
      <c r="W43" s="270">
        <f>VLOOKUP(Table4[[#This Row],[Threat Event Initiation]],NIST_Scale_LOAI[],2,FALSE)</f>
        <v>0.5</v>
      </c>
      <c r="X43"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79" t="s">
        <v>439</v>
      </c>
      <c r="AA43" s="244"/>
      <c r="AB43" s="273"/>
      <c r="AC43" s="244"/>
      <c r="AD43" s="244"/>
      <c r="AE43" s="244"/>
      <c r="AF43" s="268"/>
      <c r="AG43" s="268"/>
      <c r="AH43" s="268"/>
      <c r="AI43" s="268"/>
      <c r="AJ43" s="274"/>
      <c r="AK43"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70" t="e">
        <f>(1 - ((1 - VLOOKUP(Table4[[#This Row],[ConfidentialityP]],'Reference - CVSSv3.0'!$B$15:$C$17,2,FALSE)) * (1 - VLOOKUP(Table4[[#This Row],[IntegrityP]],'Reference - CVSSv3.0'!$B$15:$C$17,2,FALSE)) *  (1 - VLOOKUP(Table4[[#This Row],[AvailabilityP]],'Reference - CVSSv3.0'!$B$15:$C$17,2,FALSE))))</f>
        <v>#N/A</v>
      </c>
      <c r="AM43" s="270" t="e">
        <f>IF(Table4[[#This Row],[ScopeP]]="Unchanged",6.42*Table4[[#This Row],[ISC BaseP]],IF(Table4[[#This Row],[ScopeP]]="Changed",7.52*(Table4[[#This Row],[ISC BaseP]] - 0.029) - 3.25 * POWER(Table4[[#This Row],[ISC BaseP]] - 0.02,15),NA()))</f>
        <v>#N/A</v>
      </c>
      <c r="AN43"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44"/>
    </row>
    <row r="44" spans="1:43" ht="84" x14ac:dyDescent="0.35">
      <c r="A44" s="276">
        <v>44</v>
      </c>
      <c r="B44" s="244" t="s">
        <v>379</v>
      </c>
      <c r="C44" s="266" t="str">
        <f>IF(VLOOKUP(Table4[[#This Row],[T ID]],Table5[#All],5,FALSE)="No","Not in scope",VLOOKUP(Table4[[#This Row],[T ID]],Table5[#All],2,FALSE))</f>
        <v>Unpatched OS/SOUP's</v>
      </c>
      <c r="D44" s="244" t="s">
        <v>336</v>
      </c>
      <c r="E44" s="266" t="str">
        <f>IF(VLOOKUP(Table4[[#This Row],[V ID]],Vulnerabilities[#All],3,FALSE)="No","Not in scope",VLOOKUP(Table4[[#This Row],[V ID]],Vulnerabilities[#All],2,FALSE))</f>
        <v>3rd Party Component/SOUP Risk/Dependency not validated</v>
      </c>
      <c r="F44" s="267" t="s">
        <v>330</v>
      </c>
      <c r="G44" s="266" t="str">
        <f>VLOOKUP(Table4[[#This Row],[A ID]],Assets[#All],3,FALSE)</f>
        <v>THOR Knee Intra-op Application</v>
      </c>
      <c r="H44" s="279" t="s">
        <v>496</v>
      </c>
      <c r="I44" s="244"/>
      <c r="J44" s="306" t="s">
        <v>76</v>
      </c>
      <c r="K44" s="306" t="s">
        <v>76</v>
      </c>
      <c r="L44" s="306" t="s">
        <v>64</v>
      </c>
      <c r="M44" s="268" t="s">
        <v>78</v>
      </c>
      <c r="N44" s="268" t="s">
        <v>55</v>
      </c>
      <c r="O44" s="268" t="s">
        <v>55</v>
      </c>
      <c r="P44" s="87" t="s">
        <v>76</v>
      </c>
      <c r="Q44" s="268" t="s">
        <v>73</v>
      </c>
      <c r="R44"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70">
        <f>(1 - ((1 - VLOOKUP(Table4[[#This Row],[Confidentiality]],'Reference - CVSSv3.0'!$B$15:$C$17,2,FALSE)) * (1 - VLOOKUP(Table4[[#This Row],[Integrity]],'Reference - CVSSv3.0'!$B$15:$C$17,2,FALSE)) *  (1 - VLOOKUP(Table4[[#This Row],[Availability]],'Reference - CVSSv3.0'!$B$15:$C$17,2,FALSE))))</f>
        <v>0.56000000000000005</v>
      </c>
      <c r="T44" s="270">
        <f>IF(Table4[[#This Row],[Scope]]="Unchanged",6.42*Table4[[#This Row],[ISC Base]],IF(Table4[[#This Row],[Scope]]="Changed",7.52*(Table4[[#This Row],[ISC Base]] - 0.029) - 3.25 * POWER(Table4[[#This Row],[ISC Base]] - 0.02,15),NA()))</f>
        <v>3.5952000000000002</v>
      </c>
      <c r="U44" s="270">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71" t="s">
        <v>54</v>
      </c>
      <c r="W44" s="270">
        <f>VLOOKUP(Table4[[#This Row],[Threat Event Initiation]],NIST_Scale_LOAI[],2,FALSE)</f>
        <v>0.5</v>
      </c>
      <c r="X44"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279" t="s">
        <v>439</v>
      </c>
      <c r="AA44" s="244"/>
      <c r="AB44" s="273"/>
      <c r="AC44" s="244"/>
      <c r="AD44" s="244"/>
      <c r="AE44" s="244"/>
      <c r="AF44" s="268"/>
      <c r="AG44" s="268"/>
      <c r="AH44" s="268"/>
      <c r="AI44" s="268"/>
      <c r="AJ44" s="274"/>
      <c r="AK44"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70" t="e">
        <f>(1 - ((1 - VLOOKUP(Table4[[#This Row],[ConfidentialityP]],'Reference - CVSSv3.0'!$B$15:$C$17,2,FALSE)) * (1 - VLOOKUP(Table4[[#This Row],[IntegrityP]],'Reference - CVSSv3.0'!$B$15:$C$17,2,FALSE)) *  (1 - VLOOKUP(Table4[[#This Row],[AvailabilityP]],'Reference - CVSSv3.0'!$B$15:$C$17,2,FALSE))))</f>
        <v>#N/A</v>
      </c>
      <c r="AM44" s="270" t="e">
        <f>IF(Table4[[#This Row],[ScopeP]]="Unchanged",6.42*Table4[[#This Row],[ISC BaseP]],IF(Table4[[#This Row],[ScopeP]]="Changed",7.52*(Table4[[#This Row],[ISC BaseP]] - 0.029) - 3.25 * POWER(Table4[[#This Row],[ISC BaseP]] - 0.02,15),NA()))</f>
        <v>#N/A</v>
      </c>
      <c r="AN44"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44"/>
    </row>
    <row r="45" spans="1:43" ht="84" x14ac:dyDescent="0.35">
      <c r="A45" s="276">
        <v>45</v>
      </c>
      <c r="B45" s="244" t="s">
        <v>379</v>
      </c>
      <c r="C45" s="266" t="str">
        <f>IF(VLOOKUP(Table4[[#This Row],[T ID]],Table5[#All],5,FALSE)="No","Not in scope",VLOOKUP(Table4[[#This Row],[T ID]],Table5[#All],2,FALSE))</f>
        <v>Unpatched OS/SOUP's</v>
      </c>
      <c r="D45" s="244" t="s">
        <v>338</v>
      </c>
      <c r="E45" s="266" t="str">
        <f>IF(VLOOKUP(Table4[[#This Row],[V ID]],Vulnerabilities[#All],3,FALSE)="No","Not in scope",VLOOKUP(Table4[[#This Row],[V ID]],Vulnerabilities[#All],2,FALSE))</f>
        <v>Legacy Systems (outdated HW/SW) being used</v>
      </c>
      <c r="F45" s="267" t="s">
        <v>106</v>
      </c>
      <c r="G45" s="266" t="str">
        <f>VLOOKUP(Table4[[#This Row],[A ID]],Assets[#All],3,FALSE)</f>
        <v>Nav3i cart/ System running with windows 8.1</v>
      </c>
      <c r="H45" s="279" t="s">
        <v>496</v>
      </c>
      <c r="I45" s="244"/>
      <c r="J45" s="306" t="s">
        <v>76</v>
      </c>
      <c r="K45" s="306" t="s">
        <v>76</v>
      </c>
      <c r="L45" s="306" t="s">
        <v>64</v>
      </c>
      <c r="M45" s="268" t="s">
        <v>78</v>
      </c>
      <c r="N45" s="268" t="s">
        <v>55</v>
      </c>
      <c r="O45" s="268" t="s">
        <v>55</v>
      </c>
      <c r="P45" s="87" t="s">
        <v>76</v>
      </c>
      <c r="Q45" s="268" t="s">
        <v>73</v>
      </c>
      <c r="R45"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70">
        <f>(1 - ((1 - VLOOKUP(Table4[[#This Row],[Confidentiality]],'Reference - CVSSv3.0'!$B$15:$C$17,2,FALSE)) * (1 - VLOOKUP(Table4[[#This Row],[Integrity]],'Reference - CVSSv3.0'!$B$15:$C$17,2,FALSE)) *  (1 - VLOOKUP(Table4[[#This Row],[Availability]],'Reference - CVSSv3.0'!$B$15:$C$17,2,FALSE))))</f>
        <v>0.56000000000000005</v>
      </c>
      <c r="T45" s="270">
        <f>IF(Table4[[#This Row],[Scope]]="Unchanged",6.42*Table4[[#This Row],[ISC Base]],IF(Table4[[#This Row],[Scope]]="Changed",7.52*(Table4[[#This Row],[ISC Base]] - 0.029) - 3.25 * POWER(Table4[[#This Row],[ISC Base]] - 0.02,15),NA()))</f>
        <v>3.5952000000000002</v>
      </c>
      <c r="U45" s="270">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71" t="s">
        <v>54</v>
      </c>
      <c r="W45" s="270">
        <f>VLOOKUP(Table4[[#This Row],[Threat Event Initiation]],NIST_Scale_LOAI[],2,FALSE)</f>
        <v>0.5</v>
      </c>
      <c r="X45"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79" t="s">
        <v>439</v>
      </c>
      <c r="AA45" s="244"/>
      <c r="AB45" s="273"/>
      <c r="AC45" s="244"/>
      <c r="AD45" s="244"/>
      <c r="AE45" s="244"/>
      <c r="AF45" s="268"/>
      <c r="AG45" s="268"/>
      <c r="AH45" s="268"/>
      <c r="AI45" s="268"/>
      <c r="AJ45" s="274"/>
      <c r="AK45"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70" t="e">
        <f>(1 - ((1 - VLOOKUP(Table4[[#This Row],[ConfidentialityP]],'Reference - CVSSv3.0'!$B$15:$C$17,2,FALSE)) * (1 - VLOOKUP(Table4[[#This Row],[IntegrityP]],'Reference - CVSSv3.0'!$B$15:$C$17,2,FALSE)) *  (1 - VLOOKUP(Table4[[#This Row],[AvailabilityP]],'Reference - CVSSv3.0'!$B$15:$C$17,2,FALSE))))</f>
        <v>#N/A</v>
      </c>
      <c r="AM45" s="270" t="e">
        <f>IF(Table4[[#This Row],[ScopeP]]="Unchanged",6.42*Table4[[#This Row],[ISC BaseP]],IF(Table4[[#This Row],[ScopeP]]="Changed",7.52*(Table4[[#This Row],[ISC BaseP]] - 0.029) - 3.25 * POWER(Table4[[#This Row],[ISC BaseP]] - 0.02,15),NA()))</f>
        <v>#N/A</v>
      </c>
      <c r="AN45"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44"/>
    </row>
    <row r="46" spans="1:43" ht="84" x14ac:dyDescent="0.35">
      <c r="A46" s="276">
        <v>46</v>
      </c>
      <c r="B46" s="244" t="s">
        <v>379</v>
      </c>
      <c r="C46" s="266" t="str">
        <f>IF(VLOOKUP(Table4[[#This Row],[T ID]],Table5[#All],5,FALSE)="No","Not in scope",VLOOKUP(Table4[[#This Row],[T ID]],Table5[#All],2,FALSE))</f>
        <v>Unpatched OS/SOUP's</v>
      </c>
      <c r="D46" s="244" t="s">
        <v>338</v>
      </c>
      <c r="E46" s="266" t="str">
        <f>IF(VLOOKUP(Table4[[#This Row],[V ID]],Vulnerabilities[#All],3,FALSE)="No","Not in scope",VLOOKUP(Table4[[#This Row],[V ID]],Vulnerabilities[#All],2,FALSE))</f>
        <v>Legacy Systems (outdated HW/SW) being used</v>
      </c>
      <c r="F46" s="267" t="s">
        <v>330</v>
      </c>
      <c r="G46" s="266" t="str">
        <f>VLOOKUP(Table4[[#This Row],[A ID]],Assets[#All],3,FALSE)</f>
        <v>THOR Knee Intra-op Application</v>
      </c>
      <c r="H46" s="279" t="s">
        <v>496</v>
      </c>
      <c r="I46" s="244"/>
      <c r="J46" s="306" t="s">
        <v>76</v>
      </c>
      <c r="K46" s="306" t="s">
        <v>76</v>
      </c>
      <c r="L46" s="306" t="s">
        <v>64</v>
      </c>
      <c r="M46" s="268" t="s">
        <v>78</v>
      </c>
      <c r="N46" s="268" t="s">
        <v>55</v>
      </c>
      <c r="O46" s="268" t="s">
        <v>55</v>
      </c>
      <c r="P46" s="87" t="s">
        <v>76</v>
      </c>
      <c r="Q46" s="268" t="s">
        <v>73</v>
      </c>
      <c r="R46"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70">
        <f>(1 - ((1 - VLOOKUP(Table4[[#This Row],[Confidentiality]],'Reference - CVSSv3.0'!$B$15:$C$17,2,FALSE)) * (1 - VLOOKUP(Table4[[#This Row],[Integrity]],'Reference - CVSSv3.0'!$B$15:$C$17,2,FALSE)) *  (1 - VLOOKUP(Table4[[#This Row],[Availability]],'Reference - CVSSv3.0'!$B$15:$C$17,2,FALSE))))</f>
        <v>0.56000000000000005</v>
      </c>
      <c r="T46" s="270">
        <f>IF(Table4[[#This Row],[Scope]]="Unchanged",6.42*Table4[[#This Row],[ISC Base]],IF(Table4[[#This Row],[Scope]]="Changed",7.52*(Table4[[#This Row],[ISC Base]] - 0.029) - 3.25 * POWER(Table4[[#This Row],[ISC Base]] - 0.02,15),NA()))</f>
        <v>3.5952000000000002</v>
      </c>
      <c r="U46" s="270">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71" t="s">
        <v>54</v>
      </c>
      <c r="W46" s="270">
        <f>VLOOKUP(Table4[[#This Row],[Threat Event Initiation]],NIST_Scale_LOAI[],2,FALSE)</f>
        <v>0.5</v>
      </c>
      <c r="X46"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279" t="s">
        <v>439</v>
      </c>
      <c r="AA46" s="244"/>
      <c r="AB46" s="273"/>
      <c r="AC46" s="244"/>
      <c r="AD46" s="244"/>
      <c r="AE46" s="244"/>
      <c r="AF46" s="268"/>
      <c r="AG46" s="268"/>
      <c r="AH46" s="268"/>
      <c r="AI46" s="268"/>
      <c r="AJ46" s="274"/>
      <c r="AK46"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70" t="e">
        <f>(1 - ((1 - VLOOKUP(Table4[[#This Row],[ConfidentialityP]],'Reference - CVSSv3.0'!$B$15:$C$17,2,FALSE)) * (1 - VLOOKUP(Table4[[#This Row],[IntegrityP]],'Reference - CVSSv3.0'!$B$15:$C$17,2,FALSE)) *  (1 - VLOOKUP(Table4[[#This Row],[AvailabilityP]],'Reference - CVSSv3.0'!$B$15:$C$17,2,FALSE))))</f>
        <v>#N/A</v>
      </c>
      <c r="AM46" s="270" t="e">
        <f>IF(Table4[[#This Row],[ScopeP]]="Unchanged",6.42*Table4[[#This Row],[ISC BaseP]],IF(Table4[[#This Row],[ScopeP]]="Changed",7.52*(Table4[[#This Row],[ISC BaseP]] - 0.029) - 3.25 * POWER(Table4[[#This Row],[ISC BaseP]] - 0.02,15),NA()))</f>
        <v>#N/A</v>
      </c>
      <c r="AN46"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44"/>
    </row>
    <row r="47" spans="1:43" ht="112" x14ac:dyDescent="0.35">
      <c r="A47" s="276">
        <v>47</v>
      </c>
      <c r="B47" s="244" t="s">
        <v>380</v>
      </c>
      <c r="C47" s="266" t="str">
        <f>IF(VLOOKUP(Table4[[#This Row],[T ID]],Table5[#All],5,FALSE)="No","Not in scope",VLOOKUP(Table4[[#This Row],[T ID]],Table5[#All],2,FALSE))</f>
        <v>Exploitation of unsecured network elements</v>
      </c>
      <c r="D47" s="244" t="s">
        <v>141</v>
      </c>
      <c r="E47" s="266" t="str">
        <f>IF(VLOOKUP(Table4[[#This Row],[V ID]],Vulnerabilities[#All],3,FALSE)="No","Not in scope",VLOOKUP(Table4[[#This Row],[V ID]],Vulnerabilities[#All],2,FALSE))</f>
        <v>Unprotected network port</v>
      </c>
      <c r="F47" s="267" t="s">
        <v>110</v>
      </c>
      <c r="G47" s="266" t="str">
        <f>VLOOKUP(Table4[[#This Row],[A ID]],Assets[#All],3,FALSE)</f>
        <v>Computer/OS network identification</v>
      </c>
      <c r="H47" s="279" t="s">
        <v>497</v>
      </c>
      <c r="I47" s="244"/>
      <c r="J47" s="306" t="s">
        <v>76</v>
      </c>
      <c r="K47" s="306" t="s">
        <v>55</v>
      </c>
      <c r="L47" s="306" t="s">
        <v>64</v>
      </c>
      <c r="M47" s="268" t="s">
        <v>74</v>
      </c>
      <c r="N47" s="268" t="s">
        <v>55</v>
      </c>
      <c r="O47" s="268" t="s">
        <v>55</v>
      </c>
      <c r="P47" s="87" t="s">
        <v>76</v>
      </c>
      <c r="Q47" s="268" t="s">
        <v>73</v>
      </c>
      <c r="R47"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7" s="270">
        <f>(1 - ((1 - VLOOKUP(Table4[[#This Row],[Confidentiality]],'Reference - CVSSv3.0'!$B$15:$C$17,2,FALSE)) * (1 - VLOOKUP(Table4[[#This Row],[Integrity]],'Reference - CVSSv3.0'!$B$15:$C$17,2,FALSE)) *  (1 - VLOOKUP(Table4[[#This Row],[Availability]],'Reference - CVSSv3.0'!$B$15:$C$17,2,FALSE))))</f>
        <v>0.65680000000000005</v>
      </c>
      <c r="T47" s="270">
        <f>IF(Table4[[#This Row],[Scope]]="Unchanged",6.42*Table4[[#This Row],[ISC Base]],IF(Table4[[#This Row],[Scope]]="Changed",7.52*(Table4[[#This Row],[ISC Base]] - 0.029) - 3.25 * POWER(Table4[[#This Row],[ISC Base]] - 0.02,15),NA()))</f>
        <v>4.2166560000000004</v>
      </c>
      <c r="U47" s="270">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7" s="271" t="s">
        <v>55</v>
      </c>
      <c r="W47" s="270">
        <f>VLOOKUP(Table4[[#This Row],[Threat Event Initiation]],NIST_Scale_LOAI[],2,FALSE)</f>
        <v>0.2</v>
      </c>
      <c r="X47"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7"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40" t="s">
        <v>441</v>
      </c>
      <c r="AA47" s="244"/>
      <c r="AB47" s="273"/>
      <c r="AC47" s="244"/>
      <c r="AD47" s="244"/>
      <c r="AE47" s="244"/>
      <c r="AF47" s="268"/>
      <c r="AG47" s="268"/>
      <c r="AH47" s="268"/>
      <c r="AI47" s="268"/>
      <c r="AJ47" s="274"/>
      <c r="AK47"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70" t="e">
        <f>(1 - ((1 - VLOOKUP(Table4[[#This Row],[ConfidentialityP]],'Reference - CVSSv3.0'!$B$15:$C$17,2,FALSE)) * (1 - VLOOKUP(Table4[[#This Row],[IntegrityP]],'Reference - CVSSv3.0'!$B$15:$C$17,2,FALSE)) *  (1 - VLOOKUP(Table4[[#This Row],[AvailabilityP]],'Reference - CVSSv3.0'!$B$15:$C$17,2,FALSE))))</f>
        <v>#N/A</v>
      </c>
      <c r="AM47" s="270" t="e">
        <f>IF(Table4[[#This Row],[ScopeP]]="Unchanged",6.42*Table4[[#This Row],[ISC BaseP]],IF(Table4[[#This Row],[ScopeP]]="Changed",7.52*(Table4[[#This Row],[ISC BaseP]] - 0.029) - 3.25 * POWER(Table4[[#This Row],[ISC BaseP]] - 0.02,15),NA()))</f>
        <v>#N/A</v>
      </c>
      <c r="AN47"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44"/>
    </row>
    <row r="48" spans="1:43" ht="112" x14ac:dyDescent="0.35">
      <c r="A48" s="276">
        <v>48</v>
      </c>
      <c r="B48" s="244" t="s">
        <v>380</v>
      </c>
      <c r="C48" s="266" t="str">
        <f>IF(VLOOKUP(Table4[[#This Row],[T ID]],Table5[#All],5,FALSE)="No","Not in scope",VLOOKUP(Table4[[#This Row],[T ID]],Table5[#All],2,FALSE))</f>
        <v>Exploitation of unsecured network elements</v>
      </c>
      <c r="D48" s="244" t="s">
        <v>142</v>
      </c>
      <c r="E48" s="266" t="str">
        <f>IF(VLOOKUP(Table4[[#This Row],[V ID]],Vulnerabilities[#All],3,FALSE)="No","Not in scope",VLOOKUP(Table4[[#This Row],[V ID]],Vulnerabilities[#All],2,FALSE))</f>
        <v>Unprotected external USB Port</v>
      </c>
      <c r="F48" s="267" t="s">
        <v>110</v>
      </c>
      <c r="G48" s="266" t="str">
        <f>VLOOKUP(Table4[[#This Row],[A ID]],Assets[#All],3,FALSE)</f>
        <v>Computer/OS network identification</v>
      </c>
      <c r="H48" s="279" t="s">
        <v>497</v>
      </c>
      <c r="I48" s="244"/>
      <c r="J48" s="306" t="s">
        <v>76</v>
      </c>
      <c r="K48" s="306" t="s">
        <v>55</v>
      </c>
      <c r="L48" s="306" t="s">
        <v>64</v>
      </c>
      <c r="M48" s="268" t="s">
        <v>74</v>
      </c>
      <c r="N48" s="268" t="s">
        <v>55</v>
      </c>
      <c r="O48" s="268" t="s">
        <v>55</v>
      </c>
      <c r="P48" s="87" t="s">
        <v>76</v>
      </c>
      <c r="Q48" s="268" t="s">
        <v>73</v>
      </c>
      <c r="R48"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70">
        <f>(1 - ((1 - VLOOKUP(Table4[[#This Row],[Confidentiality]],'Reference - CVSSv3.0'!$B$15:$C$17,2,FALSE)) * (1 - VLOOKUP(Table4[[#This Row],[Integrity]],'Reference - CVSSv3.0'!$B$15:$C$17,2,FALSE)) *  (1 - VLOOKUP(Table4[[#This Row],[Availability]],'Reference - CVSSv3.0'!$B$15:$C$17,2,FALSE))))</f>
        <v>0.65680000000000005</v>
      </c>
      <c r="T48" s="270">
        <f>IF(Table4[[#This Row],[Scope]]="Unchanged",6.42*Table4[[#This Row],[ISC Base]],IF(Table4[[#This Row],[Scope]]="Changed",7.52*(Table4[[#This Row],[ISC Base]] - 0.029) - 3.25 * POWER(Table4[[#This Row],[ISC Base]] - 0.02,15),NA()))</f>
        <v>4.2166560000000004</v>
      </c>
      <c r="U48" s="270">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71" t="s">
        <v>55</v>
      </c>
      <c r="W48" s="270">
        <f>VLOOKUP(Table4[[#This Row],[Threat Event Initiation]],NIST_Scale_LOAI[],2,FALSE)</f>
        <v>0.2</v>
      </c>
      <c r="X48"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79" t="s">
        <v>441</v>
      </c>
      <c r="AA48" s="244"/>
      <c r="AB48" s="273"/>
      <c r="AC48" s="244"/>
      <c r="AD48" s="244"/>
      <c r="AE48" s="244"/>
      <c r="AF48" s="268"/>
      <c r="AG48" s="268"/>
      <c r="AH48" s="268"/>
      <c r="AI48" s="268"/>
      <c r="AJ48" s="274"/>
      <c r="AK48"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70" t="e">
        <f>(1 - ((1 - VLOOKUP(Table4[[#This Row],[ConfidentialityP]],'Reference - CVSSv3.0'!$B$15:$C$17,2,FALSE)) * (1 - VLOOKUP(Table4[[#This Row],[IntegrityP]],'Reference - CVSSv3.0'!$B$15:$C$17,2,FALSE)) *  (1 - VLOOKUP(Table4[[#This Row],[AvailabilityP]],'Reference - CVSSv3.0'!$B$15:$C$17,2,FALSE))))</f>
        <v>#N/A</v>
      </c>
      <c r="AM48" s="270" t="e">
        <f>IF(Table4[[#This Row],[ScopeP]]="Unchanged",6.42*Table4[[#This Row],[ISC BaseP]],IF(Table4[[#This Row],[ScopeP]]="Changed",7.52*(Table4[[#This Row],[ISC BaseP]] - 0.029) - 3.25 * POWER(Table4[[#This Row],[ISC BaseP]] - 0.02,15),NA()))</f>
        <v>#N/A</v>
      </c>
      <c r="AN48"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44"/>
    </row>
    <row r="49" spans="1:43" ht="112" x14ac:dyDescent="0.35">
      <c r="A49" s="276">
        <v>49</v>
      </c>
      <c r="B49" s="244" t="s">
        <v>380</v>
      </c>
      <c r="C49" s="266" t="str">
        <f>IF(VLOOKUP(Table4[[#This Row],[T ID]],Table5[#All],5,FALSE)="No","Not in scope",VLOOKUP(Table4[[#This Row],[T ID]],Table5[#All],2,FALSE))</f>
        <v>Exploitation of unsecured network elements</v>
      </c>
      <c r="D49" s="244" t="s">
        <v>339</v>
      </c>
      <c r="E49" s="266" t="str">
        <f>IF(VLOOKUP(Table4[[#This Row],[V ID]],Vulnerabilities[#All],3,FALSE)="No","Not in scope",VLOOKUP(Table4[[#This Row],[V ID]],Vulnerabilities[#All],2,FALSE))</f>
        <v>Non-Tracing of unused external Interfaces (ports etc., )</v>
      </c>
      <c r="F49" s="267" t="s">
        <v>110</v>
      </c>
      <c r="G49" s="266" t="str">
        <f>VLOOKUP(Table4[[#This Row],[A ID]],Assets[#All],3,FALSE)</f>
        <v>Computer/OS network identification</v>
      </c>
      <c r="H49" s="279" t="s">
        <v>497</v>
      </c>
      <c r="I49" s="244"/>
      <c r="J49" s="306" t="s">
        <v>76</v>
      </c>
      <c r="K49" s="306" t="s">
        <v>55</v>
      </c>
      <c r="L49" s="306" t="s">
        <v>64</v>
      </c>
      <c r="M49" s="268" t="s">
        <v>74</v>
      </c>
      <c r="N49" s="268" t="s">
        <v>55</v>
      </c>
      <c r="O49" s="268" t="s">
        <v>55</v>
      </c>
      <c r="P49" s="87" t="s">
        <v>76</v>
      </c>
      <c r="Q49" s="268" t="s">
        <v>73</v>
      </c>
      <c r="R49"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70">
        <f>(1 - ((1 - VLOOKUP(Table4[[#This Row],[Confidentiality]],'Reference - CVSSv3.0'!$B$15:$C$17,2,FALSE)) * (1 - VLOOKUP(Table4[[#This Row],[Integrity]],'Reference - CVSSv3.0'!$B$15:$C$17,2,FALSE)) *  (1 - VLOOKUP(Table4[[#This Row],[Availability]],'Reference - CVSSv3.0'!$B$15:$C$17,2,FALSE))))</f>
        <v>0.65680000000000005</v>
      </c>
      <c r="T49" s="270">
        <f>IF(Table4[[#This Row],[Scope]]="Unchanged",6.42*Table4[[#This Row],[ISC Base]],IF(Table4[[#This Row],[Scope]]="Changed",7.52*(Table4[[#This Row],[ISC Base]] - 0.029) - 3.25 * POWER(Table4[[#This Row],[ISC Base]] - 0.02,15),NA()))</f>
        <v>4.2166560000000004</v>
      </c>
      <c r="U49" s="270">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9" s="271" t="s">
        <v>48</v>
      </c>
      <c r="W49" s="270">
        <f>VLOOKUP(Table4[[#This Row],[Threat Event Initiation]],NIST_Scale_LOAI[],2,FALSE)</f>
        <v>0.04</v>
      </c>
      <c r="X49"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49"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9" s="279" t="s">
        <v>441</v>
      </c>
      <c r="AA49" s="244"/>
      <c r="AB49" s="273"/>
      <c r="AC49" s="244"/>
      <c r="AD49" s="244"/>
      <c r="AE49" s="244"/>
      <c r="AF49" s="268"/>
      <c r="AG49" s="268"/>
      <c r="AH49" s="268"/>
      <c r="AI49" s="268"/>
      <c r="AJ49" s="274"/>
      <c r="AK49"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70" t="e">
        <f>(1 - ((1 - VLOOKUP(Table4[[#This Row],[ConfidentialityP]],'Reference - CVSSv3.0'!$B$15:$C$17,2,FALSE)) * (1 - VLOOKUP(Table4[[#This Row],[IntegrityP]],'Reference - CVSSv3.0'!$B$15:$C$17,2,FALSE)) *  (1 - VLOOKUP(Table4[[#This Row],[AvailabilityP]],'Reference - CVSSv3.0'!$B$15:$C$17,2,FALSE))))</f>
        <v>#N/A</v>
      </c>
      <c r="AM49" s="270" t="e">
        <f>IF(Table4[[#This Row],[ScopeP]]="Unchanged",6.42*Table4[[#This Row],[ISC BaseP]],IF(Table4[[#This Row],[ScopeP]]="Changed",7.52*(Table4[[#This Row],[ISC BaseP]] - 0.029) - 3.25 * POWER(Table4[[#This Row],[ISC BaseP]] - 0.02,15),NA()))</f>
        <v>#N/A</v>
      </c>
      <c r="AN49"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44"/>
    </row>
    <row r="50" spans="1:43" ht="70" x14ac:dyDescent="0.35">
      <c r="A50" s="276">
        <v>50</v>
      </c>
      <c r="B50" s="244" t="s">
        <v>383</v>
      </c>
      <c r="C50" s="266" t="str">
        <f>IF(VLOOKUP(Table4[[#This Row],[T ID]],Table5[#All],5,FALSE)="No","Not in scope",VLOOKUP(Table4[[#This Row],[T ID]],Table5[#All],2,FALSE))</f>
        <v>Outdated cryptographic components &amp; techniques</v>
      </c>
      <c r="D50" s="244" t="s">
        <v>149</v>
      </c>
      <c r="E50" s="266" t="str">
        <f>IF(VLOOKUP(Table4[[#This Row],[V ID]],Vulnerabilities[#All],3,FALSE)="No","Not in scope",VLOOKUP(Table4[[#This Row],[V ID]],Vulnerabilities[#All],2,FALSE))</f>
        <v>Unencrypted ePHI at rest</v>
      </c>
      <c r="F50" s="267" t="s">
        <v>109</v>
      </c>
      <c r="G50" s="266" t="str">
        <f>VLOOKUP(Table4[[#This Row],[A ID]],Assets[#All],3,FALSE)</f>
        <v>Patient health information at rest</v>
      </c>
      <c r="H50" s="279" t="s">
        <v>498</v>
      </c>
      <c r="I50" s="244"/>
      <c r="J50" s="306" t="s">
        <v>64</v>
      </c>
      <c r="K50" s="306" t="s">
        <v>55</v>
      </c>
      <c r="L50" s="306" t="s">
        <v>55</v>
      </c>
      <c r="M50" s="268" t="s">
        <v>78</v>
      </c>
      <c r="N50" s="268" t="s">
        <v>55</v>
      </c>
      <c r="O50" s="268" t="s">
        <v>55</v>
      </c>
      <c r="P50" s="87" t="s">
        <v>76</v>
      </c>
      <c r="Q50" s="268" t="s">
        <v>73</v>
      </c>
      <c r="R50"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0" s="270">
        <f>(1 - ((1 - VLOOKUP(Table4[[#This Row],[Confidentiality]],'Reference - CVSSv3.0'!$B$15:$C$17,2,FALSE)) * (1 - VLOOKUP(Table4[[#This Row],[Integrity]],'Reference - CVSSv3.0'!$B$15:$C$17,2,FALSE)) *  (1 - VLOOKUP(Table4[[#This Row],[Availability]],'Reference - CVSSv3.0'!$B$15:$C$17,2,FALSE))))</f>
        <v>0.73230400000000007</v>
      </c>
      <c r="T50" s="270">
        <f>IF(Table4[[#This Row],[Scope]]="Unchanged",6.42*Table4[[#This Row],[ISC Base]],IF(Table4[[#This Row],[Scope]]="Changed",7.52*(Table4[[#This Row],[ISC Base]] - 0.029) - 3.25 * POWER(Table4[[#This Row],[ISC Base]] - 0.02,15),NA()))</f>
        <v>4.7013916800000004</v>
      </c>
      <c r="U50" s="270">
        <f>IF(Table4[[#This Row],[Impact Sub Score]]&lt;=0,0,IF(Table4[[#This Row],[Scope]]="Unchanged",ROUNDUP(MIN((Table4[[#This Row],[Impact Sub Score]]+Table4[[#This Row],[Exploitability Sub Score]]),10),1),IF(Table4[[#This Row],[Scope]]="Changed",ROUNDUP(MIN((1.08*(Table4[[#This Row],[Impact Sub Score]]+Table4[[#This Row],[Exploitability Sub Score]])),10),1),NA())))</f>
        <v>6.6</v>
      </c>
      <c r="V50" s="271" t="s">
        <v>54</v>
      </c>
      <c r="W50" s="270">
        <f>VLOOKUP(Table4[[#This Row],[Threat Event Initiation]],NIST_Scale_LOAI[],2,FALSE)</f>
        <v>0.5</v>
      </c>
      <c r="X50"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0"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0" s="240" t="s">
        <v>440</v>
      </c>
      <c r="AA50" s="244"/>
      <c r="AB50" s="273"/>
      <c r="AC50" s="244"/>
      <c r="AD50" s="244"/>
      <c r="AE50" s="244"/>
      <c r="AF50" s="268"/>
      <c r="AG50" s="268"/>
      <c r="AH50" s="268"/>
      <c r="AI50" s="268"/>
      <c r="AJ50" s="274"/>
      <c r="AK50"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70" t="e">
        <f>(1 - ((1 - VLOOKUP(Table4[[#This Row],[ConfidentialityP]],'Reference - CVSSv3.0'!$B$15:$C$17,2,FALSE)) * (1 - VLOOKUP(Table4[[#This Row],[IntegrityP]],'Reference - CVSSv3.0'!$B$15:$C$17,2,FALSE)) *  (1 - VLOOKUP(Table4[[#This Row],[AvailabilityP]],'Reference - CVSSv3.0'!$B$15:$C$17,2,FALSE))))</f>
        <v>#N/A</v>
      </c>
      <c r="AM50" s="270" t="e">
        <f>IF(Table4[[#This Row],[ScopeP]]="Unchanged",6.42*Table4[[#This Row],[ISC BaseP]],IF(Table4[[#This Row],[ScopeP]]="Changed",7.52*(Table4[[#This Row],[ISC BaseP]] - 0.029) - 3.25 * POWER(Table4[[#This Row],[ISC BaseP]] - 0.02,15),NA()))</f>
        <v>#N/A</v>
      </c>
      <c r="AN50"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44"/>
    </row>
    <row r="51" spans="1:43" ht="70" x14ac:dyDescent="0.35">
      <c r="A51" s="276">
        <v>51</v>
      </c>
      <c r="B51" s="244" t="s">
        <v>383</v>
      </c>
      <c r="C51" s="266" t="str">
        <f>IF(VLOOKUP(Table4[[#This Row],[T ID]],Table5[#All],5,FALSE)="No","Not in scope",VLOOKUP(Table4[[#This Row],[T ID]],Table5[#All],2,FALSE))</f>
        <v>Outdated cryptographic components &amp; techniques</v>
      </c>
      <c r="D51" s="244" t="s">
        <v>149</v>
      </c>
      <c r="E51" s="266" t="str">
        <f>IF(VLOOKUP(Table4[[#This Row],[V ID]],Vulnerabilities[#All],3,FALSE)="No","Not in scope",VLOOKUP(Table4[[#This Row],[V ID]],Vulnerabilities[#All],2,FALSE))</f>
        <v>Unencrypted ePHI at rest</v>
      </c>
      <c r="F51" s="267" t="s">
        <v>330</v>
      </c>
      <c r="G51" s="266" t="str">
        <f>VLOOKUP(Table4[[#This Row],[A ID]],Assets[#All],3,FALSE)</f>
        <v>THOR Knee Intra-op Application</v>
      </c>
      <c r="H51" s="279" t="s">
        <v>498</v>
      </c>
      <c r="I51" s="244"/>
      <c r="J51" s="306" t="s">
        <v>64</v>
      </c>
      <c r="K51" s="306" t="s">
        <v>55</v>
      </c>
      <c r="L51" s="306" t="s">
        <v>55</v>
      </c>
      <c r="M51" s="268" t="s">
        <v>78</v>
      </c>
      <c r="N51" s="268" t="s">
        <v>55</v>
      </c>
      <c r="O51" s="268" t="s">
        <v>55</v>
      </c>
      <c r="P51" s="87" t="s">
        <v>76</v>
      </c>
      <c r="Q51" s="268" t="s">
        <v>73</v>
      </c>
      <c r="R51"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70">
        <f>(1 - ((1 - VLOOKUP(Table4[[#This Row],[Confidentiality]],'Reference - CVSSv3.0'!$B$15:$C$17,2,FALSE)) * (1 - VLOOKUP(Table4[[#This Row],[Integrity]],'Reference - CVSSv3.0'!$B$15:$C$17,2,FALSE)) *  (1 - VLOOKUP(Table4[[#This Row],[Availability]],'Reference - CVSSv3.0'!$B$15:$C$17,2,FALSE))))</f>
        <v>0.73230400000000007</v>
      </c>
      <c r="T51" s="270">
        <f>IF(Table4[[#This Row],[Scope]]="Unchanged",6.42*Table4[[#This Row],[ISC Base]],IF(Table4[[#This Row],[Scope]]="Changed",7.52*(Table4[[#This Row],[ISC Base]] - 0.029) - 3.25 * POWER(Table4[[#This Row],[ISC Base]] - 0.02,15),NA()))</f>
        <v>4.7013916800000004</v>
      </c>
      <c r="U51" s="270">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71" t="s">
        <v>54</v>
      </c>
      <c r="W51" s="270">
        <f>VLOOKUP(Table4[[#This Row],[Threat Event Initiation]],NIST_Scale_LOAI[],2,FALSE)</f>
        <v>0.5</v>
      </c>
      <c r="X51"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79" t="s">
        <v>440</v>
      </c>
      <c r="AA51" s="244"/>
      <c r="AB51" s="273"/>
      <c r="AC51" s="244"/>
      <c r="AD51" s="244"/>
      <c r="AE51" s="244"/>
      <c r="AF51" s="268"/>
      <c r="AG51" s="268"/>
      <c r="AH51" s="268"/>
      <c r="AI51" s="268"/>
      <c r="AJ51" s="274"/>
      <c r="AK51"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70" t="e">
        <f>(1 - ((1 - VLOOKUP(Table4[[#This Row],[ConfidentialityP]],'Reference - CVSSv3.0'!$B$15:$C$17,2,FALSE)) * (1 - VLOOKUP(Table4[[#This Row],[IntegrityP]],'Reference - CVSSv3.0'!$B$15:$C$17,2,FALSE)) *  (1 - VLOOKUP(Table4[[#This Row],[AvailabilityP]],'Reference - CVSSv3.0'!$B$15:$C$17,2,FALSE))))</f>
        <v>#N/A</v>
      </c>
      <c r="AM51" s="270" t="e">
        <f>IF(Table4[[#This Row],[ScopeP]]="Unchanged",6.42*Table4[[#This Row],[ISC BaseP]],IF(Table4[[#This Row],[ScopeP]]="Changed",7.52*(Table4[[#This Row],[ISC BaseP]] - 0.029) - 3.25 * POWER(Table4[[#This Row],[ISC BaseP]] - 0.02,15),NA()))</f>
        <v>#N/A</v>
      </c>
      <c r="AN51"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44"/>
    </row>
    <row r="52" spans="1:43" ht="70" x14ac:dyDescent="0.35">
      <c r="A52" s="276">
        <v>52</v>
      </c>
      <c r="B52" s="244" t="s">
        <v>383</v>
      </c>
      <c r="C52" s="266" t="str">
        <f>IF(VLOOKUP(Table4[[#This Row],[T ID]],Table5[#All],5,FALSE)="No","Not in scope",VLOOKUP(Table4[[#This Row],[T ID]],Table5[#All],2,FALSE))</f>
        <v>Outdated cryptographic components &amp; techniques</v>
      </c>
      <c r="D52" s="244" t="s">
        <v>341</v>
      </c>
      <c r="E52" s="266" t="str">
        <f>IF(VLOOKUP(Table4[[#This Row],[V ID]],Vulnerabilities[#All],3,FALSE)="No","Not in scope",VLOOKUP(Table4[[#This Row],[V ID]],Vulnerabilities[#All],2,FALSE))</f>
        <v>Insecure Storage of Sensitive Information by application</v>
      </c>
      <c r="F52" s="267" t="s">
        <v>109</v>
      </c>
      <c r="G52" s="266" t="str">
        <f>VLOOKUP(Table4[[#This Row],[A ID]],Assets[#All],3,FALSE)</f>
        <v>Patient health information at rest</v>
      </c>
      <c r="H52" s="279" t="s">
        <v>498</v>
      </c>
      <c r="I52" s="244"/>
      <c r="J52" s="306" t="s">
        <v>64</v>
      </c>
      <c r="K52" s="306" t="s">
        <v>55</v>
      </c>
      <c r="L52" s="306" t="s">
        <v>55</v>
      </c>
      <c r="M52" s="268" t="s">
        <v>78</v>
      </c>
      <c r="N52" s="268" t="s">
        <v>55</v>
      </c>
      <c r="O52" s="268" t="s">
        <v>55</v>
      </c>
      <c r="P52" s="87" t="s">
        <v>76</v>
      </c>
      <c r="Q52" s="268" t="s">
        <v>73</v>
      </c>
      <c r="R52"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70">
        <f>(1 - ((1 - VLOOKUP(Table4[[#This Row],[Confidentiality]],'Reference - CVSSv3.0'!$B$15:$C$17,2,FALSE)) * (1 - VLOOKUP(Table4[[#This Row],[Integrity]],'Reference - CVSSv3.0'!$B$15:$C$17,2,FALSE)) *  (1 - VLOOKUP(Table4[[#This Row],[Availability]],'Reference - CVSSv3.0'!$B$15:$C$17,2,FALSE))))</f>
        <v>0.73230400000000007</v>
      </c>
      <c r="T52" s="270">
        <f>IF(Table4[[#This Row],[Scope]]="Unchanged",6.42*Table4[[#This Row],[ISC Base]],IF(Table4[[#This Row],[Scope]]="Changed",7.52*(Table4[[#This Row],[ISC Base]] - 0.029) - 3.25 * POWER(Table4[[#This Row],[ISC Base]] - 0.02,15),NA()))</f>
        <v>4.7013916800000004</v>
      </c>
      <c r="U52" s="270">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71" t="s">
        <v>54</v>
      </c>
      <c r="W52" s="270">
        <f>VLOOKUP(Table4[[#This Row],[Threat Event Initiation]],NIST_Scale_LOAI[],2,FALSE)</f>
        <v>0.5</v>
      </c>
      <c r="X52"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79" t="s">
        <v>440</v>
      </c>
      <c r="AA52" s="244"/>
      <c r="AB52" s="273"/>
      <c r="AC52" s="244"/>
      <c r="AD52" s="244"/>
      <c r="AE52" s="244"/>
      <c r="AF52" s="268"/>
      <c r="AG52" s="268"/>
      <c r="AH52" s="268"/>
      <c r="AI52" s="268"/>
      <c r="AJ52" s="274"/>
      <c r="AK52"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70" t="e">
        <f>(1 - ((1 - VLOOKUP(Table4[[#This Row],[ConfidentialityP]],'Reference - CVSSv3.0'!$B$15:$C$17,2,FALSE)) * (1 - VLOOKUP(Table4[[#This Row],[IntegrityP]],'Reference - CVSSv3.0'!$B$15:$C$17,2,FALSE)) *  (1 - VLOOKUP(Table4[[#This Row],[AvailabilityP]],'Reference - CVSSv3.0'!$B$15:$C$17,2,FALSE))))</f>
        <v>#N/A</v>
      </c>
      <c r="AM52" s="270" t="e">
        <f>IF(Table4[[#This Row],[ScopeP]]="Unchanged",6.42*Table4[[#This Row],[ISC BaseP]],IF(Table4[[#This Row],[ScopeP]]="Changed",7.52*(Table4[[#This Row],[ISC BaseP]] - 0.029) - 3.25 * POWER(Table4[[#This Row],[ISC BaseP]] - 0.02,15),NA()))</f>
        <v>#N/A</v>
      </c>
      <c r="AN52"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44"/>
    </row>
    <row r="53" spans="1:43" ht="70" x14ac:dyDescent="0.35">
      <c r="A53" s="276">
        <v>53</v>
      </c>
      <c r="B53" s="244" t="s">
        <v>383</v>
      </c>
      <c r="C53" s="266" t="str">
        <f>IF(VLOOKUP(Table4[[#This Row],[T ID]],Table5[#All],5,FALSE)="No","Not in scope",VLOOKUP(Table4[[#This Row],[T ID]],Table5[#All],2,FALSE))</f>
        <v>Outdated cryptographic components &amp; techniques</v>
      </c>
      <c r="D53" s="244" t="s">
        <v>341</v>
      </c>
      <c r="E53" s="266" t="str">
        <f>IF(VLOOKUP(Table4[[#This Row],[V ID]],Vulnerabilities[#All],3,FALSE)="No","Not in scope",VLOOKUP(Table4[[#This Row],[V ID]],Vulnerabilities[#All],2,FALSE))</f>
        <v>Insecure Storage of Sensitive Information by application</v>
      </c>
      <c r="F53" s="267" t="s">
        <v>330</v>
      </c>
      <c r="G53" s="266" t="str">
        <f>VLOOKUP(Table4[[#This Row],[A ID]],Assets[#All],3,FALSE)</f>
        <v>THOR Knee Intra-op Application</v>
      </c>
      <c r="H53" s="279" t="s">
        <v>498</v>
      </c>
      <c r="I53" s="244"/>
      <c r="J53" s="306" t="s">
        <v>64</v>
      </c>
      <c r="K53" s="306" t="s">
        <v>55</v>
      </c>
      <c r="L53" s="306" t="s">
        <v>55</v>
      </c>
      <c r="M53" s="268" t="s">
        <v>78</v>
      </c>
      <c r="N53" s="268" t="s">
        <v>55</v>
      </c>
      <c r="O53" s="268" t="s">
        <v>55</v>
      </c>
      <c r="P53" s="87" t="s">
        <v>76</v>
      </c>
      <c r="Q53" s="268" t="s">
        <v>73</v>
      </c>
      <c r="R53"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70">
        <f>(1 - ((1 - VLOOKUP(Table4[[#This Row],[Confidentiality]],'Reference - CVSSv3.0'!$B$15:$C$17,2,FALSE)) * (1 - VLOOKUP(Table4[[#This Row],[Integrity]],'Reference - CVSSv3.0'!$B$15:$C$17,2,FALSE)) *  (1 - VLOOKUP(Table4[[#This Row],[Availability]],'Reference - CVSSv3.0'!$B$15:$C$17,2,FALSE))))</f>
        <v>0.73230400000000007</v>
      </c>
      <c r="T53" s="270">
        <f>IF(Table4[[#This Row],[Scope]]="Unchanged",6.42*Table4[[#This Row],[ISC Base]],IF(Table4[[#This Row],[Scope]]="Changed",7.52*(Table4[[#This Row],[ISC Base]] - 0.029) - 3.25 * POWER(Table4[[#This Row],[ISC Base]] - 0.02,15),NA()))</f>
        <v>4.7013916800000004</v>
      </c>
      <c r="U53" s="270">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71" t="s">
        <v>54</v>
      </c>
      <c r="W53" s="270">
        <f>VLOOKUP(Table4[[#This Row],[Threat Event Initiation]],NIST_Scale_LOAI[],2,FALSE)</f>
        <v>0.5</v>
      </c>
      <c r="X53"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79" t="s">
        <v>440</v>
      </c>
      <c r="AA53" s="244"/>
      <c r="AB53" s="273"/>
      <c r="AC53" s="244"/>
      <c r="AD53" s="244"/>
      <c r="AE53" s="244"/>
      <c r="AF53" s="268"/>
      <c r="AG53" s="268"/>
      <c r="AH53" s="268"/>
      <c r="AI53" s="268"/>
      <c r="AJ53" s="274"/>
      <c r="AK53"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70" t="e">
        <f>(1 - ((1 - VLOOKUP(Table4[[#This Row],[ConfidentialityP]],'Reference - CVSSv3.0'!$B$15:$C$17,2,FALSE)) * (1 - VLOOKUP(Table4[[#This Row],[IntegrityP]],'Reference - CVSSv3.0'!$B$15:$C$17,2,FALSE)) *  (1 - VLOOKUP(Table4[[#This Row],[AvailabilityP]],'Reference - CVSSv3.0'!$B$15:$C$17,2,FALSE))))</f>
        <v>#N/A</v>
      </c>
      <c r="AM53" s="270" t="e">
        <f>IF(Table4[[#This Row],[ScopeP]]="Unchanged",6.42*Table4[[#This Row],[ISC BaseP]],IF(Table4[[#This Row],[ScopeP]]="Changed",7.52*(Table4[[#This Row],[ISC BaseP]] - 0.029) - 3.25 * POWER(Table4[[#This Row],[ISC BaseP]] - 0.02,15),NA()))</f>
        <v>#N/A</v>
      </c>
      <c r="AN53"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44"/>
    </row>
    <row r="54" spans="1:43" ht="84" x14ac:dyDescent="0.35">
      <c r="A54" s="276">
        <v>54</v>
      </c>
      <c r="B54" s="244" t="s">
        <v>383</v>
      </c>
      <c r="C54" s="266" t="str">
        <f>IF(VLOOKUP(Table4[[#This Row],[T ID]],Table5[#All],5,FALSE)="No","Not in scope",VLOOKUP(Table4[[#This Row],[T ID]],Table5[#All],2,FALSE))</f>
        <v>Outdated cryptographic components &amp; techniques</v>
      </c>
      <c r="D54" s="244" t="s">
        <v>342</v>
      </c>
      <c r="E54" s="266" t="str">
        <f>IF(VLOOKUP(Table4[[#This Row],[V ID]],Vulnerabilities[#All],3,FALSE)="No","Not in scope",VLOOKUP(Table4[[#This Row],[V ID]],Vulnerabilities[#All],2,FALSE))</f>
        <v>Use of a Broken or Risky Cryptographic Algorithm or Inadequate encryption strength in Intra-op application</v>
      </c>
      <c r="F54" s="267" t="s">
        <v>109</v>
      </c>
      <c r="G54" s="266" t="str">
        <f>VLOOKUP(Table4[[#This Row],[A ID]],Assets[#All],3,FALSE)</f>
        <v>Patient health information at rest</v>
      </c>
      <c r="H54" s="279" t="s">
        <v>498</v>
      </c>
      <c r="I54" s="244"/>
      <c r="J54" s="306" t="s">
        <v>64</v>
      </c>
      <c r="K54" s="306" t="s">
        <v>55</v>
      </c>
      <c r="L54" s="306" t="s">
        <v>76</v>
      </c>
      <c r="M54" s="268" t="s">
        <v>78</v>
      </c>
      <c r="N54" s="268" t="s">
        <v>55</v>
      </c>
      <c r="O54" s="268" t="s">
        <v>55</v>
      </c>
      <c r="P54" s="87" t="s">
        <v>76</v>
      </c>
      <c r="Q54" s="268" t="s">
        <v>73</v>
      </c>
      <c r="R54"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70">
        <f>(1 - ((1 - VLOOKUP(Table4[[#This Row],[Confidentiality]],'Reference - CVSSv3.0'!$B$15:$C$17,2,FALSE)) * (1 - VLOOKUP(Table4[[#This Row],[Integrity]],'Reference - CVSSv3.0'!$B$15:$C$17,2,FALSE)) *  (1 - VLOOKUP(Table4[[#This Row],[Availability]],'Reference - CVSSv3.0'!$B$15:$C$17,2,FALSE))))</f>
        <v>0.65680000000000005</v>
      </c>
      <c r="T54" s="270">
        <f>IF(Table4[[#This Row],[Scope]]="Unchanged",6.42*Table4[[#This Row],[ISC Base]],IF(Table4[[#This Row],[Scope]]="Changed",7.52*(Table4[[#This Row],[ISC Base]] - 0.029) - 3.25 * POWER(Table4[[#This Row],[ISC Base]] - 0.02,15),NA()))</f>
        <v>4.2166560000000004</v>
      </c>
      <c r="U54"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54" s="271" t="s">
        <v>54</v>
      </c>
      <c r="W54" s="270">
        <f>VLOOKUP(Table4[[#This Row],[Threat Event Initiation]],NIST_Scale_LOAI[],2,FALSE)</f>
        <v>0.5</v>
      </c>
      <c r="X54"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4"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79" t="s">
        <v>440</v>
      </c>
      <c r="AA54" s="244"/>
      <c r="AB54" s="273"/>
      <c r="AC54" s="244"/>
      <c r="AD54" s="244"/>
      <c r="AE54" s="244"/>
      <c r="AF54" s="268"/>
      <c r="AG54" s="268"/>
      <c r="AH54" s="268"/>
      <c r="AI54" s="268"/>
      <c r="AJ54" s="274"/>
      <c r="AK54"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70" t="e">
        <f>(1 - ((1 - VLOOKUP(Table4[[#This Row],[ConfidentialityP]],'Reference - CVSSv3.0'!$B$15:$C$17,2,FALSE)) * (1 - VLOOKUP(Table4[[#This Row],[IntegrityP]],'Reference - CVSSv3.0'!$B$15:$C$17,2,FALSE)) *  (1 - VLOOKUP(Table4[[#This Row],[AvailabilityP]],'Reference - CVSSv3.0'!$B$15:$C$17,2,FALSE))))</f>
        <v>#N/A</v>
      </c>
      <c r="AM54" s="270" t="e">
        <f>IF(Table4[[#This Row],[ScopeP]]="Unchanged",6.42*Table4[[#This Row],[ISC BaseP]],IF(Table4[[#This Row],[ScopeP]]="Changed",7.52*(Table4[[#This Row],[ISC BaseP]] - 0.029) - 3.25 * POWER(Table4[[#This Row],[ISC BaseP]] - 0.02,15),NA()))</f>
        <v>#N/A</v>
      </c>
      <c r="AN54"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44"/>
    </row>
    <row r="55" spans="1:43" ht="84" x14ac:dyDescent="0.35">
      <c r="A55" s="276">
        <v>55</v>
      </c>
      <c r="B55" s="244" t="s">
        <v>383</v>
      </c>
      <c r="C55" s="266" t="str">
        <f>IF(VLOOKUP(Table4[[#This Row],[T ID]],Table5[#All],5,FALSE)="No","Not in scope",VLOOKUP(Table4[[#This Row],[T ID]],Table5[#All],2,FALSE))</f>
        <v>Outdated cryptographic components &amp; techniques</v>
      </c>
      <c r="D55" s="244" t="s">
        <v>342</v>
      </c>
      <c r="E55" s="266" t="str">
        <f>IF(VLOOKUP(Table4[[#This Row],[V ID]],Vulnerabilities[#All],3,FALSE)="No","Not in scope",VLOOKUP(Table4[[#This Row],[V ID]],Vulnerabilities[#All],2,FALSE))</f>
        <v>Use of a Broken or Risky Cryptographic Algorithm or Inadequate encryption strength in Intra-op application</v>
      </c>
      <c r="F55" s="267" t="s">
        <v>330</v>
      </c>
      <c r="G55" s="266" t="str">
        <f>VLOOKUP(Table4[[#This Row],[A ID]],Assets[#All],3,FALSE)</f>
        <v>THOR Knee Intra-op Application</v>
      </c>
      <c r="H55" s="279" t="s">
        <v>498</v>
      </c>
      <c r="I55" s="244"/>
      <c r="J55" s="306" t="s">
        <v>64</v>
      </c>
      <c r="K55" s="306" t="s">
        <v>55</v>
      </c>
      <c r="L55" s="306" t="s">
        <v>76</v>
      </c>
      <c r="M55" s="268" t="s">
        <v>78</v>
      </c>
      <c r="N55" s="268" t="s">
        <v>55</v>
      </c>
      <c r="O55" s="268" t="s">
        <v>55</v>
      </c>
      <c r="P55" s="87" t="s">
        <v>76</v>
      </c>
      <c r="Q55" s="268" t="s">
        <v>73</v>
      </c>
      <c r="R55"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70">
        <f>(1 - ((1 - VLOOKUP(Table4[[#This Row],[Confidentiality]],'Reference - CVSSv3.0'!$B$15:$C$17,2,FALSE)) * (1 - VLOOKUP(Table4[[#This Row],[Integrity]],'Reference - CVSSv3.0'!$B$15:$C$17,2,FALSE)) *  (1 - VLOOKUP(Table4[[#This Row],[Availability]],'Reference - CVSSv3.0'!$B$15:$C$17,2,FALSE))))</f>
        <v>0.65680000000000005</v>
      </c>
      <c r="T55" s="270">
        <f>IF(Table4[[#This Row],[Scope]]="Unchanged",6.42*Table4[[#This Row],[ISC Base]],IF(Table4[[#This Row],[Scope]]="Changed",7.52*(Table4[[#This Row],[ISC Base]] - 0.029) - 3.25 * POWER(Table4[[#This Row],[ISC Base]] - 0.02,15),NA()))</f>
        <v>4.2166560000000004</v>
      </c>
      <c r="U55"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71" t="s">
        <v>54</v>
      </c>
      <c r="W55" s="270">
        <f>VLOOKUP(Table4[[#This Row],[Threat Event Initiation]],NIST_Scale_LOAI[],2,FALSE)</f>
        <v>0.5</v>
      </c>
      <c r="X55"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79" t="s">
        <v>440</v>
      </c>
      <c r="AA55" s="244"/>
      <c r="AB55" s="273"/>
      <c r="AC55" s="244"/>
      <c r="AD55" s="244"/>
      <c r="AE55" s="244"/>
      <c r="AF55" s="268"/>
      <c r="AG55" s="268"/>
      <c r="AH55" s="268"/>
      <c r="AI55" s="268"/>
      <c r="AJ55" s="274"/>
      <c r="AK55"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70" t="e">
        <f>(1 - ((1 - VLOOKUP(Table4[[#This Row],[ConfidentialityP]],'Reference - CVSSv3.0'!$B$15:$C$17,2,FALSE)) * (1 - VLOOKUP(Table4[[#This Row],[IntegrityP]],'Reference - CVSSv3.0'!$B$15:$C$17,2,FALSE)) *  (1 - VLOOKUP(Table4[[#This Row],[AvailabilityP]],'Reference - CVSSv3.0'!$B$15:$C$17,2,FALSE))))</f>
        <v>#N/A</v>
      </c>
      <c r="AM55" s="270" t="e">
        <f>IF(Table4[[#This Row],[ScopeP]]="Unchanged",6.42*Table4[[#This Row],[ISC BaseP]],IF(Table4[[#This Row],[ScopeP]]="Changed",7.52*(Table4[[#This Row],[ISC BaseP]] - 0.029) - 3.25 * POWER(Table4[[#This Row],[ISC BaseP]] - 0.02,15),NA()))</f>
        <v>#N/A</v>
      </c>
      <c r="AN55"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44"/>
    </row>
    <row r="56" spans="1:43" ht="84" x14ac:dyDescent="0.35">
      <c r="A56" s="276">
        <v>56</v>
      </c>
      <c r="B56" s="244" t="s">
        <v>388</v>
      </c>
      <c r="C56" s="266" t="str">
        <f>IF(VLOOKUP(Table4[[#This Row],[T ID]],Table5[#All],5,FALSE)="No","Not in scope",VLOOKUP(Table4[[#This Row],[T ID]],Table5[#All],2,FALSE))</f>
        <v>Unauthorized access/modification of secure data</v>
      </c>
      <c r="D56" s="244" t="s">
        <v>345</v>
      </c>
      <c r="E56" s="266" t="str">
        <f>IF(VLOOKUP(Table4[[#This Row],[V ID]],Vulnerabilities[#All],3,FALSE)="No","Not in scope",VLOOKUP(Table4[[#This Row],[V ID]],Vulnerabilities[#All],2,FALSE))</f>
        <v>Unauthorized Audit Log Manipulation, Log Injection-Tampering-Forging</v>
      </c>
      <c r="F56" s="267" t="s">
        <v>330</v>
      </c>
      <c r="G56" s="266" t="str">
        <f>VLOOKUP(Table4[[#This Row],[A ID]],Assets[#All],3,FALSE)</f>
        <v>THOR Knee Intra-op Application</v>
      </c>
      <c r="H56" s="279" t="s">
        <v>499</v>
      </c>
      <c r="I56" s="244"/>
      <c r="J56" s="306" t="s">
        <v>55</v>
      </c>
      <c r="K56" s="306" t="s">
        <v>64</v>
      </c>
      <c r="L56" s="306" t="s">
        <v>55</v>
      </c>
      <c r="M56" s="268" t="s">
        <v>78</v>
      </c>
      <c r="N56" s="268" t="s">
        <v>55</v>
      </c>
      <c r="O56" s="268" t="s">
        <v>64</v>
      </c>
      <c r="P56" s="87" t="s">
        <v>76</v>
      </c>
      <c r="Q56" s="268" t="s">
        <v>73</v>
      </c>
      <c r="R56"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6" s="270">
        <f>(1 - ((1 - VLOOKUP(Table4[[#This Row],[Confidentiality]],'Reference - CVSSv3.0'!$B$15:$C$17,2,FALSE)) * (1 - VLOOKUP(Table4[[#This Row],[Integrity]],'Reference - CVSSv3.0'!$B$15:$C$17,2,FALSE)) *  (1 - VLOOKUP(Table4[[#This Row],[Availability]],'Reference - CVSSv3.0'!$B$15:$C$17,2,FALSE))))</f>
        <v>0.73230400000000007</v>
      </c>
      <c r="T56" s="270">
        <f>IF(Table4[[#This Row],[Scope]]="Unchanged",6.42*Table4[[#This Row],[ISC Base]],IF(Table4[[#This Row],[Scope]]="Changed",7.52*(Table4[[#This Row],[ISC Base]] - 0.029) - 3.25 * POWER(Table4[[#This Row],[ISC Base]] - 0.02,15),NA()))</f>
        <v>4.7013916800000004</v>
      </c>
      <c r="U56" s="270">
        <f>IF(Table4[[#This Row],[Impact Sub Score]]&lt;=0,0,IF(Table4[[#This Row],[Scope]]="Unchanged",ROUNDUP(MIN((Table4[[#This Row],[Impact Sub Score]]+Table4[[#This Row],[Exploitability Sub Score]]),10),1),IF(Table4[[#This Row],[Scope]]="Changed",ROUNDUP(MIN((1.08*(Table4[[#This Row],[Impact Sub Score]]+Table4[[#This Row],[Exploitability Sub Score]])),10),1),NA())))</f>
        <v>5.6</v>
      </c>
      <c r="V56" s="271" t="s">
        <v>55</v>
      </c>
      <c r="W56" s="270">
        <f>VLOOKUP(Table4[[#This Row],[Threat Event Initiation]],NIST_Scale_LOAI[],2,FALSE)</f>
        <v>0.2</v>
      </c>
      <c r="X56"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6"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40" t="s">
        <v>443</v>
      </c>
      <c r="AA56" s="244"/>
      <c r="AB56" s="273"/>
      <c r="AC56" s="244"/>
      <c r="AD56" s="244"/>
      <c r="AE56" s="244"/>
      <c r="AF56" s="268"/>
      <c r="AG56" s="268"/>
      <c r="AH56" s="268"/>
      <c r="AI56" s="268"/>
      <c r="AJ56" s="274"/>
      <c r="AK56"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70" t="e">
        <f>(1 - ((1 - VLOOKUP(Table4[[#This Row],[ConfidentialityP]],'Reference - CVSSv3.0'!$B$15:$C$17,2,FALSE)) * (1 - VLOOKUP(Table4[[#This Row],[IntegrityP]],'Reference - CVSSv3.0'!$B$15:$C$17,2,FALSE)) *  (1 - VLOOKUP(Table4[[#This Row],[AvailabilityP]],'Reference - CVSSv3.0'!$B$15:$C$17,2,FALSE))))</f>
        <v>#N/A</v>
      </c>
      <c r="AM56" s="270" t="e">
        <f>IF(Table4[[#This Row],[ScopeP]]="Unchanged",6.42*Table4[[#This Row],[ISC BaseP]],IF(Table4[[#This Row],[ScopeP]]="Changed",7.52*(Table4[[#This Row],[ISC BaseP]] - 0.029) - 3.25 * POWER(Table4[[#This Row],[ISC BaseP]] - 0.02,15),NA()))</f>
        <v>#N/A</v>
      </c>
      <c r="AN56"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44"/>
    </row>
    <row r="57" spans="1:43" ht="70" x14ac:dyDescent="0.35">
      <c r="A57" s="304">
        <v>57</v>
      </c>
      <c r="B57" s="264" t="s">
        <v>459</v>
      </c>
      <c r="C57" s="293" t="str">
        <f>IF(VLOOKUP(Table4[[#This Row],[T ID]],Table5[#All],5,FALSE)="No","Not in scope",VLOOKUP(Table4[[#This Row],[T ID]],Table5[#All],2,FALSE))</f>
        <v>Risk of using windows 8.1</v>
      </c>
      <c r="D57" s="264" t="s">
        <v>447</v>
      </c>
      <c r="E57" s="293" t="str">
        <f>IF(VLOOKUP(Table4[[#This Row],[V ID]],Vulnerabilities[#All],3,FALSE)="No","Not in scope",VLOOKUP(Table4[[#This Row],[V ID]],Vulnerabilities[#All],2,FALSE))</f>
        <v>Unsupported OS from vendor</v>
      </c>
      <c r="F57" s="294" t="s">
        <v>106</v>
      </c>
      <c r="G57" s="293" t="str">
        <f>VLOOKUP(Table4[[#This Row],[A ID]],Assets[#All],3,FALSE)</f>
        <v>Nav3i cart/ System running with windows 8.1</v>
      </c>
      <c r="H57" s="279" t="s">
        <v>500</v>
      </c>
      <c r="I57" s="264"/>
      <c r="J57" s="307" t="s">
        <v>76</v>
      </c>
      <c r="K57" s="307" t="s">
        <v>55</v>
      </c>
      <c r="L57" s="307" t="s">
        <v>64</v>
      </c>
      <c r="M57" s="295" t="s">
        <v>78</v>
      </c>
      <c r="N57" s="295" t="s">
        <v>55</v>
      </c>
      <c r="O57" s="295" t="s">
        <v>55</v>
      </c>
      <c r="P57" s="295" t="s">
        <v>76</v>
      </c>
      <c r="Q57" s="295" t="s">
        <v>73</v>
      </c>
      <c r="R57" s="2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7" s="297">
        <f>(1 - ((1 - VLOOKUP(Table4[[#This Row],[Confidentiality]],'Reference - CVSSv3.0'!$B$15:$C$17,2,FALSE)) * (1 - VLOOKUP(Table4[[#This Row],[Integrity]],'Reference - CVSSv3.0'!$B$15:$C$17,2,FALSE)) *  (1 - VLOOKUP(Table4[[#This Row],[Availability]],'Reference - CVSSv3.0'!$B$15:$C$17,2,FALSE))))</f>
        <v>0.65680000000000005</v>
      </c>
      <c r="T57" s="297">
        <f>IF(Table4[[#This Row],[Scope]]="Unchanged",6.42*Table4[[#This Row],[ISC Base]],IF(Table4[[#This Row],[Scope]]="Changed",7.52*(Table4[[#This Row],[ISC Base]] - 0.029) - 3.25 * POWER(Table4[[#This Row],[ISC Base]] - 0.02,15),NA()))</f>
        <v>4.2166560000000004</v>
      </c>
      <c r="U57" s="297">
        <f>IF(Table4[[#This Row],[Impact Sub Score]]&lt;=0,0,IF(Table4[[#This Row],[Scope]]="Unchanged",ROUNDUP(MIN((Table4[[#This Row],[Impact Sub Score]]+Table4[[#This Row],[Exploitability Sub Score]]),10),1),IF(Table4[[#This Row],[Scope]]="Changed",ROUNDUP(MIN((1.08*(Table4[[#This Row],[Impact Sub Score]]+Table4[[#This Row],[Exploitability Sub Score]])),10),1),NA())))</f>
        <v>6.1</v>
      </c>
      <c r="V57" s="298" t="s">
        <v>54</v>
      </c>
      <c r="W57" s="297">
        <f>VLOOKUP(Table4[[#This Row],[Threat Event Initiation]],NIST_Scale_LOAI[],2,FALSE)</f>
        <v>0.5</v>
      </c>
      <c r="X57" s="29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7" s="2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55" t="s">
        <v>472</v>
      </c>
      <c r="AA57" s="264"/>
      <c r="AB57" s="300"/>
      <c r="AC57" s="264"/>
      <c r="AD57" s="264"/>
      <c r="AE57" s="264"/>
      <c r="AF57" s="295"/>
      <c r="AG57" s="295"/>
      <c r="AH57" s="295"/>
      <c r="AI57" s="295"/>
      <c r="AJ57" s="301"/>
      <c r="AK57" s="29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97" t="e">
        <f>(1 - ((1 - VLOOKUP(Table4[[#This Row],[ConfidentialityP]],'Reference - CVSSv3.0'!$B$15:$C$17,2,FALSE)) * (1 - VLOOKUP(Table4[[#This Row],[IntegrityP]],'Reference - CVSSv3.0'!$B$15:$C$17,2,FALSE)) *  (1 - VLOOKUP(Table4[[#This Row],[AvailabilityP]],'Reference - CVSSv3.0'!$B$15:$C$17,2,FALSE))))</f>
        <v>#N/A</v>
      </c>
      <c r="AM57" s="297" t="e">
        <f>IF(Table4[[#This Row],[ScopeP]]="Unchanged",6.42*Table4[[#This Row],[ISC BaseP]],IF(Table4[[#This Row],[ScopeP]]="Changed",7.52*(Table4[[#This Row],[ISC BaseP]] - 0.029) - 3.25 * POWER(Table4[[#This Row],[ISC BaseP]] - 0.02,15),NA()))</f>
        <v>#N/A</v>
      </c>
      <c r="AN57" s="29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9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3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64"/>
    </row>
    <row r="58" spans="1:43" ht="70" x14ac:dyDescent="0.35">
      <c r="A58" s="305">
        <v>58</v>
      </c>
      <c r="B58" s="262" t="s">
        <v>459</v>
      </c>
      <c r="C58" s="284" t="str">
        <f>IF(VLOOKUP(Table4[[#This Row],[T ID]],Table5[#All],5,FALSE)="No","Not in scope",VLOOKUP(Table4[[#This Row],[T ID]],Table5[#All],2,FALSE))</f>
        <v>Risk of using windows 8.1</v>
      </c>
      <c r="D58" s="262" t="s">
        <v>448</v>
      </c>
      <c r="E58" s="284" t="str">
        <f>IF(VLOOKUP(Table4[[#This Row],[V ID]],Vulnerabilities[#All],3,FALSE)="No","Not in scope",VLOOKUP(Table4[[#This Row],[V ID]],Vulnerabilities[#All],2,FALSE))</f>
        <v xml:space="preserve">Unavailability of support from 3rd party tools for outdated OS </v>
      </c>
      <c r="F58" s="285" t="s">
        <v>106</v>
      </c>
      <c r="G58" s="284" t="str">
        <f>VLOOKUP(Table4[[#This Row],[A ID]],Assets[#All],3,FALSE)</f>
        <v>Nav3i cart/ System running with windows 8.1</v>
      </c>
      <c r="H58" s="279" t="s">
        <v>500</v>
      </c>
      <c r="I58" s="262"/>
      <c r="J58" s="307" t="s">
        <v>76</v>
      </c>
      <c r="K58" s="307" t="s">
        <v>55</v>
      </c>
      <c r="L58" s="307" t="s">
        <v>64</v>
      </c>
      <c r="M58" s="295" t="s">
        <v>78</v>
      </c>
      <c r="N58" s="295" t="s">
        <v>55</v>
      </c>
      <c r="O58" s="295" t="s">
        <v>55</v>
      </c>
      <c r="P58" s="295" t="s">
        <v>76</v>
      </c>
      <c r="Q58" s="295" t="s">
        <v>73</v>
      </c>
      <c r="R58" s="28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88">
        <f>(1 - ((1 - VLOOKUP(Table4[[#This Row],[Confidentiality]],'Reference - CVSSv3.0'!$B$15:$C$17,2,FALSE)) * (1 - VLOOKUP(Table4[[#This Row],[Integrity]],'Reference - CVSSv3.0'!$B$15:$C$17,2,FALSE)) *  (1 - VLOOKUP(Table4[[#This Row],[Availability]],'Reference - CVSSv3.0'!$B$15:$C$17,2,FALSE))))</f>
        <v>0.65680000000000005</v>
      </c>
      <c r="T58" s="288">
        <f>IF(Table4[[#This Row],[Scope]]="Unchanged",6.42*Table4[[#This Row],[ISC Base]],IF(Table4[[#This Row],[Scope]]="Changed",7.52*(Table4[[#This Row],[ISC Base]] - 0.029) - 3.25 * POWER(Table4[[#This Row],[ISC Base]] - 0.02,15),NA()))</f>
        <v>4.2166560000000004</v>
      </c>
      <c r="U58" s="288">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98" t="s">
        <v>54</v>
      </c>
      <c r="W58" s="288">
        <f>VLOOKUP(Table4[[#This Row],[Threat Event Initiation]],NIST_Scale_LOAI[],2,FALSE)</f>
        <v>0.5</v>
      </c>
      <c r="X58" s="28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54" t="s">
        <v>474</v>
      </c>
      <c r="AA58" s="262"/>
      <c r="AB58" s="290"/>
      <c r="AC58" s="262"/>
      <c r="AD58" s="262"/>
      <c r="AE58" s="262"/>
      <c r="AF58" s="286"/>
      <c r="AG58" s="286"/>
      <c r="AH58" s="286"/>
      <c r="AI58" s="286"/>
      <c r="AJ58" s="291"/>
      <c r="AK58" s="28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88" t="e">
        <f>(1 - ((1 - VLOOKUP(Table4[[#This Row],[ConfidentialityP]],'Reference - CVSSv3.0'!$B$15:$C$17,2,FALSE)) * (1 - VLOOKUP(Table4[[#This Row],[IntegrityP]],'Reference - CVSSv3.0'!$B$15:$C$17,2,FALSE)) *  (1 - VLOOKUP(Table4[[#This Row],[AvailabilityP]],'Reference - CVSSv3.0'!$B$15:$C$17,2,FALSE))))</f>
        <v>#N/A</v>
      </c>
      <c r="AM58" s="288" t="e">
        <f>IF(Table4[[#This Row],[ScopeP]]="Unchanged",6.42*Table4[[#This Row],[ISC BaseP]],IF(Table4[[#This Row],[ScopeP]]="Changed",7.52*(Table4[[#This Row],[ISC BaseP]] - 0.029) - 3.25 * POWER(Table4[[#This Row],[ISC BaseP]] - 0.02,15),NA()))</f>
        <v>#N/A</v>
      </c>
      <c r="AN58" s="28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8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62"/>
    </row>
    <row r="59" spans="1:43" ht="84" x14ac:dyDescent="0.35">
      <c r="A59" s="305">
        <v>59</v>
      </c>
      <c r="B59" s="262" t="s">
        <v>459</v>
      </c>
      <c r="C59" s="284" t="str">
        <f>IF(VLOOKUP(Table4[[#This Row],[T ID]],Table5[#All],5,FALSE)="No","Not in scope",VLOOKUP(Table4[[#This Row],[T ID]],Table5[#All],2,FALSE))</f>
        <v>Risk of using windows 8.1</v>
      </c>
      <c r="D59" s="262" t="s">
        <v>449</v>
      </c>
      <c r="E59" s="284" t="str">
        <f>IF(VLOOKUP(Table4[[#This Row],[V ID]],Vulnerabilities[#All],3,FALSE)="No","Not in scope",VLOOKUP(Table4[[#This Row],[V ID]],Vulnerabilities[#All],2,FALSE))</f>
        <v>OS Security tools from vendor not getting updated</v>
      </c>
      <c r="F59" s="285" t="s">
        <v>106</v>
      </c>
      <c r="G59" s="284" t="str">
        <f>VLOOKUP(Table4[[#This Row],[A ID]],Assets[#All],3,FALSE)</f>
        <v>Nav3i cart/ System running with windows 8.1</v>
      </c>
      <c r="H59" s="279" t="s">
        <v>500</v>
      </c>
      <c r="I59" s="262"/>
      <c r="J59" s="307" t="s">
        <v>76</v>
      </c>
      <c r="K59" s="307" t="s">
        <v>55</v>
      </c>
      <c r="L59" s="307" t="s">
        <v>64</v>
      </c>
      <c r="M59" s="295" t="s">
        <v>78</v>
      </c>
      <c r="N59" s="295" t="s">
        <v>55</v>
      </c>
      <c r="O59" s="295" t="s">
        <v>55</v>
      </c>
      <c r="P59" s="295" t="s">
        <v>76</v>
      </c>
      <c r="Q59" s="295" t="s">
        <v>73</v>
      </c>
      <c r="R59" s="28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88">
        <f>(1 - ((1 - VLOOKUP(Table4[[#This Row],[Confidentiality]],'Reference - CVSSv3.0'!$B$15:$C$17,2,FALSE)) * (1 - VLOOKUP(Table4[[#This Row],[Integrity]],'Reference - CVSSv3.0'!$B$15:$C$17,2,FALSE)) *  (1 - VLOOKUP(Table4[[#This Row],[Availability]],'Reference - CVSSv3.0'!$B$15:$C$17,2,FALSE))))</f>
        <v>0.65680000000000005</v>
      </c>
      <c r="T59" s="288">
        <f>IF(Table4[[#This Row],[Scope]]="Unchanged",6.42*Table4[[#This Row],[ISC Base]],IF(Table4[[#This Row],[Scope]]="Changed",7.52*(Table4[[#This Row],[ISC Base]] - 0.029) - 3.25 * POWER(Table4[[#This Row],[ISC Base]] - 0.02,15),NA()))</f>
        <v>4.2166560000000004</v>
      </c>
      <c r="U59" s="288">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98" t="s">
        <v>54</v>
      </c>
      <c r="W59" s="288">
        <f>VLOOKUP(Table4[[#This Row],[Threat Event Initiation]],NIST_Scale_LOAI[],2,FALSE)</f>
        <v>0.5</v>
      </c>
      <c r="X59" s="28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254" t="s">
        <v>475</v>
      </c>
      <c r="AA59" s="262"/>
      <c r="AB59" s="290"/>
      <c r="AC59" s="262"/>
      <c r="AD59" s="262"/>
      <c r="AE59" s="262"/>
      <c r="AF59" s="286"/>
      <c r="AG59" s="286"/>
      <c r="AH59" s="286"/>
      <c r="AI59" s="286"/>
      <c r="AJ59" s="291"/>
      <c r="AK59" s="28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88" t="e">
        <f>(1 - ((1 - VLOOKUP(Table4[[#This Row],[ConfidentialityP]],'Reference - CVSSv3.0'!$B$15:$C$17,2,FALSE)) * (1 - VLOOKUP(Table4[[#This Row],[IntegrityP]],'Reference - CVSSv3.0'!$B$15:$C$17,2,FALSE)) *  (1 - VLOOKUP(Table4[[#This Row],[AvailabilityP]],'Reference - CVSSv3.0'!$B$15:$C$17,2,FALSE))))</f>
        <v>#N/A</v>
      </c>
      <c r="AM59" s="288" t="e">
        <f>IF(Table4[[#This Row],[ScopeP]]="Unchanged",6.42*Table4[[#This Row],[ISC BaseP]],IF(Table4[[#This Row],[ScopeP]]="Changed",7.52*(Table4[[#This Row],[ISC BaseP]] - 0.029) - 3.25 * POWER(Table4[[#This Row],[ISC BaseP]] - 0.02,15),NA()))</f>
        <v>#N/A</v>
      </c>
      <c r="AN59" s="28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8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62"/>
    </row>
    <row r="60" spans="1:43" ht="84" x14ac:dyDescent="0.35">
      <c r="A60" s="305">
        <v>60</v>
      </c>
      <c r="B60" s="262" t="s">
        <v>459</v>
      </c>
      <c r="C60" s="284" t="str">
        <f>IF(VLOOKUP(Table4[[#This Row],[T ID]],Table5[#All],5,FALSE)="No","Not in scope",VLOOKUP(Table4[[#This Row],[T ID]],Table5[#All],2,FALSE))</f>
        <v>Risk of using windows 8.1</v>
      </c>
      <c r="D60" s="262" t="s">
        <v>452</v>
      </c>
      <c r="E60" s="284" t="str">
        <f>IF(VLOOKUP(Table4[[#This Row],[V ID]],Vulnerabilities[#All],3,FALSE)="No","Not in scope",VLOOKUP(Table4[[#This Row],[V ID]],Vulnerabilities[#All],2,FALSE))</f>
        <v>Absence of periodic backup plan</v>
      </c>
      <c r="F60" s="285" t="s">
        <v>106</v>
      </c>
      <c r="G60" s="284" t="str">
        <f>VLOOKUP(Table4[[#This Row],[A ID]],Assets[#All],3,FALSE)</f>
        <v>Nav3i cart/ System running with windows 8.1</v>
      </c>
      <c r="H60" s="279" t="s">
        <v>500</v>
      </c>
      <c r="I60" s="262"/>
      <c r="J60" s="307" t="s">
        <v>76</v>
      </c>
      <c r="K60" s="307" t="s">
        <v>55</v>
      </c>
      <c r="L60" s="307" t="s">
        <v>64</v>
      </c>
      <c r="M60" s="295" t="s">
        <v>78</v>
      </c>
      <c r="N60" s="295" t="s">
        <v>55</v>
      </c>
      <c r="O60" s="295" t="s">
        <v>55</v>
      </c>
      <c r="P60" s="295" t="s">
        <v>76</v>
      </c>
      <c r="Q60" s="295" t="s">
        <v>73</v>
      </c>
      <c r="R60" s="28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88">
        <f>(1 - ((1 - VLOOKUP(Table4[[#This Row],[Confidentiality]],'Reference - CVSSv3.0'!$B$15:$C$17,2,FALSE)) * (1 - VLOOKUP(Table4[[#This Row],[Integrity]],'Reference - CVSSv3.0'!$B$15:$C$17,2,FALSE)) *  (1 - VLOOKUP(Table4[[#This Row],[Availability]],'Reference - CVSSv3.0'!$B$15:$C$17,2,FALSE))))</f>
        <v>0.65680000000000005</v>
      </c>
      <c r="T60" s="288">
        <f>IF(Table4[[#This Row],[Scope]]="Unchanged",6.42*Table4[[#This Row],[ISC Base]],IF(Table4[[#This Row],[Scope]]="Changed",7.52*(Table4[[#This Row],[ISC Base]] - 0.029) - 3.25 * POWER(Table4[[#This Row],[ISC Base]] - 0.02,15),NA()))</f>
        <v>4.2166560000000004</v>
      </c>
      <c r="U60" s="288">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98" t="s">
        <v>54</v>
      </c>
      <c r="W60" s="288">
        <f>VLOOKUP(Table4[[#This Row],[Threat Event Initiation]],NIST_Scale_LOAI[],2,FALSE)</f>
        <v>0.5</v>
      </c>
      <c r="X60" s="28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254" t="s">
        <v>477</v>
      </c>
      <c r="AA60" s="262"/>
      <c r="AB60" s="290"/>
      <c r="AC60" s="262"/>
      <c r="AD60" s="262"/>
      <c r="AE60" s="262"/>
      <c r="AF60" s="286"/>
      <c r="AG60" s="286"/>
      <c r="AH60" s="286"/>
      <c r="AI60" s="286"/>
      <c r="AJ60" s="291"/>
      <c r="AK60" s="28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88" t="e">
        <f>(1 - ((1 - VLOOKUP(Table4[[#This Row],[ConfidentialityP]],'Reference - CVSSv3.0'!$B$15:$C$17,2,FALSE)) * (1 - VLOOKUP(Table4[[#This Row],[IntegrityP]],'Reference - CVSSv3.0'!$B$15:$C$17,2,FALSE)) *  (1 - VLOOKUP(Table4[[#This Row],[AvailabilityP]],'Reference - CVSSv3.0'!$B$15:$C$17,2,FALSE))))</f>
        <v>#N/A</v>
      </c>
      <c r="AM60" s="288" t="e">
        <f>IF(Table4[[#This Row],[ScopeP]]="Unchanged",6.42*Table4[[#This Row],[ISC BaseP]],IF(Table4[[#This Row],[ScopeP]]="Changed",7.52*(Table4[[#This Row],[ISC BaseP]] - 0.029) - 3.25 * POWER(Table4[[#This Row],[ISC BaseP]] - 0.02,15),NA()))</f>
        <v>#N/A</v>
      </c>
      <c r="AN60" s="28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8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62"/>
    </row>
    <row r="61" spans="1:43" ht="126" x14ac:dyDescent="0.35">
      <c r="A61" s="305">
        <v>61</v>
      </c>
      <c r="B61" s="262" t="s">
        <v>459</v>
      </c>
      <c r="C61" s="284" t="str">
        <f>IF(VLOOKUP(Table4[[#This Row],[T ID]],Table5[#All],5,FALSE)="No","Not in scope",VLOOKUP(Table4[[#This Row],[T ID]],Table5[#All],2,FALSE))</f>
        <v>Risk of using windows 8.1</v>
      </c>
      <c r="D61" s="262" t="s">
        <v>456</v>
      </c>
      <c r="E61" s="284" t="str">
        <f>IF(VLOOKUP(Table4[[#This Row],[V ID]],Vulnerabilities[#All],3,FALSE)="No","Not in scope",VLOOKUP(Table4[[#This Row],[V ID]],Vulnerabilities[#All],2,FALSE))</f>
        <v>Corrupted OS and absence of restore points</v>
      </c>
      <c r="F61" s="285" t="s">
        <v>106</v>
      </c>
      <c r="G61" s="284" t="str">
        <f>VLOOKUP(Table4[[#This Row],[A ID]],Assets[#All],3,FALSE)</f>
        <v>Nav3i cart/ System running with windows 8.1</v>
      </c>
      <c r="H61" s="279" t="s">
        <v>500</v>
      </c>
      <c r="I61" s="262"/>
      <c r="J61" s="307" t="s">
        <v>76</v>
      </c>
      <c r="K61" s="307" t="s">
        <v>55</v>
      </c>
      <c r="L61" s="307" t="s">
        <v>64</v>
      </c>
      <c r="M61" s="295" t="s">
        <v>78</v>
      </c>
      <c r="N61" s="295" t="s">
        <v>55</v>
      </c>
      <c r="O61" s="295" t="s">
        <v>55</v>
      </c>
      <c r="P61" s="295" t="s">
        <v>76</v>
      </c>
      <c r="Q61" s="295" t="s">
        <v>73</v>
      </c>
      <c r="R61" s="28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88">
        <f>(1 - ((1 - VLOOKUP(Table4[[#This Row],[Confidentiality]],'Reference - CVSSv3.0'!$B$15:$C$17,2,FALSE)) * (1 - VLOOKUP(Table4[[#This Row],[Integrity]],'Reference - CVSSv3.0'!$B$15:$C$17,2,FALSE)) *  (1 - VLOOKUP(Table4[[#This Row],[Availability]],'Reference - CVSSv3.0'!$B$15:$C$17,2,FALSE))))</f>
        <v>0.65680000000000005</v>
      </c>
      <c r="T61" s="288">
        <f>IF(Table4[[#This Row],[Scope]]="Unchanged",6.42*Table4[[#This Row],[ISC Base]],IF(Table4[[#This Row],[Scope]]="Changed",7.52*(Table4[[#This Row],[ISC Base]] - 0.029) - 3.25 * POWER(Table4[[#This Row],[ISC Base]] - 0.02,15),NA()))</f>
        <v>4.2166560000000004</v>
      </c>
      <c r="U61" s="288">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98" t="s">
        <v>54</v>
      </c>
      <c r="W61" s="288">
        <f>VLOOKUP(Table4[[#This Row],[Threat Event Initiation]],NIST_Scale_LOAI[],2,FALSE)</f>
        <v>0.5</v>
      </c>
      <c r="X61" s="28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254" t="s">
        <v>476</v>
      </c>
      <c r="AA61" s="262"/>
      <c r="AB61" s="290"/>
      <c r="AC61" s="262"/>
      <c r="AD61" s="262"/>
      <c r="AE61" s="262"/>
      <c r="AF61" s="286"/>
      <c r="AG61" s="286"/>
      <c r="AH61" s="286"/>
      <c r="AI61" s="286"/>
      <c r="AJ61" s="291"/>
      <c r="AK61" s="28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88" t="e">
        <f>(1 - ((1 - VLOOKUP(Table4[[#This Row],[ConfidentialityP]],'Reference - CVSSv3.0'!$B$15:$C$17,2,FALSE)) * (1 - VLOOKUP(Table4[[#This Row],[IntegrityP]],'Reference - CVSSv3.0'!$B$15:$C$17,2,FALSE)) *  (1 - VLOOKUP(Table4[[#This Row],[AvailabilityP]],'Reference - CVSSv3.0'!$B$15:$C$17,2,FALSE))))</f>
        <v>#N/A</v>
      </c>
      <c r="AM61" s="288" t="e">
        <f>IF(Table4[[#This Row],[ScopeP]]="Unchanged",6.42*Table4[[#This Row],[ISC BaseP]],IF(Table4[[#This Row],[ScopeP]]="Changed",7.52*(Table4[[#This Row],[ISC BaseP]] - 0.029) - 3.25 * POWER(Table4[[#This Row],[ISC BaseP]] - 0.02,15),NA()))</f>
        <v>#N/A</v>
      </c>
      <c r="AN61" s="28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8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62"/>
    </row>
    <row r="62" spans="1:43" ht="56" x14ac:dyDescent="0.35">
      <c r="A62" s="304">
        <v>62</v>
      </c>
      <c r="B62" s="264" t="s">
        <v>459</v>
      </c>
      <c r="C62" s="293" t="str">
        <f>IF(VLOOKUP(Table4[[#This Row],[T ID]],Table5[#All],5,FALSE)="No","Not in scope",VLOOKUP(Table4[[#This Row],[T ID]],Table5[#All],2,FALSE))</f>
        <v>Risk of using windows 8.1</v>
      </c>
      <c r="D62" s="264" t="s">
        <v>453</v>
      </c>
      <c r="E62" s="293" t="str">
        <f>IF(VLOOKUP(Table4[[#This Row],[V ID]],Vulnerabilities[#All],3,FALSE)="No","Not in scope",VLOOKUP(Table4[[#This Row],[V ID]],Vulnerabilities[#All],2,FALSE))</f>
        <v>Remote exploitation of the system from intranet</v>
      </c>
      <c r="F62" s="294" t="s">
        <v>106</v>
      </c>
      <c r="G62" s="293" t="str">
        <f>VLOOKUP(Table4[[#This Row],[A ID]],Assets[#All],3,FALSE)</f>
        <v>Nav3i cart/ System running with windows 8.1</v>
      </c>
      <c r="H62" s="279" t="s">
        <v>500</v>
      </c>
      <c r="I62" s="264"/>
      <c r="J62" s="307" t="s">
        <v>76</v>
      </c>
      <c r="K62" s="307" t="s">
        <v>55</v>
      </c>
      <c r="L62" s="307" t="s">
        <v>64</v>
      </c>
      <c r="M62" s="295" t="s">
        <v>77</v>
      </c>
      <c r="N62" s="295" t="s">
        <v>55</v>
      </c>
      <c r="O62" s="295" t="s">
        <v>55</v>
      </c>
      <c r="P62" s="295" t="s">
        <v>76</v>
      </c>
      <c r="Q62" s="295" t="s">
        <v>73</v>
      </c>
      <c r="R62" s="2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2" s="297">
        <f>(1 - ((1 - VLOOKUP(Table4[[#This Row],[Confidentiality]],'Reference - CVSSv3.0'!$B$15:$C$17,2,FALSE)) * (1 - VLOOKUP(Table4[[#This Row],[Integrity]],'Reference - CVSSv3.0'!$B$15:$C$17,2,FALSE)) *  (1 - VLOOKUP(Table4[[#This Row],[Availability]],'Reference - CVSSv3.0'!$B$15:$C$17,2,FALSE))))</f>
        <v>0.65680000000000005</v>
      </c>
      <c r="T62" s="297">
        <f>IF(Table4[[#This Row],[Scope]]="Unchanged",6.42*Table4[[#This Row],[ISC Base]],IF(Table4[[#This Row],[Scope]]="Changed",7.52*(Table4[[#This Row],[ISC Base]] - 0.029) - 3.25 * POWER(Table4[[#This Row],[ISC Base]] - 0.02,15),NA()))</f>
        <v>4.2166560000000004</v>
      </c>
      <c r="U62" s="297">
        <f>IF(Table4[[#This Row],[Impact Sub Score]]&lt;=0,0,IF(Table4[[#This Row],[Scope]]="Unchanged",ROUNDUP(MIN((Table4[[#This Row],[Impact Sub Score]]+Table4[[#This Row],[Exploitability Sub Score]]),10),1),IF(Table4[[#This Row],[Scope]]="Changed",ROUNDUP(MIN((1.08*(Table4[[#This Row],[Impact Sub Score]]+Table4[[#This Row],[Exploitability Sub Score]])),10),1),NA())))</f>
        <v>7.1</v>
      </c>
      <c r="V62" s="298" t="s">
        <v>54</v>
      </c>
      <c r="W62" s="297">
        <f>VLOOKUP(Table4[[#This Row],[Threat Event Initiation]],NIST_Scale_LOAI[],2,FALSE)</f>
        <v>0.5</v>
      </c>
      <c r="X62" s="29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2" s="2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255" t="s">
        <v>478</v>
      </c>
      <c r="AA62" s="264"/>
      <c r="AB62" s="300"/>
      <c r="AC62" s="264"/>
      <c r="AD62" s="264"/>
      <c r="AE62" s="264"/>
      <c r="AF62" s="295"/>
      <c r="AG62" s="295"/>
      <c r="AH62" s="295"/>
      <c r="AI62" s="295"/>
      <c r="AJ62" s="301"/>
      <c r="AK62" s="29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97" t="e">
        <f>(1 - ((1 - VLOOKUP(Table4[[#This Row],[ConfidentialityP]],'Reference - CVSSv3.0'!$B$15:$C$17,2,FALSE)) * (1 - VLOOKUP(Table4[[#This Row],[IntegrityP]],'Reference - CVSSv3.0'!$B$15:$C$17,2,FALSE)) *  (1 - VLOOKUP(Table4[[#This Row],[AvailabilityP]],'Reference - CVSSv3.0'!$B$15:$C$17,2,FALSE))))</f>
        <v>#N/A</v>
      </c>
      <c r="AM62" s="297" t="e">
        <f>IF(Table4[[#This Row],[ScopeP]]="Unchanged",6.42*Table4[[#This Row],[ISC BaseP]],IF(Table4[[#This Row],[ScopeP]]="Changed",7.52*(Table4[[#This Row],[ISC BaseP]] - 0.029) - 3.25 * POWER(Table4[[#This Row],[ISC BaseP]] - 0.02,15),NA()))</f>
        <v>#N/A</v>
      </c>
      <c r="AN62" s="29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9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3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64"/>
    </row>
    <row r="63" spans="1:43" ht="98" x14ac:dyDescent="0.35">
      <c r="A63" s="304">
        <v>63</v>
      </c>
      <c r="B63" s="264" t="s">
        <v>459</v>
      </c>
      <c r="C63" s="293" t="str">
        <f>IF(VLOOKUP(Table4[[#This Row],[T ID]],Table5[#All],5,FALSE)="No","Not in scope",VLOOKUP(Table4[[#This Row],[T ID]],Table5[#All],2,FALSE))</f>
        <v>Risk of using windows 8.1</v>
      </c>
      <c r="D63" s="264" t="s">
        <v>455</v>
      </c>
      <c r="E63" s="293" t="str">
        <f>IF(VLOOKUP(Table4[[#This Row],[V ID]],Vulnerabilities[#All],3,FALSE)="No","Not in scope",VLOOKUP(Table4[[#This Row],[V ID]],Vulnerabilities[#All],2,FALSE))</f>
        <v>Any malicious service running in the system without being identified</v>
      </c>
      <c r="F63" s="294" t="s">
        <v>106</v>
      </c>
      <c r="G63" s="293" t="str">
        <f>VLOOKUP(Table4[[#This Row],[A ID]],Assets[#All],3,FALSE)</f>
        <v>Nav3i cart/ System running with windows 8.1</v>
      </c>
      <c r="H63" s="279" t="s">
        <v>500</v>
      </c>
      <c r="I63" s="264"/>
      <c r="J63" s="307" t="s">
        <v>76</v>
      </c>
      <c r="K63" s="307" t="s">
        <v>55</v>
      </c>
      <c r="L63" s="307" t="s">
        <v>64</v>
      </c>
      <c r="M63" s="295" t="s">
        <v>78</v>
      </c>
      <c r="N63" s="295" t="s">
        <v>55</v>
      </c>
      <c r="O63" s="295" t="s">
        <v>55</v>
      </c>
      <c r="P63" s="295" t="s">
        <v>76</v>
      </c>
      <c r="Q63" s="295" t="s">
        <v>73</v>
      </c>
      <c r="R63" s="2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3" s="297">
        <f>(1 - ((1 - VLOOKUP(Table4[[#This Row],[Confidentiality]],'Reference - CVSSv3.0'!$B$15:$C$17,2,FALSE)) * (1 - VLOOKUP(Table4[[#This Row],[Integrity]],'Reference - CVSSv3.0'!$B$15:$C$17,2,FALSE)) *  (1 - VLOOKUP(Table4[[#This Row],[Availability]],'Reference - CVSSv3.0'!$B$15:$C$17,2,FALSE))))</f>
        <v>0.65680000000000005</v>
      </c>
      <c r="T63" s="297">
        <f>IF(Table4[[#This Row],[Scope]]="Unchanged",6.42*Table4[[#This Row],[ISC Base]],IF(Table4[[#This Row],[Scope]]="Changed",7.52*(Table4[[#This Row],[ISC Base]] - 0.029) - 3.25 * POWER(Table4[[#This Row],[ISC Base]] - 0.02,15),NA()))</f>
        <v>4.2166560000000004</v>
      </c>
      <c r="U63" s="297">
        <f>IF(Table4[[#This Row],[Impact Sub Score]]&lt;=0,0,IF(Table4[[#This Row],[Scope]]="Unchanged",ROUNDUP(MIN((Table4[[#This Row],[Impact Sub Score]]+Table4[[#This Row],[Exploitability Sub Score]]),10),1),IF(Table4[[#This Row],[Scope]]="Changed",ROUNDUP(MIN((1.08*(Table4[[#This Row],[Impact Sub Score]]+Table4[[#This Row],[Exploitability Sub Score]])),10),1),NA())))</f>
        <v>6.1</v>
      </c>
      <c r="V63" s="298" t="s">
        <v>54</v>
      </c>
      <c r="W63" s="297">
        <f>VLOOKUP(Table4[[#This Row],[Threat Event Initiation]],NIST_Scale_LOAI[],2,FALSE)</f>
        <v>0.5</v>
      </c>
      <c r="X63" s="29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3" s="2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55" t="s">
        <v>479</v>
      </c>
      <c r="AA63" s="264"/>
      <c r="AB63" s="300"/>
      <c r="AC63" s="264"/>
      <c r="AD63" s="264"/>
      <c r="AE63" s="264"/>
      <c r="AF63" s="295"/>
      <c r="AG63" s="295"/>
      <c r="AH63" s="295"/>
      <c r="AI63" s="295"/>
      <c r="AJ63" s="301"/>
      <c r="AK63" s="29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97" t="e">
        <f>(1 - ((1 - VLOOKUP(Table4[[#This Row],[ConfidentialityP]],'Reference - CVSSv3.0'!$B$15:$C$17,2,FALSE)) * (1 - VLOOKUP(Table4[[#This Row],[IntegrityP]],'Reference - CVSSv3.0'!$B$15:$C$17,2,FALSE)) *  (1 - VLOOKUP(Table4[[#This Row],[AvailabilityP]],'Reference - CVSSv3.0'!$B$15:$C$17,2,FALSE))))</f>
        <v>#N/A</v>
      </c>
      <c r="AM63" s="297" t="e">
        <f>IF(Table4[[#This Row],[ScopeP]]="Unchanged",6.42*Table4[[#This Row],[ISC BaseP]],IF(Table4[[#This Row],[ScopeP]]="Changed",7.52*(Table4[[#This Row],[ISC BaseP]] - 0.029) - 3.25 * POWER(Table4[[#This Row],[ISC BaseP]] - 0.02,15),NA()))</f>
        <v>#N/A</v>
      </c>
      <c r="AN63" s="29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9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3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64"/>
    </row>
    <row r="64" spans="1:43" ht="154" x14ac:dyDescent="0.35">
      <c r="A64" s="304">
        <v>64</v>
      </c>
      <c r="B64" s="264" t="s">
        <v>459</v>
      </c>
      <c r="C64" s="293" t="str">
        <f>IF(VLOOKUP(Table4[[#This Row],[T ID]],Table5[#All],5,FALSE)="No","Not in scope",VLOOKUP(Table4[[#This Row],[T ID]],Table5[#All],2,FALSE))</f>
        <v>Risk of using windows 8.1</v>
      </c>
      <c r="D64" s="264" t="s">
        <v>460</v>
      </c>
      <c r="E64" s="293" t="str">
        <f>IF(VLOOKUP(Table4[[#This Row],[V ID]],Vulnerabilities[#All],3,FALSE)="No","Not in scope",VLOOKUP(Table4[[#This Row],[V ID]],Vulnerabilities[#All],2,FALSE))</f>
        <v>Unhardened OS and network interfaces</v>
      </c>
      <c r="F64" s="294" t="s">
        <v>106</v>
      </c>
      <c r="G64" s="293" t="str">
        <f>VLOOKUP(Table4[[#This Row],[A ID]],Assets[#All],3,FALSE)</f>
        <v>Nav3i cart/ System running with windows 8.1</v>
      </c>
      <c r="H64" s="279" t="s">
        <v>500</v>
      </c>
      <c r="I64" s="264"/>
      <c r="J64" s="307" t="s">
        <v>76</v>
      </c>
      <c r="K64" s="307" t="s">
        <v>55</v>
      </c>
      <c r="L64" s="307" t="s">
        <v>64</v>
      </c>
      <c r="M64" s="295" t="s">
        <v>78</v>
      </c>
      <c r="N64" s="295" t="s">
        <v>55</v>
      </c>
      <c r="O64" s="295" t="s">
        <v>55</v>
      </c>
      <c r="P64" s="295" t="s">
        <v>76</v>
      </c>
      <c r="Q64" s="295" t="s">
        <v>73</v>
      </c>
      <c r="R64" s="2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97">
        <f>(1 - ((1 - VLOOKUP(Table4[[#This Row],[Confidentiality]],'Reference - CVSSv3.0'!$B$15:$C$17,2,FALSE)) * (1 - VLOOKUP(Table4[[#This Row],[Integrity]],'Reference - CVSSv3.0'!$B$15:$C$17,2,FALSE)) *  (1 - VLOOKUP(Table4[[#This Row],[Availability]],'Reference - CVSSv3.0'!$B$15:$C$17,2,FALSE))))</f>
        <v>0.65680000000000005</v>
      </c>
      <c r="T64" s="297">
        <f>IF(Table4[[#This Row],[Scope]]="Unchanged",6.42*Table4[[#This Row],[ISC Base]],IF(Table4[[#This Row],[Scope]]="Changed",7.52*(Table4[[#This Row],[ISC Base]] - 0.029) - 3.25 * POWER(Table4[[#This Row],[ISC Base]] - 0.02,15),NA()))</f>
        <v>4.2166560000000004</v>
      </c>
      <c r="U64" s="297">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98" t="s">
        <v>54</v>
      </c>
      <c r="W64" s="297">
        <f>VLOOKUP(Table4[[#This Row],[Threat Event Initiation]],NIST_Scale_LOAI[],2,FALSE)</f>
        <v>0.5</v>
      </c>
      <c r="X64" s="29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55" t="s">
        <v>480</v>
      </c>
      <c r="AA64" s="264"/>
      <c r="AB64" s="300"/>
      <c r="AC64" s="264"/>
      <c r="AD64" s="264"/>
      <c r="AE64" s="264"/>
      <c r="AF64" s="295"/>
      <c r="AG64" s="295"/>
      <c r="AH64" s="295"/>
      <c r="AI64" s="295"/>
      <c r="AJ64" s="301"/>
      <c r="AK64" s="29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97" t="e">
        <f>(1 - ((1 - VLOOKUP(Table4[[#This Row],[ConfidentialityP]],'Reference - CVSSv3.0'!$B$15:$C$17,2,FALSE)) * (1 - VLOOKUP(Table4[[#This Row],[IntegrityP]],'Reference - CVSSv3.0'!$B$15:$C$17,2,FALSE)) *  (1 - VLOOKUP(Table4[[#This Row],[AvailabilityP]],'Reference - CVSSv3.0'!$B$15:$C$17,2,FALSE))))</f>
        <v>#N/A</v>
      </c>
      <c r="AM64" s="297" t="e">
        <f>IF(Table4[[#This Row],[ScopeP]]="Unchanged",6.42*Table4[[#This Row],[ISC BaseP]],IF(Table4[[#This Row],[ScopeP]]="Changed",7.52*(Table4[[#This Row],[ISC BaseP]] - 0.029) - 3.25 * POWER(Table4[[#This Row],[ISC BaseP]] - 0.02,15),NA()))</f>
        <v>#N/A</v>
      </c>
      <c r="AN64" s="29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9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3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64"/>
    </row>
    <row r="65" spans="1:43" ht="140" x14ac:dyDescent="0.35">
      <c r="A65" s="304">
        <v>65</v>
      </c>
      <c r="B65" s="264" t="s">
        <v>470</v>
      </c>
      <c r="C65" s="293" t="str">
        <f>IF(VLOOKUP(Table4[[#This Row],[T ID]],Table5[#All],5,FALSE)="No","Not in scope",VLOOKUP(Table4[[#This Row],[T ID]],Table5[#All],2,FALSE))</f>
        <v>Risk of using Linux</v>
      </c>
      <c r="D65" s="264" t="s">
        <v>463</v>
      </c>
      <c r="E65" s="293" t="str">
        <f>IF(VLOOKUP(Table4[[#This Row],[V ID]],Vulnerabilities[#All],3,FALSE)="No","Not in scope",VLOOKUP(Table4[[#This Row],[V ID]],Vulnerabilities[#All],2,FALSE))</f>
        <v>Absence of periodic backup plan</v>
      </c>
      <c r="F65" s="294" t="s">
        <v>444</v>
      </c>
      <c r="G65" s="293" t="str">
        <f>VLOOKUP(Table4[[#This Row],[A ID]],Assets[#All],3,FALSE)</f>
        <v>Q carts &amp; Ortho Q carts running with Linux OS</v>
      </c>
      <c r="H65" s="278" t="s">
        <v>501</v>
      </c>
      <c r="I65" s="264"/>
      <c r="J65" s="307" t="s">
        <v>76</v>
      </c>
      <c r="K65" s="307" t="s">
        <v>55</v>
      </c>
      <c r="L65" s="307" t="s">
        <v>64</v>
      </c>
      <c r="M65" s="295" t="s">
        <v>78</v>
      </c>
      <c r="N65" s="295" t="s">
        <v>55</v>
      </c>
      <c r="O65" s="295" t="s">
        <v>55</v>
      </c>
      <c r="P65" s="295" t="s">
        <v>76</v>
      </c>
      <c r="Q65" s="295" t="s">
        <v>73</v>
      </c>
      <c r="R65" s="2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97">
        <f>(1 - ((1 - VLOOKUP(Table4[[#This Row],[Confidentiality]],'Reference - CVSSv3.0'!$B$15:$C$17,2,FALSE)) * (1 - VLOOKUP(Table4[[#This Row],[Integrity]],'Reference - CVSSv3.0'!$B$15:$C$17,2,FALSE)) *  (1 - VLOOKUP(Table4[[#This Row],[Availability]],'Reference - CVSSv3.0'!$B$15:$C$17,2,FALSE))))</f>
        <v>0.65680000000000005</v>
      </c>
      <c r="T65" s="297">
        <f>IF(Table4[[#This Row],[Scope]]="Unchanged",6.42*Table4[[#This Row],[ISC Base]],IF(Table4[[#This Row],[Scope]]="Changed",7.52*(Table4[[#This Row],[ISC Base]] - 0.029) - 3.25 * POWER(Table4[[#This Row],[ISC Base]] - 0.02,15),NA()))</f>
        <v>4.2166560000000004</v>
      </c>
      <c r="U65" s="297">
        <f>IF(Table4[[#This Row],[Impact Sub Score]]&lt;=0,0,IF(Table4[[#This Row],[Scope]]="Unchanged",ROUNDUP(MIN((Table4[[#This Row],[Impact Sub Score]]+Table4[[#This Row],[Exploitability Sub Score]]),10),1),IF(Table4[[#This Row],[Scope]]="Changed",ROUNDUP(MIN((1.08*(Table4[[#This Row],[Impact Sub Score]]+Table4[[#This Row],[Exploitability Sub Score]])),10),1),NA())))</f>
        <v>6.1</v>
      </c>
      <c r="V65" s="298" t="s">
        <v>54</v>
      </c>
      <c r="W65" s="297">
        <f>VLOOKUP(Table4[[#This Row],[Threat Event Initiation]],NIST_Scale_LOAI[],2,FALSE)</f>
        <v>0.5</v>
      </c>
      <c r="X65" s="29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5" s="2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54" t="s">
        <v>477</v>
      </c>
      <c r="AA65" s="264"/>
      <c r="AB65" s="300"/>
      <c r="AC65" s="264"/>
      <c r="AD65" s="264"/>
      <c r="AE65" s="264"/>
      <c r="AF65" s="295"/>
      <c r="AG65" s="295"/>
      <c r="AH65" s="295"/>
      <c r="AI65" s="295"/>
      <c r="AJ65" s="301"/>
      <c r="AK65" s="29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97" t="e">
        <f>(1 - ((1 - VLOOKUP(Table4[[#This Row],[ConfidentialityP]],'Reference - CVSSv3.0'!$B$15:$C$17,2,FALSE)) * (1 - VLOOKUP(Table4[[#This Row],[IntegrityP]],'Reference - CVSSv3.0'!$B$15:$C$17,2,FALSE)) *  (1 - VLOOKUP(Table4[[#This Row],[AvailabilityP]],'Reference - CVSSv3.0'!$B$15:$C$17,2,FALSE))))</f>
        <v>#N/A</v>
      </c>
      <c r="AM65" s="297" t="e">
        <f>IF(Table4[[#This Row],[ScopeP]]="Unchanged",6.42*Table4[[#This Row],[ISC BaseP]],IF(Table4[[#This Row],[ScopeP]]="Changed",7.52*(Table4[[#This Row],[ISC BaseP]] - 0.029) - 3.25 * POWER(Table4[[#This Row],[ISC BaseP]] - 0.02,15),NA()))</f>
        <v>#N/A</v>
      </c>
      <c r="AN65" s="29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9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3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64"/>
    </row>
    <row r="66" spans="1:43" ht="140" x14ac:dyDescent="0.35">
      <c r="A66" s="305">
        <v>66</v>
      </c>
      <c r="B66" s="264" t="s">
        <v>470</v>
      </c>
      <c r="C66" s="284" t="str">
        <f>IF(VLOOKUP(Table4[[#This Row],[T ID]],Table5[#All],5,FALSE)="No","Not in scope",VLOOKUP(Table4[[#This Row],[T ID]],Table5[#All],2,FALSE))</f>
        <v>Risk of using Linux</v>
      </c>
      <c r="D66" s="262" t="s">
        <v>464</v>
      </c>
      <c r="E66" s="284" t="str">
        <f>IF(VLOOKUP(Table4[[#This Row],[V ID]],Vulnerabilities[#All],3,FALSE)="No","Not in scope",VLOOKUP(Table4[[#This Row],[V ID]],Vulnerabilities[#All],2,FALSE))</f>
        <v>Corrupted OS and absence of restore points</v>
      </c>
      <c r="F66" s="294" t="s">
        <v>444</v>
      </c>
      <c r="G66" s="284" t="str">
        <f>VLOOKUP(Table4[[#This Row],[A ID]],Assets[#All],3,FALSE)</f>
        <v>Q carts &amp; Ortho Q carts running with Linux OS</v>
      </c>
      <c r="H66" s="278" t="s">
        <v>501</v>
      </c>
      <c r="I66" s="262"/>
      <c r="J66" s="307" t="s">
        <v>76</v>
      </c>
      <c r="K66" s="307" t="s">
        <v>55</v>
      </c>
      <c r="L66" s="307" t="s">
        <v>64</v>
      </c>
      <c r="M66" s="295" t="s">
        <v>78</v>
      </c>
      <c r="N66" s="295" t="s">
        <v>55</v>
      </c>
      <c r="O66" s="295" t="s">
        <v>55</v>
      </c>
      <c r="P66" s="295" t="s">
        <v>76</v>
      </c>
      <c r="Q66" s="295" t="s">
        <v>73</v>
      </c>
      <c r="R66" s="28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88">
        <f>(1 - ((1 - VLOOKUP(Table4[[#This Row],[Confidentiality]],'Reference - CVSSv3.0'!$B$15:$C$17,2,FALSE)) * (1 - VLOOKUP(Table4[[#This Row],[Integrity]],'Reference - CVSSv3.0'!$B$15:$C$17,2,FALSE)) *  (1 - VLOOKUP(Table4[[#This Row],[Availability]],'Reference - CVSSv3.0'!$B$15:$C$17,2,FALSE))))</f>
        <v>0.65680000000000005</v>
      </c>
      <c r="T66" s="288">
        <f>IF(Table4[[#This Row],[Scope]]="Unchanged",6.42*Table4[[#This Row],[ISC Base]],IF(Table4[[#This Row],[Scope]]="Changed",7.52*(Table4[[#This Row],[ISC Base]] - 0.029) - 3.25 * POWER(Table4[[#This Row],[ISC Base]] - 0.02,15),NA()))</f>
        <v>4.2166560000000004</v>
      </c>
      <c r="U66" s="288">
        <f>IF(Table4[[#This Row],[Impact Sub Score]]&lt;=0,0,IF(Table4[[#This Row],[Scope]]="Unchanged",ROUNDUP(MIN((Table4[[#This Row],[Impact Sub Score]]+Table4[[#This Row],[Exploitability Sub Score]]),10),1),IF(Table4[[#This Row],[Scope]]="Changed",ROUNDUP(MIN((1.08*(Table4[[#This Row],[Impact Sub Score]]+Table4[[#This Row],[Exploitability Sub Score]])),10),1),NA())))</f>
        <v>6.1</v>
      </c>
      <c r="V66" s="298" t="s">
        <v>54</v>
      </c>
      <c r="W66" s="288">
        <f>VLOOKUP(Table4[[#This Row],[Threat Event Initiation]],NIST_Scale_LOAI[],2,FALSE)</f>
        <v>0.5</v>
      </c>
      <c r="X66" s="28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6" s="2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254" t="s">
        <v>476</v>
      </c>
      <c r="AA66" s="262"/>
      <c r="AB66" s="290"/>
      <c r="AC66" s="262"/>
      <c r="AD66" s="262"/>
      <c r="AE66" s="262"/>
      <c r="AF66" s="286"/>
      <c r="AG66" s="286"/>
      <c r="AH66" s="286"/>
      <c r="AI66" s="286"/>
      <c r="AJ66" s="291"/>
      <c r="AK66" s="28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88" t="e">
        <f>(1 - ((1 - VLOOKUP(Table4[[#This Row],[ConfidentialityP]],'Reference - CVSSv3.0'!$B$15:$C$17,2,FALSE)) * (1 - VLOOKUP(Table4[[#This Row],[IntegrityP]],'Reference - CVSSv3.0'!$B$15:$C$17,2,FALSE)) *  (1 - VLOOKUP(Table4[[#This Row],[AvailabilityP]],'Reference - CVSSv3.0'!$B$15:$C$17,2,FALSE))))</f>
        <v>#N/A</v>
      </c>
      <c r="AM66" s="288" t="e">
        <f>IF(Table4[[#This Row],[ScopeP]]="Unchanged",6.42*Table4[[#This Row],[ISC BaseP]],IF(Table4[[#This Row],[ScopeP]]="Changed",7.52*(Table4[[#This Row],[ISC BaseP]] - 0.029) - 3.25 * POWER(Table4[[#This Row],[ISC BaseP]] - 0.02,15),NA()))</f>
        <v>#N/A</v>
      </c>
      <c r="AN66" s="28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8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62"/>
    </row>
    <row r="67" spans="1:43" ht="140" x14ac:dyDescent="0.35">
      <c r="A67" s="305">
        <v>67</v>
      </c>
      <c r="B67" s="264" t="s">
        <v>470</v>
      </c>
      <c r="C67" s="284" t="str">
        <f>IF(VLOOKUP(Table4[[#This Row],[T ID]],Table5[#All],5,FALSE)="No","Not in scope",VLOOKUP(Table4[[#This Row],[T ID]],Table5[#All],2,FALSE))</f>
        <v>Risk of using Linux</v>
      </c>
      <c r="D67" s="262" t="s">
        <v>465</v>
      </c>
      <c r="E67" s="284" t="str">
        <f>IF(VLOOKUP(Table4[[#This Row],[V ID]],Vulnerabilities[#All],3,FALSE)="No","Not in scope",VLOOKUP(Table4[[#This Row],[V ID]],Vulnerabilities[#All],2,FALSE))</f>
        <v>Remote exploitation of the system from intranet</v>
      </c>
      <c r="F67" s="294" t="s">
        <v>444</v>
      </c>
      <c r="G67" s="284" t="str">
        <f>VLOOKUP(Table4[[#This Row],[A ID]],Assets[#All],3,FALSE)</f>
        <v>Q carts &amp; Ortho Q carts running with Linux OS</v>
      </c>
      <c r="H67" s="278" t="s">
        <v>501</v>
      </c>
      <c r="I67" s="262"/>
      <c r="J67" s="307" t="s">
        <v>76</v>
      </c>
      <c r="K67" s="307" t="s">
        <v>55</v>
      </c>
      <c r="L67" s="307" t="s">
        <v>64</v>
      </c>
      <c r="M67" s="295" t="s">
        <v>77</v>
      </c>
      <c r="N67" s="295" t="s">
        <v>55</v>
      </c>
      <c r="O67" s="295" t="s">
        <v>55</v>
      </c>
      <c r="P67" s="295" t="s">
        <v>76</v>
      </c>
      <c r="Q67" s="295" t="s">
        <v>73</v>
      </c>
      <c r="R67" s="28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7" s="288">
        <f>(1 - ((1 - VLOOKUP(Table4[[#This Row],[Confidentiality]],'Reference - CVSSv3.0'!$B$15:$C$17,2,FALSE)) * (1 - VLOOKUP(Table4[[#This Row],[Integrity]],'Reference - CVSSv3.0'!$B$15:$C$17,2,FALSE)) *  (1 - VLOOKUP(Table4[[#This Row],[Availability]],'Reference - CVSSv3.0'!$B$15:$C$17,2,FALSE))))</f>
        <v>0.65680000000000005</v>
      </c>
      <c r="T67" s="288">
        <f>IF(Table4[[#This Row],[Scope]]="Unchanged",6.42*Table4[[#This Row],[ISC Base]],IF(Table4[[#This Row],[Scope]]="Changed",7.52*(Table4[[#This Row],[ISC Base]] - 0.029) - 3.25 * POWER(Table4[[#This Row],[ISC Base]] - 0.02,15),NA()))</f>
        <v>4.2166560000000004</v>
      </c>
      <c r="U67" s="288">
        <f>IF(Table4[[#This Row],[Impact Sub Score]]&lt;=0,0,IF(Table4[[#This Row],[Scope]]="Unchanged",ROUNDUP(MIN((Table4[[#This Row],[Impact Sub Score]]+Table4[[#This Row],[Exploitability Sub Score]]),10),1),IF(Table4[[#This Row],[Scope]]="Changed",ROUNDUP(MIN((1.08*(Table4[[#This Row],[Impact Sub Score]]+Table4[[#This Row],[Exploitability Sub Score]])),10),1),NA())))</f>
        <v>7.1</v>
      </c>
      <c r="V67" s="298" t="s">
        <v>54</v>
      </c>
      <c r="W67" s="288">
        <f>VLOOKUP(Table4[[#This Row],[Threat Event Initiation]],NIST_Scale_LOAI[],2,FALSE)</f>
        <v>0.5</v>
      </c>
      <c r="X67" s="28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7" s="2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7" s="255" t="s">
        <v>478</v>
      </c>
      <c r="AA67" s="262"/>
      <c r="AB67" s="290"/>
      <c r="AC67" s="262"/>
      <c r="AD67" s="262"/>
      <c r="AE67" s="262"/>
      <c r="AF67" s="286"/>
      <c r="AG67" s="286"/>
      <c r="AH67" s="286"/>
      <c r="AI67" s="286"/>
      <c r="AJ67" s="291"/>
      <c r="AK67" s="28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88" t="e">
        <f>(1 - ((1 - VLOOKUP(Table4[[#This Row],[ConfidentialityP]],'Reference - CVSSv3.0'!$B$15:$C$17,2,FALSE)) * (1 - VLOOKUP(Table4[[#This Row],[IntegrityP]],'Reference - CVSSv3.0'!$B$15:$C$17,2,FALSE)) *  (1 - VLOOKUP(Table4[[#This Row],[AvailabilityP]],'Reference - CVSSv3.0'!$B$15:$C$17,2,FALSE))))</f>
        <v>#N/A</v>
      </c>
      <c r="AM67" s="288" t="e">
        <f>IF(Table4[[#This Row],[ScopeP]]="Unchanged",6.42*Table4[[#This Row],[ISC BaseP]],IF(Table4[[#This Row],[ScopeP]]="Changed",7.52*(Table4[[#This Row],[ISC BaseP]] - 0.029) - 3.25 * POWER(Table4[[#This Row],[ISC BaseP]] - 0.02,15),NA()))</f>
        <v>#N/A</v>
      </c>
      <c r="AN67" s="28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8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62"/>
    </row>
    <row r="68" spans="1:43" ht="140" x14ac:dyDescent="0.35">
      <c r="A68" s="305">
        <v>68</v>
      </c>
      <c r="B68" s="264" t="s">
        <v>470</v>
      </c>
      <c r="C68" s="284" t="str">
        <f>IF(VLOOKUP(Table4[[#This Row],[T ID]],Table5[#All],5,FALSE)="No","Not in scope",VLOOKUP(Table4[[#This Row],[T ID]],Table5[#All],2,FALSE))</f>
        <v>Risk of using Linux</v>
      </c>
      <c r="D68" s="262" t="s">
        <v>466</v>
      </c>
      <c r="E68" s="284" t="str">
        <f>IF(VLOOKUP(Table4[[#This Row],[V ID]],Vulnerabilities[#All],3,FALSE)="No","Not in scope",VLOOKUP(Table4[[#This Row],[V ID]],Vulnerabilities[#All],2,FALSE))</f>
        <v>Any malicious service running in the system without being identified</v>
      </c>
      <c r="F68" s="294" t="s">
        <v>444</v>
      </c>
      <c r="G68" s="284" t="str">
        <f>VLOOKUP(Table4[[#This Row],[A ID]],Assets[#All],3,FALSE)</f>
        <v>Q carts &amp; Ortho Q carts running with Linux OS</v>
      </c>
      <c r="H68" s="278" t="s">
        <v>501</v>
      </c>
      <c r="I68" s="262"/>
      <c r="J68" s="307" t="s">
        <v>76</v>
      </c>
      <c r="K68" s="307" t="s">
        <v>55</v>
      </c>
      <c r="L68" s="307" t="s">
        <v>64</v>
      </c>
      <c r="M68" s="295" t="s">
        <v>78</v>
      </c>
      <c r="N68" s="295" t="s">
        <v>55</v>
      </c>
      <c r="O68" s="295" t="s">
        <v>55</v>
      </c>
      <c r="P68" s="295" t="s">
        <v>76</v>
      </c>
      <c r="Q68" s="295" t="s">
        <v>73</v>
      </c>
      <c r="R68" s="28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288">
        <f>(1 - ((1 - VLOOKUP(Table4[[#This Row],[Confidentiality]],'Reference - CVSSv3.0'!$B$15:$C$17,2,FALSE)) * (1 - VLOOKUP(Table4[[#This Row],[Integrity]],'Reference - CVSSv3.0'!$B$15:$C$17,2,FALSE)) *  (1 - VLOOKUP(Table4[[#This Row],[Availability]],'Reference - CVSSv3.0'!$B$15:$C$17,2,FALSE))))</f>
        <v>0.65680000000000005</v>
      </c>
      <c r="T68" s="288">
        <f>IF(Table4[[#This Row],[Scope]]="Unchanged",6.42*Table4[[#This Row],[ISC Base]],IF(Table4[[#This Row],[Scope]]="Changed",7.52*(Table4[[#This Row],[ISC Base]] - 0.029) - 3.25 * POWER(Table4[[#This Row],[ISC Base]] - 0.02,15),NA()))</f>
        <v>4.2166560000000004</v>
      </c>
      <c r="U68" s="288">
        <f>IF(Table4[[#This Row],[Impact Sub Score]]&lt;=0,0,IF(Table4[[#This Row],[Scope]]="Unchanged",ROUNDUP(MIN((Table4[[#This Row],[Impact Sub Score]]+Table4[[#This Row],[Exploitability Sub Score]]),10),1),IF(Table4[[#This Row],[Scope]]="Changed",ROUNDUP(MIN((1.08*(Table4[[#This Row],[Impact Sub Score]]+Table4[[#This Row],[Exploitability Sub Score]])),10),1),NA())))</f>
        <v>6.1</v>
      </c>
      <c r="V68" s="298" t="s">
        <v>54</v>
      </c>
      <c r="W68" s="288">
        <f>VLOOKUP(Table4[[#This Row],[Threat Event Initiation]],NIST_Scale_LOAI[],2,FALSE)</f>
        <v>0.5</v>
      </c>
      <c r="X68" s="28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8" s="2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255" t="s">
        <v>479</v>
      </c>
      <c r="AA68" s="262"/>
      <c r="AB68" s="290"/>
      <c r="AC68" s="262"/>
      <c r="AD68" s="262"/>
      <c r="AE68" s="262"/>
      <c r="AF68" s="286"/>
      <c r="AG68" s="286"/>
      <c r="AH68" s="286"/>
      <c r="AI68" s="286"/>
      <c r="AJ68" s="291"/>
      <c r="AK68" s="28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88" t="e">
        <f>(1 - ((1 - VLOOKUP(Table4[[#This Row],[ConfidentialityP]],'Reference - CVSSv3.0'!$B$15:$C$17,2,FALSE)) * (1 - VLOOKUP(Table4[[#This Row],[IntegrityP]],'Reference - CVSSv3.0'!$B$15:$C$17,2,FALSE)) *  (1 - VLOOKUP(Table4[[#This Row],[AvailabilityP]],'Reference - CVSSv3.0'!$B$15:$C$17,2,FALSE))))</f>
        <v>#N/A</v>
      </c>
      <c r="AM68" s="288" t="e">
        <f>IF(Table4[[#This Row],[ScopeP]]="Unchanged",6.42*Table4[[#This Row],[ISC BaseP]],IF(Table4[[#This Row],[ScopeP]]="Changed",7.52*(Table4[[#This Row],[ISC BaseP]] - 0.029) - 3.25 * POWER(Table4[[#This Row],[ISC BaseP]] - 0.02,15),NA()))</f>
        <v>#N/A</v>
      </c>
      <c r="AN68" s="28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8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62"/>
    </row>
    <row r="69" spans="1:43" ht="154" x14ac:dyDescent="0.35">
      <c r="A69" s="305">
        <v>69</v>
      </c>
      <c r="B69" s="264" t="s">
        <v>470</v>
      </c>
      <c r="C69" s="284" t="str">
        <f>IF(VLOOKUP(Table4[[#This Row],[T ID]],Table5[#All],5,FALSE)="No","Not in scope",VLOOKUP(Table4[[#This Row],[T ID]],Table5[#All],2,FALSE))</f>
        <v>Risk of using Linux</v>
      </c>
      <c r="D69" s="262" t="s">
        <v>467</v>
      </c>
      <c r="E69" s="284" t="str">
        <f>IF(VLOOKUP(Table4[[#This Row],[V ID]],Vulnerabilities[#All],3,FALSE)="No","Not in scope",VLOOKUP(Table4[[#This Row],[V ID]],Vulnerabilities[#All],2,FALSE))</f>
        <v>Unhardened OS and network interfaces</v>
      </c>
      <c r="F69" s="294" t="s">
        <v>444</v>
      </c>
      <c r="G69" s="284" t="str">
        <f>VLOOKUP(Table4[[#This Row],[A ID]],Assets[#All],3,FALSE)</f>
        <v>Q carts &amp; Ortho Q carts running with Linux OS</v>
      </c>
      <c r="H69" s="278" t="s">
        <v>501</v>
      </c>
      <c r="I69" s="262"/>
      <c r="J69" s="307" t="s">
        <v>76</v>
      </c>
      <c r="K69" s="307" t="s">
        <v>55</v>
      </c>
      <c r="L69" s="307" t="s">
        <v>64</v>
      </c>
      <c r="M69" s="295" t="s">
        <v>78</v>
      </c>
      <c r="N69" s="295" t="s">
        <v>55</v>
      </c>
      <c r="O69" s="295" t="s">
        <v>55</v>
      </c>
      <c r="P69" s="295" t="s">
        <v>76</v>
      </c>
      <c r="Q69" s="295" t="s">
        <v>73</v>
      </c>
      <c r="R69" s="28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88">
        <f>(1 - ((1 - VLOOKUP(Table4[[#This Row],[Confidentiality]],'Reference - CVSSv3.0'!$B$15:$C$17,2,FALSE)) * (1 - VLOOKUP(Table4[[#This Row],[Integrity]],'Reference - CVSSv3.0'!$B$15:$C$17,2,FALSE)) *  (1 - VLOOKUP(Table4[[#This Row],[Availability]],'Reference - CVSSv3.0'!$B$15:$C$17,2,FALSE))))</f>
        <v>0.65680000000000005</v>
      </c>
      <c r="T69" s="288">
        <f>IF(Table4[[#This Row],[Scope]]="Unchanged",6.42*Table4[[#This Row],[ISC Base]],IF(Table4[[#This Row],[Scope]]="Changed",7.52*(Table4[[#This Row],[ISC Base]] - 0.029) - 3.25 * POWER(Table4[[#This Row],[ISC Base]] - 0.02,15),NA()))</f>
        <v>4.2166560000000004</v>
      </c>
      <c r="U69" s="288">
        <f>IF(Table4[[#This Row],[Impact Sub Score]]&lt;=0,0,IF(Table4[[#This Row],[Scope]]="Unchanged",ROUNDUP(MIN((Table4[[#This Row],[Impact Sub Score]]+Table4[[#This Row],[Exploitability Sub Score]]),10),1),IF(Table4[[#This Row],[Scope]]="Changed",ROUNDUP(MIN((1.08*(Table4[[#This Row],[Impact Sub Score]]+Table4[[#This Row],[Exploitability Sub Score]])),10),1),NA())))</f>
        <v>6.1</v>
      </c>
      <c r="V69" s="298" t="s">
        <v>54</v>
      </c>
      <c r="W69" s="288">
        <f>VLOOKUP(Table4[[#This Row],[Threat Event Initiation]],NIST_Scale_LOAI[],2,FALSE)</f>
        <v>0.5</v>
      </c>
      <c r="X69" s="28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9" s="2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255" t="s">
        <v>480</v>
      </c>
      <c r="AA69" s="262"/>
      <c r="AB69" s="290"/>
      <c r="AC69" s="262"/>
      <c r="AD69" s="262"/>
      <c r="AE69" s="262"/>
      <c r="AF69" s="286"/>
      <c r="AG69" s="286"/>
      <c r="AH69" s="286"/>
      <c r="AI69" s="286"/>
      <c r="AJ69" s="291"/>
      <c r="AK69" s="28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88" t="e">
        <f>(1 - ((1 - VLOOKUP(Table4[[#This Row],[ConfidentialityP]],'Reference - CVSSv3.0'!$B$15:$C$17,2,FALSE)) * (1 - VLOOKUP(Table4[[#This Row],[IntegrityP]],'Reference - CVSSv3.0'!$B$15:$C$17,2,FALSE)) *  (1 - VLOOKUP(Table4[[#This Row],[AvailabilityP]],'Reference - CVSSv3.0'!$B$15:$C$17,2,FALSE))))</f>
        <v>#N/A</v>
      </c>
      <c r="AM69" s="288" t="e">
        <f>IF(Table4[[#This Row],[ScopeP]]="Unchanged",6.42*Table4[[#This Row],[ISC BaseP]],IF(Table4[[#This Row],[ScopeP]]="Changed",7.52*(Table4[[#This Row],[ISC BaseP]] - 0.029) - 3.25 * POWER(Table4[[#This Row],[ISC BaseP]] - 0.02,15),NA()))</f>
        <v>#N/A</v>
      </c>
      <c r="AN69" s="28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8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62"/>
    </row>
    <row r="70" spans="1:43" ht="140" x14ac:dyDescent="0.35">
      <c r="A70" s="305">
        <v>70</v>
      </c>
      <c r="B70" s="264" t="s">
        <v>470</v>
      </c>
      <c r="C70" s="284" t="str">
        <f>IF(VLOOKUP(Table4[[#This Row],[T ID]],Table5[#All],5,FALSE)="No","Not in scope",VLOOKUP(Table4[[#This Row],[T ID]],Table5[#All],2,FALSE))</f>
        <v>Risk of using Linux</v>
      </c>
      <c r="D70" s="262" t="s">
        <v>469</v>
      </c>
      <c r="E70" s="284" t="str">
        <f>IF(VLOOKUP(Table4[[#This Row],[V ID]],Vulnerabilities[#All],3,FALSE)="No","Not in scope",VLOOKUP(Table4[[#This Row],[V ID]],Vulnerabilities[#All],2,FALSE))</f>
        <v>Securtiy packages not properly configured during OS build</v>
      </c>
      <c r="F70" s="294" t="s">
        <v>444</v>
      </c>
      <c r="G70" s="284" t="str">
        <f>VLOOKUP(Table4[[#This Row],[A ID]],Assets[#All],3,FALSE)</f>
        <v>Q carts &amp; Ortho Q carts running with Linux OS</v>
      </c>
      <c r="H70" s="278" t="s">
        <v>501</v>
      </c>
      <c r="I70" s="262"/>
      <c r="J70" s="307" t="s">
        <v>76</v>
      </c>
      <c r="K70" s="307" t="s">
        <v>55</v>
      </c>
      <c r="L70" s="307" t="s">
        <v>64</v>
      </c>
      <c r="M70" s="295" t="s">
        <v>78</v>
      </c>
      <c r="N70" s="295" t="s">
        <v>55</v>
      </c>
      <c r="O70" s="295" t="s">
        <v>55</v>
      </c>
      <c r="P70" s="295" t="s">
        <v>76</v>
      </c>
      <c r="Q70" s="295" t="s">
        <v>73</v>
      </c>
      <c r="R70" s="28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88">
        <f>(1 - ((1 - VLOOKUP(Table4[[#This Row],[Confidentiality]],'Reference - CVSSv3.0'!$B$15:$C$17,2,FALSE)) * (1 - VLOOKUP(Table4[[#This Row],[Integrity]],'Reference - CVSSv3.0'!$B$15:$C$17,2,FALSE)) *  (1 - VLOOKUP(Table4[[#This Row],[Availability]],'Reference - CVSSv3.0'!$B$15:$C$17,2,FALSE))))</f>
        <v>0.65680000000000005</v>
      </c>
      <c r="T70" s="288">
        <f>IF(Table4[[#This Row],[Scope]]="Unchanged",6.42*Table4[[#This Row],[ISC Base]],IF(Table4[[#This Row],[Scope]]="Changed",7.52*(Table4[[#This Row],[ISC Base]] - 0.029) - 3.25 * POWER(Table4[[#This Row],[ISC Base]] - 0.02,15),NA()))</f>
        <v>4.2166560000000004</v>
      </c>
      <c r="U70" s="288">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98" t="s">
        <v>54</v>
      </c>
      <c r="W70" s="288">
        <f>VLOOKUP(Table4[[#This Row],[Threat Event Initiation]],NIST_Scale_LOAI[],2,FALSE)</f>
        <v>0.5</v>
      </c>
      <c r="X70" s="28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254" t="s">
        <v>481</v>
      </c>
      <c r="AA70" s="262"/>
      <c r="AB70" s="290"/>
      <c r="AC70" s="262"/>
      <c r="AD70" s="262"/>
      <c r="AE70" s="262"/>
      <c r="AF70" s="286"/>
      <c r="AG70" s="286"/>
      <c r="AH70" s="286"/>
      <c r="AI70" s="286"/>
      <c r="AJ70" s="291"/>
      <c r="AK70" s="28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88" t="e">
        <f>(1 - ((1 - VLOOKUP(Table4[[#This Row],[ConfidentialityP]],'Reference - CVSSv3.0'!$B$15:$C$17,2,FALSE)) * (1 - VLOOKUP(Table4[[#This Row],[IntegrityP]],'Reference - CVSSv3.0'!$B$15:$C$17,2,FALSE)) *  (1 - VLOOKUP(Table4[[#This Row],[AvailabilityP]],'Reference - CVSSv3.0'!$B$15:$C$17,2,FALSE))))</f>
        <v>#N/A</v>
      </c>
      <c r="AM70" s="288" t="e">
        <f>IF(Table4[[#This Row],[ScopeP]]="Unchanged",6.42*Table4[[#This Row],[ISC BaseP]],IF(Table4[[#This Row],[ScopeP]]="Changed",7.52*(Table4[[#This Row],[ISC BaseP]] - 0.029) - 3.25 * POWER(Table4[[#This Row],[ISC BaseP]] - 0.02,15),NA()))</f>
        <v>#N/A</v>
      </c>
      <c r="AN70" s="28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8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62"/>
    </row>
    <row r="71" spans="1:43" ht="98" x14ac:dyDescent="0.35">
      <c r="A71" s="276">
        <v>71</v>
      </c>
      <c r="B71" s="244" t="s">
        <v>470</v>
      </c>
      <c r="C71" s="266" t="str">
        <f>IF(VLOOKUP(Table4[[#This Row],[T ID]],Table5[#All],5,FALSE)="No","Not in scope",VLOOKUP(Table4[[#This Row],[T ID]],Table5[#All],2,FALSE))</f>
        <v>Risk of using Linux</v>
      </c>
      <c r="D71" s="244" t="s">
        <v>502</v>
      </c>
      <c r="E71" s="266" t="str">
        <f>IF(VLOOKUP(Table4[[#This Row],[V ID]],Vulnerabilities[#All],3,FALSE)="No","Not in scope",VLOOKUP(Table4[[#This Row],[V ID]],Vulnerabilities[#All],2,FALSE))</f>
        <v>Critical patches not identified and integrated within timeline</v>
      </c>
      <c r="F71" s="267" t="s">
        <v>444</v>
      </c>
      <c r="G71" s="266" t="str">
        <f>VLOOKUP(Table4[[#This Row],[A ID]],Assets[#All],3,FALSE)</f>
        <v>Q carts &amp; Ortho Q carts running with Linux OS</v>
      </c>
      <c r="H71" s="278" t="s">
        <v>504</v>
      </c>
      <c r="I71" s="244"/>
      <c r="J71" s="306" t="s">
        <v>76</v>
      </c>
      <c r="K71" s="306" t="s">
        <v>55</v>
      </c>
      <c r="L71" s="306" t="s">
        <v>64</v>
      </c>
      <c r="M71" s="268" t="s">
        <v>78</v>
      </c>
      <c r="N71" s="268" t="s">
        <v>55</v>
      </c>
      <c r="O71" s="268" t="s">
        <v>55</v>
      </c>
      <c r="P71" s="268" t="s">
        <v>76</v>
      </c>
      <c r="Q71" s="268" t="s">
        <v>73</v>
      </c>
      <c r="R71"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70">
        <f>(1 - ((1 - VLOOKUP(Table4[[#This Row],[Confidentiality]],'Reference - CVSSv3.0'!$B$15:$C$17,2,FALSE)) * (1 - VLOOKUP(Table4[[#This Row],[Integrity]],'Reference - CVSSv3.0'!$B$15:$C$17,2,FALSE)) *  (1 - VLOOKUP(Table4[[#This Row],[Availability]],'Reference - CVSSv3.0'!$B$15:$C$17,2,FALSE))))</f>
        <v>0.65680000000000005</v>
      </c>
      <c r="T71" s="270">
        <f>IF(Table4[[#This Row],[Scope]]="Unchanged",6.42*Table4[[#This Row],[ISC Base]],IF(Table4[[#This Row],[Scope]]="Changed",7.52*(Table4[[#This Row],[ISC Base]] - 0.029) - 3.25 * POWER(Table4[[#This Row],[ISC Base]] - 0.02,15),NA()))</f>
        <v>4.2166560000000004</v>
      </c>
      <c r="U71"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71" s="271" t="s">
        <v>54</v>
      </c>
      <c r="W71" s="270">
        <f>VLOOKUP(Table4[[#This Row],[Threat Event Initiation]],NIST_Scale_LOAI[],2,FALSE)</f>
        <v>0.5</v>
      </c>
      <c r="X71"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1"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279" t="s">
        <v>505</v>
      </c>
      <c r="AA71" s="244"/>
      <c r="AB71" s="273"/>
      <c r="AC71" s="244"/>
      <c r="AD71" s="244"/>
      <c r="AE71" s="244"/>
      <c r="AF71" s="268"/>
      <c r="AG71" s="268"/>
      <c r="AH71" s="268"/>
      <c r="AI71" s="268"/>
      <c r="AJ71" s="274"/>
      <c r="AK71"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70" t="e">
        <f>(1 - ((1 - VLOOKUP(Table4[[#This Row],[ConfidentialityP]],'Reference - CVSSv3.0'!$B$15:$C$17,2,FALSE)) * (1 - VLOOKUP(Table4[[#This Row],[IntegrityP]],'Reference - CVSSv3.0'!$B$15:$C$17,2,FALSE)) *  (1 - VLOOKUP(Table4[[#This Row],[AvailabilityP]],'Reference - CVSSv3.0'!$B$15:$C$17,2,FALSE))))</f>
        <v>#N/A</v>
      </c>
      <c r="AM71" s="270" t="e">
        <f>IF(Table4[[#This Row],[ScopeP]]="Unchanged",6.42*Table4[[#This Row],[ISC BaseP]],IF(Table4[[#This Row],[ScopeP]]="Changed",7.52*(Table4[[#This Row],[ISC BaseP]] - 0.029) - 3.25 * POWER(Table4[[#This Row],[ISC BaseP]] - 0.02,15),NA()))</f>
        <v>#N/A</v>
      </c>
      <c r="AN71"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44"/>
    </row>
    <row r="72" spans="1:43" ht="56" x14ac:dyDescent="0.35">
      <c r="A72" s="304">
        <v>72</v>
      </c>
      <c r="B72" s="264" t="s">
        <v>517</v>
      </c>
      <c r="C72" s="293" t="str">
        <f>IF(VLOOKUP(Table4[[#This Row],[T ID]],Table5[#All],5,FALSE)="No","Not in scope",VLOOKUP(Table4[[#This Row],[T ID]],Table5[#All],2,FALSE))</f>
        <v>Application failed to restore data after any abnormal activity</v>
      </c>
      <c r="D72" s="264" t="s">
        <v>348</v>
      </c>
      <c r="E72" s="293" t="str">
        <f>IF(VLOOKUP(Table4[[#This Row],[V ID]],Vulnerabilities[#All],3,FALSE)="No","Not in scope",VLOOKUP(Table4[[#This Row],[V ID]],Vulnerabilities[#All],2,FALSE))</f>
        <v>Application not having periodic data backup &amp; restore plan</v>
      </c>
      <c r="F72" s="294" t="s">
        <v>330</v>
      </c>
      <c r="G72" s="293" t="str">
        <f>VLOOKUP(Table4[[#This Row],[A ID]],Assets[#All],3,FALSE)</f>
        <v>THOR Knee Intra-op Application</v>
      </c>
      <c r="H72" s="255" t="s">
        <v>521</v>
      </c>
      <c r="I72" s="264"/>
      <c r="J72" s="307" t="s">
        <v>55</v>
      </c>
      <c r="K72" s="307" t="s">
        <v>55</v>
      </c>
      <c r="L72" s="307" t="s">
        <v>64</v>
      </c>
      <c r="M72" s="295" t="s">
        <v>78</v>
      </c>
      <c r="N72" s="295" t="s">
        <v>55</v>
      </c>
      <c r="O72" s="295" t="s">
        <v>55</v>
      </c>
      <c r="P72" s="295" t="s">
        <v>76</v>
      </c>
      <c r="Q72" s="295" t="s">
        <v>73</v>
      </c>
      <c r="R72" s="2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97">
        <f>(1 - ((1 - VLOOKUP(Table4[[#This Row],[Confidentiality]],'Reference - CVSSv3.0'!$B$15:$C$17,2,FALSE)) * (1 - VLOOKUP(Table4[[#This Row],[Integrity]],'Reference - CVSSv3.0'!$B$15:$C$17,2,FALSE)) *  (1 - VLOOKUP(Table4[[#This Row],[Availability]],'Reference - CVSSv3.0'!$B$15:$C$17,2,FALSE))))</f>
        <v>0.73230400000000007</v>
      </c>
      <c r="T72" s="297">
        <f>IF(Table4[[#This Row],[Scope]]="Unchanged",6.42*Table4[[#This Row],[ISC Base]],IF(Table4[[#This Row],[Scope]]="Changed",7.52*(Table4[[#This Row],[ISC Base]] - 0.029) - 3.25 * POWER(Table4[[#This Row],[ISC Base]] - 0.02,15),NA()))</f>
        <v>4.7013916800000004</v>
      </c>
      <c r="U72" s="297">
        <f>IF(Table4[[#This Row],[Impact Sub Score]]&lt;=0,0,IF(Table4[[#This Row],[Scope]]="Unchanged",ROUNDUP(MIN((Table4[[#This Row],[Impact Sub Score]]+Table4[[#This Row],[Exploitability Sub Score]]),10),1),IF(Table4[[#This Row],[Scope]]="Changed",ROUNDUP(MIN((1.08*(Table4[[#This Row],[Impact Sub Score]]+Table4[[#This Row],[Exploitability Sub Score]])),10),1),NA())))</f>
        <v>6.6</v>
      </c>
      <c r="V72" s="298" t="s">
        <v>64</v>
      </c>
      <c r="W72" s="297">
        <f>VLOOKUP(Table4[[#This Row],[Threat Event Initiation]],NIST_Scale_LOAI[],2,FALSE)</f>
        <v>0.8</v>
      </c>
      <c r="X72" s="29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72" s="2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254" t="s">
        <v>522</v>
      </c>
      <c r="AA72" s="264"/>
      <c r="AB72" s="300"/>
      <c r="AC72" s="264"/>
      <c r="AD72" s="264"/>
      <c r="AE72" s="264"/>
      <c r="AF72" s="295"/>
      <c r="AG72" s="295"/>
      <c r="AH72" s="295"/>
      <c r="AI72" s="295"/>
      <c r="AJ72" s="301"/>
      <c r="AK72" s="29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97" t="e">
        <f>(1 - ((1 - VLOOKUP(Table4[[#This Row],[ConfidentialityP]],'Reference - CVSSv3.0'!$B$15:$C$17,2,FALSE)) * (1 - VLOOKUP(Table4[[#This Row],[IntegrityP]],'Reference - CVSSv3.0'!$B$15:$C$17,2,FALSE)) *  (1 - VLOOKUP(Table4[[#This Row],[AvailabilityP]],'Reference - CVSSv3.0'!$B$15:$C$17,2,FALSE))))</f>
        <v>#N/A</v>
      </c>
      <c r="AM72" s="297" t="e">
        <f>IF(Table4[[#This Row],[ScopeP]]="Unchanged",6.42*Table4[[#This Row],[ISC BaseP]],IF(Table4[[#This Row],[ScopeP]]="Changed",7.52*(Table4[[#This Row],[ISC BaseP]] - 0.029) - 3.25 * POWER(Table4[[#This Row],[ISC BaseP]] - 0.02,15),NA()))</f>
        <v>#N/A</v>
      </c>
      <c r="AN72" s="29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9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3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64"/>
    </row>
  </sheetData>
  <mergeCells count="4">
    <mergeCell ref="AC3:AQ3"/>
    <mergeCell ref="Z3:AB3"/>
    <mergeCell ref="F3:I3"/>
    <mergeCell ref="J3:Y3"/>
  </mergeCells>
  <phoneticPr fontId="51" type="noConversion"/>
  <conditionalFormatting sqref="AP7:AP23 Y5:Y72">
    <cfRule type="cellIs" dxfId="24" priority="26" operator="equal">
      <formula>"Critical"</formula>
    </cfRule>
    <cfRule type="cellIs" dxfId="23" priority="27" operator="equal">
      <formula>"HIGH"</formula>
    </cfRule>
    <cfRule type="cellIs" dxfId="22" priority="28" operator="equal">
      <formula>"Medium"</formula>
    </cfRule>
    <cfRule type="cellIs" dxfId="21" priority="29" operator="equal">
      <formula>"None"</formula>
    </cfRule>
    <cfRule type="cellIs" dxfId="20" priority="30" operator="equal">
      <formula>"Low"</formula>
    </cfRule>
  </conditionalFormatting>
  <conditionalFormatting sqref="AP5:AP6">
    <cfRule type="cellIs" dxfId="19" priority="11" operator="equal">
      <formula>"Critical"</formula>
    </cfRule>
    <cfRule type="cellIs" dxfId="18" priority="12" operator="equal">
      <formula>"HIGH"</formula>
    </cfRule>
    <cfRule type="cellIs" dxfId="17" priority="13" operator="equal">
      <formula>"Medium"</formula>
    </cfRule>
    <cfRule type="cellIs" dxfId="16" priority="14" operator="equal">
      <formula>"None"</formula>
    </cfRule>
    <cfRule type="cellIs" dxfId="15" priority="1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AJ5:AJ72 Q5:Q72</xm:sqref>
        </x14:dataValidation>
        <x14:dataValidation type="list" allowBlank="1" showInputMessage="1" showErrorMessage="1" xr:uid="{00000000-0002-0000-0400-00000A000000}">
          <x14:formula1>
            <xm:f>'Reference - CVSSv3.0'!$B$15:$B$18</xm:f>
          </x14:formula1>
          <xm:sqref>AC5:AE72 J5:L72</xm:sqref>
        </x14:dataValidation>
        <x14:dataValidation type="list" allowBlank="1" showInputMessage="1" showErrorMessage="1" xr:uid="{00000000-0002-0000-0400-00000B000000}">
          <x14:formula1>
            <xm:f>'Reference - CVSSv3.0'!$B$6:$B$10</xm:f>
          </x14:formula1>
          <xm:sqref>AF5:AF72 M5:M72</xm:sqref>
        </x14:dataValidation>
        <x14:dataValidation type="list" allowBlank="1" showInputMessage="1" showErrorMessage="1" xr:uid="{00000000-0002-0000-0400-00000C000000}">
          <x14:formula1>
            <xm:f>'Reference - CVSSv3.0'!$E$6:$E$8</xm:f>
          </x14:formula1>
          <xm:sqref>AG5:AG72 N5:N72</xm:sqref>
        </x14:dataValidation>
        <x14:dataValidation type="list" allowBlank="1" showInputMessage="1" showErrorMessage="1" xr:uid="{00000000-0002-0000-0400-00000D000000}">
          <x14:formula1>
            <xm:f>'Reference - CVSSv3.0'!$H$6:$H$9</xm:f>
          </x14:formula1>
          <xm:sqref>AH5:AH72 O5:O72</xm:sqref>
        </x14:dataValidation>
        <x14:dataValidation type="list" allowBlank="1" showInputMessage="1" showErrorMessage="1" xr:uid="{00000000-0002-0000-0400-00000E000000}">
          <x14:formula1>
            <xm:f>'Reference - CVSSv3.0'!$L$6:$L$8</xm:f>
          </x14:formula1>
          <xm:sqref>AI5:AI72 P5:P72</xm:sqref>
        </x14:dataValidation>
        <x14:dataValidation type="list" allowBlank="1" showInputMessage="1" showErrorMessage="1" xr:uid="{00000000-0002-0000-0400-00000F000000}">
          <x14:formula1>
            <xm:f>'Reference - CVSSv3.0'!$Q$5:$Q$10</xm:f>
          </x14:formula1>
          <xm:sqref>V5:V72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sqref="A1:G2"/>
    </sheetView>
  </sheetViews>
  <sheetFormatPr defaultColWidth="11.54296875" defaultRowHeight="14.5" x14ac:dyDescent="0.35"/>
  <cols>
    <col min="1" max="1" width="13.1796875" customWidth="1"/>
    <col min="2" max="2" width="58.453125" customWidth="1"/>
    <col min="3" max="3" width="22.453125" customWidth="1"/>
    <col min="4" max="4" width="42.54296875" customWidth="1"/>
    <col min="5" max="5" width="55.1796875" bestFit="1" customWidth="1"/>
  </cols>
  <sheetData>
    <row r="1" spans="1:7" x14ac:dyDescent="0.35">
      <c r="A1" s="326" t="s">
        <v>195</v>
      </c>
      <c r="B1" s="326"/>
      <c r="C1" s="326"/>
      <c r="D1" s="326"/>
      <c r="E1" s="326"/>
      <c r="F1" s="326"/>
      <c r="G1" s="326"/>
    </row>
    <row r="2" spans="1:7" x14ac:dyDescent="0.35">
      <c r="A2" s="327"/>
      <c r="B2" s="327"/>
      <c r="C2" s="327"/>
      <c r="D2" s="327"/>
      <c r="E2" s="327"/>
      <c r="F2" s="327"/>
      <c r="G2" s="327"/>
    </row>
    <row r="3" spans="1:7" ht="23" x14ac:dyDescent="0.35">
      <c r="A3" s="184"/>
      <c r="B3" s="184"/>
      <c r="C3" s="184"/>
      <c r="D3" s="184"/>
      <c r="E3" s="184"/>
      <c r="F3" s="184"/>
      <c r="G3" s="184"/>
    </row>
    <row r="5" spans="1:7" x14ac:dyDescent="0.35">
      <c r="A5" s="185" t="s">
        <v>195</v>
      </c>
    </row>
    <row r="6" spans="1:7" x14ac:dyDescent="0.35">
      <c r="A6" t="s">
        <v>216</v>
      </c>
      <c r="B6" t="s">
        <v>220</v>
      </c>
      <c r="C6" t="s">
        <v>222</v>
      </c>
      <c r="D6" t="s">
        <v>221</v>
      </c>
    </row>
    <row r="10" spans="1:7" ht="15.75" customHeight="1" x14ac:dyDescent="0.35"/>
    <row r="24" spans="11:13" x14ac:dyDescent="0.35">
      <c r="K24" s="191"/>
      <c r="L24" s="191"/>
      <c r="M24" s="192"/>
    </row>
    <row r="25" spans="11:13" x14ac:dyDescent="0.35">
      <c r="K25" s="193"/>
      <c r="L25" s="191"/>
      <c r="M25" s="192"/>
    </row>
    <row r="26" spans="11:13" x14ac:dyDescent="0.35">
      <c r="K26" s="191"/>
      <c r="L26" s="191"/>
      <c r="M26" s="192"/>
    </row>
    <row r="27" spans="11:13" x14ac:dyDescent="0.35">
      <c r="K27" s="191"/>
      <c r="L27" s="191"/>
      <c r="M27" s="191"/>
    </row>
    <row r="28" spans="11:13" x14ac:dyDescent="0.35">
      <c r="K28" s="191"/>
      <c r="L28" s="191"/>
      <c r="M28" s="191"/>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topLeftCell="A4" zoomScaleNormal="70" zoomScaleSheetLayoutView="100" workbookViewId="0">
      <selection activeCell="E1" sqref="E1"/>
    </sheetView>
  </sheetViews>
  <sheetFormatPr defaultColWidth="9.1796875" defaultRowHeight="14.5" x14ac:dyDescent="0.35"/>
  <cols>
    <col min="1" max="1" width="9.1796875" style="24" customWidth="1"/>
    <col min="2" max="2" width="4.81640625" style="24" customWidth="1"/>
    <col min="3" max="3" width="25.54296875" style="25" customWidth="1"/>
    <col min="4" max="4" width="5" style="24" customWidth="1"/>
    <col min="5" max="5" width="22" style="24" customWidth="1"/>
    <col min="6" max="6" width="6.453125" style="24" customWidth="1"/>
    <col min="7" max="7" width="28.54296875" style="24" customWidth="1"/>
    <col min="8" max="8" width="38" style="24" customWidth="1"/>
    <col min="9" max="9" width="25.453125" style="24" customWidth="1"/>
    <col min="10" max="10" width="15" style="24" customWidth="1"/>
    <col min="11" max="11" width="35.54296875" style="24" customWidth="1"/>
    <col min="12" max="12" width="15" style="24" customWidth="1"/>
    <col min="13" max="13" width="36.81640625" style="24" customWidth="1"/>
    <col min="14" max="16384" width="9.1796875" style="24"/>
  </cols>
  <sheetData>
    <row r="1" spans="1:14" s="48" customFormat="1" x14ac:dyDescent="0.35">
      <c r="A1" s="31" t="s">
        <v>197</v>
      </c>
      <c r="B1" s="71"/>
      <c r="C1" s="71"/>
      <c r="D1" s="71"/>
      <c r="E1" s="71"/>
      <c r="F1" s="71"/>
      <c r="G1" s="71"/>
      <c r="H1" s="71"/>
      <c r="I1" s="71"/>
      <c r="J1" s="71"/>
      <c r="K1" s="71"/>
      <c r="L1" s="71"/>
      <c r="M1" s="71"/>
      <c r="N1"/>
    </row>
    <row r="2" spans="1:14" s="48" customFormat="1" x14ac:dyDescent="0.35">
      <c r="A2" s="31"/>
      <c r="B2" s="71"/>
      <c r="C2" s="71"/>
      <c r="D2" s="71"/>
      <c r="E2" s="71"/>
      <c r="F2" s="71"/>
      <c r="G2" s="71"/>
      <c r="H2" s="71"/>
      <c r="I2" s="71"/>
      <c r="J2" s="71"/>
      <c r="K2" s="71"/>
      <c r="L2" s="71"/>
      <c r="M2" s="71"/>
      <c r="N2"/>
    </row>
    <row r="3" spans="1:14" s="48" customFormat="1" x14ac:dyDescent="0.35">
      <c r="A3" s="71" t="s">
        <v>132</v>
      </c>
      <c r="B3" s="71"/>
      <c r="C3" s="71"/>
      <c r="D3" s="71"/>
      <c r="E3" s="71"/>
      <c r="F3" s="71"/>
      <c r="G3" s="71"/>
      <c r="H3" s="71"/>
      <c r="I3" s="71"/>
      <c r="J3" s="71"/>
      <c r="K3" s="71"/>
      <c r="L3" s="71"/>
      <c r="M3" s="71"/>
      <c r="N3"/>
    </row>
    <row r="4" spans="1:14" s="48" customFormat="1" ht="42" customHeight="1" x14ac:dyDescent="0.35">
      <c r="A4" s="167" t="s">
        <v>1</v>
      </c>
      <c r="B4" s="168" t="s">
        <v>116</v>
      </c>
      <c r="C4" s="169" t="s">
        <v>2</v>
      </c>
      <c r="D4" s="170" t="s">
        <v>115</v>
      </c>
      <c r="E4" s="171" t="s">
        <v>14</v>
      </c>
      <c r="F4" s="172" t="s">
        <v>117</v>
      </c>
      <c r="G4" s="173" t="s">
        <v>196</v>
      </c>
      <c r="H4" s="173" t="s">
        <v>6</v>
      </c>
      <c r="I4" s="174" t="s">
        <v>166</v>
      </c>
      <c r="J4" s="175" t="s">
        <v>193</v>
      </c>
      <c r="K4" s="176" t="s">
        <v>195</v>
      </c>
      <c r="L4" s="177" t="s">
        <v>194</v>
      </c>
      <c r="M4" s="178" t="s">
        <v>4</v>
      </c>
      <c r="N4" s="2"/>
    </row>
    <row r="5" spans="1:14" s="48" customFormat="1" ht="56" x14ac:dyDescent="0.35">
      <c r="A5" s="66">
        <f>Table4[[#This Row],[
ID '#]]</f>
        <v>1</v>
      </c>
      <c r="B5" s="52" t="str">
        <f>IF(Table4[[#This Row],[A ID]]&gt;0,Table4[[#This Row],[T ID]],"")</f>
        <v>T01</v>
      </c>
      <c r="C5" s="45" t="str">
        <f>Table4[[#This Row],[Threat Event(s)]]</f>
        <v>Deliver undirected malware
(CAPEC-185)</v>
      </c>
      <c r="D5" s="52" t="str">
        <f>IF(Table4[[#This Row],[V ID]]&gt;0,Table4[[#This Row],[V ID]],"")</f>
        <v>V11</v>
      </c>
      <c r="E5" s="45" t="str">
        <f>Table4[[#This Row],[Vulnerabilities]]</f>
        <v>Unpatched OS</v>
      </c>
      <c r="F5" s="54" t="str">
        <f>IF(Table4[[#This Row],[A ID]]&gt;0,Table4[[#This Row],[A ID]],"")</f>
        <v>A01</v>
      </c>
      <c r="G5" s="45" t="str">
        <f>Table4[[#This Row],[Asset]]</f>
        <v>Nav3i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4" t="str">
        <f>IF(Table4[[#This Row],[Safety Impact 
(Risk ID'# or N/A)]]&gt;0,Table4[[#This Row],[Safety Impact 
(Risk ID'# or N/A)]],"")</f>
        <v/>
      </c>
      <c r="J5" s="87" t="str">
        <f>Table4[[#This Row],[Security 
Risk 
Level]]</f>
        <v>MEDIUM</v>
      </c>
      <c r="K5" s="45" t="str">
        <f>IF(Table4[[#This Row],[Security Risk Control Measures]]&gt;0,Table4[[#This Row],[Security Risk Control Measures]],"")</f>
        <v>Application Whitelisting
Firewall
Virus Scan
User authentication</v>
      </c>
      <c r="L5" s="87" t="str">
        <f>Table4[[#This Row],[Security Risk LevelP]]</f>
        <v>LOW</v>
      </c>
      <c r="M5" s="54" t="str">
        <f>IF(Table4[[#This Row],[Residual Security Risk Acceptability Justification]]&gt;0,Table4[[#This Row],[Residual Security Risk Acceptability Justification]],"")</f>
        <v xml:space="preserve"> </v>
      </c>
      <c r="N5"/>
    </row>
    <row r="6" spans="1:14" s="48" customFormat="1" ht="84" x14ac:dyDescent="0.35">
      <c r="A6" s="65">
        <f>Table4[[#This Row],[
ID '#]]</f>
        <v>2</v>
      </c>
      <c r="B6" s="52" t="str">
        <f>IF(Table4[[#This Row],[A ID]]&gt;0,Table4[[#This Row],[T ID]],"")</f>
        <v>T02</v>
      </c>
      <c r="C6" s="45" t="str">
        <f>Table4[[#This Row],[Threat Event(s)]]</f>
        <v>Deliver directed malware
(CAPEC-185)</v>
      </c>
      <c r="D6" s="54" t="str">
        <f>IF(Table4[[#This Row],[V ID]]&gt;0,Table4[[#This Row],[V ID]],"")</f>
        <v>V24</v>
      </c>
      <c r="E6" s="45" t="str">
        <f>Table4[[#This Row],[Vulnerabilities]]</f>
        <v>Any unprotected hardware</v>
      </c>
      <c r="F6" s="54" t="str">
        <f>IF(Table4[[#This Row],[A ID]]&gt;0,Table4[[#This Row],[A ID]],"")</f>
        <v>A01</v>
      </c>
      <c r="G6" s="45" t="str">
        <f>Table4[[#This Row],[Asset]]</f>
        <v>Nav3i cart/ System running with windows 8.1</v>
      </c>
      <c r="H6"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6" s="54" t="str">
        <f>IF(Table4[[#This Row],[Safety Impact 
(Risk ID'# or N/A)]]&gt;0,Table4[[#This Row],[Safety Impact 
(Risk ID'# or N/A)]],"")</f>
        <v/>
      </c>
      <c r="J6" s="87" t="str">
        <f>Table4[[#This Row],[Security 
Risk 
Level]]</f>
        <v>MEDIUM</v>
      </c>
      <c r="K6" s="45" t="str">
        <f>IF(Table4[[#This Row],[Security Risk Control Measures]]&gt;0,Table4[[#This Row],[Security Risk Control Measures]],"")</f>
        <v/>
      </c>
      <c r="L6" s="87" t="str">
        <f>Table4[[#This Row],[Security Risk LevelP]]</f>
        <v/>
      </c>
      <c r="M6" s="54" t="str">
        <f>IF(Table4[[#This Row],[Residual Security Risk Acceptability Justification]]&gt;0,Table4[[#This Row],[Residual Security Risk Acceptability Justification]],"")</f>
        <v/>
      </c>
      <c r="N6"/>
    </row>
    <row r="7" spans="1:14" s="48" customFormat="1" ht="56" x14ac:dyDescent="0.35">
      <c r="A7" s="65">
        <f>Table4[[#This Row],[
ID '#]]</f>
        <v>3</v>
      </c>
      <c r="B7" s="52" t="str">
        <f>IF(Table4[[#This Row],[A ID]]&gt;0,Table4[[#This Row],[T ID]],"")</f>
        <v>T10</v>
      </c>
      <c r="C7" s="45" t="str">
        <f>Table4[[#This Row],[Threat Event(s)]]</f>
        <v>Mis-configuration by user</v>
      </c>
      <c r="D7" s="54" t="str">
        <f>IF(Table4[[#This Row],[V ID]]&gt;0,Table4[[#This Row],[V ID]],"")</f>
        <v>V03</v>
      </c>
      <c r="E7" s="45" t="str">
        <f>Table4[[#This Row],[Vulnerabilities]]</f>
        <v>Untrained/Malicious User</v>
      </c>
      <c r="F7" s="54" t="str">
        <f>IF(Table4[[#This Row],[A ID]]&gt;0,Table4[[#This Row],[A ID]],"")</f>
        <v>A02</v>
      </c>
      <c r="G7" s="45" t="str">
        <f>Table4[[#This Row],[Asset]]</f>
        <v>Admin Password / Credentials / System Configuration / Certificates</v>
      </c>
      <c r="H7" s="45" t="str">
        <f>IF(Table4[[#This Row],[Impact Description]]&gt;0,Table4[[#This Row],[Impact Description]],"")</f>
        <v xml:space="preserve">If a user misconfigures the system, this might lead to unavailability of the navigation system or make the system less performant for the user. </v>
      </c>
      <c r="I7" s="54" t="str">
        <f>IF(Table4[[#This Row],[Safety Impact 
(Risk ID'# or N/A)]]&gt;0,Table4[[#This Row],[Safety Impact 
(Risk ID'# or N/A)]],"")</f>
        <v/>
      </c>
      <c r="J7" s="87" t="str">
        <f>Table4[[#This Row],[Security 
Risk 
Level]]</f>
        <v>LOW</v>
      </c>
      <c r="K7" s="54" t="str">
        <f>IF(Table4[[#This Row],[Security Risk Control Measures]]&gt;0,Table4[[#This Row],[Security Risk Control Measures]],"")</f>
        <v>Application Whitelisting
Firewall
Virus Scan
User authentication</v>
      </c>
      <c r="L7" s="87" t="str">
        <f>Table4[[#This Row],[Security Risk LevelP]]</f>
        <v>MEDIUM</v>
      </c>
      <c r="M7" s="54" t="str">
        <f>IF(Table4[[#This Row],[Residual Security Risk Acceptability Justification]]&gt;0,Table4[[#This Row],[Residual Security Risk Acceptability Justification]],"")</f>
        <v>Justification</v>
      </c>
      <c r="N7"/>
    </row>
    <row r="8" spans="1:14" s="48" customFormat="1" ht="56" x14ac:dyDescent="0.35">
      <c r="A8" s="65">
        <f>Table4[[#This Row],[
ID '#]]</f>
        <v>4</v>
      </c>
      <c r="B8" s="52" t="str">
        <f>IF(Table4[[#This Row],[A ID]]&gt;0,Table4[[#This Row],[T ID]],"")</f>
        <v>T03</v>
      </c>
      <c r="C8" s="45" t="str">
        <f>Table4[[#This Row],[Threat Event(s)]]</f>
        <v xml:space="preserve">Perform perimeter network reconnaissance/scanning. </v>
      </c>
      <c r="D8" s="54" t="str">
        <f>IF(Table4[[#This Row],[V ID]]&gt;0,Table4[[#This Row],[V ID]],"")</f>
        <v>V21</v>
      </c>
      <c r="E8" s="45" t="str">
        <f>Table4[[#This Row],[Vulnerabilities]]</f>
        <v>Unprotected network port</v>
      </c>
      <c r="F8" s="54" t="str">
        <f>IF(Table4[[#This Row],[A ID]]&gt;0,Table4[[#This Row],[A ID]],"")</f>
        <v>A07</v>
      </c>
      <c r="G8" s="45" t="str">
        <f>Table4[[#This Row],[Asset]]</f>
        <v>Computer/OS network identification</v>
      </c>
      <c r="H8" s="45" t="str">
        <f>IF(Table4[[#This Row],[Impact Description]]&gt;0,Table4[[#This Row],[Impact Description]],"")</f>
        <v>Obtain knowledge about system internals in an attempt to find attack vectors and possibilities for exploitation of publicly known Vulnerabilities</v>
      </c>
      <c r="I8" s="54" t="str">
        <f>IF(Table4[[#This Row],[Safety Impact 
(Risk ID'# or N/A)]]&gt;0,Table4[[#This Row],[Safety Impact 
(Risk ID'# or N/A)]],"")</f>
        <v/>
      </c>
      <c r="J8" s="87" t="str">
        <f>Table4[[#This Row],[Security 
Risk 
Level]]</f>
        <v>LOW</v>
      </c>
      <c r="K8" s="54" t="str">
        <f>IF(Table4[[#This Row],[Security Risk Control Measures]]&gt;0,Table4[[#This Row],[Security Risk Control Measures]],"")</f>
        <v/>
      </c>
      <c r="L8" s="87" t="str">
        <f>Table4[[#This Row],[Security Risk LevelP]]</f>
        <v/>
      </c>
      <c r="M8" s="54" t="str">
        <f>IF(Table4[[#This Row],[Residual Security Risk Acceptability Justification]]&gt;0,Table4[[#This Row],[Residual Security Risk Acceptability Justification]],"")</f>
        <v/>
      </c>
      <c r="N8"/>
    </row>
    <row r="9" spans="1:14" s="48" customFormat="1" ht="28" x14ac:dyDescent="0.35">
      <c r="A9" s="65">
        <f>Table4[[#This Row],[
ID '#]]</f>
        <v>5</v>
      </c>
      <c r="B9" s="52" t="str">
        <f>IF(Table4[[#This Row],[A ID]]&gt;0,Table4[[#This Row],[T ID]],"")</f>
        <v>T05</v>
      </c>
      <c r="C9" s="45" t="str">
        <f>Table4[[#This Row],[Threat Event(s)]]</f>
        <v xml:space="preserve">Conduct scavenging of ePHI at rest </v>
      </c>
      <c r="D9" s="54" t="str">
        <f>IF(Table4[[#This Row],[V ID]]&gt;0,Table4[[#This Row],[V ID]],"")</f>
        <v>V01</v>
      </c>
      <c r="E9" s="45" t="str">
        <f>Table4[[#This Row],[Vulnerabilities]]</f>
        <v>Ineffective management of user credentials</v>
      </c>
      <c r="F9" s="54" t="str">
        <f>IF(Table4[[#This Row],[A ID]]&gt;0,Table4[[#This Row],[A ID]],"")</f>
        <v>A05</v>
      </c>
      <c r="G9" s="45" t="str">
        <f>Table4[[#This Row],[Asset]]</f>
        <v>Patient health information at rest</v>
      </c>
      <c r="H9" s="45" t="str">
        <f>IF(Table4[[#This Row],[Impact Description]]&gt;0,Table4[[#This Row],[Impact Description]],"")</f>
        <v>ePHI stored on Navigation System is exposed to third parties.</v>
      </c>
      <c r="I9" s="54" t="str">
        <f>IF(Table4[[#This Row],[Safety Impact 
(Risk ID'# or N/A)]]&gt;0,Table4[[#This Row],[Safety Impact 
(Risk ID'# or N/A)]],"")</f>
        <v/>
      </c>
      <c r="J9" s="87" t="str">
        <f>Table4[[#This Row],[Security 
Risk 
Level]]</f>
        <v>MEDIUM</v>
      </c>
      <c r="K9" s="54" t="str">
        <f>IF(Table4[[#This Row],[Security Risk Control Measures]]&gt;0,Table4[[#This Row],[Security Risk Control Measures]],"")</f>
        <v/>
      </c>
      <c r="L9" s="156" t="str">
        <f>Table4[[#This Row],[Security Risk LevelP]]</f>
        <v/>
      </c>
      <c r="M9" s="54" t="str">
        <f>IF(Table4[[#This Row],[Residual Security Risk Acceptability Justification]]&gt;0,Table4[[#This Row],[Residual Security Risk Acceptability Justification]],"")</f>
        <v/>
      </c>
      <c r="N9"/>
    </row>
    <row r="10" spans="1:14" s="48" customFormat="1" x14ac:dyDescent="0.35">
      <c r="A10"/>
      <c r="B10"/>
      <c r="C10"/>
      <c r="D10"/>
      <c r="E10"/>
      <c r="F10"/>
      <c r="G10"/>
      <c r="H10"/>
      <c r="I10"/>
      <c r="J10"/>
      <c r="K10"/>
      <c r="L10"/>
      <c r="M10"/>
      <c r="N10"/>
    </row>
    <row r="11" spans="1:14" s="48" customFormat="1" x14ac:dyDescent="0.35">
      <c r="A11" s="24"/>
      <c r="B11" s="24"/>
      <c r="C11" s="25"/>
      <c r="D11" s="24"/>
      <c r="E11" s="24"/>
      <c r="F11" s="24"/>
      <c r="G11" s="24"/>
    </row>
    <row r="12" spans="1:14" s="48" customFormat="1" ht="14" x14ac:dyDescent="0.25">
      <c r="A12" s="29" t="s">
        <v>170</v>
      </c>
      <c r="C12" s="58"/>
    </row>
    <row r="13" spans="1:14" s="48" customFormat="1" ht="32.25" customHeight="1" x14ac:dyDescent="0.25">
      <c r="B13" s="333" t="s">
        <v>171</v>
      </c>
      <c r="C13" s="333"/>
      <c r="D13" s="333"/>
      <c r="E13" s="333"/>
      <c r="F13" s="333"/>
      <c r="G13" s="333"/>
      <c r="H13" s="333"/>
    </row>
    <row r="14" spans="1:14" s="48" customFormat="1" x14ac:dyDescent="0.35">
      <c r="A14" s="24"/>
      <c r="B14" s="24"/>
      <c r="C14" s="25"/>
      <c r="D14" s="24"/>
      <c r="E14" s="24"/>
      <c r="F14" s="24"/>
      <c r="G14" s="24"/>
    </row>
    <row r="15" spans="1:14" s="48" customFormat="1" x14ac:dyDescent="0.35">
      <c r="A15" s="24"/>
      <c r="B15" s="24"/>
      <c r="C15" s="25"/>
      <c r="D15" s="24"/>
      <c r="E15" s="24"/>
      <c r="F15" s="24"/>
      <c r="G15" s="24"/>
    </row>
    <row r="16" spans="1:14" s="48" customFormat="1" x14ac:dyDescent="0.35">
      <c r="A16" s="24"/>
      <c r="B16" s="24"/>
      <c r="C16" s="25"/>
      <c r="D16" s="24"/>
      <c r="E16" s="24"/>
      <c r="F16" s="24"/>
      <c r="G16" s="24"/>
    </row>
    <row r="17" spans="1:8" s="48" customFormat="1" ht="32.25" customHeight="1" x14ac:dyDescent="0.25">
      <c r="A17" s="24"/>
      <c r="B17" s="24"/>
      <c r="C17" s="25"/>
      <c r="D17" s="24"/>
      <c r="E17" s="24"/>
      <c r="F17" s="24"/>
      <c r="G17" s="24"/>
      <c r="H17" s="183"/>
    </row>
  </sheetData>
  <mergeCells count="1">
    <mergeCell ref="B13:H13"/>
  </mergeCells>
  <conditionalFormatting sqref="L6:L9">
    <cfRule type="cellIs" dxfId="14" priority="1" operator="equal">
      <formula>"Critical"</formula>
    </cfRule>
    <cfRule type="cellIs" dxfId="13" priority="2" operator="equal">
      <formula>"HIGH"</formula>
    </cfRule>
    <cfRule type="cellIs" dxfId="12" priority="3" operator="equal">
      <formula>"Medium"</formula>
    </cfRule>
    <cfRule type="cellIs" dxfId="11" priority="4" operator="equal">
      <formula>"None"</formula>
    </cfRule>
    <cfRule type="cellIs" dxfId="10" priority="5" operator="equal">
      <formula>"Low"</formula>
    </cfRule>
  </conditionalFormatting>
  <conditionalFormatting sqref="J5:J9">
    <cfRule type="cellIs" dxfId="9" priority="11" operator="equal">
      <formula>"Critical"</formula>
    </cfRule>
    <cfRule type="cellIs" dxfId="8" priority="12" operator="equal">
      <formula>"HIGH"</formula>
    </cfRule>
    <cfRule type="cellIs" dxfId="7" priority="13" operator="equal">
      <formula>"Medium"</formula>
    </cfRule>
    <cfRule type="cellIs" dxfId="6" priority="14" operator="equal">
      <formula>"None"</formula>
    </cfRule>
    <cfRule type="cellIs" dxfId="5" priority="15" operator="equal">
      <formula>"Low"</formula>
    </cfRule>
  </conditionalFormatting>
  <conditionalFormatting sqref="L5">
    <cfRule type="cellIs" dxfId="4" priority="6" operator="equal">
      <formula>"Critical"</formula>
    </cfRule>
    <cfRule type="cellIs" dxfId="3" priority="7" operator="equal">
      <formula>"HIGH"</formula>
    </cfRule>
    <cfRule type="cellIs" dxfId="2" priority="8" operator="equal">
      <formula>"Medium"</formula>
    </cfRule>
    <cfRule type="cellIs" dxfId="1" priority="9" operator="equal">
      <formula>"None"</formula>
    </cfRule>
    <cfRule type="cellIs" dxfId="0"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defaultColWidth="9.1796875" defaultRowHeight="14.5" x14ac:dyDescent="0.35"/>
  <cols>
    <col min="1" max="1" width="2.453125" customWidth="1"/>
    <col min="2" max="2" width="15.453125" customWidth="1"/>
    <col min="4" max="4" width="5.453125" customWidth="1"/>
    <col min="7" max="7" width="5.453125" customWidth="1"/>
    <col min="11" max="11" width="5.453125" customWidth="1"/>
    <col min="14" max="14" width="5.1796875" customWidth="1"/>
    <col min="16" max="16" width="13.81640625" customWidth="1"/>
    <col min="17" max="17" width="11" customWidth="1"/>
    <col min="18" max="18" width="17" customWidth="1"/>
  </cols>
  <sheetData>
    <row r="1" spans="2:18" s="71" customFormat="1" ht="27.75" customHeight="1" x14ac:dyDescent="0.3">
      <c r="B1" s="89" t="s">
        <v>164</v>
      </c>
    </row>
    <row r="2" spans="2:18" s="71" customFormat="1" thickBot="1" x14ac:dyDescent="0.35"/>
    <row r="3" spans="2:18" s="71" customFormat="1" ht="18" thickBot="1" x14ac:dyDescent="0.4">
      <c r="B3" s="344" t="s">
        <v>80</v>
      </c>
      <c r="C3" s="345"/>
      <c r="D3" s="345"/>
      <c r="E3" s="345"/>
      <c r="F3" s="345"/>
      <c r="G3" s="345"/>
      <c r="H3" s="345"/>
      <c r="I3" s="345"/>
      <c r="J3" s="345"/>
      <c r="K3" s="345"/>
      <c r="L3" s="345"/>
      <c r="M3" s="345"/>
      <c r="N3" s="346"/>
      <c r="P3" s="344" t="s">
        <v>65</v>
      </c>
      <c r="Q3" s="345"/>
      <c r="R3" s="346"/>
    </row>
    <row r="4" spans="2:18" s="71" customFormat="1" ht="15.5" thickBot="1" x14ac:dyDescent="0.35">
      <c r="B4" s="351" t="s">
        <v>81</v>
      </c>
      <c r="C4" s="352"/>
      <c r="D4" s="353"/>
      <c r="E4" s="351" t="s">
        <v>82</v>
      </c>
      <c r="F4" s="352"/>
      <c r="G4" s="353"/>
      <c r="H4" s="351" t="s">
        <v>83</v>
      </c>
      <c r="I4" s="352"/>
      <c r="J4" s="352"/>
      <c r="K4" s="353"/>
      <c r="L4" s="354" t="s">
        <v>84</v>
      </c>
      <c r="M4" s="355"/>
      <c r="N4" s="356"/>
      <c r="P4" s="90"/>
      <c r="Q4" s="91" t="s">
        <v>126</v>
      </c>
      <c r="R4" s="92" t="s">
        <v>72</v>
      </c>
    </row>
    <row r="5" spans="2:18" s="71" customFormat="1" ht="15.5" thickBot="1" x14ac:dyDescent="0.35">
      <c r="B5" s="93" t="s">
        <v>85</v>
      </c>
      <c r="C5" s="93" t="s">
        <v>86</v>
      </c>
      <c r="D5" s="93" t="s">
        <v>87</v>
      </c>
      <c r="E5" s="93" t="s">
        <v>88</v>
      </c>
      <c r="F5" s="93" t="s">
        <v>86</v>
      </c>
      <c r="G5" s="93" t="s">
        <v>87</v>
      </c>
      <c r="H5" s="93" t="s">
        <v>85</v>
      </c>
      <c r="I5" s="358" t="s">
        <v>86</v>
      </c>
      <c r="J5" s="359"/>
      <c r="K5" s="93" t="s">
        <v>87</v>
      </c>
      <c r="L5" s="93" t="s">
        <v>85</v>
      </c>
      <c r="M5" s="93" t="s">
        <v>86</v>
      </c>
      <c r="N5" s="93" t="s">
        <v>87</v>
      </c>
      <c r="P5" s="94"/>
      <c r="Q5" s="95" t="s">
        <v>48</v>
      </c>
      <c r="R5" s="96">
        <v>0.04</v>
      </c>
    </row>
    <row r="6" spans="2:18" s="71" customFormat="1" ht="15" x14ac:dyDescent="0.3">
      <c r="B6" s="97" t="s">
        <v>77</v>
      </c>
      <c r="C6" s="98">
        <v>0.85</v>
      </c>
      <c r="D6" s="99" t="s">
        <v>57</v>
      </c>
      <c r="E6" s="97" t="s">
        <v>55</v>
      </c>
      <c r="F6" s="98">
        <v>0.77</v>
      </c>
      <c r="G6" s="100" t="s">
        <v>89</v>
      </c>
      <c r="H6" s="97" t="s">
        <v>76</v>
      </c>
      <c r="I6" s="101">
        <v>0.85</v>
      </c>
      <c r="J6" s="102">
        <v>0.85</v>
      </c>
      <c r="K6" s="99" t="s">
        <v>57</v>
      </c>
      <c r="L6" s="97" t="s">
        <v>76</v>
      </c>
      <c r="M6" s="103">
        <v>0.85</v>
      </c>
      <c r="N6" s="104" t="s">
        <v>57</v>
      </c>
      <c r="P6" s="94"/>
      <c r="Q6" s="105" t="s">
        <v>55</v>
      </c>
      <c r="R6" s="106">
        <v>0.2</v>
      </c>
    </row>
    <row r="7" spans="2:18" s="71" customFormat="1" ht="15" x14ac:dyDescent="0.3">
      <c r="B7" s="97" t="s">
        <v>79</v>
      </c>
      <c r="C7" s="107">
        <v>0.62</v>
      </c>
      <c r="D7" s="99" t="s">
        <v>90</v>
      </c>
      <c r="E7" s="97" t="s">
        <v>64</v>
      </c>
      <c r="F7" s="107">
        <v>0.44</v>
      </c>
      <c r="G7" s="100" t="s">
        <v>91</v>
      </c>
      <c r="H7" s="97" t="s">
        <v>55</v>
      </c>
      <c r="I7" s="108">
        <v>0.62</v>
      </c>
      <c r="J7" s="102">
        <v>0.68</v>
      </c>
      <c r="K7" s="99" t="s">
        <v>89</v>
      </c>
      <c r="L7" s="97" t="s">
        <v>75</v>
      </c>
      <c r="M7" s="109">
        <v>0.62</v>
      </c>
      <c r="N7" s="104" t="s">
        <v>92</v>
      </c>
      <c r="P7" s="94"/>
      <c r="Q7" s="110" t="s">
        <v>54</v>
      </c>
      <c r="R7" s="106">
        <v>0.5</v>
      </c>
    </row>
    <row r="8" spans="2:18" s="71" customFormat="1" ht="15" x14ac:dyDescent="0.3">
      <c r="B8" s="97" t="s">
        <v>78</v>
      </c>
      <c r="C8" s="107">
        <v>0.55000000000000004</v>
      </c>
      <c r="D8" s="99" t="s">
        <v>89</v>
      </c>
      <c r="E8" s="97"/>
      <c r="F8" s="107"/>
      <c r="G8" s="99"/>
      <c r="H8" s="97" t="s">
        <v>64</v>
      </c>
      <c r="I8" s="108">
        <v>0.27</v>
      </c>
      <c r="J8" s="102">
        <v>0.5</v>
      </c>
      <c r="K8" s="99" t="s">
        <v>91</v>
      </c>
      <c r="L8" s="97"/>
      <c r="M8" s="102"/>
      <c r="N8" s="104"/>
      <c r="P8" s="94"/>
      <c r="Q8" s="111" t="s">
        <v>64</v>
      </c>
      <c r="R8" s="106">
        <v>0.8</v>
      </c>
    </row>
    <row r="9" spans="2:18" s="71" customFormat="1" ht="15" x14ac:dyDescent="0.3">
      <c r="B9" s="97" t="s">
        <v>74</v>
      </c>
      <c r="C9" s="107">
        <v>0.2</v>
      </c>
      <c r="D9" s="104" t="s">
        <v>93</v>
      </c>
      <c r="E9" s="128"/>
      <c r="F9" s="127"/>
      <c r="G9" s="182"/>
      <c r="H9" s="97"/>
      <c r="I9" s="108"/>
      <c r="J9" s="102"/>
      <c r="K9" s="104"/>
      <c r="L9" s="97"/>
      <c r="M9" s="102"/>
      <c r="N9" s="104"/>
      <c r="P9" s="94"/>
      <c r="Q9" s="121" t="s">
        <v>104</v>
      </c>
      <c r="R9" s="106">
        <v>1</v>
      </c>
    </row>
    <row r="10" spans="2:18" s="71" customFormat="1" ht="15.5" thickBot="1" x14ac:dyDescent="0.35">
      <c r="B10" s="112"/>
      <c r="C10" s="113"/>
      <c r="D10" s="114"/>
      <c r="E10" s="115"/>
      <c r="F10" s="116"/>
      <c r="G10" s="117"/>
      <c r="H10" s="112"/>
      <c r="I10" s="118"/>
      <c r="J10" s="119"/>
      <c r="K10" s="114"/>
      <c r="L10" s="112"/>
      <c r="M10" s="119"/>
      <c r="N10" s="114"/>
      <c r="P10" s="120"/>
      <c r="R10" s="106"/>
    </row>
    <row r="11" spans="2:18" s="71" customFormat="1" thickBot="1" x14ac:dyDescent="0.35"/>
    <row r="12" spans="2:18" s="71" customFormat="1" ht="18" thickBot="1" x14ac:dyDescent="0.4">
      <c r="B12" s="344" t="s">
        <v>94</v>
      </c>
      <c r="C12" s="345"/>
      <c r="D12" s="345"/>
      <c r="E12" s="345"/>
      <c r="F12" s="345"/>
      <c r="G12" s="345"/>
      <c r="H12" s="345"/>
      <c r="I12" s="345"/>
      <c r="J12" s="345"/>
      <c r="K12" s="345"/>
      <c r="L12" s="345"/>
      <c r="M12" s="345"/>
      <c r="N12" s="346"/>
      <c r="P12" s="159" t="s">
        <v>176</v>
      </c>
      <c r="Q12" s="123" t="s">
        <v>124</v>
      </c>
    </row>
    <row r="13" spans="2:18" s="71" customFormat="1" ht="15.5" thickBot="1" x14ac:dyDescent="0.35">
      <c r="B13" s="347" t="s">
        <v>95</v>
      </c>
      <c r="C13" s="348"/>
      <c r="D13" s="348"/>
      <c r="E13" s="348"/>
      <c r="F13" s="348"/>
      <c r="G13" s="349"/>
      <c r="H13" s="348"/>
      <c r="I13" s="348"/>
      <c r="J13" s="348"/>
      <c r="K13" s="348"/>
      <c r="L13" s="348"/>
      <c r="M13" s="348"/>
      <c r="N13" s="350"/>
      <c r="P13" s="97"/>
      <c r="Q13" s="102" t="s">
        <v>177</v>
      </c>
    </row>
    <row r="14" spans="2:18" s="71" customFormat="1" thickBot="1" x14ac:dyDescent="0.35">
      <c r="B14" s="93" t="s">
        <v>85</v>
      </c>
      <c r="C14" s="93" t="s">
        <v>86</v>
      </c>
      <c r="D14" s="93" t="s">
        <v>87</v>
      </c>
      <c r="E14" s="122"/>
      <c r="F14" s="122"/>
      <c r="G14" s="122"/>
      <c r="H14" s="122"/>
      <c r="I14" s="122"/>
      <c r="J14" s="122"/>
      <c r="K14" s="122"/>
      <c r="L14" s="122"/>
      <c r="M14" s="122"/>
      <c r="N14" s="123"/>
      <c r="P14" s="112"/>
      <c r="Q14" s="119"/>
    </row>
    <row r="15" spans="2:18" s="71" customFormat="1" ht="16" x14ac:dyDescent="0.4">
      <c r="B15" s="124" t="s">
        <v>76</v>
      </c>
      <c r="C15" s="98">
        <v>0</v>
      </c>
      <c r="D15" s="125" t="s">
        <v>57</v>
      </c>
      <c r="E15" s="126" t="s">
        <v>172</v>
      </c>
      <c r="F15" s="127"/>
      <c r="G15" s="127"/>
      <c r="H15" s="127"/>
      <c r="J15" s="127"/>
      <c r="K15" s="127"/>
      <c r="L15" s="127"/>
      <c r="M15" s="127"/>
      <c r="N15" s="102"/>
    </row>
    <row r="16" spans="2:18" s="71" customFormat="1" ht="14" x14ac:dyDescent="0.3">
      <c r="B16" s="128" t="s">
        <v>55</v>
      </c>
      <c r="C16" s="107">
        <v>0.22</v>
      </c>
      <c r="D16" s="129" t="s">
        <v>89</v>
      </c>
      <c r="E16" s="127"/>
      <c r="F16" s="127"/>
      <c r="G16" s="127"/>
      <c r="H16" s="127"/>
      <c r="I16" s="127"/>
      <c r="J16" s="127"/>
      <c r="K16" s="127"/>
      <c r="L16" s="127"/>
      <c r="M16" s="127"/>
      <c r="N16" s="102"/>
    </row>
    <row r="17" spans="2:17" s="71" customFormat="1" ht="14" x14ac:dyDescent="0.3">
      <c r="B17" s="128" t="s">
        <v>64</v>
      </c>
      <c r="C17" s="107">
        <v>0.56000000000000005</v>
      </c>
      <c r="D17" s="129" t="s">
        <v>91</v>
      </c>
      <c r="E17" s="127"/>
      <c r="F17" s="127"/>
      <c r="G17" s="127"/>
      <c r="H17" s="127"/>
      <c r="I17" s="127"/>
      <c r="J17" s="127"/>
      <c r="K17" s="127"/>
      <c r="L17" s="127"/>
      <c r="M17" s="127"/>
      <c r="N17" s="102"/>
    </row>
    <row r="18" spans="2:17" s="71" customFormat="1" thickBot="1" x14ac:dyDescent="0.35">
      <c r="B18" s="115"/>
      <c r="C18" s="113"/>
      <c r="D18" s="130"/>
      <c r="E18" s="116"/>
      <c r="F18" s="116"/>
      <c r="G18" s="116"/>
      <c r="H18" s="116"/>
      <c r="I18" s="116"/>
      <c r="J18" s="116"/>
      <c r="K18" s="116"/>
      <c r="L18" s="116"/>
      <c r="M18" s="116"/>
      <c r="N18" s="119"/>
    </row>
    <row r="19" spans="2:17" s="71" customFormat="1" thickBot="1" x14ac:dyDescent="0.35"/>
    <row r="20" spans="2:17" s="71" customFormat="1" ht="18" thickBot="1" x14ac:dyDescent="0.4">
      <c r="B20" s="344" t="s">
        <v>68</v>
      </c>
      <c r="C20" s="345"/>
      <c r="D20" s="345"/>
      <c r="E20" s="345"/>
      <c r="F20" s="345"/>
      <c r="G20" s="345"/>
      <c r="H20" s="345"/>
      <c r="I20" s="345"/>
      <c r="J20" s="345"/>
      <c r="K20" s="345"/>
      <c r="L20" s="345"/>
      <c r="M20" s="345"/>
      <c r="N20" s="346"/>
    </row>
    <row r="21" spans="2:17" s="71" customFormat="1" ht="42.65" customHeight="1" thickBot="1" x14ac:dyDescent="0.35">
      <c r="B21" s="131" t="s">
        <v>73</v>
      </c>
      <c r="C21" s="360" t="s">
        <v>96</v>
      </c>
      <c r="D21" s="361"/>
      <c r="E21" s="361"/>
      <c r="F21" s="361"/>
      <c r="G21" s="361"/>
      <c r="H21" s="361"/>
      <c r="I21" s="361"/>
      <c r="J21" s="361"/>
      <c r="K21" s="361"/>
      <c r="L21" s="361"/>
      <c r="M21" s="362"/>
      <c r="N21" s="132" t="s">
        <v>97</v>
      </c>
    </row>
    <row r="22" spans="2:17" s="71" customFormat="1" ht="44.15" customHeight="1" thickBot="1" x14ac:dyDescent="0.35">
      <c r="B22" s="133" t="s">
        <v>98</v>
      </c>
      <c r="C22" s="363" t="s">
        <v>99</v>
      </c>
      <c r="D22" s="361"/>
      <c r="E22" s="361"/>
      <c r="F22" s="361"/>
      <c r="G22" s="361"/>
      <c r="H22" s="361"/>
      <c r="I22" s="361"/>
      <c r="J22" s="361"/>
      <c r="K22" s="361"/>
      <c r="L22" s="361"/>
      <c r="M22" s="362"/>
      <c r="N22" s="134" t="s">
        <v>100</v>
      </c>
      <c r="O22" s="135"/>
      <c r="P22" s="135"/>
      <c r="Q22" s="135"/>
    </row>
    <row r="23" spans="2:17" s="71" customFormat="1" ht="15.5" thickBot="1" x14ac:dyDescent="0.35">
      <c r="B23" s="133"/>
      <c r="C23" s="363"/>
      <c r="D23" s="361"/>
      <c r="E23" s="361"/>
      <c r="F23" s="361"/>
      <c r="G23" s="361"/>
      <c r="H23" s="361"/>
      <c r="I23" s="361"/>
      <c r="J23" s="361"/>
      <c r="K23" s="361"/>
      <c r="L23" s="361"/>
      <c r="M23" s="362"/>
      <c r="N23" s="134"/>
    </row>
    <row r="24" spans="2:17" s="71" customFormat="1" ht="14" x14ac:dyDescent="0.3"/>
    <row r="25" spans="2:17" s="71" customFormat="1" ht="14" x14ac:dyDescent="0.3">
      <c r="B25" s="71" t="s">
        <v>101</v>
      </c>
    </row>
    <row r="26" spans="2:17" s="71" customFormat="1" ht="262.5" customHeight="1" x14ac:dyDescent="0.3">
      <c r="B26" s="48" t="s">
        <v>102</v>
      </c>
      <c r="C26" s="357" t="s">
        <v>103</v>
      </c>
      <c r="D26" s="357"/>
      <c r="E26" s="357"/>
      <c r="F26" s="357"/>
      <c r="G26" s="357"/>
      <c r="H26" s="357"/>
      <c r="I26" s="357"/>
      <c r="J26" s="357"/>
    </row>
    <row r="29" spans="2:17" x14ac:dyDescent="0.35">
      <c r="B29" s="29" t="s">
        <v>170</v>
      </c>
    </row>
    <row r="30" spans="2:17" ht="48" customHeight="1" x14ac:dyDescent="0.35">
      <c r="C30" s="333" t="s">
        <v>171</v>
      </c>
      <c r="D30" s="333"/>
      <c r="E30" s="333"/>
      <c r="F30" s="333"/>
      <c r="G30" s="333"/>
      <c r="H30" s="333"/>
      <c r="I30" s="333"/>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defaultColWidth="9.1796875" defaultRowHeight="14.5" x14ac:dyDescent="0.35"/>
  <cols>
    <col min="1" max="1" width="7.1796875" style="24" customWidth="1"/>
    <col min="2" max="2" width="34.81640625" style="24" customWidth="1"/>
    <col min="3" max="3" width="15.81640625" style="25" customWidth="1"/>
    <col min="4" max="4" width="2.81640625" style="24" customWidth="1"/>
    <col min="5" max="5" width="9.1796875" style="24"/>
    <col min="6" max="6" width="44.81640625" style="24" customWidth="1"/>
    <col min="7" max="7" width="15.81640625" style="24" customWidth="1"/>
    <col min="8" max="16384" width="9.1796875" style="24"/>
  </cols>
  <sheetData>
    <row r="1" spans="1:8" s="48" customFormat="1" ht="14" x14ac:dyDescent="0.35">
      <c r="A1" s="89" t="s">
        <v>165</v>
      </c>
      <c r="C1" s="58"/>
    </row>
    <row r="2" spans="1:8" s="48" customFormat="1" thickBot="1" x14ac:dyDescent="0.4">
      <c r="C2" s="58"/>
    </row>
    <row r="3" spans="1:8" s="48" customFormat="1" thickBot="1" x14ac:dyDescent="0.4">
      <c r="A3" s="364" t="s">
        <v>24</v>
      </c>
      <c r="B3" s="365"/>
      <c r="C3" s="365"/>
      <c r="E3" s="366" t="s">
        <v>26</v>
      </c>
      <c r="F3" s="367"/>
      <c r="G3" s="367"/>
    </row>
    <row r="4" spans="1:8" s="48" customFormat="1" ht="14" x14ac:dyDescent="0.35">
      <c r="A4" s="136" t="s">
        <v>39</v>
      </c>
      <c r="B4" s="137" t="s">
        <v>15</v>
      </c>
      <c r="C4" s="138" t="s">
        <v>25</v>
      </c>
      <c r="E4" s="139" t="s">
        <v>39</v>
      </c>
      <c r="F4" s="140" t="s">
        <v>27</v>
      </c>
      <c r="G4" s="141" t="s">
        <v>25</v>
      </c>
    </row>
    <row r="5" spans="1:8" s="48" customFormat="1" ht="42" x14ac:dyDescent="0.35">
      <c r="A5" s="142" t="s">
        <v>46</v>
      </c>
      <c r="B5" s="143" t="s">
        <v>224</v>
      </c>
      <c r="C5" s="144" t="s">
        <v>56</v>
      </c>
      <c r="E5" s="142" t="s">
        <v>58</v>
      </c>
      <c r="F5" s="145" t="s">
        <v>33</v>
      </c>
      <c r="G5" s="146" t="s">
        <v>56</v>
      </c>
    </row>
    <row r="6" spans="1:8" s="48" customFormat="1" ht="28" x14ac:dyDescent="0.35">
      <c r="A6" s="42" t="s">
        <v>49</v>
      </c>
      <c r="B6" s="143" t="s">
        <v>28</v>
      </c>
      <c r="C6" s="144" t="s">
        <v>56</v>
      </c>
      <c r="E6" s="42" t="s">
        <v>59</v>
      </c>
      <c r="F6" s="145" t="s">
        <v>34</v>
      </c>
      <c r="G6" s="147" t="s">
        <v>56</v>
      </c>
    </row>
    <row r="7" spans="1:8" s="48" customFormat="1" ht="28" x14ac:dyDescent="0.35">
      <c r="A7" s="42" t="s">
        <v>50</v>
      </c>
      <c r="B7" s="143" t="s">
        <v>29</v>
      </c>
      <c r="C7" s="144" t="s">
        <v>56</v>
      </c>
      <c r="E7" s="42" t="s">
        <v>60</v>
      </c>
      <c r="F7" s="145" t="s">
        <v>35</v>
      </c>
      <c r="G7" s="147" t="s">
        <v>56</v>
      </c>
    </row>
    <row r="8" spans="1:8" s="48" customFormat="1" ht="28" x14ac:dyDescent="0.35">
      <c r="A8" s="148" t="s">
        <v>51</v>
      </c>
      <c r="B8" s="149" t="s">
        <v>30</v>
      </c>
      <c r="C8" s="144" t="s">
        <v>57</v>
      </c>
      <c r="E8" s="42" t="s">
        <v>61</v>
      </c>
      <c r="F8" s="145" t="s">
        <v>36</v>
      </c>
      <c r="G8" s="147" t="s">
        <v>56</v>
      </c>
    </row>
    <row r="9" spans="1:8" s="48" customFormat="1" ht="28" x14ac:dyDescent="0.35">
      <c r="A9" s="148" t="s">
        <v>52</v>
      </c>
      <c r="B9" s="149" t="s">
        <v>31</v>
      </c>
      <c r="C9" s="144" t="s">
        <v>57</v>
      </c>
      <c r="E9" s="42" t="s">
        <v>62</v>
      </c>
      <c r="F9" s="145" t="s">
        <v>37</v>
      </c>
      <c r="G9" s="147" t="s">
        <v>56</v>
      </c>
    </row>
    <row r="10" spans="1:8" s="48" customFormat="1" ht="42" x14ac:dyDescent="0.35">
      <c r="A10" s="150" t="s">
        <v>53</v>
      </c>
      <c r="B10" s="151" t="s">
        <v>32</v>
      </c>
      <c r="C10" s="152" t="s">
        <v>57</v>
      </c>
      <c r="E10" s="153" t="s">
        <v>63</v>
      </c>
      <c r="F10" s="154" t="s">
        <v>38</v>
      </c>
      <c r="G10" s="155" t="s">
        <v>57</v>
      </c>
    </row>
    <row r="11" spans="1:8" s="48" customFormat="1" ht="14" x14ac:dyDescent="0.35">
      <c r="C11" s="58"/>
    </row>
    <row r="12" spans="1:8" s="48" customFormat="1" ht="14" x14ac:dyDescent="0.35">
      <c r="C12" s="58"/>
    </row>
    <row r="13" spans="1:8" s="48" customFormat="1" ht="14" x14ac:dyDescent="0.35">
      <c r="C13" s="58"/>
    </row>
    <row r="14" spans="1:8" s="48" customFormat="1" ht="14" x14ac:dyDescent="0.25">
      <c r="A14" s="29" t="s">
        <v>170</v>
      </c>
      <c r="C14" s="58"/>
    </row>
    <row r="15" spans="1:8" s="48" customFormat="1" ht="32.25" customHeight="1" x14ac:dyDescent="0.25">
      <c r="B15" s="333" t="s">
        <v>171</v>
      </c>
      <c r="C15" s="333"/>
      <c r="D15" s="333"/>
      <c r="E15" s="333"/>
      <c r="F15" s="333"/>
      <c r="G15" s="333"/>
      <c r="H15" s="333"/>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64877A3D81AB469AACA2EE19610E87" ma:contentTypeVersion="12" ma:contentTypeDescription="Create a new document." ma:contentTypeScope="" ma:versionID="2e86caf7f3ac30cbd4f92289216ce40d">
  <xsd:schema xmlns:xsd="http://www.w3.org/2001/XMLSchema" xmlns:xs="http://www.w3.org/2001/XMLSchema" xmlns:p="http://schemas.microsoft.com/office/2006/metadata/properties" xmlns:ns2="a3e52c44-b2ba-43b6-ab3d-ff9287d64892" xmlns:ns3="97896bf8-bae8-48c1-9c61-0a346452bfc7" targetNamespace="http://schemas.microsoft.com/office/2006/metadata/properties" ma:root="true" ma:fieldsID="5d6f0b99f685390f7de87540cfdb1cdc" ns2:_="" ns3:_="">
    <xsd:import namespace="a3e52c44-b2ba-43b6-ab3d-ff9287d64892"/>
    <xsd:import namespace="97896bf8-bae8-48c1-9c61-0a346452bf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e52c44-b2ba-43b6-ab3d-ff9287d648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896bf8-bae8-48c1-9c61-0a346452bfc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AF7F02-150C-44AA-ACFE-3054112CF8E2}">
  <ds:schemaRefs>
    <ds:schemaRef ds:uri="http://www.w3.org/XML/1998/namespace"/>
    <ds:schemaRef ds:uri="http://purl.org/dc/terms/"/>
    <ds:schemaRef ds:uri="97896bf8-bae8-48c1-9c61-0a346452bfc7"/>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a3e52c44-b2ba-43b6-ab3d-ff9287d64892"/>
    <ds:schemaRef ds:uri="http://schemas.microsoft.com/office/2006/metadata/properties"/>
  </ds:schemaRefs>
</ds:datastoreItem>
</file>

<file path=customXml/itemProps2.xml><?xml version="1.0" encoding="utf-8"?>
<ds:datastoreItem xmlns:ds="http://schemas.openxmlformats.org/officeDocument/2006/customXml" ds:itemID="{28D504E1-A92F-4361-AD58-486F8ADCA4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e52c44-b2ba-43b6-ab3d-ff9287d64892"/>
    <ds:schemaRef ds:uri="97896bf8-bae8-48c1-9c61-0a346452b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667C78-2767-48FE-B183-28F119783D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Sai Praneetha Bhaskaruni</cp:lastModifiedBy>
  <cp:lastPrinted>2019-04-02T20:36:46Z</cp:lastPrinted>
  <dcterms:created xsi:type="dcterms:W3CDTF">2017-03-06T20:58:36Z</dcterms:created>
  <dcterms:modified xsi:type="dcterms:W3CDTF">2022-04-26T07:01:52Z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0x0101008964877A3D81AB469AACA2EE19610E87</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