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showInkAnnotation="0"/>
  <mc:AlternateContent xmlns:mc="http://schemas.openxmlformats.org/markup-compatibility/2006">
    <mc:Choice Requires="x15">
      <x15ac:absPath xmlns:x15ac="http://schemas.microsoft.com/office/spreadsheetml/2010/11/ac" url="C:\Users\40009566\Documents\Srtyker\Knee\Thor\From_Akhil\"/>
    </mc:Choice>
  </mc:AlternateContent>
  <bookViews>
    <workbookView xWindow="-105" yWindow="-105" windowWidth="23250" windowHeight="12570" tabRatio="891" firstSheet="2" activeTab="4"/>
  </bookViews>
  <sheets>
    <sheet name="Header (Optional)" sheetId="22" r:id="rId1"/>
    <sheet name="Document References (Optional)" sheetId="23" r:id="rId2"/>
    <sheet name="System &amp; Asset Identification" sheetId="10" r:id="rId3"/>
    <sheet name="Vulnerability Identification" sheetId="11" r:id="rId4"/>
    <sheet name="Threat Assessment" sheetId="16" r:id="rId5"/>
    <sheet name="Security Risk Assess" sheetId="12" r:id="rId6"/>
    <sheet name="Security Risk Control Measures" sheetId="24" r:id="rId7"/>
    <sheet name="Summary" sheetId="21" r:id="rId8"/>
    <sheet name="Reference - CVSSv3.0" sheetId="19" r:id="rId9"/>
    <sheet name="Reference - Threat Source" sheetId="15" r:id="rId10"/>
    <sheet name="OLD - Threat Assessment" sheetId="14" state="hidden" r:id="rId11"/>
    <sheet name="OLD - Risk Controls" sheetId="13" state="hidden" r:id="rId12"/>
  </sheets>
  <externalReferences>
    <externalReference r:id="rId13"/>
  </externalReferences>
  <definedNames>
    <definedName name="_OT_Project">'Header (Optional)'!$C$15</definedName>
    <definedName name="Attack" localSheetId="8">'Reference - CVSSv3.0'!$B$6:$B$9</definedName>
    <definedName name="Author">'Header (Optional)'!$C$12</definedName>
    <definedName name="CIA" localSheetId="8">'Reference - CVSSv3.0'!$B$15:$B$17</definedName>
    <definedName name="Comp" localSheetId="8">'Reference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5">'Security Risk Assess'!$A$1:$AQ$37</definedName>
    <definedName name="Priv" localSheetId="8">'Reference - CVSSv3.0'!$H$6:$H$8</definedName>
    <definedName name="Scope" localSheetId="8">'Reference - CVSSv3.0'!$B$21:$B$22</definedName>
    <definedName name="Ux" localSheetId="8">'Reference - CVSSv3.0'!$L$6:$L$7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2" l="1"/>
  <c r="R5" i="12" l="1"/>
  <c r="S5" i="12"/>
  <c r="T5" i="12" s="1"/>
  <c r="W5" i="12"/>
  <c r="R6" i="12"/>
  <c r="S6" i="12"/>
  <c r="T6" i="12" s="1"/>
  <c r="W6" i="12"/>
  <c r="R7" i="12"/>
  <c r="S7" i="12"/>
  <c r="T7" i="12" s="1"/>
  <c r="W7" i="12"/>
  <c r="R8" i="12"/>
  <c r="S8" i="12"/>
  <c r="T8" i="12" s="1"/>
  <c r="W8" i="12"/>
  <c r="R9" i="12"/>
  <c r="S9" i="12"/>
  <c r="T9" i="12" s="1"/>
  <c r="W9" i="12"/>
  <c r="R10" i="12"/>
  <c r="S10" i="12"/>
  <c r="T10" i="12" s="1"/>
  <c r="W10" i="12"/>
  <c r="R11" i="12"/>
  <c r="S11" i="12"/>
  <c r="T11" i="12" s="1"/>
  <c r="W11" i="12"/>
  <c r="R12" i="12"/>
  <c r="S12" i="12"/>
  <c r="T12" i="12" s="1"/>
  <c r="W12" i="12"/>
  <c r="R13" i="12"/>
  <c r="S13" i="12"/>
  <c r="T13" i="12" s="1"/>
  <c r="W13" i="12"/>
  <c r="R14" i="12"/>
  <c r="S14" i="12"/>
  <c r="T14" i="12" s="1"/>
  <c r="W14" i="12"/>
  <c r="R15" i="12"/>
  <c r="S15" i="12"/>
  <c r="T15" i="12" s="1"/>
  <c r="W15" i="12"/>
  <c r="R16" i="12"/>
  <c r="S16" i="12"/>
  <c r="T16" i="12" s="1"/>
  <c r="W16" i="12"/>
  <c r="R17" i="12"/>
  <c r="S17" i="12"/>
  <c r="T17" i="12" s="1"/>
  <c r="W17" i="12"/>
  <c r="R18" i="12"/>
  <c r="S18" i="12"/>
  <c r="T18" i="12" s="1"/>
  <c r="W18" i="12"/>
  <c r="R19" i="12"/>
  <c r="S19" i="12"/>
  <c r="T19" i="12" s="1"/>
  <c r="W19" i="12"/>
  <c r="R20" i="12"/>
  <c r="S20" i="12"/>
  <c r="T20" i="12" s="1"/>
  <c r="W20" i="12"/>
  <c r="R21" i="12"/>
  <c r="S21" i="12"/>
  <c r="T21" i="12" s="1"/>
  <c r="W21" i="12"/>
  <c r="R22" i="12"/>
  <c r="S22" i="12"/>
  <c r="T22" i="12" s="1"/>
  <c r="W22" i="12"/>
  <c r="R23" i="12"/>
  <c r="S23" i="12"/>
  <c r="T23" i="12" s="1"/>
  <c r="W23" i="12"/>
  <c r="R24" i="12"/>
  <c r="S24" i="12"/>
  <c r="T24" i="12" s="1"/>
  <c r="W24" i="12"/>
  <c r="R25" i="12"/>
  <c r="S25" i="12"/>
  <c r="T25" i="12" s="1"/>
  <c r="W25" i="12"/>
  <c r="C25" i="12"/>
  <c r="E25" i="12"/>
  <c r="G25" i="12"/>
  <c r="AK25" i="12"/>
  <c r="AL25" i="12"/>
  <c r="AM25" i="12"/>
  <c r="AN25" i="12" s="1"/>
  <c r="C24" i="12"/>
  <c r="E24" i="12"/>
  <c r="G24" i="12"/>
  <c r="AK24" i="12"/>
  <c r="AL24" i="12"/>
  <c r="AM24" i="12"/>
  <c r="AN24" i="12" s="1"/>
  <c r="C11" i="12"/>
  <c r="E11" i="12"/>
  <c r="G11" i="12"/>
  <c r="AK11" i="12"/>
  <c r="AL11" i="12"/>
  <c r="AM11" i="12"/>
  <c r="AO11" i="12" s="1"/>
  <c r="AP11" i="12" s="1"/>
  <c r="C8" i="12"/>
  <c r="E8" i="12"/>
  <c r="G8" i="12"/>
  <c r="AK8" i="12"/>
  <c r="AL8" i="12"/>
  <c r="AM8" i="12"/>
  <c r="AN8" i="12" s="1"/>
  <c r="C6" i="12"/>
  <c r="E6" i="12"/>
  <c r="G6" i="12"/>
  <c r="AK6" i="12"/>
  <c r="AL6" i="12"/>
  <c r="AM6" i="12"/>
  <c r="AO6" i="12" s="1"/>
  <c r="AP6" i="12" s="1"/>
  <c r="C18" i="12"/>
  <c r="E18" i="12"/>
  <c r="G18" i="12"/>
  <c r="AK18" i="12"/>
  <c r="AL18" i="12"/>
  <c r="AM18" i="12"/>
  <c r="AN18" i="12" s="1"/>
  <c r="C19" i="12"/>
  <c r="E19" i="12"/>
  <c r="G19" i="12"/>
  <c r="AK19" i="12"/>
  <c r="AL19" i="12"/>
  <c r="AM19" i="12"/>
  <c r="AN19" i="12" s="1"/>
  <c r="C20" i="12"/>
  <c r="E20" i="12"/>
  <c r="G20" i="12"/>
  <c r="AK20" i="12"/>
  <c r="AL20" i="12"/>
  <c r="AM20" i="12"/>
  <c r="AN20" i="12" s="1"/>
  <c r="C21" i="12"/>
  <c r="E21" i="12"/>
  <c r="G21" i="12"/>
  <c r="AK21" i="12"/>
  <c r="AL21" i="12"/>
  <c r="AM21" i="12"/>
  <c r="AN21" i="12" s="1"/>
  <c r="C22" i="12"/>
  <c r="E22" i="12"/>
  <c r="G22" i="12"/>
  <c r="AK22" i="12"/>
  <c r="AL22" i="12"/>
  <c r="AM22" i="12"/>
  <c r="AN22" i="12" s="1"/>
  <c r="C23" i="12"/>
  <c r="E23" i="12"/>
  <c r="G23" i="12"/>
  <c r="AK23" i="12"/>
  <c r="AL23" i="12"/>
  <c r="AM23" i="12"/>
  <c r="AN23" i="12" s="1"/>
  <c r="C10" i="12"/>
  <c r="E10" i="12"/>
  <c r="G10" i="12"/>
  <c r="AK10" i="12"/>
  <c r="AL10" i="12"/>
  <c r="AM10" i="12"/>
  <c r="AO10" i="12" s="1"/>
  <c r="AP10" i="12" s="1"/>
  <c r="C12" i="12"/>
  <c r="E12" i="12"/>
  <c r="G12" i="12"/>
  <c r="AK12" i="12"/>
  <c r="AL12" i="12"/>
  <c r="AM12" i="12"/>
  <c r="AN12" i="12" s="1"/>
  <c r="C13" i="12"/>
  <c r="E13" i="12"/>
  <c r="G13" i="12"/>
  <c r="AK13" i="12"/>
  <c r="AL13" i="12"/>
  <c r="AM13" i="12"/>
  <c r="AN13" i="12" s="1"/>
  <c r="C14" i="12"/>
  <c r="E14" i="12"/>
  <c r="G14" i="12"/>
  <c r="AK14" i="12"/>
  <c r="AL14" i="12"/>
  <c r="AM14" i="12"/>
  <c r="AN14" i="12" s="1"/>
  <c r="C15" i="12"/>
  <c r="E15" i="12"/>
  <c r="G15" i="12"/>
  <c r="AK15" i="12"/>
  <c r="AL15" i="12"/>
  <c r="AM15" i="12"/>
  <c r="AO15" i="12" s="1"/>
  <c r="AP15" i="12" s="1"/>
  <c r="C16" i="12"/>
  <c r="E16" i="12"/>
  <c r="G16" i="12"/>
  <c r="AK16" i="12"/>
  <c r="AL16" i="12"/>
  <c r="AM16" i="12"/>
  <c r="AN16" i="12" s="1"/>
  <c r="C9" i="12"/>
  <c r="E9" i="12"/>
  <c r="G9" i="12"/>
  <c r="AK9" i="12"/>
  <c r="AL9" i="12"/>
  <c r="AM9" i="12"/>
  <c r="AN9" i="12" s="1"/>
  <c r="U8" i="12" l="1"/>
  <c r="U18" i="12"/>
  <c r="U14" i="12"/>
  <c r="U19" i="12"/>
  <c r="U15" i="12"/>
  <c r="U25" i="12"/>
  <c r="U22" i="12"/>
  <c r="X13" i="12"/>
  <c r="Y13" i="12" s="1"/>
  <c r="X11" i="12"/>
  <c r="Y11" i="12" s="1"/>
  <c r="U20" i="12"/>
  <c r="U16" i="12"/>
  <c r="U10" i="12"/>
  <c r="X23" i="12"/>
  <c r="Y23" i="12" s="1"/>
  <c r="U12" i="12"/>
  <c r="U9" i="12"/>
  <c r="U11" i="12"/>
  <c r="U13" i="12"/>
  <c r="U24" i="12"/>
  <c r="X24" i="12"/>
  <c r="Y24" i="12" s="1"/>
  <c r="U21" i="12"/>
  <c r="X21" i="12"/>
  <c r="Y21" i="12" s="1"/>
  <c r="U23" i="12"/>
  <c r="X20" i="12"/>
  <c r="Y20" i="12" s="1"/>
  <c r="X17" i="12"/>
  <c r="Y17" i="12" s="1"/>
  <c r="U6" i="12"/>
  <c r="X6" i="12"/>
  <c r="Y6" i="12" s="1"/>
  <c r="X9" i="12"/>
  <c r="Y9" i="12" s="1"/>
  <c r="X15" i="12"/>
  <c r="Y15" i="12" s="1"/>
  <c r="X22" i="12"/>
  <c r="Y22" i="12" s="1"/>
  <c r="X12" i="12"/>
  <c r="Y12" i="12" s="1"/>
  <c r="X10" i="12"/>
  <c r="Y10" i="12" s="1"/>
  <c r="U7" i="12"/>
  <c r="X7" i="12"/>
  <c r="Y7" i="12" s="1"/>
  <c r="U5" i="12"/>
  <c r="X5" i="12"/>
  <c r="Y5" i="12" s="1"/>
  <c r="U17" i="12"/>
  <c r="X18" i="12"/>
  <c r="Y18" i="12" s="1"/>
  <c r="X16" i="12"/>
  <c r="Y16" i="12" s="1"/>
  <c r="X25" i="12"/>
  <c r="Y25" i="12" s="1"/>
  <c r="X14" i="12"/>
  <c r="Y14" i="12" s="1"/>
  <c r="X19" i="12"/>
  <c r="Y19" i="12" s="1"/>
  <c r="X8" i="12"/>
  <c r="Y8" i="12" s="1"/>
  <c r="AO25" i="12"/>
  <c r="AP25" i="12" s="1"/>
  <c r="AO24" i="12"/>
  <c r="AP24" i="12" s="1"/>
  <c r="AN11" i="12"/>
  <c r="AN6" i="12"/>
  <c r="AO8" i="12"/>
  <c r="AP8" i="12" s="1"/>
  <c r="AN10" i="12"/>
  <c r="AO23" i="12"/>
  <c r="AP23" i="12" s="1"/>
  <c r="AO21" i="12"/>
  <c r="AP21" i="12" s="1"/>
  <c r="AO12" i="12"/>
  <c r="AP12" i="12" s="1"/>
  <c r="AN15" i="12"/>
  <c r="AO14" i="12"/>
  <c r="AP14" i="12" s="1"/>
  <c r="AO22" i="12"/>
  <c r="AP22" i="12" s="1"/>
  <c r="AO20" i="12"/>
  <c r="AP20" i="12" s="1"/>
  <c r="AO19" i="12"/>
  <c r="AP19" i="12" s="1"/>
  <c r="AO18" i="12"/>
  <c r="AP18" i="12" s="1"/>
  <c r="AO13" i="12"/>
  <c r="AP13" i="12" s="1"/>
  <c r="AO16" i="12"/>
  <c r="AP16" i="12" s="1"/>
  <c r="AO9" i="12"/>
  <c r="AP9"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7" i="12"/>
  <c r="E17" i="12"/>
  <c r="E8" i="21" s="1"/>
  <c r="C5" i="12"/>
  <c r="C5" i="21" s="1"/>
  <c r="C7" i="12"/>
  <c r="C8" i="21"/>
  <c r="C7" i="21" l="1"/>
  <c r="C9" i="21"/>
  <c r="E9" i="21"/>
  <c r="E7" i="21"/>
  <c r="C6" i="21"/>
  <c r="E6" i="21"/>
  <c r="AL17" i="12" l="1"/>
  <c r="AL7" i="12"/>
  <c r="AK17" i="12"/>
  <c r="AK7" i="12"/>
  <c r="AK5" i="12" l="1"/>
  <c r="AM17" i="12" l="1"/>
  <c r="AM7" i="12"/>
  <c r="AL5" i="12"/>
  <c r="AM5" i="12" s="1"/>
  <c r="AN5" i="12" s="1"/>
  <c r="AN7" i="12" l="1"/>
  <c r="AN17" i="12"/>
  <c r="G17" i="12"/>
  <c r="G7" i="12"/>
  <c r="G7" i="21" l="1"/>
  <c r="G8" i="21"/>
  <c r="G9" i="21"/>
  <c r="AO17" i="12"/>
  <c r="AP17" i="12" s="1"/>
  <c r="AO7" i="12"/>
  <c r="AP7"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authors>
    <author>Franitza, Florian</author>
  </authors>
  <commentList>
    <comment ref="B19" authorId="0" shapeId="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authors>
    <author>Franitza, Florian</author>
  </authors>
  <commentList>
    <comment ref="A7" authorId="0" shapeId="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authors>
    <author>Franitza, Florian</author>
  </authors>
  <commentList>
    <comment ref="A5" authorId="0" shapeId="0">
      <text>
        <r>
          <rPr>
            <b/>
            <sz val="9"/>
            <color indexed="81"/>
            <rFont val="Segoe UI"/>
            <family val="2"/>
          </rPr>
          <t>This table is only required if OfficeTrace is used.
This sheet can be removed from the form if not required.</t>
        </r>
      </text>
    </comment>
  </commentList>
</comments>
</file>

<file path=xl/sharedStrings.xml><?xml version="1.0" encoding="utf-8"?>
<sst xmlns="http://schemas.openxmlformats.org/spreadsheetml/2006/main" count="914" uniqueCount="435">
  <si>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</si>
  <si>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</si>
  <si>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</si>
  <si>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</si>
  <si>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</si>
  <si>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</si>
  <si>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</si>
  <si>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</si>
  <si>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</si>
  <si>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</si>
  <si>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</si>
  <si>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</si>
  <si>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SBOM</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</si>
  <si>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</si>
  <si>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</si>
  <si>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</si>
  <si>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</si>
  <si>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</si>
  <si>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</si>
  <si>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</si>
  <si>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</si>
  <si>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</si>
  <si>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</si>
  <si>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</si>
  <si>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</si>
  <si>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</si>
  <si>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</si>
  <si>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</si>
  <si>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</si>
  <si>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</si>
  <si>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</si>
  <si>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</si>
  <si>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</si>
  <si>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</si>
  <si>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</si>
  <si>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</si>
  <si>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</si>
  <si>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</si>
  <si>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</si>
  <si>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</si>
  <si>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</si>
  <si>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</si>
  <si>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</si>
  <si>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</si>
  <si>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</si>
  <si>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</si>
  <si>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</si>
  <si>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</si>
  <si>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</si>
  <si>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</si>
  <si>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</si>
  <si>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</si>
  <si>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</si>
  <si>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</si>
  <si>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</si>
  <si>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</si>
  <si>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</si>
  <si>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</si>
  <si>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</si>
  <si>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</si>
  <si>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</si>
  <si>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</si>
  <si>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</si>
  <si>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</si>
  <si>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</si>
  <si>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</si>
  <si>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</si>
  <si>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</si>
  <si>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</si>
  <si>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</si>
  <si>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</si>
  <si>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</si>
  <si>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</si>
  <si>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</si>
  <si>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</si>
  <si>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</si>
  <si>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</si>
  <si>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</si>
  <si>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</si>
  <si>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</si>
  <si>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</si>
  <si>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</si>
  <si>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</si>
  <si>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</si>
  <si>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</si>
  <si>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</si>
  <si>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</si>
  <si>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</si>
  <si>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</si>
  <si>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</si>
  <si>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</si>
  <si>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</si>
  <si>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</si>
  <si>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</si>
  <si>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</si>
  <si>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</si>
  <si>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</si>
  <si>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</si>
  <si>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</si>
  <si>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</si>
  <si>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</si>
  <si>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</si>
  <si>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</si>
  <si>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</si>
  <si>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</si>
  <si>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</si>
  <si>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</si>
  <si>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</si>
  <si>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</si>
  <si>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</si>
  <si>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</si>
  <si>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</si>
  <si>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</si>
  <si>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</si>
  <si>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</si>
  <si>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</si>
  <si>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</si>
  <si>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</si>
  <si>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</si>
  <si>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</si>
  <si>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</si>
  <si>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</si>
  <si>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</si>
  <si>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</si>
  <si>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</si>
  <si>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</si>
  <si>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</si>
  <si>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</si>
  <si>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</si>
  <si>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</si>
  <si>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</si>
  <si>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</si>
  <si>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</si>
  <si>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</si>
  <si>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Patient health information at rest</t>
  </si>
  <si>
    <t>Information Asset</t>
  </si>
  <si>
    <t xml:space="preserve">User Passwords/Credentials provide access to ePHI, Software Binaries, read access to config files. </t>
  </si>
  <si>
    <t>Deliver undirected malware</t>
  </si>
  <si>
    <t>Deliver directed malware</t>
  </si>
  <si>
    <t>Intercept network communication</t>
  </si>
  <si>
    <t xml:space="preserve">Conduct scavenging of ePHI at rest </t>
  </si>
  <si>
    <t>Adversary gains unauthorized access to the system and steals ePHI information</t>
  </si>
  <si>
    <t>Unencrypted ePHI at rest</t>
  </si>
  <si>
    <t>Unprotected external USB Port</t>
  </si>
  <si>
    <t>V11</t>
  </si>
  <si>
    <t>V21</t>
  </si>
  <si>
    <t>V22</t>
  </si>
  <si>
    <t>Data</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</si>
  <si>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</si>
  <si>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</si>
  <si>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</si>
  <si>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</si>
  <si>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</si>
  <si>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</si>
  <si>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</si>
  <si>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Application Whitelisting
Firewall
Virus Scan
User authentication</t>
  </si>
  <si>
    <t>Encrpyted ePHI in flight</t>
  </si>
  <si>
    <t xml:space="preserve">SRS.SR04
</t>
  </si>
  <si>
    <t>SRS.SR01
SRS.SR02
SRS.SR03
SRS.SR07</t>
  </si>
  <si>
    <t>System &amp; Asset Identification</t>
  </si>
  <si>
    <t xml:space="preserve">Medical Device / System: </t>
  </si>
  <si>
    <t>Date:</t>
  </si>
  <si>
    <t xml:space="preserve">Conducted by: </t>
  </si>
  <si>
    <t>&lt;yyyyy-mm-dd&gt;</t>
  </si>
  <si>
    <t>&lt;Author Name / Function / Organization&gt;
&lt;Author Name / Function / Organization&gt;</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</si>
  <si>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</si>
  <si>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</si>
  <si>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</si>
  <si>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</si>
  <si>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</si>
  <si>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</si>
  <si>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</si>
  <si>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</si>
  <si>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</si>
  <si>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TestReport #123</t>
  </si>
  <si>
    <t>TestReport #789</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</si>
  <si>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</si>
  <si>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</si>
  <si>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</si>
  <si>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</si>
  <si>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</si>
  <si>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</si>
  <si>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</si>
  <si>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</si>
  <si>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</si>
  <si>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</si>
  <si>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</si>
  <si>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</si>
  <si>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</si>
  <si>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</si>
  <si>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</si>
  <si>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</si>
  <si>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</si>
  <si>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</si>
  <si>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</si>
  <si>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</si>
  <si>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</si>
  <si>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</si>
  <si>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</si>
  <si>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</si>
  <si>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</si>
  <si>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</si>
  <si>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</si>
  <si>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</si>
  <si>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</si>
  <si>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</si>
  <si>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</si>
  <si>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</si>
  <si>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</si>
  <si>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</si>
  <si>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Justification</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</si>
  <si>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</si>
  <si>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</si>
  <si>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</si>
  <si>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</si>
  <si>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</si>
  <si>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</si>
  <si>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</si>
  <si>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</si>
  <si>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</si>
  <si>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</si>
  <si>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</si>
  <si>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</si>
  <si>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</si>
  <si>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</si>
  <si>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</si>
  <si>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</si>
  <si>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</si>
  <si>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</si>
  <si>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</si>
  <si>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</si>
  <si>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DI</t>
  </si>
  <si>
    <t>Individual (Disgruntled/Ex-Employees, Outsider, Insider, Trusted Insider, Privileged Insider)</t>
  </si>
  <si>
    <t>D0000055902</t>
  </si>
  <si>
    <t>DC-0000002518</t>
  </si>
  <si>
    <t>AA</t>
  </si>
  <si>
    <t>Initial revision</t>
  </si>
  <si>
    <t>See onePLM</t>
  </si>
  <si>
    <t>D0000039056</t>
  </si>
  <si>
    <t>SRS</t>
  </si>
  <si>
    <t>D0000063236NAV</t>
  </si>
  <si>
    <r>
      <t>DI - Flex - Platform (0000013017 - Flex Platform) [</t>
    </r>
    <r>
      <rPr>
        <u/>
        <sz val="11"/>
        <color rgb="FF000080"/>
        <rFont val="Calibri"/>
        <family val="2"/>
        <scheme val="minor"/>
      </rPr>
      <t>DI</t>
    </r>
    <r>
      <rPr>
        <sz val="11"/>
        <color theme="1"/>
        <rFont val="Calibri"/>
        <family val="2"/>
        <scheme val="minor"/>
      </rPr>
      <t>]</t>
    </r>
  </si>
  <si>
    <t>Auto</t>
  </si>
  <si>
    <r>
      <t>SRS - OrthoMap® Precision Knee 6.0 Software -   (DC-0000002518 Precision Knee 6.0) [</t>
    </r>
    <r>
      <rPr>
        <u/>
        <sz val="11"/>
        <color rgb="FF000080"/>
        <rFont val="Calibri"/>
        <family val="2"/>
        <scheme val="minor"/>
      </rPr>
      <t>SRS</t>
    </r>
    <r>
      <rPr>
        <sz val="11"/>
        <color theme="1"/>
        <rFont val="Calibri"/>
        <family val="2"/>
        <scheme val="minor"/>
      </rPr>
      <t>]</t>
    </r>
  </si>
  <si>
    <t>OrthoMap Precision Knee</t>
  </si>
  <si>
    <t>Stryker Flex Cart Navigation System</t>
  </si>
  <si>
    <t>Threat source delivers malware by providing removable media prepared with malware. 
e.g. Removable media is left on a parking lot and picked up by hospital staff. USB stick finds its way to the Navigation System.
Malware exploits a known vulnerability in order to gain access to restricted data or to manipulate data. Undirected attack on computer systems.</t>
  </si>
  <si>
    <t>TSA-3 - Skript Kiddies, TSA-1 Individual</t>
  </si>
  <si>
    <t>Threat source delivers malicious software on a removable media which was designed to exploit a known vulnerability of the Navigation System. Directed attack on the Navigation System using knowledge of the Navigation System.</t>
  </si>
  <si>
    <t>TSA-3 - Skript Kiddies and TSA-1 Individual</t>
  </si>
  <si>
    <t xml:space="preserve">Adversary manipulates the network environment to intercept network communication to gain ePHI, passwords, credit card information etc. or to manipulate DICOM data etc. (man-in-the middle attack) </t>
  </si>
  <si>
    <t>TSA-1 -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</si>
  <si>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</si>
  <si>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</si>
  <si>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</si>
  <si>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</si>
  <si>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</si>
  <si>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</si>
  <si>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</si>
  <si>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</si>
  <si>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A threat actor seeks to make a machine or network resource unavailable to its intended users by overloading the network resource, the network or target services with malicious data traffic.</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</si>
  <si>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</si>
  <si>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</si>
  <si>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</si>
  <si>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</si>
  <si>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</si>
  <si>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</si>
  <si>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</si>
  <si>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</si>
  <si>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</si>
  <si>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</si>
  <si>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</si>
  <si>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Remote exploit</t>
  </si>
  <si>
    <t>A threat actor uses the network connection of the device to target a vulnerability in the operating system and/or software to gain access to the navigation system. This is likely inadvertent, targetting general vulnerability in popular operating systems. After successful exploit, continues as malware threat.</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</si>
  <si>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</si>
  <si>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</si>
  <si>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</si>
  <si>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</si>
  <si>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</si>
  <si>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</si>
  <si>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</si>
  <si>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</si>
  <si>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</si>
  <si>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</si>
  <si>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</si>
  <si>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</si>
  <si>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</si>
  <si>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</si>
  <si>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</si>
  <si>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</si>
  <si>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</si>
  <si>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</si>
  <si>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Adversary mines publiclly accessible information togather information about organizational information systems, business processes, users or personnel, or external relationships that the adversary can subsequently employ in support of an attack.</t>
  </si>
  <si>
    <t>T18</t>
  </si>
  <si>
    <t xml:space="preserve">Craft counterfeit certificates. </t>
  </si>
  <si>
    <t>Adversary counterfeits or compromises a certificate authority, so that malware or connections will appear legitimate.</t>
  </si>
  <si>
    <t>Device is a pass through of data in transit from end point devices.  The certificate validation is the responsibility of the end points.</t>
  </si>
  <si>
    <t>T19</t>
  </si>
  <si>
    <t>Install persistent and targeted sniffers on organizational information systems and networks.</t>
  </si>
  <si>
    <t xml:space="preserve">Adversary places within internal organizational information systems or networks software designed to (over a continuous period of time) collect (sniff) network traffic. </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</si>
  <si>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</si>
  <si>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</si>
  <si>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</si>
  <si>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</si>
  <si>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</si>
  <si>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</si>
  <si>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</si>
  <si>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</si>
  <si>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</si>
  <si>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</si>
  <si>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</si>
  <si>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</si>
  <si>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</si>
  <si>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</si>
  <si>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Adversary manipulates the tool related calibration data - thereby influencing the navigation accuracy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</si>
  <si>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</si>
  <si>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</si>
  <si>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</si>
  <si>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</si>
  <si>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</si>
  <si>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</si>
  <si>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EM is not used by Ortho Imageless applications</t>
  </si>
  <si>
    <t>Ortho Imageless application
will not be impacted due to
unavailability of wireless 
network</t>
  </si>
  <si>
    <t>V24</t>
  </si>
  <si>
    <t>V03</t>
  </si>
  <si>
    <t>V04</t>
  </si>
  <si>
    <t>Insecure Boot / Boot for external media</t>
  </si>
  <si>
    <t>V12</t>
  </si>
  <si>
    <t>Potentially outdated SW-Library SOUPs</t>
  </si>
  <si>
    <t>V13</t>
  </si>
  <si>
    <t>Unprotected hardware</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</si>
  <si>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</si>
  <si>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</si>
  <si>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</si>
  <si>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</si>
  <si>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</si>
  <si>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</si>
  <si>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Intellectual Property</t>
  </si>
  <si>
    <t>Algorithms and other core-elements of interest to competitors.</t>
  </si>
  <si>
    <t>Navigation Accuracy</t>
  </si>
  <si>
    <t>SSH credentials for system admin access</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</si>
  <si>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</si>
  <si>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</si>
  <si>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</si>
  <si>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</si>
  <si>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</si>
  <si>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</si>
  <si>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</si>
  <si>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</si>
  <si>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</si>
  <si>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</si>
  <si>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</si>
  <si>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</si>
  <si>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</si>
  <si>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</si>
  <si>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</si>
  <si>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</si>
  <si>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</si>
  <si>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</si>
  <si>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</si>
  <si>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</si>
  <si>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For Imageless applications,
data is never transferred over network.</t>
  </si>
  <si>
    <t>For Imageless applications,
no tool is calibrated.</t>
  </si>
  <si>
    <t>Datastored on hard disk after import. Contains patient identity, DOB, Age/Gender, image data</t>
  </si>
  <si>
    <t>Navigation Accuracy of FP8000 Camera, critical components for essential performance</t>
  </si>
  <si>
    <t>Uneducated/ Malicious User</t>
  </si>
  <si>
    <t>Adversary manipulates the localization communication such as infrared - thereby influencing the navigation accuracy</t>
  </si>
  <si>
    <t>Ortho Guidance Precision Knee 6.0 Software</t>
  </si>
  <si>
    <t>D0000039062</t>
  </si>
  <si>
    <t>RARC</t>
  </si>
  <si>
    <r>
      <t>Risk Assessment - Ortho Guidance Precision Knee 6.0 Software -   (DC-0000002518 Precision Knee 6.0) [</t>
    </r>
    <r>
      <rPr>
        <u/>
        <sz val="11"/>
        <color rgb="FF000080"/>
        <rFont val="Calibri"/>
        <family val="2"/>
        <scheme val="minor"/>
      </rPr>
      <t>RARC</t>
    </r>
    <r>
      <rPr>
        <sz val="11"/>
        <color theme="1"/>
        <rFont val="Calibri"/>
        <family val="2"/>
        <scheme val="minor"/>
      </rPr>
      <t>]</t>
    </r>
  </si>
  <si>
    <t>D0000043989</t>
  </si>
  <si>
    <t>SRT</t>
  </si>
  <si>
    <r>
      <t>SRT - Flex Cart Navigation System - Flex Platform (0000013017 - Flex Platform) [</t>
    </r>
    <r>
      <rPr>
        <u/>
        <sz val="11"/>
        <color rgb="FF000080"/>
        <rFont val="Calibri"/>
        <family val="2"/>
        <scheme val="minor"/>
      </rPr>
      <t>SRT</t>
    </r>
    <r>
      <rPr>
        <sz val="11"/>
        <color theme="1"/>
        <rFont val="Calibri"/>
        <family val="2"/>
        <scheme val="minor"/>
      </rPr>
      <t>]</t>
    </r>
  </si>
  <si>
    <r>
      <t>[</t>
    </r>
    <r>
      <rPr>
        <u/>
        <sz val="11"/>
        <color rgb="FF000080"/>
        <rFont val="Cambria"/>
        <family val="1"/>
      </rPr>
      <t>RARC.RI040</t>
    </r>
    <r>
      <rPr>
        <sz val="11"/>
        <color theme="1"/>
        <rFont val="Cambria"/>
        <family val="1"/>
      </rPr>
      <t>]</t>
    </r>
  </si>
  <si>
    <t>System resources</t>
  </si>
  <si>
    <t>Man-in-middle attack on localization communication such as infrared - Adversary manipulates navigation accuracy</t>
  </si>
  <si>
    <r>
      <t>[</t>
    </r>
    <r>
      <rPr>
        <u/>
        <sz val="11"/>
        <color rgb="FF000080"/>
        <rFont val="Cambria"/>
        <family val="1"/>
      </rPr>
      <t>RARC.RI110</t>
    </r>
    <r>
      <rPr>
        <sz val="11"/>
        <color theme="1"/>
        <rFont val="Cambria"/>
        <family val="1"/>
      </rPr>
      <t>]</t>
    </r>
  </si>
  <si>
    <t>N/A</t>
  </si>
  <si>
    <r>
      <t>[</t>
    </r>
    <r>
      <rPr>
        <u/>
        <sz val="11"/>
        <color rgb="FF000080"/>
        <rFont val="Cambria"/>
        <family val="1"/>
      </rPr>
      <t>RARC.RI180</t>
    </r>
    <r>
      <rPr>
        <sz val="11"/>
        <color theme="1"/>
        <rFont val="Cambria"/>
        <family val="1"/>
      </rPr>
      <t>]</t>
    </r>
  </si>
  <si>
    <t>THOR Knee Planning Application</t>
  </si>
  <si>
    <t>Contains Knee Planning software which controls the overall features for segmentation, landmark planning, implant size calculation etc.</t>
  </si>
  <si>
    <t>A11</t>
  </si>
  <si>
    <t>Contains software module which controls the overall functionality  of Knee System i.e. intra-operative planning and guidance.</t>
  </si>
  <si>
    <t>Patient Personal and Health data</t>
  </si>
  <si>
    <t>DICOM data stored on hard disk after import. Contains patient identity, DOB, Age/Gender, image data</t>
  </si>
  <si>
    <t>A12</t>
  </si>
  <si>
    <t>Network Location</t>
  </si>
  <si>
    <t>Network location where the CT Dicom data is stored</t>
  </si>
  <si>
    <t>A13</t>
  </si>
  <si>
    <t>V14</t>
  </si>
  <si>
    <t>Lack of software vulnerability management</t>
  </si>
  <si>
    <t>V15</t>
  </si>
  <si>
    <t>V16</t>
  </si>
  <si>
    <t>Unpatched  OS , Application SW</t>
  </si>
  <si>
    <t>UnSafely Compiled Application software</t>
  </si>
  <si>
    <t>V17</t>
  </si>
  <si>
    <t>Legacy Systems being used</t>
  </si>
  <si>
    <t>Developed code not validated using static/Dynamic Tools</t>
  </si>
  <si>
    <t>V25</t>
  </si>
  <si>
    <t>Insecure Storage of Sensitive Information</t>
  </si>
  <si>
    <t>V32</t>
  </si>
  <si>
    <t>Unencrypted ePHI in flight</t>
  </si>
  <si>
    <t>V33</t>
  </si>
  <si>
    <t>Use of a Broken or Risky Cryptographic Algorithm or Inadequate encryption strength</t>
  </si>
  <si>
    <t>V34</t>
  </si>
  <si>
    <t>Exposure of Private Information</t>
  </si>
  <si>
    <t>V35</t>
  </si>
  <si>
    <t>Sensitive Data Storage in Improperly Locked Memory</t>
  </si>
  <si>
    <t>V36</t>
  </si>
  <si>
    <t>Lack of fault reports recorded in administrator and operator logs</t>
  </si>
  <si>
    <t>V37</t>
  </si>
  <si>
    <t>Log Files: Audit Log Manipulation, Log Injection-Tampering-Forging</t>
  </si>
  <si>
    <t>V38</t>
  </si>
  <si>
    <t>Information Exposure Through Log Files</t>
  </si>
  <si>
    <t>InSecure Configurations of Resources</t>
  </si>
  <si>
    <t>V40</t>
  </si>
  <si>
    <t>Lack of efficient configuration change control</t>
  </si>
  <si>
    <t>V41</t>
  </si>
  <si>
    <t xml:space="preserve">Malicious Software Download </t>
  </si>
  <si>
    <t>V42</t>
  </si>
  <si>
    <t>Malicious Automated Software Update</t>
  </si>
  <si>
    <t>V43</t>
  </si>
  <si>
    <t>External Control of System or Configuration Setting</t>
  </si>
  <si>
    <t>T26</t>
  </si>
  <si>
    <t xml:space="preserve">unexpected/Damaged input to CT Knee Intra-op </t>
  </si>
  <si>
    <t>Input from the Knee planning got modified in transit and unexpected input received by Intra-Op</t>
  </si>
  <si>
    <t>A14</t>
  </si>
  <si>
    <t>input to Intra-Op</t>
  </si>
  <si>
    <t>Akhil Gupta</t>
  </si>
  <si>
    <t>CT Knee Intra-Op</t>
  </si>
  <si>
    <t xml:space="preserve">Siva Kumar </t>
  </si>
  <si>
    <t>Unused/Unprotected external Interfaces (ports etc., )</t>
  </si>
  <si>
    <t>V39</t>
  </si>
  <si>
    <t xml:space="preserve"> 3rd Party Component/SOUP Dependency not validated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</si>
</sst>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u/>
      <sz val="11"/>
      <color rgb="FF000080"/>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u/>
      <sz val="11"/>
      <color rgb="FF000080"/>
      <name val="Cambria"/>
      <family val="1"/>
    </font>
    <font>
      <sz val="11"/>
      <color rgb="FF000000"/>
      <name val="Calibri"/>
      <family val="2"/>
      <charset val="1"/>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theme="6"/>
      </right>
      <top style="thin">
        <color indexed="64"/>
      </top>
      <bottom style="thin">
        <color indexed="64"/>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4" fillId="0" borderId="0"/>
  </cellStyleXfs>
  <cellXfs count="343">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 xfId="0" applyFont="1" applyBorder="1" applyAlignment="1">
      <alignment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49" fontId="42" fillId="0" borderId="0" xfId="3" applyNumberFormat="1" applyFont="1" applyAlignment="1">
      <alignment horizontal="left" wrapText="1"/>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0" fillId="0" borderId="5" xfId="0" applyBorder="1" applyAlignment="1">
      <alignment horizontal="center" vertical="center"/>
    </xf>
    <xf numFmtId="0" fontId="0" fillId="0" borderId="0" xfId="0" applyAlignment="1">
      <alignment vertical="top" wrapText="1"/>
    </xf>
    <xf numFmtId="0" fontId="0" fillId="0" borderId="5" xfId="0" applyBorder="1" applyAlignment="1">
      <alignment horizontal="center" vertical="top" wrapText="1"/>
    </xf>
    <xf numFmtId="0" fontId="0" fillId="0" borderId="36" xfId="0" applyBorder="1" applyAlignment="1">
      <alignment vertical="top" wrapText="1"/>
    </xf>
    <xf numFmtId="0" fontId="15" fillId="0" borderId="36" xfId="0" applyFont="1" applyBorder="1" applyAlignment="1">
      <alignment vertical="top"/>
    </xf>
    <xf numFmtId="0" fontId="15" fillId="0" borderId="1" xfId="0" applyFont="1" applyBorder="1" applyAlignment="1">
      <alignment horizontal="center" vertical="center"/>
    </xf>
    <xf numFmtId="0" fontId="0" fillId="0" borderId="7" xfId="0" applyBorder="1" applyAlignment="1">
      <alignment horizontal="center" vertical="center"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5" xfId="0" applyBorder="1" applyAlignment="1">
      <alignment vertical="top" wrapText="1"/>
    </xf>
    <xf numFmtId="0" fontId="15" fillId="0" borderId="7" xfId="0" applyFont="1" applyBorder="1" applyAlignment="1">
      <alignment horizontal="center" vertical="center" wrapText="1"/>
    </xf>
    <xf numFmtId="0" fontId="49" fillId="0" borderId="1" xfId="0" applyFont="1" applyBorder="1" applyAlignment="1">
      <alignment horizontal="center" vertical="top"/>
    </xf>
    <xf numFmtId="0" fontId="49" fillId="0" borderId="1" xfId="0" applyFont="1" applyBorder="1" applyAlignment="1">
      <alignment vertical="top"/>
    </xf>
    <xf numFmtId="0" fontId="49" fillId="15" borderId="1" xfId="0" applyNumberFormat="1" applyFont="1" applyFill="1" applyBorder="1" applyAlignment="1">
      <alignment vertical="top" wrapText="1"/>
    </xf>
    <xf numFmtId="0" fontId="49" fillId="0" borderId="1" xfId="0" applyFont="1" applyBorder="1" applyAlignment="1">
      <alignment vertical="top" wrapText="1"/>
    </xf>
    <xf numFmtId="0" fontId="49" fillId="19" borderId="1" xfId="0"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164" fontId="50" fillId="15" borderId="1" xfId="0" applyNumberFormat="1" applyFont="1" applyFill="1" applyBorder="1" applyAlignment="1">
      <alignment horizontal="center" vertical="center" wrapText="1"/>
    </xf>
    <xf numFmtId="0" fontId="49" fillId="0" borderId="1" xfId="0" applyNumberFormat="1" applyFont="1" applyBorder="1" applyAlignment="1">
      <alignment horizontal="center" vertical="top" wrapText="1"/>
    </xf>
    <xf numFmtId="0" fontId="51" fillId="0" borderId="1" xfId="0" applyFont="1" applyBorder="1" applyAlignment="1">
      <alignment vertical="top" wrapText="1"/>
    </xf>
    <xf numFmtId="0" fontId="49" fillId="19" borderId="1" xfId="0" applyNumberFormat="1" applyFont="1" applyFill="1" applyBorder="1" applyAlignment="1">
      <alignment horizontal="center" vertical="center" wrapText="1"/>
    </xf>
    <xf numFmtId="0" fontId="50" fillId="22" borderId="1" xfId="0" applyNumberFormat="1" applyFont="1" applyFill="1" applyBorder="1" applyAlignment="1">
      <alignment horizontal="center" vertical="center" wrapText="1"/>
    </xf>
    <xf numFmtId="0" fontId="20" fillId="0" borderId="2" xfId="0" applyFont="1" applyBorder="1" applyAlignment="1">
      <alignment vertical="top" wrapText="1"/>
    </xf>
    <xf numFmtId="0" fontId="15" fillId="0" borderId="6" xfId="0" applyFont="1" applyBorder="1" applyAlignment="1">
      <alignment vertical="top" wrapText="1"/>
    </xf>
    <xf numFmtId="0" fontId="51" fillId="0" borderId="1" xfId="0" applyFont="1" applyBorder="1" applyAlignment="1">
      <alignment vertical="top"/>
    </xf>
    <xf numFmtId="0" fontId="49" fillId="0" borderId="5" xfId="0" applyFont="1" applyBorder="1" applyAlignment="1">
      <alignment vertical="top" wrapText="1"/>
    </xf>
    <xf numFmtId="0" fontId="49" fillId="15" borderId="5" xfId="0" applyNumberFormat="1" applyFont="1" applyFill="1" applyBorder="1" applyAlignment="1">
      <alignment vertical="top" wrapText="1"/>
    </xf>
    <xf numFmtId="0" fontId="49" fillId="0" borderId="5" xfId="0" applyFont="1" applyBorder="1" applyAlignment="1">
      <alignment vertical="top"/>
    </xf>
    <xf numFmtId="0" fontId="49" fillId="19" borderId="5" xfId="0"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164" fontId="50" fillId="15" borderId="5" xfId="0" applyNumberFormat="1" applyFont="1" applyFill="1" applyBorder="1" applyAlignment="1">
      <alignment horizontal="center" vertical="center" wrapText="1"/>
    </xf>
    <xf numFmtId="0" fontId="49" fillId="0" borderId="5" xfId="0" applyNumberFormat="1" applyFont="1" applyBorder="1" applyAlignment="1">
      <alignment horizontal="center" vertical="top" wrapText="1"/>
    </xf>
    <xf numFmtId="0" fontId="51" fillId="0" borderId="5" xfId="0" applyFont="1" applyBorder="1" applyAlignment="1">
      <alignment vertical="top"/>
    </xf>
    <xf numFmtId="0" fontId="49" fillId="19" borderId="5" xfId="0" applyNumberFormat="1" applyFont="1" applyFill="1" applyBorder="1" applyAlignment="1">
      <alignment horizontal="center" vertical="center" wrapText="1"/>
    </xf>
    <xf numFmtId="0" fontId="50"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20" fillId="0" borderId="2" xfId="0" applyFont="1" applyFill="1" applyBorder="1" applyAlignment="1">
      <alignment horizontal="left" vertical="top" wrapText="1"/>
    </xf>
    <xf numFmtId="0" fontId="20" fillId="0"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0" fillId="0" borderId="36" xfId="0"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15" fillId="3" borderId="48" xfId="0" applyFont="1" applyFill="1" applyBorder="1" applyAlignment="1">
      <alignment horizontal="left" vertical="top"/>
    </xf>
    <xf numFmtId="0" fontId="3" fillId="0" borderId="0" xfId="0" applyFont="1" applyAlignment="1">
      <alignment vertical="top" wrapText="1"/>
    </xf>
    <xf numFmtId="0" fontId="15" fillId="0" borderId="0" xfId="0" applyFont="1" applyAlignment="1">
      <alignment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15" fillId="0" borderId="2" xfId="0" applyFont="1" applyBorder="1" applyAlignment="1">
      <alignment vertical="top" wrapText="1"/>
    </xf>
    <xf numFmtId="0" fontId="0" fillId="0" borderId="1" xfId="0" applyBorder="1" applyAlignment="1">
      <alignment vertical="top" wrapText="1"/>
    </xf>
    <xf numFmtId="0" fontId="15" fillId="0" borderId="0" xfId="0" applyFont="1" applyAlignment="1">
      <alignment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2" xfId="0" applyBorder="1" applyAlignment="1">
      <alignment vertical="top" wrapText="1"/>
    </xf>
    <xf numFmtId="0" fontId="0" fillId="0" borderId="4" xfId="0" applyBorder="1" applyAlignment="1">
      <alignment horizontal="center"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4" xfId="0" applyFont="1" applyBorder="1" applyAlignment="1">
      <alignment vertical="top" wrapText="1"/>
    </xf>
    <xf numFmtId="0" fontId="15" fillId="0" borderId="5" xfId="0" applyFont="1" applyBorder="1" applyAlignment="1">
      <alignment vertical="top"/>
    </xf>
    <xf numFmtId="0" fontId="15" fillId="3" borderId="1" xfId="0" applyFont="1" applyFill="1" applyBorder="1" applyAlignment="1">
      <alignment horizontal="left" vertical="top"/>
    </xf>
    <xf numFmtId="0" fontId="0" fillId="0" borderId="1" xfId="0" applyBorder="1" applyAlignment="1">
      <alignment horizontal="center" vertical="top" wrapText="1"/>
    </xf>
    <xf numFmtId="0" fontId="15" fillId="0" borderId="5" xfId="0" applyFont="1" applyBorder="1" applyAlignment="1">
      <alignment horizontal="center" vertical="top"/>
    </xf>
    <xf numFmtId="0" fontId="15" fillId="0" borderId="36" xfId="0" applyFont="1" applyBorder="1" applyAlignment="1">
      <alignment vertical="top"/>
    </xf>
    <xf numFmtId="0" fontId="15" fillId="0" borderId="1" xfId="0" applyFont="1" applyBorder="1" applyAlignment="1">
      <alignment vertical="top" wrapText="1"/>
    </xf>
    <xf numFmtId="0" fontId="0" fillId="0" borderId="5" xfId="0" applyFont="1" applyBorder="1" applyAlignment="1">
      <alignment vertical="top" wrapText="1"/>
    </xf>
    <xf numFmtId="0" fontId="15" fillId="0" borderId="0" xfId="0" applyFont="1" applyBorder="1" applyAlignment="1">
      <alignment vertical="top"/>
    </xf>
    <xf numFmtId="0" fontId="15" fillId="0" borderId="0" xfId="0" applyFont="1" applyBorder="1" applyAlignment="1">
      <alignment horizontal="center" vertical="top" wrapText="1"/>
    </xf>
    <xf numFmtId="0" fontId="21" fillId="0" borderId="0" xfId="0" applyFont="1" applyBorder="1" applyAlignment="1">
      <alignment vertical="top" wrapText="1"/>
    </xf>
    <xf numFmtId="0" fontId="15" fillId="0" borderId="0" xfId="0" applyFont="1" applyBorder="1" applyAlignment="1">
      <alignment vertical="top" wrapText="1"/>
    </xf>
    <xf numFmtId="0" fontId="0" fillId="0" borderId="0" xfId="0" applyBorder="1" applyAlignment="1">
      <alignment horizontal="center" vertical="top" wrapText="1"/>
    </xf>
    <xf numFmtId="0" fontId="15" fillId="0" borderId="0" xfId="0" applyFont="1" applyBorder="1" applyAlignment="1">
      <alignment horizontal="center" vertical="top"/>
    </xf>
    <xf numFmtId="0" fontId="0" fillId="0" borderId="0" xfId="0" applyBorder="1" applyAlignment="1">
      <alignment vertical="top" wrapText="1"/>
    </xf>
    <xf numFmtId="0" fontId="15" fillId="0" borderId="49" xfId="0" applyFont="1" applyBorder="1" applyAlignment="1">
      <alignment horizontal="center" vertical="top" wrapText="1"/>
    </xf>
    <xf numFmtId="0" fontId="21" fillId="0" borderId="5" xfId="0" applyFont="1" applyBorder="1" applyAlignment="1">
      <alignment vertical="top" wrapText="1"/>
    </xf>
    <xf numFmtId="0" fontId="15" fillId="10" borderId="4" xfId="0" applyFont="1" applyFill="1" applyBorder="1" applyAlignment="1">
      <alignment vertical="top"/>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cellXfs>
  <cellStyles count="6">
    <cellStyle name="Excel Built-in Normal" xfId="2"/>
    <cellStyle name="Normal" xfId="0" builtinId="0"/>
    <cellStyle name="Normal 2" xfId="1"/>
    <cellStyle name="Normal 3" xfId="5"/>
    <cellStyle name="Standard 2" xfId="4"/>
    <cellStyle name="Standard_Spreadsheet-Template(1)" xfId="3"/>
  </cellStyles>
  <dxfs count="193">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tableStyleElement type="wholeTable" dxfId="192"/>
      <tableStyleElement type="headerRow" dxfId="191"/>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40009566/Documents/Srtyker/Knee/Thor/D0000000909%20Product%20Security%20Risk%20Table%20latest%20vAB%20-%20Th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amp; Asset Identification"/>
      <sheetName val="Vulnerability Identification"/>
      <sheetName val="Threat Assessment"/>
      <sheetName val="Security Risk Assess"/>
      <sheetName val="Summary"/>
      <sheetName val="Reference - CVSSv3.0"/>
      <sheetName val="Reference - Threat Source"/>
      <sheetName val="OLD - Threat Assessment"/>
      <sheetName val="OLD - Risk Controls"/>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id="9" name="OT_documentReferences_1§0" displayName="OT_documentReferences_1§0" ref="A8:D15" totalsRowShown="0" dataDxfId="190">
  <autoFilter ref="A8:D15"/>
  <tableColumns count="4">
    <tableColumn id="1" name="ID" dataDxfId="189"/>
    <tableColumn id="2" name="Title" dataDxfId="188"/>
    <tableColumn id="3" name="Rev.*" dataDxfId="187"/>
    <tableColumn id="4" name="Doc. No." dataDxfId="186"/>
  </tableColumns>
  <tableStyleInfo name="OfficeTrace Table" showFirstColumn="0" showLastColumn="0" showRowStripes="1" showColumnStripes="0"/>
</table>
</file>

<file path=xl/tables/table10.xml><?xml version="1.0" encoding="utf-8"?>
<table xmlns="http://schemas.openxmlformats.org/spreadsheetml/2006/main" id="8" name="Table8" displayName="Table8" ref="E4:G10" totalsRowShown="0" headerRowDxfId="30" dataDxfId="29" tableBorderDxfId="28">
  <autoFilter ref="E4:G10"/>
  <tableColumns count="3">
    <tableColumn id="1" name="ID#" dataDxfId="27"/>
    <tableColumn id="2" name="Source" dataDxfId="26"/>
    <tableColumn id="3" name="In Scope (Y/N)" dataDxfId="25"/>
  </tableColumns>
  <tableStyleInfo name="TableStyleLight12" showFirstColumn="0" showLastColumn="0" showRowStripes="1" showColumnStripes="0"/>
</table>
</file>

<file path=xl/tables/table2.xml><?xml version="1.0" encoding="utf-8"?>
<table xmlns="http://schemas.openxmlformats.org/spreadsheetml/2006/main" id="3" name="Assets" displayName="Assets" ref="A9:D17" totalsRowShown="0" headerRowDxfId="185" dataDxfId="183" headerRowBorderDxfId="184" tableBorderDxfId="182" totalsRowBorderDxfId="181">
  <autoFilter ref="A9:D17"/>
  <tableColumns count="4">
    <tableColumn id="1" name="ID #" dataDxfId="180"/>
    <tableColumn id="2" name="Asset Type_x000a_(Information/Physical)" dataDxfId="179"/>
    <tableColumn id="3" name="Asset" dataDxfId="178"/>
    <tableColumn id="4" name="Asset Description" dataDxfId="177"/>
  </tableColumns>
  <tableStyleInfo name="TableStyleLight8" showFirstColumn="0" showLastColumn="0" showRowStripes="1" showColumnStripes="0"/>
</table>
</file>

<file path=xl/tables/table3.xml><?xml version="1.0" encoding="utf-8"?>
<table xmlns="http://schemas.openxmlformats.org/spreadsheetml/2006/main" id="2" name="Vulnerabilities" displayName="Vulnerabilities" ref="A4:D32" totalsRowShown="0" headerRowDxfId="176" dataDxfId="174" headerRowBorderDxfId="175" tableBorderDxfId="173" totalsRowBorderDxfId="172">
  <autoFilter ref="A4:D32"/>
  <tableColumns count="4">
    <tableColumn id="1" name="Vuln. ID" dataDxfId="171"/>
    <tableColumn id="4" name="Vulnerability Description" dataDxfId="170"/>
    <tableColumn id="5" name="Applicable (Yes/No)" dataDxfId="169"/>
    <tableColumn id="6" name="Rationale (if Vulnerability not applicable)" dataDxfId="168"/>
  </tableColumns>
  <tableStyleInfo name="TableStyleLight11" showFirstColumn="0" showLastColumn="0" showRowStripes="1" showColumnStripes="0"/>
</table>
</file>

<file path=xl/tables/table4.xml><?xml version="1.0" encoding="utf-8"?>
<table xmlns="http://schemas.openxmlformats.org/spreadsheetml/2006/main" id="5" name="Table5" displayName="Table5" ref="A3:F29" totalsRowShown="0" headerRowDxfId="167" headerRowBorderDxfId="166" tableBorderDxfId="165" totalsRowBorderDxfId="164">
  <autoFilter ref="A3:F29"/>
  <tableColumns count="6">
    <tableColumn id="1" name="#" dataDxfId="163"/>
    <tableColumn id="2" name="Threat Event " dataDxfId="162"/>
    <tableColumn id="3" name="Description " dataDxfId="161"/>
    <tableColumn id="4" name="Threat Source" dataDxfId="160"/>
    <tableColumn id="5" name="In Scope (Yes/No)" dataDxfId="159"/>
    <tableColumn id="13" name="Rationale _x000a_(if out of scope)" dataDxfId="158"/>
  </tableColumns>
  <tableStyleInfo name="TableStyleLight11" showFirstColumn="0" showLastColumn="0" showRowStripes="1" showColumnStripes="0"/>
</table>
</file>

<file path=xl/tables/table5.xml><?xml version="1.0" encoding="utf-8"?>
<table xmlns="http://schemas.openxmlformats.org/spreadsheetml/2006/main" id="4" name="Table4" displayName="Table4" ref="A4:AQ25" totalsRowShown="0" headerRowDxfId="157" dataDxfId="156" tableBorderDxfId="155">
  <autoFilter ref="A4:AQ25"/>
  <tableColumns count="43">
    <tableColumn id="1" name="_x000a_ID #" dataDxfId="154" totalsRowDxfId="153"/>
    <tableColumn id="23" name="T ID" dataDxfId="152" totalsRowDxfId="151"/>
    <tableColumn id="2" name="Threat Event(s)" dataDxfId="150" totalsRowDxfId="149">
      <calculatedColumnFormula>IF(VLOOKUP(Table4[[#This Row],[T ID]],Table5[#All],5,FALSE)="No","Not in scope",VLOOKUP(Table4[[#This Row],[T ID]],Table5[#All],2,FALSE))</calculatedColumnFormula>
    </tableColumn>
    <tableColumn id="22" name="V ID" dataDxfId="148" totalsRowDxfId="147"/>
    <tableColumn id="3" name="Vulnerabilities" dataDxfId="146" totalsRowDxfId="145">
      <calculatedColumnFormula>IF(VLOOKUP(Table4[[#This Row],[V ID]],Vulnerabilities[#All],3,FALSE)="No","Not in scope",VLOOKUP(Table4[[#This Row],[V ID]],Vulnerabilities[#All],2,FALSE))</calculatedColumnFormula>
    </tableColumn>
    <tableColumn id="24" name="A ID" dataDxfId="144" totalsRowDxfId="143"/>
    <tableColumn id="4" name="Asset" dataDxfId="142" totalsRowDxfId="141">
      <calculatedColumnFormula>VLOOKUP(Table4[[#This Row],[A ID]],Assets[#All],3,FALSE)</calculatedColumnFormula>
    </tableColumn>
    <tableColumn id="5" name="Impact Description" dataDxfId="140" totalsRowDxfId="139"/>
    <tableColumn id="7" name="Safety Impact _x000a_(Risk ID# or N/A)" dataDxfId="138" totalsRowDxfId="137"/>
    <tableColumn id="26" name="Confidentiality" dataDxfId="136" totalsRowDxfId="135"/>
    <tableColumn id="25" name="Integrity" dataDxfId="134" totalsRowDxfId="133"/>
    <tableColumn id="21" name="Availability" dataDxfId="132" totalsRowDxfId="131"/>
    <tableColumn id="44" name="Attack Vector" dataDxfId="130" totalsRowDxfId="129"/>
    <tableColumn id="45" name="Attack Complexity" dataDxfId="128" totalsRowDxfId="127"/>
    <tableColumn id="46" name="Privileges Required" dataDxfId="126" totalsRowDxfId="125"/>
    <tableColumn id="47" name="User Interaction" dataDxfId="124" totalsRowDxfId="123"/>
    <tableColumn id="43" name="Scope" dataDxfId="122" totalsRowDxfId="121"/>
    <tableColumn id="48" name="Exploitability Sub Score" dataDxfId="120" totalsRowDxfId="11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name="ISC Base" dataDxfId="118" totalsRowDxfId="11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name="Impact Sub Score" dataDxfId="116" totalsRowDxfId="115">
      <calculatedColumnFormula>IF(Table4[[#This Row],[Scope]]="Unchanged",6.42*Table4[[#This Row],[ISC Base]],IF(Table4[[#This Row],[Scope]]="Changed",7.52*(Table4[[#This Row],[ISC Base]] - 0.029) - 3.25 * POWER(Table4[[#This Row],[ISC Base]] - 0.02,15),NA()))</calculatedColumnFormula>
    </tableColumn>
    <tableColumn id="34" name="CVSS v3.0 Base Score" dataDxfId="114" totalsRowDxfId="11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name="Threat Event Initiation" dataDxfId="112"/>
    <tableColumn id="33" name="Threat Event Initiation_x000a_Score" dataDxfId="111" totalsRowDxfId="110">
      <calculatedColumnFormula>VLOOKUP(Table4[[#This Row],[Threat Event Initiation]],NIST_Scale_LOAI[],2,FALSE)</calculatedColumnFormula>
    </tableColumn>
    <tableColumn id="10" name="Overall Risk Score" dataDxfId="109" totalsRowDxfId="10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name="Security _x000a_Risk _x000a_Level" dataDxfId="107" totalsRowDxfId="10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name="Security Risk Control Measures" dataDxfId="105" totalsRowDxfId="104"/>
    <tableColumn id="14" name="Implementation of Risk Control Measures " dataDxfId="103" totalsRowDxfId="102"/>
    <tableColumn id="15" name="Verification of Risk Control Measures (Effectiveness)" dataDxfId="101" totalsRowDxfId="100"/>
    <tableColumn id="13" name="ConfidentialityP" dataDxfId="99" totalsRowDxfId="98"/>
    <tableColumn id="27" name="IntegrityP" dataDxfId="97" totalsRowDxfId="96"/>
    <tableColumn id="28" name="AvailabilityP" dataDxfId="95" totalsRowDxfId="94"/>
    <tableColumn id="8" name="Attack VectorP" dataDxfId="93" totalsRowDxfId="92"/>
    <tableColumn id="29" name="Attack ComplexityP" dataDxfId="91" totalsRowDxfId="90"/>
    <tableColumn id="30" name="Privileges RequiredP" dataDxfId="89" totalsRowDxfId="88"/>
    <tableColumn id="31" name="User InteractionP" dataDxfId="87"/>
    <tableColumn id="36" name="ScopeP" dataDxfId="86" totalsRowDxfId="85"/>
    <tableColumn id="35" name="Exploitability Sub ScoreP" dataDxfId="84" totalsRowDxfId="83">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name="ISC BaseP" dataDxfId="82" totalsRowDxfId="8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name="Impact Sub ScoreP" dataDxfId="80" totalsRowDxfId="79">
      <calculatedColumnFormula>IF(Table4[[#This Row],[ScopeP]]="Unchanged",6.42*Table4[[#This Row],[ISC BaseP]],IF(Table4[[#This Row],[ScopeP]]="Changed",7.52*(Table4[[#This Row],[ISC BaseP]] - 0.029) - 3.25 * POWER(Table4[[#This Row],[ISC BaseP]] - 0.02,15),NA()))</calculatedColumnFormula>
    </tableColumn>
    <tableColumn id="42" name="CVSS v3.0 Base ScoreP" dataDxfId="78" totalsRowDxfId="7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name="Overall Risk ScoreP" dataDxfId="76" totalsRowDxfId="7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name="Security Risk LevelP" dataDxfId="74" totalsRowDxfId="7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name="Residual Security Risk Acceptability Justification" dataDxfId="72" totalsRowDxfId="71"/>
  </tableColumns>
  <tableStyleInfo name="TableStyleLight11" showFirstColumn="0" showLastColumn="0" showRowStripes="1" showColumnStripes="0"/>
</table>
</file>

<file path=xl/tables/table6.xml><?xml version="1.0" encoding="utf-8"?>
<table xmlns="http://schemas.openxmlformats.org/spreadsheetml/2006/main" id="1" name="OT_securityRiskControls_1§0" displayName="OT_securityRiskControls_1§0" ref="A6:D9" totalsRowShown="0">
  <autoFilter ref="A6:D9"/>
  <tableColumns count="4">
    <tableColumn id="1" name="ID"/>
    <tableColumn id="2" name="Risk Control Measure"/>
    <tableColumn id="3" name="Category (optional)"/>
    <tableColumn id="4" name="Reference to more detailed specification"/>
  </tableColumns>
  <tableStyleInfo name="OfficeTrace Table" showFirstColumn="0" showLastColumn="0" showRowStripes="1" showColumnStripes="0"/>
</table>
</file>

<file path=xl/tables/table7.xml><?xml version="1.0" encoding="utf-8"?>
<table xmlns="http://schemas.openxmlformats.org/spreadsheetml/2006/main" id="14" name="Table41415" displayName="Table41415" ref="A4:M9" totalsRowShown="0" headerRowDxfId="70" dataDxfId="69" tableBorderDxfId="68">
  <autoFilter ref="A4:M9"/>
  <tableColumns count="13">
    <tableColumn id="1" name="_x000a_ID #" dataDxfId="67" totalsRowDxfId="66">
      <calculatedColumnFormula>Table4[[#This Row],[
ID '#]]</calculatedColumnFormula>
    </tableColumn>
    <tableColumn id="23" name="T ID" dataDxfId="65" totalsRowDxfId="64">
      <calculatedColumnFormula>IF(Table4[[#This Row],[A ID]]&gt;0,Table4[[#This Row],[T ID]],"")</calculatedColumnFormula>
    </tableColumn>
    <tableColumn id="2" name="Threat Event(s)" dataDxfId="63" totalsRowDxfId="62">
      <calculatedColumnFormula>Table4[[#This Row],[Threat Event(s)]]</calculatedColumnFormula>
    </tableColumn>
    <tableColumn id="22" name="V ID" dataDxfId="61" totalsRowDxfId="60">
      <calculatedColumnFormula>IF(Table4[[#This Row],[V ID]]&gt;0,Table4[[#This Row],[V ID]],"")</calculatedColumnFormula>
    </tableColumn>
    <tableColumn id="3" name="Vulnerabilities" dataDxfId="59" totalsRowDxfId="58">
      <calculatedColumnFormula>Table4[[#This Row],[Vulnerabilities]]</calculatedColumnFormula>
    </tableColumn>
    <tableColumn id="24" name="A ID" dataDxfId="57" totalsRowDxfId="56">
      <calculatedColumnFormula>IF(Table4[[#This Row],[A ID]]&gt;0,Table4[[#This Row],[A ID]],"")</calculatedColumnFormula>
    </tableColumn>
    <tableColumn id="4" name="Assets" dataDxfId="55" totalsRowDxfId="54">
      <calculatedColumnFormula>Table4[[#This Row],[Asset]]</calculatedColumnFormula>
    </tableColumn>
    <tableColumn id="5" name="Impact Description" dataDxfId="53" totalsRowDxfId="52">
      <calculatedColumnFormula>IF(Table4[[#This Row],[Impact Description]]&gt;0,Table4[[#This Row],[Impact Description]],"")</calculatedColumnFormula>
    </tableColumn>
    <tableColumn id="7" name="Safety Impact _x000a_(Risk ID# or N/A)" dataDxfId="51" totalsRowDxfId="50">
      <calculatedColumnFormula>IF(Table4[[#This Row],[Safety Impact 
(Risk ID'# or N/A)]]&gt;0,Table4[[#This Row],[Safety Impact 
(Risk ID'# or N/A)]],"")</calculatedColumnFormula>
    </tableColumn>
    <tableColumn id="11" name="Pre-Controls _x000a_Risk Level" dataDxfId="49" totalsRowDxfId="48">
      <calculatedColumnFormula>Table4[[#This Row],[Security 
Risk 
Level]]</calculatedColumnFormula>
    </tableColumn>
    <tableColumn id="12" name="Security Risk Control Measures" dataDxfId="47" totalsRowDxfId="46">
      <calculatedColumnFormula>IF(Table4[[#This Row],[Security Risk Control Measures]]&gt;0,Table4[[#This Row],[Security Risk Control Measures]],"")</calculatedColumnFormula>
    </tableColumn>
    <tableColumn id="50" name="Post-Controls Risk Level" dataDxfId="45" totalsRowDxfId="44">
      <calculatedColumnFormula>Table4[[#This Row],[Security Risk LevelP]]</calculatedColumnFormula>
    </tableColumn>
    <tableColumn id="20" name="Residual Security Risk Acceptability Justification" dataDxfId="43" totalsRowDxfId="42">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6" name="NIST_Scale_LOAI" displayName="NIST_Scale_LOAI" ref="Q4:R10" totalsRowShown="0" headerRowDxfId="41" dataDxfId="40" tableBorderDxfId="39">
  <autoFilter ref="Q4:R10"/>
  <tableColumns count="2">
    <tableColumn id="1" name="Rating" dataDxfId="38"/>
    <tableColumn id="2" name="Score" dataDxfId="37"/>
  </tableColumns>
  <tableStyleInfo name="TableStyleLight11" showFirstColumn="0" showLastColumn="0" showRowStripes="1" showColumnStripes="0"/>
</table>
</file>

<file path=xl/tables/table9.xml><?xml version="1.0" encoding="utf-8"?>
<table xmlns="http://schemas.openxmlformats.org/spreadsheetml/2006/main" id="7" name="Table7" displayName="Table7" ref="A4:C10" totalsRowShown="0" headerRowDxfId="36" dataDxfId="35" tableBorderDxfId="34">
  <autoFilter ref="A4:C10"/>
  <tableColumns count="3">
    <tableColumn id="1" name="ID#" dataDxfId="33"/>
    <tableColumn id="2" name="Threat Source" dataDxfId="32"/>
    <tableColumn id="3" name="In Scope (Y/N)" dataDxfId="31"/>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7.bin"/><Relationship Id="rId5" Type="http://schemas.openxmlformats.org/officeDocument/2006/relationships/comments" Target="../comments3.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G23"/>
  <sheetViews>
    <sheetView view="pageBreakPreview" topLeftCell="A5" zoomScale="90" zoomScaleNormal="100" zoomScaleSheetLayoutView="90" workbookViewId="0">
      <selection activeCell="F22" sqref="F22"/>
    </sheetView>
  </sheetViews>
  <sheetFormatPr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4" spans="1:7" x14ac:dyDescent="0.25">
      <c r="A4" s="253" t="s">
        <v>211</v>
      </c>
      <c r="B4" s="253"/>
      <c r="C4" s="253"/>
      <c r="D4" s="253"/>
      <c r="E4" s="253"/>
      <c r="F4" s="253"/>
      <c r="G4" s="253"/>
    </row>
    <row r="5" spans="1:7" x14ac:dyDescent="0.25">
      <c r="A5" s="254"/>
      <c r="B5" s="254"/>
      <c r="C5" s="254"/>
      <c r="D5" s="254"/>
      <c r="E5" s="254"/>
      <c r="F5" s="254"/>
      <c r="G5" s="254"/>
    </row>
    <row r="6" spans="1:7" ht="23.25" x14ac:dyDescent="0.25">
      <c r="A6" s="188"/>
      <c r="B6" s="188"/>
      <c r="C6" s="188"/>
      <c r="D6" s="188"/>
      <c r="E6" s="188"/>
      <c r="F6" s="188"/>
      <c r="G6" s="188"/>
    </row>
    <row r="7" spans="1:7" ht="18" x14ac:dyDescent="0.25">
      <c r="B7" s="255" t="s">
        <v>367</v>
      </c>
      <c r="C7" s="256"/>
    </row>
    <row r="8" spans="1:7" ht="18" x14ac:dyDescent="0.25">
      <c r="B8" s="255" t="s">
        <v>133</v>
      </c>
      <c r="C8" s="256"/>
    </row>
    <row r="9" spans="1:7" x14ac:dyDescent="0.25">
      <c r="B9" s="24"/>
    </row>
    <row r="10" spans="1:7" x14ac:dyDescent="0.25">
      <c r="B10" s="24"/>
    </row>
    <row r="11" spans="1:7" x14ac:dyDescent="0.25">
      <c r="B11" s="189" t="s">
        <v>212</v>
      </c>
      <c r="C11" s="190"/>
    </row>
    <row r="12" spans="1:7" x14ac:dyDescent="0.25">
      <c r="B12" s="191" t="s">
        <v>213</v>
      </c>
      <c r="C12" s="250" t="s">
        <v>431</v>
      </c>
      <c r="D12" s="251"/>
      <c r="E12" s="251"/>
      <c r="F12" s="252"/>
    </row>
    <row r="13" spans="1:7" x14ac:dyDescent="0.25">
      <c r="B13" s="191" t="s">
        <v>215</v>
      </c>
      <c r="C13" s="250" t="s">
        <v>233</v>
      </c>
      <c r="D13" s="251"/>
      <c r="E13" s="251"/>
      <c r="F13" s="252"/>
    </row>
    <row r="14" spans="1:7" x14ac:dyDescent="0.25">
      <c r="B14" s="191" t="s">
        <v>216</v>
      </c>
      <c r="C14" s="250"/>
      <c r="D14" s="251"/>
      <c r="E14" s="251"/>
      <c r="F14" s="252"/>
    </row>
    <row r="15" spans="1:7" x14ac:dyDescent="0.25">
      <c r="B15" s="191" t="s">
        <v>217</v>
      </c>
      <c r="C15" s="250" t="s">
        <v>430</v>
      </c>
      <c r="D15" s="251"/>
      <c r="E15" s="251" t="s">
        <v>234</v>
      </c>
      <c r="F15" s="252"/>
    </row>
    <row r="16" spans="1:7" x14ac:dyDescent="0.25">
      <c r="B16" s="191" t="s">
        <v>218</v>
      </c>
      <c r="C16" s="250" t="s">
        <v>429</v>
      </c>
      <c r="D16" s="251"/>
      <c r="E16" s="251"/>
      <c r="F16" s="252"/>
    </row>
    <row r="17" spans="2:6" x14ac:dyDescent="0.25">
      <c r="B17" s="24"/>
    </row>
    <row r="18" spans="2:6" x14ac:dyDescent="0.25">
      <c r="B18" s="24"/>
    </row>
    <row r="19" spans="2:6" x14ac:dyDescent="0.25">
      <c r="B19" s="189" t="s">
        <v>219</v>
      </c>
    </row>
    <row r="20" spans="2:6" x14ac:dyDescent="0.25">
      <c r="B20" s="192" t="s">
        <v>220</v>
      </c>
      <c r="C20" s="257" t="s">
        <v>221</v>
      </c>
      <c r="D20" s="258"/>
      <c r="E20" s="192" t="s">
        <v>222</v>
      </c>
      <c r="F20" s="192" t="s">
        <v>214</v>
      </c>
    </row>
    <row r="21" spans="2:6" x14ac:dyDescent="0.25">
      <c r="B21" s="193" t="s">
        <v>235</v>
      </c>
      <c r="C21" s="248" t="s">
        <v>236</v>
      </c>
      <c r="D21" s="249"/>
      <c r="E21" s="194" t="s">
        <v>237</v>
      </c>
      <c r="F21" s="193"/>
    </row>
    <row r="22" spans="2:6" ht="50.45" customHeight="1" x14ac:dyDescent="0.25">
      <c r="B22" s="193"/>
      <c r="C22" s="248"/>
      <c r="D22" s="249"/>
      <c r="E22" s="194"/>
      <c r="F22" s="193"/>
    </row>
    <row r="23" spans="2:6" x14ac:dyDescent="0.25">
      <c r="B23" s="193"/>
      <c r="C23" s="248"/>
      <c r="D23" s="249"/>
      <c r="E23" s="194"/>
      <c r="F23" s="193"/>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view="pageBreakPreview" zoomScaleNormal="100" zoomScaleSheetLayoutView="100" workbookViewId="0"/>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52" customFormat="1" ht="14.25" x14ac:dyDescent="0.25">
      <c r="A1" s="93" t="s">
        <v>172</v>
      </c>
      <c r="C1" s="62"/>
    </row>
    <row r="2" spans="1:8" s="52" customFormat="1" thickBot="1" x14ac:dyDescent="0.3">
      <c r="C2" s="62"/>
    </row>
    <row r="3" spans="1:8" s="52" customFormat="1" thickBot="1" x14ac:dyDescent="0.3">
      <c r="A3" s="291" t="s">
        <v>25</v>
      </c>
      <c r="B3" s="292"/>
      <c r="C3" s="292"/>
      <c r="E3" s="293" t="s">
        <v>27</v>
      </c>
      <c r="F3" s="294"/>
      <c r="G3" s="294"/>
    </row>
    <row r="4" spans="1:8" s="52" customFormat="1" ht="14.25" x14ac:dyDescent="0.25">
      <c r="A4" s="140" t="s">
        <v>40</v>
      </c>
      <c r="B4" s="141" t="s">
        <v>16</v>
      </c>
      <c r="C4" s="142" t="s">
        <v>26</v>
      </c>
      <c r="E4" s="143" t="s">
        <v>40</v>
      </c>
      <c r="F4" s="144" t="s">
        <v>28</v>
      </c>
      <c r="G4" s="145" t="s">
        <v>26</v>
      </c>
    </row>
    <row r="5" spans="1:8" s="52" customFormat="1" ht="57" x14ac:dyDescent="0.25">
      <c r="A5" s="146" t="s">
        <v>47</v>
      </c>
      <c r="B5" s="147" t="s">
        <v>232</v>
      </c>
      <c r="C5" s="148" t="s">
        <v>57</v>
      </c>
      <c r="E5" s="146" t="s">
        <v>59</v>
      </c>
      <c r="F5" s="149" t="s">
        <v>34</v>
      </c>
      <c r="G5" s="150" t="s">
        <v>57</v>
      </c>
    </row>
    <row r="6" spans="1:8" s="52" customFormat="1" ht="28.5" x14ac:dyDescent="0.25">
      <c r="A6" s="42" t="s">
        <v>50</v>
      </c>
      <c r="B6" s="147" t="s">
        <v>29</v>
      </c>
      <c r="C6" s="148" t="s">
        <v>57</v>
      </c>
      <c r="E6" s="42" t="s">
        <v>60</v>
      </c>
      <c r="F6" s="149" t="s">
        <v>35</v>
      </c>
      <c r="G6" s="151" t="s">
        <v>57</v>
      </c>
    </row>
    <row r="7" spans="1:8" s="52" customFormat="1" ht="42.75" x14ac:dyDescent="0.25">
      <c r="A7" s="42" t="s">
        <v>51</v>
      </c>
      <c r="B7" s="147" t="s">
        <v>30</v>
      </c>
      <c r="C7" s="148" t="s">
        <v>57</v>
      </c>
      <c r="E7" s="42" t="s">
        <v>61</v>
      </c>
      <c r="F7" s="149" t="s">
        <v>36</v>
      </c>
      <c r="G7" s="151" t="s">
        <v>57</v>
      </c>
    </row>
    <row r="8" spans="1:8" s="52" customFormat="1" ht="28.5" x14ac:dyDescent="0.25">
      <c r="A8" s="152" t="s">
        <v>52</v>
      </c>
      <c r="B8" s="153" t="s">
        <v>31</v>
      </c>
      <c r="C8" s="148" t="s">
        <v>58</v>
      </c>
      <c r="E8" s="42" t="s">
        <v>62</v>
      </c>
      <c r="F8" s="149" t="s">
        <v>37</v>
      </c>
      <c r="G8" s="151" t="s">
        <v>57</v>
      </c>
    </row>
    <row r="9" spans="1:8" s="52" customFormat="1" ht="42.75" x14ac:dyDescent="0.25">
      <c r="A9" s="152" t="s">
        <v>53</v>
      </c>
      <c r="B9" s="153" t="s">
        <v>32</v>
      </c>
      <c r="C9" s="148" t="s">
        <v>58</v>
      </c>
      <c r="E9" s="42" t="s">
        <v>63</v>
      </c>
      <c r="F9" s="149" t="s">
        <v>38</v>
      </c>
      <c r="G9" s="151" t="s">
        <v>57</v>
      </c>
    </row>
    <row r="10" spans="1:8" s="52" customFormat="1" ht="57" x14ac:dyDescent="0.25">
      <c r="A10" s="154" t="s">
        <v>54</v>
      </c>
      <c r="B10" s="155" t="s">
        <v>33</v>
      </c>
      <c r="C10" s="156" t="s">
        <v>58</v>
      </c>
      <c r="E10" s="157" t="s">
        <v>64</v>
      </c>
      <c r="F10" s="158" t="s">
        <v>39</v>
      </c>
      <c r="G10" s="159" t="s">
        <v>58</v>
      </c>
    </row>
    <row r="11" spans="1:8" s="52" customFormat="1" ht="14.25" x14ac:dyDescent="0.25">
      <c r="C11" s="62"/>
    </row>
    <row r="12" spans="1:8" s="52" customFormat="1" ht="14.25" x14ac:dyDescent="0.25">
      <c r="C12" s="62"/>
    </row>
    <row r="13" spans="1:8" s="52" customFormat="1" ht="14.25" x14ac:dyDescent="0.25">
      <c r="C13" s="62"/>
    </row>
    <row r="14" spans="1:8" s="52" customFormat="1" ht="14.25" x14ac:dyDescent="0.15">
      <c r="A14" s="29" t="s">
        <v>177</v>
      </c>
      <c r="C14" s="62"/>
    </row>
    <row r="15" spans="1:8" s="52" customFormat="1" ht="32.25" customHeight="1" x14ac:dyDescent="0.15">
      <c r="B15" s="260" t="s">
        <v>178</v>
      </c>
      <c r="C15" s="260"/>
      <c r="D15" s="260"/>
      <c r="E15" s="260"/>
      <c r="F15" s="260"/>
      <c r="G15" s="260"/>
      <c r="H15" s="260"/>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7109375" customWidth="1"/>
    <col min="6" max="6" width="16.28515625" customWidth="1"/>
    <col min="7" max="7" width="20.140625" customWidth="1"/>
    <col min="8" max="8" width="20.28515625" customWidth="1"/>
  </cols>
  <sheetData>
    <row r="1" spans="1:8" x14ac:dyDescent="0.25">
      <c r="A1" s="295" t="s">
        <v>20</v>
      </c>
      <c r="B1" s="295"/>
      <c r="C1" s="295"/>
      <c r="D1" s="295"/>
      <c r="E1" s="295"/>
      <c r="F1" s="295"/>
      <c r="G1" s="295"/>
      <c r="H1" s="295"/>
    </row>
    <row r="2" spans="1:8" ht="60" x14ac:dyDescent="0.25">
      <c r="A2" s="12" t="s">
        <v>21</v>
      </c>
      <c r="B2" s="12" t="s">
        <v>24</v>
      </c>
      <c r="C2" s="12" t="s">
        <v>22</v>
      </c>
      <c r="D2" s="13" t="s">
        <v>16</v>
      </c>
      <c r="E2" s="21" t="s">
        <v>41</v>
      </c>
      <c r="F2" s="14" t="s">
        <v>42</v>
      </c>
      <c r="G2" s="14" t="s">
        <v>43</v>
      </c>
      <c r="H2" s="14" t="s">
        <v>23</v>
      </c>
    </row>
    <row r="3" spans="1:8" s="19" customFormat="1" ht="48" x14ac:dyDescent="0.25">
      <c r="A3" s="15" t="s">
        <v>44</v>
      </c>
      <c r="B3" s="16" t="s">
        <v>45</v>
      </c>
      <c r="C3" s="16" t="s">
        <v>46</v>
      </c>
      <c r="D3" s="17" t="s">
        <v>47</v>
      </c>
      <c r="E3" s="22" t="s">
        <v>48</v>
      </c>
      <c r="F3" s="18" t="s">
        <v>49</v>
      </c>
      <c r="G3" s="18" t="s">
        <v>49</v>
      </c>
      <c r="H3" s="20" t="s">
        <v>49</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formula1>"Very High, High, Moderate, Low, Very Low"</formula1>
    </dataValidation>
    <dataValidation type="list" allowBlank="1" showInputMessage="1" showErrorMessage="1" sqref="E3">
      <formula1>"Confirmed, Expected, Anticipated, Predicted, Possible, 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H13" sqref="H13"/>
    </sheetView>
  </sheetViews>
  <sheetFormatPr defaultColWidth="9.140625" defaultRowHeight="15" x14ac:dyDescent="0.25"/>
  <cols>
    <col min="1" max="1" width="27.7109375" customWidth="1"/>
    <col min="2" max="2" width="102.140625" customWidth="1"/>
  </cols>
  <sheetData>
    <row r="1" spans="1:2" ht="19.5" thickBot="1" x14ac:dyDescent="0.3">
      <c r="A1" s="3"/>
      <c r="B1" s="4"/>
    </row>
    <row r="2" spans="1:2" ht="19.5" thickBot="1" x14ac:dyDescent="0.3">
      <c r="A2" s="5" t="s">
        <v>18</v>
      </c>
      <c r="B2" s="6" t="s">
        <v>19</v>
      </c>
    </row>
    <row r="3" spans="1:2" ht="19.5" thickBot="1" x14ac:dyDescent="0.3">
      <c r="A3" s="7"/>
      <c r="B3" s="8"/>
    </row>
    <row r="4" spans="1:2" x14ac:dyDescent="0.25">
      <c r="A4" s="296"/>
      <c r="B4" s="9"/>
    </row>
    <row r="5" spans="1:2" x14ac:dyDescent="0.25">
      <c r="A5" s="297"/>
      <c r="B5" s="10"/>
    </row>
    <row r="6" spans="1:2" x14ac:dyDescent="0.25">
      <c r="A6" s="297"/>
      <c r="B6" s="10"/>
    </row>
    <row r="7" spans="1:2" ht="15.75" thickBot="1" x14ac:dyDescent="0.3">
      <c r="A7" s="298"/>
      <c r="B7" s="11"/>
    </row>
    <row r="8" spans="1:2" ht="19.5" thickBot="1" x14ac:dyDescent="0.3">
      <c r="A8" s="3"/>
      <c r="B8" s="4"/>
    </row>
    <row r="9" spans="1:2" x14ac:dyDescent="0.25">
      <c r="A9" s="296"/>
      <c r="B9" s="9"/>
    </row>
    <row r="10" spans="1:2" x14ac:dyDescent="0.25">
      <c r="A10" s="297"/>
      <c r="B10" s="10"/>
    </row>
    <row r="11" spans="1:2" x14ac:dyDescent="0.25">
      <c r="A11" s="297"/>
      <c r="B11" s="10"/>
    </row>
    <row r="12" spans="1:2" x14ac:dyDescent="0.25">
      <c r="A12" s="297"/>
      <c r="B12" s="10"/>
    </row>
    <row r="13" spans="1:2" ht="15.75" thickBot="1" x14ac:dyDescent="0.3">
      <c r="A13" s="298"/>
      <c r="B13" s="11"/>
    </row>
  </sheetData>
  <mergeCells count="2">
    <mergeCell ref="A4:A7"/>
    <mergeCell ref="A9:A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D50"/>
  <sheetViews>
    <sheetView view="pageBreakPreview" zoomScaleNormal="85" zoomScaleSheetLayoutView="100" workbookViewId="0">
      <selection activeCell="D20" sqref="D20"/>
    </sheetView>
  </sheetViews>
  <sheetFormatPr defaultColWidth="11.5703125" defaultRowHeight="15" x14ac:dyDescent="0.25"/>
  <cols>
    <col min="1" max="1" width="20.28515625" customWidth="1"/>
    <col min="2" max="2" width="51.140625" customWidth="1"/>
    <col min="3" max="3" width="11.85546875" customWidth="1"/>
    <col min="4" max="4" width="23.42578125" customWidth="1"/>
  </cols>
  <sheetData>
    <row r="4" spans="1:4" ht="23.25" x14ac:dyDescent="0.25">
      <c r="A4" s="198" t="str">
        <f>Form_Name</f>
        <v>Product Security Risk Table</v>
      </c>
    </row>
    <row r="5" spans="1:4" ht="15" customHeight="1" x14ac:dyDescent="0.25"/>
    <row r="6" spans="1:4" ht="14.25" customHeight="1" x14ac:dyDescent="0.25"/>
    <row r="7" spans="1:4" x14ac:dyDescent="0.25">
      <c r="A7" s="189" t="s">
        <v>230</v>
      </c>
    </row>
    <row r="8" spans="1:4" x14ac:dyDescent="0.25">
      <c r="A8" t="s">
        <v>223</v>
      </c>
      <c r="B8" t="s">
        <v>224</v>
      </c>
      <c r="C8" t="s">
        <v>225</v>
      </c>
      <c r="D8" t="s">
        <v>226</v>
      </c>
    </row>
    <row r="9" spans="1:4" x14ac:dyDescent="0.25">
      <c r="A9" s="199" t="s">
        <v>231</v>
      </c>
      <c r="B9" s="203" t="s">
        <v>241</v>
      </c>
      <c r="C9" s="199" t="s">
        <v>242</v>
      </c>
      <c r="D9" s="199" t="s">
        <v>240</v>
      </c>
    </row>
    <row r="10" spans="1:4" ht="30" x14ac:dyDescent="0.25">
      <c r="A10" s="201" t="s">
        <v>239</v>
      </c>
      <c r="B10" s="203" t="s">
        <v>243</v>
      </c>
      <c r="C10" s="201" t="s">
        <v>242</v>
      </c>
      <c r="D10" s="201" t="s">
        <v>238</v>
      </c>
    </row>
    <row r="11" spans="1:4" ht="30" x14ac:dyDescent="0.25">
      <c r="A11" s="201" t="s">
        <v>369</v>
      </c>
      <c r="B11" s="203" t="s">
        <v>370</v>
      </c>
      <c r="C11" s="201" t="s">
        <v>242</v>
      </c>
      <c r="D11" s="201" t="s">
        <v>368</v>
      </c>
    </row>
    <row r="12" spans="1:4" ht="30" x14ac:dyDescent="0.25">
      <c r="A12" s="201" t="s">
        <v>372</v>
      </c>
      <c r="B12" s="203" t="s">
        <v>373</v>
      </c>
      <c r="C12" s="201" t="s">
        <v>242</v>
      </c>
      <c r="D12" s="201" t="s">
        <v>371</v>
      </c>
    </row>
    <row r="13" spans="1:4" x14ac:dyDescent="0.25">
      <c r="A13" s="200"/>
      <c r="B13" s="201"/>
      <c r="C13" s="201"/>
      <c r="D13" s="201"/>
    </row>
    <row r="14" spans="1:4" x14ac:dyDescent="0.25">
      <c r="A14" s="200"/>
      <c r="B14" s="200"/>
      <c r="C14" s="200"/>
      <c r="D14" s="200"/>
    </row>
    <row r="15" spans="1:4" x14ac:dyDescent="0.25">
      <c r="A15" s="200"/>
      <c r="B15" s="200"/>
      <c r="C15" s="200"/>
      <c r="D15" s="200"/>
    </row>
    <row r="16" spans="1:4" x14ac:dyDescent="0.25">
      <c r="A16" s="200"/>
      <c r="B16" s="200"/>
      <c r="C16" s="200"/>
      <c r="D16" s="200"/>
    </row>
    <row r="17" spans="1:4" x14ac:dyDescent="0.25">
      <c r="A17" s="200"/>
      <c r="B17" s="200"/>
      <c r="C17" s="200"/>
      <c r="D17" s="200"/>
    </row>
    <row r="18" spans="1:4" x14ac:dyDescent="0.25">
      <c r="A18" s="200"/>
      <c r="B18" s="200"/>
      <c r="C18" s="200"/>
      <c r="D18" s="200"/>
    </row>
    <row r="19" spans="1:4" x14ac:dyDescent="0.25">
      <c r="A19" s="200"/>
      <c r="B19" s="200"/>
      <c r="C19" s="200"/>
      <c r="D19" s="200"/>
    </row>
    <row r="20" spans="1:4" x14ac:dyDescent="0.25">
      <c r="A20" s="200"/>
      <c r="B20" s="200"/>
      <c r="C20" s="200"/>
      <c r="D20" s="200"/>
    </row>
    <row r="21" spans="1:4" x14ac:dyDescent="0.25">
      <c r="A21" s="200"/>
      <c r="B21" s="200"/>
      <c r="C21" s="200"/>
      <c r="D21" s="200"/>
    </row>
    <row r="22" spans="1:4" x14ac:dyDescent="0.25">
      <c r="A22" s="200"/>
      <c r="B22" s="200"/>
      <c r="C22" s="200"/>
      <c r="D22" s="200"/>
    </row>
    <row r="23" spans="1:4" x14ac:dyDescent="0.25">
      <c r="A23" s="200"/>
      <c r="B23" s="200"/>
      <c r="C23" s="200"/>
      <c r="D23" s="200"/>
    </row>
    <row r="24" spans="1:4" x14ac:dyDescent="0.25">
      <c r="A24" s="200"/>
      <c r="B24" s="200"/>
      <c r="C24" s="200"/>
      <c r="D24" s="200"/>
    </row>
    <row r="25" spans="1:4" x14ac:dyDescent="0.25">
      <c r="A25" s="200"/>
      <c r="B25" s="200"/>
      <c r="C25" s="200"/>
      <c r="D25" s="200"/>
    </row>
    <row r="26" spans="1:4" x14ac:dyDescent="0.25">
      <c r="A26" s="200"/>
      <c r="B26" s="200"/>
      <c r="C26" s="200"/>
      <c r="D26" s="200"/>
    </row>
    <row r="27" spans="1:4" x14ac:dyDescent="0.25">
      <c r="A27" s="200"/>
      <c r="B27" s="200"/>
      <c r="C27" s="200"/>
      <c r="D27" s="200"/>
    </row>
    <row r="28" spans="1:4" x14ac:dyDescent="0.25">
      <c r="A28" s="200"/>
      <c r="B28" s="200"/>
      <c r="C28" s="200"/>
      <c r="D28" s="200"/>
    </row>
    <row r="29" spans="1:4" x14ac:dyDescent="0.25">
      <c r="A29" s="200"/>
      <c r="B29" s="200"/>
      <c r="C29" s="200"/>
      <c r="D29" s="200"/>
    </row>
    <row r="30" spans="1:4" x14ac:dyDescent="0.25">
      <c r="A30" s="200"/>
      <c r="B30" s="200"/>
      <c r="C30" s="200"/>
      <c r="D30" s="200"/>
    </row>
    <row r="31" spans="1:4" x14ac:dyDescent="0.25">
      <c r="A31" s="200"/>
      <c r="B31" s="200"/>
      <c r="C31" s="200"/>
      <c r="D31" s="200"/>
    </row>
    <row r="32" spans="1:4" x14ac:dyDescent="0.25">
      <c r="A32" s="200"/>
      <c r="B32" s="200"/>
      <c r="C32" s="200"/>
      <c r="D32" s="200"/>
    </row>
    <row r="33" spans="1:4" x14ac:dyDescent="0.25">
      <c r="A33" s="200"/>
      <c r="B33" s="200"/>
      <c r="C33" s="200"/>
      <c r="D33" s="200"/>
    </row>
    <row r="34" spans="1:4" x14ac:dyDescent="0.25">
      <c r="A34" s="200"/>
      <c r="B34" s="200"/>
      <c r="C34" s="200"/>
      <c r="D34" s="200"/>
    </row>
    <row r="35" spans="1:4" x14ac:dyDescent="0.25">
      <c r="A35" s="200"/>
      <c r="B35" s="200"/>
      <c r="C35" s="200"/>
      <c r="D35" s="200"/>
    </row>
    <row r="36" spans="1:4" x14ac:dyDescent="0.25">
      <c r="A36" s="200"/>
      <c r="B36" s="200"/>
      <c r="C36" s="200"/>
      <c r="D36" s="200"/>
    </row>
    <row r="37" spans="1:4" x14ac:dyDescent="0.25">
      <c r="A37" s="200"/>
      <c r="B37" s="200"/>
      <c r="C37" s="200"/>
      <c r="D37" s="200"/>
    </row>
    <row r="38" spans="1:4" x14ac:dyDescent="0.25">
      <c r="A38" s="200"/>
      <c r="B38" s="200"/>
      <c r="C38" s="200"/>
      <c r="D38" s="200"/>
    </row>
    <row r="39" spans="1:4" x14ac:dyDescent="0.25">
      <c r="A39" s="200"/>
      <c r="B39" s="200"/>
      <c r="C39" s="200"/>
      <c r="D39" s="200"/>
    </row>
    <row r="40" spans="1:4" x14ac:dyDescent="0.25">
      <c r="A40" s="200"/>
      <c r="B40" s="200"/>
      <c r="C40" s="200"/>
      <c r="D40" s="200"/>
    </row>
    <row r="41" spans="1:4" x14ac:dyDescent="0.25">
      <c r="A41" s="200"/>
      <c r="B41" s="200"/>
      <c r="C41" s="200"/>
      <c r="D41" s="200"/>
    </row>
    <row r="42" spans="1:4" x14ac:dyDescent="0.25">
      <c r="A42" s="200"/>
      <c r="B42" s="200"/>
      <c r="C42" s="200"/>
      <c r="D42" s="200"/>
    </row>
    <row r="43" spans="1:4" x14ac:dyDescent="0.25">
      <c r="A43" s="200"/>
      <c r="B43" s="200"/>
      <c r="C43" s="200"/>
      <c r="D43" s="200"/>
    </row>
    <row r="44" spans="1:4" x14ac:dyDescent="0.25">
      <c r="A44" s="200"/>
      <c r="B44" s="200"/>
      <c r="C44" s="200"/>
      <c r="D44" s="200"/>
    </row>
    <row r="45" spans="1:4" x14ac:dyDescent="0.25">
      <c r="A45" s="200"/>
      <c r="B45" s="200"/>
      <c r="C45" s="200"/>
      <c r="D45" s="200"/>
    </row>
    <row r="46" spans="1:4" x14ac:dyDescent="0.25">
      <c r="A46" s="200"/>
      <c r="B46" s="200"/>
      <c r="C46" s="200"/>
      <c r="D46" s="200"/>
    </row>
    <row r="47" spans="1:4" x14ac:dyDescent="0.25">
      <c r="A47" s="200"/>
      <c r="B47" s="200"/>
      <c r="C47" s="200"/>
      <c r="D47" s="200"/>
    </row>
    <row r="48" spans="1:4" x14ac:dyDescent="0.25">
      <c r="A48" s="202"/>
      <c r="B48" s="202"/>
      <c r="C48" s="202"/>
      <c r="D48" s="202"/>
    </row>
    <row r="49" spans="1:4" x14ac:dyDescent="0.25">
      <c r="A49" s="202"/>
      <c r="B49" s="202"/>
      <c r="C49" s="202"/>
      <c r="D49" s="202"/>
    </row>
    <row r="50" spans="1:4" x14ac:dyDescent="0.25">
      <c r="A50" s="202"/>
      <c r="B50" s="202"/>
      <c r="C50" s="202"/>
      <c r="D50" s="202"/>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4"/>
  <sheetViews>
    <sheetView view="pageBreakPreview" topLeftCell="A11" zoomScale="85" zoomScaleNormal="100" zoomScaleSheetLayoutView="85" workbookViewId="0">
      <selection activeCell="C21" sqref="C21"/>
    </sheetView>
  </sheetViews>
  <sheetFormatPr defaultColWidth="9.140625" defaultRowHeight="14.25" x14ac:dyDescent="0.25"/>
  <cols>
    <col min="1" max="1" width="7.85546875" style="28" customWidth="1"/>
    <col min="2" max="2" width="25.28515625" style="28" customWidth="1"/>
    <col min="3" max="3" width="40.85546875" style="28" customWidth="1"/>
    <col min="4" max="4" width="51.28515625" style="28" customWidth="1"/>
    <col min="5" max="5" width="16.140625" style="28" customWidth="1"/>
    <col min="6" max="6" width="14.28515625" style="28" customWidth="1"/>
    <col min="7" max="16384" width="9.140625" style="28"/>
  </cols>
  <sheetData>
    <row r="1" spans="1:4" s="32" customFormat="1" x14ac:dyDescent="0.25">
      <c r="A1" s="31" t="s">
        <v>159</v>
      </c>
    </row>
    <row r="2" spans="1:4" s="32" customFormat="1" x14ac:dyDescent="0.25"/>
    <row r="3" spans="1:4" s="32" customFormat="1" x14ac:dyDescent="0.25">
      <c r="A3" s="33" t="s">
        <v>160</v>
      </c>
      <c r="B3" s="34"/>
      <c r="C3" s="259" t="s">
        <v>245</v>
      </c>
      <c r="D3" s="259"/>
    </row>
    <row r="4" spans="1:4" s="32" customFormat="1" x14ac:dyDescent="0.25">
      <c r="A4" s="35" t="s">
        <v>165</v>
      </c>
      <c r="B4" s="36"/>
      <c r="C4" s="259" t="s">
        <v>244</v>
      </c>
      <c r="D4" s="259"/>
    </row>
    <row r="5" spans="1:4" s="32" customFormat="1" x14ac:dyDescent="0.25">
      <c r="A5" s="35" t="s">
        <v>161</v>
      </c>
      <c r="B5" s="36"/>
      <c r="C5" s="259" t="s">
        <v>163</v>
      </c>
      <c r="D5" s="259"/>
    </row>
    <row r="6" spans="1:4" s="32" customFormat="1" ht="30" customHeight="1" x14ac:dyDescent="0.25">
      <c r="A6" s="37" t="s">
        <v>162</v>
      </c>
      <c r="B6" s="38"/>
      <c r="C6" s="259" t="s">
        <v>164</v>
      </c>
      <c r="D6" s="259"/>
    </row>
    <row r="7" spans="1:4" s="32" customFormat="1" x14ac:dyDescent="0.25"/>
    <row r="8" spans="1:4" s="32" customFormat="1" x14ac:dyDescent="0.25"/>
    <row r="9" spans="1:4" s="32" customFormat="1" ht="28.5" x14ac:dyDescent="0.25">
      <c r="A9" s="39" t="s">
        <v>8</v>
      </c>
      <c r="B9" s="40" t="s">
        <v>176</v>
      </c>
      <c r="C9" s="40" t="s">
        <v>0</v>
      </c>
      <c r="D9" s="41" t="s">
        <v>11</v>
      </c>
    </row>
    <row r="10" spans="1:4" s="32" customFormat="1" ht="42.75" x14ac:dyDescent="0.25">
      <c r="A10" s="42" t="s">
        <v>107</v>
      </c>
      <c r="B10" s="43" t="s">
        <v>9</v>
      </c>
      <c r="C10" s="44" t="s">
        <v>375</v>
      </c>
      <c r="D10" s="240" t="s">
        <v>383</v>
      </c>
    </row>
    <row r="11" spans="1:4" s="32" customFormat="1" ht="71.25" x14ac:dyDescent="0.25">
      <c r="A11" s="42" t="s">
        <v>108</v>
      </c>
      <c r="B11" s="43" t="s">
        <v>135</v>
      </c>
      <c r="C11" s="46" t="s">
        <v>334</v>
      </c>
      <c r="D11" s="226" t="s">
        <v>335</v>
      </c>
    </row>
    <row r="12" spans="1:4" s="32" customFormat="1" ht="28.5" x14ac:dyDescent="0.25">
      <c r="A12" s="42" t="s">
        <v>109</v>
      </c>
      <c r="B12" s="43" t="s">
        <v>135</v>
      </c>
      <c r="C12" s="46" t="s">
        <v>336</v>
      </c>
      <c r="D12" s="45" t="s">
        <v>136</v>
      </c>
    </row>
    <row r="13" spans="1:4" s="32" customFormat="1" ht="28.5" x14ac:dyDescent="0.25">
      <c r="A13" s="42" t="s">
        <v>110</v>
      </c>
      <c r="B13" s="43" t="s">
        <v>10</v>
      </c>
      <c r="C13" s="44" t="s">
        <v>134</v>
      </c>
      <c r="D13" s="240" t="s">
        <v>363</v>
      </c>
    </row>
    <row r="14" spans="1:4" s="32" customFormat="1" ht="42.75" x14ac:dyDescent="0.25">
      <c r="A14" s="42" t="s">
        <v>111</v>
      </c>
      <c r="B14" s="43" t="s">
        <v>10</v>
      </c>
      <c r="C14" s="46" t="s">
        <v>151</v>
      </c>
      <c r="D14" s="46" t="s">
        <v>150</v>
      </c>
    </row>
    <row r="15" spans="1:4" s="32" customFormat="1" ht="28.5" x14ac:dyDescent="0.25">
      <c r="A15" s="42" t="s">
        <v>112</v>
      </c>
      <c r="B15" s="43" t="s">
        <v>135</v>
      </c>
      <c r="C15" s="46" t="s">
        <v>337</v>
      </c>
      <c r="D15" s="46" t="s">
        <v>338</v>
      </c>
    </row>
    <row r="16" spans="1:4" s="32" customFormat="1" ht="28.5" x14ac:dyDescent="0.25">
      <c r="A16" s="42" t="s">
        <v>113</v>
      </c>
      <c r="B16" s="43" t="s">
        <v>9</v>
      </c>
      <c r="C16" s="46" t="s">
        <v>339</v>
      </c>
      <c r="D16" s="241" t="s">
        <v>364</v>
      </c>
    </row>
    <row r="17" spans="1:8" s="32" customFormat="1" ht="42.75" x14ac:dyDescent="0.25">
      <c r="A17" s="42" t="s">
        <v>106</v>
      </c>
      <c r="B17" s="43" t="s">
        <v>135</v>
      </c>
      <c r="C17" s="46" t="s">
        <v>340</v>
      </c>
      <c r="D17" s="226" t="s">
        <v>341</v>
      </c>
    </row>
    <row r="18" spans="1:8" ht="42.75" x14ac:dyDescent="0.25">
      <c r="A18" s="302" t="s">
        <v>382</v>
      </c>
      <c r="B18" s="303" t="s">
        <v>10</v>
      </c>
      <c r="C18" s="305" t="s">
        <v>380</v>
      </c>
      <c r="D18" s="304" t="s">
        <v>381</v>
      </c>
      <c r="E18" s="301"/>
    </row>
    <row r="19" spans="1:8" ht="28.5" x14ac:dyDescent="0.25">
      <c r="A19" s="307" t="s">
        <v>386</v>
      </c>
      <c r="B19" s="308" t="s">
        <v>10</v>
      </c>
      <c r="C19" s="310" t="s">
        <v>384</v>
      </c>
      <c r="D19" s="309" t="s">
        <v>385</v>
      </c>
      <c r="E19" s="306"/>
      <c r="F19" s="300"/>
      <c r="G19" s="300"/>
      <c r="H19" s="300"/>
    </row>
    <row r="20" spans="1:8" ht="15" x14ac:dyDescent="0.25">
      <c r="A20" s="315" t="s">
        <v>389</v>
      </c>
      <c r="B20" s="313" t="s">
        <v>9</v>
      </c>
      <c r="C20" s="312" t="s">
        <v>387</v>
      </c>
      <c r="D20" s="314" t="s">
        <v>388</v>
      </c>
      <c r="E20" s="311"/>
    </row>
    <row r="21" spans="1:8" ht="15" x14ac:dyDescent="0.25">
      <c r="A21" s="28" t="s">
        <v>427</v>
      </c>
      <c r="B21" s="324" t="s">
        <v>9</v>
      </c>
      <c r="C21" s="28" t="s">
        <v>428</v>
      </c>
    </row>
    <row r="31" spans="1:8" x14ac:dyDescent="0.15">
      <c r="A31" s="29" t="s">
        <v>177</v>
      </c>
    </row>
    <row r="32" spans="1:8" ht="34.5" customHeight="1" x14ac:dyDescent="0.15">
      <c r="B32" s="260" t="s">
        <v>178</v>
      </c>
      <c r="C32" s="260"/>
      <c r="D32" s="30"/>
      <c r="E32" s="30"/>
      <c r="F32" s="30"/>
      <c r="G32" s="30"/>
      <c r="H32" s="30"/>
    </row>
    <row r="34" spans="2:2" x14ac:dyDescent="0.25">
      <c r="B34" s="32"/>
    </row>
  </sheetData>
  <mergeCells count="5">
    <mergeCell ref="C3:D3"/>
    <mergeCell ref="C4:D4"/>
    <mergeCell ref="C5:D5"/>
    <mergeCell ref="C6:D6"/>
    <mergeCell ref="B32:C32"/>
  </mergeCells>
  <pageMargins left="0.70866141732283505" right="0.70866141732283505" top="1.5748031496063" bottom="0.74803149606299202" header="0.31496062992126" footer="0.31496062992126"/>
  <pageSetup scale="9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3"/>
  <sheetViews>
    <sheetView view="pageBreakPreview" topLeftCell="A13" zoomScale="85" zoomScaleNormal="100" zoomScaleSheetLayoutView="85" workbookViewId="0">
      <selection activeCell="B39" sqref="B39"/>
    </sheetView>
  </sheetViews>
  <sheetFormatPr defaultColWidth="9.140625" defaultRowHeight="15" x14ac:dyDescent="0.25"/>
  <cols>
    <col min="1" max="1" width="31.7109375" style="26" customWidth="1"/>
    <col min="2" max="2" width="58.5703125" style="26" customWidth="1"/>
    <col min="3" max="3" width="20.7109375" style="26" customWidth="1"/>
    <col min="4" max="4" width="42.7109375" style="26" customWidth="1"/>
    <col min="5" max="16384" width="9.140625" style="26"/>
  </cols>
  <sheetData>
    <row r="1" spans="1:4" s="52" customFormat="1" ht="15" customHeight="1" x14ac:dyDescent="0.25">
      <c r="A1" s="31" t="s">
        <v>167</v>
      </c>
    </row>
    <row r="2" spans="1:4" s="52" customFormat="1" ht="15" customHeight="1" x14ac:dyDescent="0.25">
      <c r="A2" s="31"/>
    </row>
    <row r="3" spans="1:4" s="52" customFormat="1" ht="14.25" hidden="1" x14ac:dyDescent="0.25"/>
    <row r="4" spans="1:4" s="52" customFormat="1" ht="14.25" x14ac:dyDescent="0.25">
      <c r="A4" s="53" t="s">
        <v>7</v>
      </c>
      <c r="B4" s="54" t="s">
        <v>14</v>
      </c>
      <c r="C4" s="54" t="s">
        <v>67</v>
      </c>
      <c r="D4" s="54" t="s">
        <v>68</v>
      </c>
    </row>
    <row r="5" spans="1:4" s="52" customFormat="1" ht="14.25" x14ac:dyDescent="0.25">
      <c r="A5" s="55" t="s">
        <v>114</v>
      </c>
      <c r="B5" s="56" t="s">
        <v>148</v>
      </c>
      <c r="C5" s="49" t="s">
        <v>125</v>
      </c>
      <c r="D5" s="49" t="s">
        <v>126</v>
      </c>
    </row>
    <row r="6" spans="1:4" s="52" customFormat="1" ht="14.25" x14ac:dyDescent="0.25">
      <c r="A6" s="57" t="s">
        <v>115</v>
      </c>
      <c r="B6" s="56" t="s">
        <v>149</v>
      </c>
      <c r="C6" s="49" t="s">
        <v>125</v>
      </c>
      <c r="D6" s="49" t="s">
        <v>126</v>
      </c>
    </row>
    <row r="7" spans="1:4" s="52" customFormat="1" ht="14.25" x14ac:dyDescent="0.25">
      <c r="A7" s="57" t="s">
        <v>324</v>
      </c>
      <c r="B7" s="242" t="s">
        <v>365</v>
      </c>
      <c r="C7" s="49" t="s">
        <v>125</v>
      </c>
      <c r="D7" s="49" t="s">
        <v>126</v>
      </c>
    </row>
    <row r="8" spans="1:4" s="52" customFormat="1" ht="14.25" x14ac:dyDescent="0.25">
      <c r="A8" s="57" t="s">
        <v>325</v>
      </c>
      <c r="B8" s="58" t="s">
        <v>326</v>
      </c>
      <c r="C8" s="49" t="s">
        <v>125</v>
      </c>
      <c r="D8" s="49" t="s">
        <v>126</v>
      </c>
    </row>
    <row r="9" spans="1:4" s="52" customFormat="1" ht="14.25" x14ac:dyDescent="0.25">
      <c r="A9" s="59" t="s">
        <v>12</v>
      </c>
      <c r="B9" s="59"/>
      <c r="C9" s="59"/>
      <c r="D9" s="59"/>
    </row>
    <row r="10" spans="1:4" s="52" customFormat="1" ht="14.25" x14ac:dyDescent="0.25">
      <c r="A10" s="60" t="s">
        <v>144</v>
      </c>
      <c r="B10" s="60" t="s">
        <v>394</v>
      </c>
      <c r="C10" s="49" t="s">
        <v>125</v>
      </c>
      <c r="D10" s="49" t="s">
        <v>126</v>
      </c>
    </row>
    <row r="11" spans="1:4" s="52" customFormat="1" ht="14.25" x14ac:dyDescent="0.25">
      <c r="A11" s="57" t="s">
        <v>327</v>
      </c>
      <c r="B11" s="58" t="s">
        <v>328</v>
      </c>
      <c r="C11" s="49" t="s">
        <v>125</v>
      </c>
      <c r="D11" s="58" t="s">
        <v>126</v>
      </c>
    </row>
    <row r="12" spans="1:4" s="52" customFormat="1" ht="14.25" x14ac:dyDescent="0.25">
      <c r="A12" s="338" t="s">
        <v>329</v>
      </c>
      <c r="B12" s="58" t="s">
        <v>398</v>
      </c>
      <c r="C12" s="49" t="s">
        <v>125</v>
      </c>
      <c r="D12" s="58" t="s">
        <v>126</v>
      </c>
    </row>
    <row r="13" spans="1:4" s="316" customFormat="1" ht="14.25" x14ac:dyDescent="0.25">
      <c r="A13" s="338" t="s">
        <v>390</v>
      </c>
      <c r="B13" s="320" t="s">
        <v>395</v>
      </c>
      <c r="C13" s="327" t="s">
        <v>125</v>
      </c>
      <c r="D13" s="320" t="s">
        <v>126</v>
      </c>
    </row>
    <row r="14" spans="1:4" s="316" customFormat="1" ht="14.25" x14ac:dyDescent="0.25">
      <c r="A14" s="338" t="s">
        <v>392</v>
      </c>
      <c r="B14" s="321" t="s">
        <v>391</v>
      </c>
      <c r="C14" s="327" t="s">
        <v>125</v>
      </c>
      <c r="D14" s="320" t="s">
        <v>126</v>
      </c>
    </row>
    <row r="15" spans="1:4" s="316" customFormat="1" ht="14.25" x14ac:dyDescent="0.25">
      <c r="A15" s="338" t="s">
        <v>393</v>
      </c>
      <c r="B15" s="320" t="s">
        <v>434</v>
      </c>
      <c r="C15" s="327" t="s">
        <v>125</v>
      </c>
      <c r="D15" s="320" t="s">
        <v>126</v>
      </c>
    </row>
    <row r="16" spans="1:4" s="52" customFormat="1" ht="14.25" x14ac:dyDescent="0.25">
      <c r="A16" s="338" t="s">
        <v>396</v>
      </c>
      <c r="B16" s="58" t="s">
        <v>397</v>
      </c>
      <c r="C16" s="327" t="s">
        <v>125</v>
      </c>
      <c r="D16" s="58" t="s">
        <v>126</v>
      </c>
    </row>
    <row r="17" spans="1:8" s="52" customFormat="1" ht="14.25" x14ac:dyDescent="0.25">
      <c r="A17" s="59" t="s">
        <v>13</v>
      </c>
      <c r="B17" s="59"/>
      <c r="C17" s="59"/>
      <c r="D17" s="59"/>
    </row>
    <row r="18" spans="1:8" s="52" customFormat="1" ht="14.25" x14ac:dyDescent="0.25">
      <c r="A18" s="57" t="s">
        <v>145</v>
      </c>
      <c r="B18" s="58" t="s">
        <v>124</v>
      </c>
      <c r="C18" s="49" t="s">
        <v>125</v>
      </c>
      <c r="D18" s="49" t="s">
        <v>126</v>
      </c>
    </row>
    <row r="19" spans="1:8" s="52" customFormat="1" ht="14.25" x14ac:dyDescent="0.25">
      <c r="A19" s="60" t="s">
        <v>146</v>
      </c>
      <c r="B19" s="58" t="s">
        <v>143</v>
      </c>
      <c r="C19" s="49" t="s">
        <v>125</v>
      </c>
      <c r="D19" s="49" t="s">
        <v>126</v>
      </c>
    </row>
    <row r="20" spans="1:8" s="52" customFormat="1" ht="14.25" x14ac:dyDescent="0.25">
      <c r="A20" s="57" t="s">
        <v>323</v>
      </c>
      <c r="B20" s="58" t="s">
        <v>330</v>
      </c>
      <c r="C20" s="49" t="s">
        <v>125</v>
      </c>
      <c r="D20" s="49" t="s">
        <v>126</v>
      </c>
    </row>
    <row r="21" spans="1:8" s="318" customFormat="1" ht="14.25" x14ac:dyDescent="0.25">
      <c r="A21" s="338" t="s">
        <v>399</v>
      </c>
      <c r="B21" s="320" t="s">
        <v>432</v>
      </c>
      <c r="C21" s="327" t="s">
        <v>125</v>
      </c>
      <c r="D21" s="327" t="s">
        <v>126</v>
      </c>
    </row>
    <row r="22" spans="1:8" s="318" customFormat="1" ht="14.25" x14ac:dyDescent="0.25">
      <c r="A22" s="319"/>
      <c r="B22" s="320"/>
      <c r="C22" s="327"/>
      <c r="D22" s="327"/>
    </row>
    <row r="23" spans="1:8" s="52" customFormat="1" ht="14.25" x14ac:dyDescent="0.25">
      <c r="A23" s="59" t="s">
        <v>147</v>
      </c>
      <c r="B23" s="59"/>
      <c r="C23" s="59"/>
      <c r="D23" s="59"/>
    </row>
    <row r="24" spans="1:8" s="318" customFormat="1" ht="14.25" x14ac:dyDescent="0.25">
      <c r="A24" s="341" t="s">
        <v>154</v>
      </c>
      <c r="B24" s="342" t="s">
        <v>142</v>
      </c>
      <c r="C24" s="339" t="s">
        <v>125</v>
      </c>
      <c r="D24" s="342" t="s">
        <v>126</v>
      </c>
      <c r="E24" s="340"/>
      <c r="F24" s="340"/>
      <c r="G24" s="340"/>
      <c r="H24" s="340"/>
    </row>
    <row r="25" spans="1:8" s="52" customFormat="1" ht="14.25" x14ac:dyDescent="0.25">
      <c r="A25" s="338" t="s">
        <v>401</v>
      </c>
      <c r="B25" s="320" t="s">
        <v>402</v>
      </c>
      <c r="C25" s="49"/>
      <c r="D25" s="58"/>
    </row>
    <row r="26" spans="1:8" s="52" customFormat="1" ht="14.25" x14ac:dyDescent="0.25">
      <c r="A26" s="338" t="s">
        <v>403</v>
      </c>
      <c r="B26" s="320" t="s">
        <v>400</v>
      </c>
      <c r="C26" s="49"/>
      <c r="D26" s="58"/>
    </row>
    <row r="27" spans="1:8" s="52" customFormat="1" ht="28.5" x14ac:dyDescent="0.25">
      <c r="A27" s="338" t="s">
        <v>405</v>
      </c>
      <c r="B27" s="327" t="s">
        <v>404</v>
      </c>
      <c r="C27" s="49"/>
      <c r="D27" s="58"/>
    </row>
    <row r="28" spans="1:8" s="52" customFormat="1" ht="14.25" x14ac:dyDescent="0.25">
      <c r="A28" s="338" t="s">
        <v>407</v>
      </c>
      <c r="B28" s="320" t="s">
        <v>406</v>
      </c>
      <c r="C28" s="49"/>
      <c r="D28" s="61"/>
    </row>
    <row r="29" spans="1:8" s="52" customFormat="1" ht="14.25" x14ac:dyDescent="0.25">
      <c r="A29" s="338" t="s">
        <v>409</v>
      </c>
      <c r="B29" s="320" t="s">
        <v>408</v>
      </c>
      <c r="C29" s="320"/>
      <c r="D29" s="320"/>
    </row>
    <row r="30" spans="1:8" s="52" customFormat="1" ht="14.25" x14ac:dyDescent="0.25">
      <c r="A30" s="338" t="s">
        <v>411</v>
      </c>
      <c r="B30" s="320" t="s">
        <v>410</v>
      </c>
      <c r="C30" s="320"/>
      <c r="D30" s="320"/>
    </row>
    <row r="31" spans="1:8" s="52" customFormat="1" ht="14.25" x14ac:dyDescent="0.25">
      <c r="A31" s="338" t="s">
        <v>413</v>
      </c>
      <c r="B31" s="320" t="s">
        <v>412</v>
      </c>
      <c r="C31" s="320"/>
      <c r="D31" s="320"/>
    </row>
    <row r="32" spans="1:8" s="52" customFormat="1" ht="14.25" x14ac:dyDescent="0.25">
      <c r="A32" s="338" t="s">
        <v>433</v>
      </c>
      <c r="B32" s="320" t="s">
        <v>414</v>
      </c>
      <c r="C32" s="320"/>
      <c r="D32" s="320"/>
    </row>
    <row r="33" spans="1:8" s="318" customFormat="1" ht="14.25" x14ac:dyDescent="0.25">
      <c r="A33" s="329"/>
      <c r="B33" s="329"/>
      <c r="C33" s="329"/>
      <c r="D33" s="329"/>
    </row>
    <row r="34" spans="1:8" s="318" customFormat="1" ht="14.25" x14ac:dyDescent="0.25">
      <c r="A34" s="323" t="s">
        <v>415</v>
      </c>
      <c r="B34" s="323"/>
      <c r="C34" s="323"/>
      <c r="D34" s="299"/>
    </row>
    <row r="35" spans="1:8" s="318" customFormat="1" ht="14.25" x14ac:dyDescent="0.25">
      <c r="A35" s="320" t="s">
        <v>416</v>
      </c>
      <c r="B35" s="320" t="s">
        <v>417</v>
      </c>
      <c r="C35" s="327" t="s">
        <v>125</v>
      </c>
      <c r="D35" s="329"/>
    </row>
    <row r="36" spans="1:8" s="318" customFormat="1" ht="14.25" x14ac:dyDescent="0.25">
      <c r="A36" s="320" t="s">
        <v>418</v>
      </c>
      <c r="B36" s="320" t="s">
        <v>419</v>
      </c>
      <c r="C36" s="327" t="s">
        <v>125</v>
      </c>
      <c r="D36" s="329"/>
    </row>
    <row r="37" spans="1:8" s="318" customFormat="1" ht="14.25" x14ac:dyDescent="0.25">
      <c r="A37" s="322" t="s">
        <v>420</v>
      </c>
      <c r="B37" s="322" t="s">
        <v>421</v>
      </c>
      <c r="C37" s="327" t="s">
        <v>125</v>
      </c>
      <c r="D37" s="329"/>
    </row>
    <row r="38" spans="1:8" s="318" customFormat="1" ht="14.25" x14ac:dyDescent="0.25">
      <c r="A38" s="320" t="s">
        <v>422</v>
      </c>
      <c r="B38" s="320" t="s">
        <v>423</v>
      </c>
      <c r="C38" s="327" t="s">
        <v>125</v>
      </c>
      <c r="D38" s="329"/>
    </row>
    <row r="39" spans="1:8" s="318" customFormat="1" ht="14.25" x14ac:dyDescent="0.25">
      <c r="A39" s="329"/>
      <c r="B39" s="329"/>
      <c r="C39" s="329"/>
      <c r="D39" s="329"/>
    </row>
    <row r="40" spans="1:8" s="52" customFormat="1" ht="14.25" x14ac:dyDescent="0.25">
      <c r="A40" s="329"/>
      <c r="B40" s="329"/>
      <c r="C40" s="329"/>
    </row>
    <row r="41" spans="1:8" s="52" customFormat="1" ht="47.25" customHeight="1" x14ac:dyDescent="0.15">
      <c r="A41" s="29" t="s">
        <v>177</v>
      </c>
      <c r="D41" s="26"/>
      <c r="E41" s="30"/>
      <c r="F41" s="30"/>
      <c r="G41" s="30"/>
      <c r="H41" s="30"/>
    </row>
    <row r="42" spans="1:8" s="52" customFormat="1" ht="42" x14ac:dyDescent="0.15">
      <c r="B42" s="30" t="s">
        <v>178</v>
      </c>
      <c r="C42" s="30"/>
      <c r="D42" s="26"/>
    </row>
    <row r="43" spans="1:8" x14ac:dyDescent="0.25">
      <c r="A43" s="52"/>
      <c r="B43" s="52"/>
      <c r="C43" s="52"/>
    </row>
  </sheetData>
  <pageMargins left="0.7" right="0.7" top="1.34958333333333" bottom="0.75" header="0.3" footer="0.3"/>
  <pageSetup scale="79"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 - CVSSv3.0'!$Q$12:$Q$14</xm:f>
          </x14:formula1>
          <xm:sqref>C5:C8 C18:C22 C10:C16 C24:C28</xm:sqref>
        </x14:dataValidation>
        <x14:dataValidation type="list" allowBlank="1" showInputMessage="1" showErrorMessage="1">
          <x14:formula1>
            <xm:f>'[D0000000909 Product Security Risk Table latest vAB - Thor.xlsx]Reference - CVSSv3.0'!#REF!</xm:f>
          </x14:formula1>
          <xm:sqref>C35:C38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tabSelected="1" view="pageBreakPreview" zoomScale="85" zoomScaleNormal="100" zoomScaleSheetLayoutView="85" workbookViewId="0">
      <selection activeCell="B1" sqref="B1"/>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7109375" style="26" customWidth="1"/>
    <col min="7" max="16384" width="9.140625" style="26"/>
  </cols>
  <sheetData>
    <row r="1" spans="1:7" s="52" customFormat="1" ht="14.25" x14ac:dyDescent="0.25">
      <c r="A1" s="31" t="s">
        <v>168</v>
      </c>
      <c r="E1" s="62"/>
    </row>
    <row r="2" spans="1:7" s="52" customFormat="1" ht="14.25" x14ac:dyDescent="0.25">
      <c r="E2" s="62"/>
    </row>
    <row r="3" spans="1:7" s="52" customFormat="1" ht="28.5" x14ac:dyDescent="0.25">
      <c r="A3" s="63" t="s">
        <v>21</v>
      </c>
      <c r="B3" s="63" t="s">
        <v>24</v>
      </c>
      <c r="C3" s="63" t="s">
        <v>22</v>
      </c>
      <c r="D3" s="63" t="s">
        <v>16</v>
      </c>
      <c r="E3" s="63" t="s">
        <v>185</v>
      </c>
      <c r="F3" s="64" t="s">
        <v>186</v>
      </c>
    </row>
    <row r="4" spans="1:7" s="72" customFormat="1" ht="114" x14ac:dyDescent="0.25">
      <c r="A4" s="65" t="s">
        <v>119</v>
      </c>
      <c r="B4" s="66" t="s">
        <v>137</v>
      </c>
      <c r="C4" s="67" t="s">
        <v>246</v>
      </c>
      <c r="D4" s="68" t="s">
        <v>247</v>
      </c>
      <c r="E4" s="69" t="s">
        <v>125</v>
      </c>
      <c r="F4" s="71" t="s">
        <v>126</v>
      </c>
    </row>
    <row r="5" spans="1:7" s="52" customFormat="1" ht="71.25" x14ac:dyDescent="0.25">
      <c r="A5" s="65" t="s">
        <v>120</v>
      </c>
      <c r="B5" s="66" t="s">
        <v>138</v>
      </c>
      <c r="C5" s="67" t="s">
        <v>248</v>
      </c>
      <c r="D5" s="68" t="s">
        <v>166</v>
      </c>
      <c r="E5" s="69" t="s">
        <v>125</v>
      </c>
      <c r="F5" s="47" t="s">
        <v>126</v>
      </c>
    </row>
    <row r="6" spans="1:7" s="52" customFormat="1" ht="71.25" x14ac:dyDescent="0.25">
      <c r="A6" s="65" t="s">
        <v>121</v>
      </c>
      <c r="B6" s="66" t="s">
        <v>45</v>
      </c>
      <c r="C6" s="66" t="s">
        <v>46</v>
      </c>
      <c r="D6" s="68" t="s">
        <v>249</v>
      </c>
      <c r="E6" s="69" t="s">
        <v>125</v>
      </c>
      <c r="F6" s="71" t="s">
        <v>126</v>
      </c>
    </row>
    <row r="7" spans="1:7" s="52" customFormat="1" ht="71.25" x14ac:dyDescent="0.25">
      <c r="A7" s="73" t="s">
        <v>122</v>
      </c>
      <c r="B7" s="74" t="s">
        <v>139</v>
      </c>
      <c r="C7" s="74" t="s">
        <v>250</v>
      </c>
      <c r="D7" s="68" t="s">
        <v>166</v>
      </c>
      <c r="E7" s="243" t="s">
        <v>184</v>
      </c>
      <c r="F7" s="244" t="s">
        <v>361</v>
      </c>
    </row>
    <row r="8" spans="1:7" s="52" customFormat="1" ht="28.5" x14ac:dyDescent="0.25">
      <c r="A8" s="65" t="s">
        <v>123</v>
      </c>
      <c r="B8" s="74" t="s">
        <v>140</v>
      </c>
      <c r="C8" s="74" t="s">
        <v>141</v>
      </c>
      <c r="D8" s="68" t="s">
        <v>251</v>
      </c>
      <c r="E8" s="69" t="s">
        <v>125</v>
      </c>
      <c r="F8" s="71" t="s">
        <v>126</v>
      </c>
    </row>
    <row r="9" spans="1:7" s="52" customFormat="1" ht="57" x14ac:dyDescent="0.25">
      <c r="A9" s="65" t="s">
        <v>252</v>
      </c>
      <c r="B9" s="66" t="s">
        <v>253</v>
      </c>
      <c r="C9" s="66" t="s">
        <v>254</v>
      </c>
      <c r="D9" s="68" t="s">
        <v>251</v>
      </c>
      <c r="E9" s="69" t="s">
        <v>125</v>
      </c>
      <c r="F9" s="71" t="s">
        <v>126</v>
      </c>
    </row>
    <row r="10" spans="1:7" s="52" customFormat="1" ht="42.75" x14ac:dyDescent="0.25">
      <c r="A10" s="69" t="s">
        <v>255</v>
      </c>
      <c r="B10" s="66" t="s">
        <v>256</v>
      </c>
      <c r="C10" s="66" t="s">
        <v>257</v>
      </c>
      <c r="D10" s="68" t="s">
        <v>166</v>
      </c>
      <c r="E10" s="69" t="s">
        <v>125</v>
      </c>
      <c r="F10" s="71" t="s">
        <v>126</v>
      </c>
    </row>
    <row r="11" spans="1:7" s="52" customFormat="1" ht="71.25" x14ac:dyDescent="0.25">
      <c r="A11" s="69" t="s">
        <v>258</v>
      </c>
      <c r="B11" s="66" t="s">
        <v>259</v>
      </c>
      <c r="C11" s="66" t="s">
        <v>260</v>
      </c>
      <c r="D11" s="68" t="s">
        <v>261</v>
      </c>
      <c r="E11" s="69" t="s">
        <v>125</v>
      </c>
      <c r="F11" s="71" t="s">
        <v>126</v>
      </c>
    </row>
    <row r="12" spans="1:7" s="52" customFormat="1" ht="60" x14ac:dyDescent="0.25">
      <c r="A12" s="204" t="s">
        <v>262</v>
      </c>
      <c r="B12" s="328" t="s">
        <v>263</v>
      </c>
      <c r="C12" s="205" t="s">
        <v>264</v>
      </c>
      <c r="D12" s="206" t="s">
        <v>265</v>
      </c>
      <c r="E12" s="69" t="s">
        <v>184</v>
      </c>
      <c r="F12" s="207" t="s">
        <v>266</v>
      </c>
    </row>
    <row r="13" spans="1:7" s="52" customFormat="1" ht="42.75" x14ac:dyDescent="0.25">
      <c r="A13" s="69" t="s">
        <v>267</v>
      </c>
      <c r="B13" s="74" t="s">
        <v>268</v>
      </c>
      <c r="C13" s="247" t="s">
        <v>269</v>
      </c>
      <c r="D13" s="146" t="s">
        <v>270</v>
      </c>
      <c r="E13" s="69" t="s">
        <v>125</v>
      </c>
      <c r="F13" s="71" t="s">
        <v>126</v>
      </c>
    </row>
    <row r="14" spans="1:7" s="52" customFormat="1" ht="30" customHeight="1" x14ac:dyDescent="0.15">
      <c r="A14" s="69" t="s">
        <v>271</v>
      </c>
      <c r="B14" s="58" t="s">
        <v>272</v>
      </c>
      <c r="C14" s="49" t="s">
        <v>273</v>
      </c>
      <c r="D14" s="69" t="s">
        <v>274</v>
      </c>
      <c r="E14" s="69" t="s">
        <v>125</v>
      </c>
      <c r="F14" s="71" t="s">
        <v>126</v>
      </c>
      <c r="G14" s="30"/>
    </row>
    <row r="15" spans="1:7" s="52" customFormat="1" ht="57" x14ac:dyDescent="0.25">
      <c r="A15" s="69" t="s">
        <v>275</v>
      </c>
      <c r="B15" s="61" t="s">
        <v>276</v>
      </c>
      <c r="C15" s="50" t="s">
        <v>277</v>
      </c>
      <c r="D15" s="146" t="s">
        <v>270</v>
      </c>
      <c r="E15" s="69" t="s">
        <v>125</v>
      </c>
      <c r="F15" s="208" t="s">
        <v>126</v>
      </c>
    </row>
    <row r="16" spans="1:7" s="52" customFormat="1" ht="42.75" x14ac:dyDescent="0.25">
      <c r="A16" s="69" t="s">
        <v>278</v>
      </c>
      <c r="B16" s="317" t="s">
        <v>279</v>
      </c>
      <c r="C16" s="246" t="s">
        <v>366</v>
      </c>
      <c r="D16" s="69" t="s">
        <v>274</v>
      </c>
      <c r="E16" s="69" t="s">
        <v>125</v>
      </c>
      <c r="F16" s="208" t="s">
        <v>126</v>
      </c>
    </row>
    <row r="17" spans="1:6" s="52" customFormat="1" ht="30" x14ac:dyDescent="0.25">
      <c r="A17" s="209" t="s">
        <v>280</v>
      </c>
      <c r="B17" s="61" t="s">
        <v>281</v>
      </c>
      <c r="C17" s="50" t="s">
        <v>282</v>
      </c>
      <c r="D17" s="69" t="s">
        <v>274</v>
      </c>
      <c r="E17" s="69" t="s">
        <v>184</v>
      </c>
      <c r="F17" s="207" t="s">
        <v>266</v>
      </c>
    </row>
    <row r="18" spans="1:6" s="52" customFormat="1" ht="85.5" x14ac:dyDescent="0.25">
      <c r="A18" s="209" t="s">
        <v>283</v>
      </c>
      <c r="B18" s="50" t="s">
        <v>284</v>
      </c>
      <c r="C18" s="50" t="s">
        <v>285</v>
      </c>
      <c r="D18" s="69" t="s">
        <v>169</v>
      </c>
      <c r="E18" s="69" t="s">
        <v>184</v>
      </c>
      <c r="F18" s="51" t="s">
        <v>322</v>
      </c>
    </row>
    <row r="19" spans="1:6" s="52" customFormat="1" ht="71.25" x14ac:dyDescent="0.25">
      <c r="A19" s="209" t="s">
        <v>286</v>
      </c>
      <c r="B19" s="50" t="s">
        <v>287</v>
      </c>
      <c r="C19" s="50" t="s">
        <v>288</v>
      </c>
      <c r="D19" s="48" t="s">
        <v>289</v>
      </c>
      <c r="E19" s="69" t="s">
        <v>125</v>
      </c>
      <c r="F19" s="208" t="s">
        <v>126</v>
      </c>
    </row>
    <row r="20" spans="1:6" s="52" customFormat="1" ht="90" x14ac:dyDescent="0.25">
      <c r="A20" s="210" t="s">
        <v>290</v>
      </c>
      <c r="B20" s="211" t="s">
        <v>291</v>
      </c>
      <c r="C20" s="211" t="s">
        <v>292</v>
      </c>
      <c r="D20" s="212" t="s">
        <v>169</v>
      </c>
      <c r="E20" s="69" t="s">
        <v>125</v>
      </c>
      <c r="F20" s="71" t="s">
        <v>126</v>
      </c>
    </row>
    <row r="21" spans="1:6" s="52" customFormat="1" ht="90" x14ac:dyDescent="0.25">
      <c r="A21" s="204" t="s">
        <v>293</v>
      </c>
      <c r="B21" s="213" t="s">
        <v>294</v>
      </c>
      <c r="C21" s="205" t="s">
        <v>295</v>
      </c>
      <c r="D21" s="206" t="s">
        <v>265</v>
      </c>
      <c r="E21" s="69" t="s">
        <v>184</v>
      </c>
      <c r="F21" s="207" t="s">
        <v>296</v>
      </c>
    </row>
    <row r="22" spans="1:6" s="52" customFormat="1" ht="75" x14ac:dyDescent="0.25">
      <c r="A22" s="210" t="s">
        <v>297</v>
      </c>
      <c r="B22" s="213" t="s">
        <v>298</v>
      </c>
      <c r="C22" s="213" t="s">
        <v>299</v>
      </c>
      <c r="D22" s="206" t="s">
        <v>166</v>
      </c>
      <c r="E22" s="69" t="s">
        <v>184</v>
      </c>
      <c r="F22" s="207" t="s">
        <v>300</v>
      </c>
    </row>
    <row r="23" spans="1:6" s="52" customFormat="1" ht="90" x14ac:dyDescent="0.25">
      <c r="A23" s="204" t="s">
        <v>301</v>
      </c>
      <c r="B23" s="213" t="s">
        <v>302</v>
      </c>
      <c r="C23" s="205" t="s">
        <v>303</v>
      </c>
      <c r="D23" s="206" t="s">
        <v>265</v>
      </c>
      <c r="E23" s="69" t="s">
        <v>184</v>
      </c>
      <c r="F23" s="207" t="s">
        <v>300</v>
      </c>
    </row>
    <row r="24" spans="1:6" s="52" customFormat="1" ht="30" x14ac:dyDescent="0.25">
      <c r="A24" s="210" t="s">
        <v>304</v>
      </c>
      <c r="B24" s="213" t="s">
        <v>305</v>
      </c>
      <c r="C24" s="205" t="s">
        <v>306</v>
      </c>
      <c r="D24" s="206" t="s">
        <v>307</v>
      </c>
      <c r="E24" s="69" t="s">
        <v>125</v>
      </c>
      <c r="F24" s="207" t="s">
        <v>126</v>
      </c>
    </row>
    <row r="25" spans="1:6" s="52" customFormat="1" ht="60" x14ac:dyDescent="0.25">
      <c r="A25" s="214" t="s">
        <v>308</v>
      </c>
      <c r="B25" s="49" t="s">
        <v>309</v>
      </c>
      <c r="C25" s="49" t="s">
        <v>310</v>
      </c>
      <c r="D25" s="206" t="s">
        <v>265</v>
      </c>
      <c r="E25" s="69" t="s">
        <v>184</v>
      </c>
      <c r="F25" s="207" t="s">
        <v>311</v>
      </c>
    </row>
    <row r="26" spans="1:6" s="52" customFormat="1" ht="45" x14ac:dyDescent="0.25">
      <c r="A26" s="65" t="s">
        <v>312</v>
      </c>
      <c r="B26" s="66" t="s">
        <v>313</v>
      </c>
      <c r="C26" s="49" t="s">
        <v>314</v>
      </c>
      <c r="D26" s="206" t="s">
        <v>265</v>
      </c>
      <c r="E26" s="243" t="s">
        <v>184</v>
      </c>
      <c r="F26" s="245" t="s">
        <v>362</v>
      </c>
    </row>
    <row r="27" spans="1:6" s="52" customFormat="1" ht="42.75" x14ac:dyDescent="0.25">
      <c r="A27" s="65" t="s">
        <v>315</v>
      </c>
      <c r="B27" s="66" t="s">
        <v>316</v>
      </c>
      <c r="C27" s="49" t="s">
        <v>317</v>
      </c>
      <c r="D27" s="206" t="s">
        <v>265</v>
      </c>
      <c r="E27" s="69" t="s">
        <v>125</v>
      </c>
      <c r="F27" s="207" t="s">
        <v>126</v>
      </c>
    </row>
    <row r="28" spans="1:6" s="52" customFormat="1" ht="30" x14ac:dyDescent="0.25">
      <c r="A28" s="65" t="s">
        <v>318</v>
      </c>
      <c r="B28" s="66" t="s">
        <v>319</v>
      </c>
      <c r="C28" s="49" t="s">
        <v>320</v>
      </c>
      <c r="D28" s="206" t="s">
        <v>265</v>
      </c>
      <c r="E28" s="69" t="s">
        <v>184</v>
      </c>
      <c r="F28" s="207" t="s">
        <v>321</v>
      </c>
    </row>
    <row r="29" spans="1:6" s="318" customFormat="1" ht="28.5" x14ac:dyDescent="0.25">
      <c r="A29" s="336" t="s">
        <v>424</v>
      </c>
      <c r="B29" s="337" t="s">
        <v>425</v>
      </c>
      <c r="C29" s="317" t="s">
        <v>426</v>
      </c>
      <c r="D29" s="206" t="s">
        <v>265</v>
      </c>
      <c r="E29" s="325" t="s">
        <v>125</v>
      </c>
      <c r="F29" s="326"/>
    </row>
    <row r="30" spans="1:6" s="318" customFormat="1" x14ac:dyDescent="0.25">
      <c r="A30" s="330"/>
      <c r="B30" s="331"/>
      <c r="C30" s="332"/>
      <c r="D30" s="333"/>
      <c r="E30" s="334"/>
      <c r="F30" s="335"/>
    </row>
    <row r="31" spans="1:6" s="52" customFormat="1" ht="17.45" customHeight="1" x14ac:dyDescent="0.15">
      <c r="A31" s="29" t="s">
        <v>177</v>
      </c>
      <c r="E31" s="62"/>
    </row>
    <row r="32" spans="1:6" s="52" customFormat="1" ht="29.45" customHeight="1" x14ac:dyDescent="0.15">
      <c r="B32" s="260" t="s">
        <v>178</v>
      </c>
      <c r="C32" s="260"/>
      <c r="D32" s="260"/>
      <c r="E32" s="30"/>
      <c r="F32" s="30"/>
    </row>
    <row r="33" spans="5:5" s="52" customFormat="1" ht="14.25" x14ac:dyDescent="0.25">
      <c r="E33" s="62"/>
    </row>
    <row r="34" spans="5:5" s="52" customFormat="1" ht="14.25" x14ac:dyDescent="0.25">
      <c r="E34" s="62"/>
    </row>
    <row r="35" spans="5:5" s="52" customFormat="1" ht="14.25" x14ac:dyDescent="0.25">
      <c r="E35" s="62"/>
    </row>
    <row r="36" spans="5:5" s="52" customFormat="1" ht="14.25" x14ac:dyDescent="0.25">
      <c r="E36" s="62"/>
    </row>
    <row r="37" spans="5:5" s="52" customFormat="1" ht="14.25" x14ac:dyDescent="0.25">
      <c r="E37" s="62"/>
    </row>
    <row r="38" spans="5:5" s="52" customFormat="1" ht="14.25" x14ac:dyDescent="0.25">
      <c r="E38" s="62"/>
    </row>
    <row r="39" spans="5:5" s="52" customFormat="1" ht="14.25" x14ac:dyDescent="0.25">
      <c r="E39" s="62"/>
    </row>
    <row r="40" spans="5:5" s="52" customFormat="1" ht="14.25" x14ac:dyDescent="0.25">
      <c r="E40" s="62"/>
    </row>
    <row r="41" spans="5:5" s="52" customFormat="1" ht="14.25" x14ac:dyDescent="0.25">
      <c r="E41" s="62"/>
    </row>
    <row r="42" spans="5:5" s="52" customFormat="1" ht="14.25" x14ac:dyDescent="0.25">
      <c r="E42" s="62"/>
    </row>
    <row r="43" spans="5:5" s="52" customFormat="1" ht="14.25" x14ac:dyDescent="0.25">
      <c r="E43" s="62"/>
    </row>
    <row r="44" spans="5:5" s="52" customFormat="1" ht="14.25" x14ac:dyDescent="0.25">
      <c r="E44" s="62"/>
    </row>
    <row r="45" spans="5:5" s="52" customFormat="1" ht="14.25" x14ac:dyDescent="0.25">
      <c r="E45" s="62"/>
    </row>
    <row r="46" spans="5:5" s="52" customFormat="1" ht="14.25" x14ac:dyDescent="0.25">
      <c r="E46" s="62"/>
    </row>
    <row r="47" spans="5:5" s="52" customFormat="1" ht="14.25" x14ac:dyDescent="0.25">
      <c r="E47" s="62"/>
    </row>
    <row r="48" spans="5:5" s="52" customFormat="1" ht="14.25" x14ac:dyDescent="0.25">
      <c r="E48" s="62"/>
    </row>
    <row r="49" spans="1:6" s="52" customFormat="1" ht="14.25" x14ac:dyDescent="0.25">
      <c r="E49" s="62"/>
    </row>
    <row r="50" spans="1:6" s="52" customFormat="1" ht="14.25" x14ac:dyDescent="0.25">
      <c r="E50" s="62"/>
    </row>
    <row r="51" spans="1:6" s="52" customFormat="1" ht="14.25" x14ac:dyDescent="0.25">
      <c r="E51" s="62"/>
    </row>
    <row r="52" spans="1:6" s="52" customFormat="1" ht="14.25" x14ac:dyDescent="0.25">
      <c r="E52" s="62"/>
    </row>
    <row r="53" spans="1:6" s="52" customFormat="1" ht="14.25" x14ac:dyDescent="0.25">
      <c r="E53" s="62"/>
    </row>
    <row r="54" spans="1:6" s="52" customFormat="1" ht="14.25" x14ac:dyDescent="0.25">
      <c r="E54" s="62"/>
    </row>
    <row r="55" spans="1:6" s="52" customFormat="1" ht="14.25" x14ac:dyDescent="0.25">
      <c r="E55" s="62"/>
    </row>
    <row r="56" spans="1:6" s="52" customFormat="1" ht="14.25" x14ac:dyDescent="0.25">
      <c r="E56" s="62"/>
    </row>
    <row r="57" spans="1:6" s="52" customFormat="1" ht="14.25" x14ac:dyDescent="0.25">
      <c r="E57" s="62"/>
    </row>
    <row r="58" spans="1:6" s="52" customFormat="1" ht="14.25" x14ac:dyDescent="0.25">
      <c r="E58" s="62"/>
    </row>
    <row r="59" spans="1:6" s="52" customFormat="1" ht="14.25" x14ac:dyDescent="0.25">
      <c r="E59" s="62"/>
    </row>
    <row r="60" spans="1:6" s="52" customFormat="1" ht="14.25" x14ac:dyDescent="0.25">
      <c r="E60" s="62"/>
    </row>
    <row r="61" spans="1:6" s="52" customFormat="1" ht="14.25" x14ac:dyDescent="0.25">
      <c r="E61" s="62"/>
    </row>
    <row r="62" spans="1:6" s="52" customFormat="1" ht="14.25" x14ac:dyDescent="0.25">
      <c r="E62" s="62"/>
    </row>
    <row r="63" spans="1:6" x14ac:dyDescent="0.25">
      <c r="A63" s="52"/>
      <c r="B63" s="52"/>
      <c r="C63" s="52"/>
      <c r="D63" s="52"/>
      <c r="E63" s="62"/>
      <c r="F63" s="52"/>
    </row>
    <row r="64" spans="1:6" x14ac:dyDescent="0.25">
      <c r="A64" s="52"/>
      <c r="B64" s="52"/>
      <c r="C64" s="52"/>
      <c r="D64" s="52"/>
      <c r="E64" s="62"/>
      <c r="F64" s="52"/>
    </row>
    <row r="65" spans="1:6" x14ac:dyDescent="0.25">
      <c r="A65" s="52"/>
      <c r="B65" s="52"/>
      <c r="C65" s="52"/>
      <c r="D65" s="52"/>
      <c r="E65" s="62"/>
      <c r="F65" s="52"/>
    </row>
    <row r="66" spans="1:6" x14ac:dyDescent="0.25">
      <c r="A66" s="52"/>
      <c r="B66" s="52"/>
      <c r="C66" s="52"/>
      <c r="D66" s="52"/>
      <c r="E66" s="62"/>
      <c r="F66" s="52"/>
    </row>
    <row r="67" spans="1:6" x14ac:dyDescent="0.25">
      <c r="A67" s="52"/>
      <c r="B67" s="52"/>
      <c r="C67" s="52"/>
      <c r="D67" s="52"/>
      <c r="E67" s="62"/>
      <c r="F67" s="52"/>
    </row>
    <row r="68" spans="1:6" x14ac:dyDescent="0.25">
      <c r="A68" s="52"/>
      <c r="B68" s="52"/>
      <c r="C68" s="52"/>
      <c r="D68" s="52"/>
      <c r="E68" s="62"/>
      <c r="F68" s="52"/>
    </row>
    <row r="69" spans="1:6" x14ac:dyDescent="0.25">
      <c r="A69" s="52"/>
      <c r="B69" s="52"/>
      <c r="C69" s="52"/>
      <c r="D69" s="52"/>
      <c r="E69" s="62"/>
      <c r="F69" s="52"/>
    </row>
    <row r="70" spans="1:6" x14ac:dyDescent="0.25">
      <c r="A70" s="52"/>
      <c r="B70" s="52"/>
      <c r="C70" s="52"/>
      <c r="D70" s="52"/>
      <c r="E70" s="62"/>
      <c r="F70" s="52"/>
    </row>
    <row r="71" spans="1:6" x14ac:dyDescent="0.25">
      <c r="A71" s="52"/>
      <c r="B71" s="52"/>
      <c r="C71" s="52"/>
      <c r="D71" s="52"/>
      <c r="E71" s="62"/>
      <c r="F71" s="52"/>
    </row>
    <row r="72" spans="1:6" x14ac:dyDescent="0.25">
      <c r="A72" s="52"/>
      <c r="B72" s="52"/>
      <c r="C72" s="52"/>
      <c r="D72" s="52"/>
      <c r="E72" s="62"/>
      <c r="F72" s="52"/>
    </row>
    <row r="73" spans="1:6" x14ac:dyDescent="0.25">
      <c r="A73" s="52"/>
      <c r="B73" s="52"/>
      <c r="C73" s="52"/>
      <c r="D73" s="52"/>
      <c r="E73" s="62"/>
      <c r="F73" s="52"/>
    </row>
    <row r="74" spans="1:6" x14ac:dyDescent="0.25">
      <c r="A74" s="52"/>
      <c r="B74" s="52"/>
      <c r="C74" s="52"/>
      <c r="D74" s="52"/>
      <c r="E74" s="62"/>
      <c r="F74" s="52"/>
    </row>
    <row r="75" spans="1:6" x14ac:dyDescent="0.25">
      <c r="A75" s="52"/>
      <c r="B75" s="52"/>
      <c r="C75" s="52"/>
      <c r="D75" s="52"/>
      <c r="E75" s="62"/>
      <c r="F75" s="52"/>
    </row>
    <row r="76" spans="1:6" x14ac:dyDescent="0.25">
      <c r="A76" s="52"/>
      <c r="B76" s="52"/>
      <c r="C76" s="52"/>
      <c r="D76" s="52"/>
      <c r="E76" s="62"/>
      <c r="F76" s="52"/>
    </row>
    <row r="77" spans="1:6" x14ac:dyDescent="0.25">
      <c r="A77" s="52"/>
      <c r="B77" s="52"/>
      <c r="C77" s="52"/>
      <c r="D77" s="52"/>
      <c r="E77" s="62"/>
      <c r="F77" s="52"/>
    </row>
    <row r="78" spans="1:6" x14ac:dyDescent="0.25">
      <c r="A78" s="52"/>
      <c r="B78" s="52"/>
      <c r="C78" s="52"/>
      <c r="D78" s="52"/>
      <c r="E78" s="62"/>
      <c r="F78" s="52"/>
    </row>
  </sheetData>
  <mergeCells count="1">
    <mergeCell ref="B32:D32"/>
  </mergeCells>
  <pageMargins left="0.7" right="0.7" top="1.2537499999999999" bottom="0.75" header="0.3" footer="0.3"/>
  <pageSetup scale="7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25"/>
  <sheetViews>
    <sheetView view="pageBreakPreview" zoomScale="90" zoomScaleNormal="90" zoomScaleSheetLayoutView="90" workbookViewId="0">
      <pane xSplit="7" ySplit="4" topLeftCell="H5" activePane="bottomRight" state="frozen"/>
      <selection pane="topRight" activeCell="H1" sqref="H1"/>
      <selection pane="bottomLeft" activeCell="A5" sqref="A5"/>
      <selection pane="bottomRight" activeCell="A4" sqref="A4"/>
    </sheetView>
  </sheetViews>
  <sheetFormatPr defaultColWidth="9.140625" defaultRowHeight="15" x14ac:dyDescent="0.25"/>
  <cols>
    <col min="2" max="2" width="4.85546875" customWidth="1"/>
    <col min="3" max="3" width="25.5703125" customWidth="1"/>
    <col min="4" max="4" width="5" customWidth="1"/>
    <col min="5" max="5" width="22" customWidth="1"/>
    <col min="6" max="6" width="6.28515625" customWidth="1"/>
    <col min="7" max="7" width="28.7109375" customWidth="1"/>
    <col min="8" max="8" width="42.140625" customWidth="1"/>
    <col min="9" max="9" width="25.42578125" customWidth="1"/>
    <col min="10" max="12" width="9.140625" customWidth="1"/>
    <col min="13" max="21" width="15.85546875" customWidth="1"/>
    <col min="22" max="22" width="15.28515625" customWidth="1"/>
    <col min="23" max="23" width="17.42578125" customWidth="1"/>
    <col min="24" max="25" width="12.140625" customWidth="1"/>
    <col min="26" max="26" width="35.7109375" customWidth="1"/>
    <col min="27" max="27" width="32.7109375" customWidth="1"/>
    <col min="28" max="28" width="23.140625" customWidth="1"/>
    <col min="29" max="31" width="9.140625" customWidth="1"/>
    <col min="32" max="36" width="15.85546875" customWidth="1"/>
    <col min="37" max="39" width="15.85546875" hidden="1" customWidth="1"/>
    <col min="40" max="42" width="15.85546875" customWidth="1"/>
    <col min="43" max="43" width="40.7109375" style="2" customWidth="1"/>
    <col min="44" max="44" width="13.28515625" style="2" customWidth="1"/>
    <col min="45" max="45" width="24.85546875" customWidth="1"/>
  </cols>
  <sheetData>
    <row r="1" spans="1:45" s="75" customFormat="1" ht="14.25" x14ac:dyDescent="0.2">
      <c r="A1" s="31" t="s">
        <v>170</v>
      </c>
    </row>
    <row r="2" spans="1:45" s="75" customFormat="1" ht="14.25" x14ac:dyDescent="0.2">
      <c r="A2" s="75" t="s">
        <v>133</v>
      </c>
    </row>
    <row r="3" spans="1:45" s="75" customFormat="1" ht="23.25" customHeight="1" x14ac:dyDescent="0.2">
      <c r="A3" s="76"/>
      <c r="B3" s="77"/>
      <c r="C3" s="77"/>
      <c r="D3" s="78"/>
      <c r="E3" s="79"/>
      <c r="F3" s="267" t="s">
        <v>3</v>
      </c>
      <c r="G3" s="267"/>
      <c r="H3" s="267"/>
      <c r="I3" s="267"/>
      <c r="J3" s="268" t="s">
        <v>128</v>
      </c>
      <c r="K3" s="269"/>
      <c r="L3" s="269"/>
      <c r="M3" s="269"/>
      <c r="N3" s="269"/>
      <c r="O3" s="269"/>
      <c r="P3" s="269"/>
      <c r="Q3" s="269"/>
      <c r="R3" s="269"/>
      <c r="S3" s="269"/>
      <c r="T3" s="269"/>
      <c r="U3" s="269"/>
      <c r="V3" s="269"/>
      <c r="W3" s="269"/>
      <c r="X3" s="269"/>
      <c r="Y3" s="270"/>
      <c r="Z3" s="264" t="s">
        <v>5</v>
      </c>
      <c r="AA3" s="265"/>
      <c r="AB3" s="266"/>
      <c r="AC3" s="261" t="s">
        <v>129</v>
      </c>
      <c r="AD3" s="262"/>
      <c r="AE3" s="262"/>
      <c r="AF3" s="262"/>
      <c r="AG3" s="262"/>
      <c r="AH3" s="262"/>
      <c r="AI3" s="262"/>
      <c r="AJ3" s="262"/>
      <c r="AK3" s="262"/>
      <c r="AL3" s="262"/>
      <c r="AM3" s="262"/>
      <c r="AN3" s="262"/>
      <c r="AO3" s="262"/>
      <c r="AP3" s="262"/>
      <c r="AQ3" s="263"/>
      <c r="AR3" s="80"/>
      <c r="AS3" s="80"/>
    </row>
    <row r="4" spans="1:45" s="75" customFormat="1" ht="88.5" customHeight="1" x14ac:dyDescent="0.2">
      <c r="A4" s="81" t="s">
        <v>1</v>
      </c>
      <c r="B4" s="82" t="s">
        <v>117</v>
      </c>
      <c r="C4" s="83" t="s">
        <v>2</v>
      </c>
      <c r="D4" s="84" t="s">
        <v>116</v>
      </c>
      <c r="E4" s="85" t="s">
        <v>15</v>
      </c>
      <c r="F4" s="86" t="s">
        <v>118</v>
      </c>
      <c r="G4" s="87" t="s">
        <v>0</v>
      </c>
      <c r="H4" s="87" t="s">
        <v>6</v>
      </c>
      <c r="I4" s="88" t="s">
        <v>173</v>
      </c>
      <c r="J4" s="165" t="s">
        <v>70</v>
      </c>
      <c r="K4" s="165" t="s">
        <v>71</v>
      </c>
      <c r="L4" s="165" t="s">
        <v>72</v>
      </c>
      <c r="M4" s="162" t="s">
        <v>82</v>
      </c>
      <c r="N4" s="162" t="s">
        <v>83</v>
      </c>
      <c r="O4" s="162" t="s">
        <v>207</v>
      </c>
      <c r="P4" s="162" t="s">
        <v>85</v>
      </c>
      <c r="Q4" s="162" t="s">
        <v>69</v>
      </c>
      <c r="R4" s="162" t="s">
        <v>180</v>
      </c>
      <c r="S4" s="162" t="s">
        <v>181</v>
      </c>
      <c r="T4" s="162" t="s">
        <v>182</v>
      </c>
      <c r="U4" s="162" t="s">
        <v>205</v>
      </c>
      <c r="V4" s="166" t="s">
        <v>130</v>
      </c>
      <c r="W4" s="166" t="s">
        <v>131</v>
      </c>
      <c r="X4" s="167" t="s">
        <v>187</v>
      </c>
      <c r="Y4" s="168" t="s">
        <v>132</v>
      </c>
      <c r="Z4" s="161" t="s">
        <v>202</v>
      </c>
      <c r="AA4" s="161" t="s">
        <v>209</v>
      </c>
      <c r="AB4" s="161" t="s">
        <v>17</v>
      </c>
      <c r="AC4" s="169" t="s">
        <v>188</v>
      </c>
      <c r="AD4" s="169" t="s">
        <v>189</v>
      </c>
      <c r="AE4" s="169" t="s">
        <v>190</v>
      </c>
      <c r="AF4" s="170" t="s">
        <v>191</v>
      </c>
      <c r="AG4" s="170" t="s">
        <v>192</v>
      </c>
      <c r="AH4" s="170" t="s">
        <v>208</v>
      </c>
      <c r="AI4" s="170" t="s">
        <v>193</v>
      </c>
      <c r="AJ4" s="170" t="s">
        <v>194</v>
      </c>
      <c r="AK4" s="170" t="s">
        <v>195</v>
      </c>
      <c r="AL4" s="170" t="s">
        <v>196</v>
      </c>
      <c r="AM4" s="170" t="s">
        <v>197</v>
      </c>
      <c r="AN4" s="170" t="s">
        <v>206</v>
      </c>
      <c r="AO4" s="170" t="s">
        <v>198</v>
      </c>
      <c r="AP4" s="170" t="s">
        <v>199</v>
      </c>
      <c r="AQ4" s="183" t="s">
        <v>4</v>
      </c>
      <c r="AR4" s="80"/>
      <c r="AS4" s="80"/>
    </row>
    <row r="5" spans="1:45" s="52" customFormat="1" ht="57" x14ac:dyDescent="0.25">
      <c r="A5" s="70">
        <v>1</v>
      </c>
      <c r="B5" s="227" t="s">
        <v>119</v>
      </c>
      <c r="C5" s="89" t="str">
        <f>IF(VLOOKUP(Table4[[#This Row],[T ID]],Table5[#All],5,FALSE)="No","Not in scope",VLOOKUP(Table4[[#This Row],[T ID]],Table5[#All],2,FALSE))</f>
        <v>Deliver undirected malware</v>
      </c>
      <c r="D5" s="227" t="s">
        <v>144</v>
      </c>
      <c r="E5" s="89" t="str">
        <f>IF(VLOOKUP(Table4[[#This Row],[V ID]],Vulnerabilities[#All],3,FALSE)="No","Not in scope",VLOOKUP(Table4[[#This Row],[V ID]],Vulnerabilities[#All],2,FALSE))</f>
        <v>Unpatched  OS , Application SW</v>
      </c>
      <c r="F5" s="49" t="s">
        <v>107</v>
      </c>
      <c r="G5" s="90" t="str">
        <f>VLOOKUP(Table4[[#This Row],[A ID]],Assets[#All],3,FALSE)</f>
        <v>System resources</v>
      </c>
      <c r="H5" s="49" t="s">
        <v>152</v>
      </c>
      <c r="I5" s="58" t="s">
        <v>374</v>
      </c>
      <c r="J5" s="91" t="s">
        <v>56</v>
      </c>
      <c r="K5" s="91" t="s">
        <v>56</v>
      </c>
      <c r="L5" s="91" t="s">
        <v>56</v>
      </c>
      <c r="M5" s="160" t="s">
        <v>79</v>
      </c>
      <c r="N5" s="160" t="s">
        <v>56</v>
      </c>
      <c r="O5" s="160" t="s">
        <v>56</v>
      </c>
      <c r="P5" s="160" t="s">
        <v>76</v>
      </c>
      <c r="Q5" s="160" t="s">
        <v>74</v>
      </c>
      <c r="R5" s="1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64">
        <f>(1 - ((1 - VLOOKUP(Table4[[#This Row],[Confidentiality]],'Reference - CVSSv3.0'!$B$15:$C$17,2,FALSE)) * (1 - VLOOKUP(Table4[[#This Row],[Integrity]],'Reference - CVSSv3.0'!$B$15:$C$17,2,FALSE)) *  (1 - VLOOKUP(Table4[[#This Row],[Availability]],'Reference - CVSSv3.0'!$B$15:$C$17,2,FALSE))))</f>
        <v>0.52544799999999992</v>
      </c>
      <c r="T5" s="164">
        <f>IF(Table4[[#This Row],[Scope]]="Unchanged",6.42*Table4[[#This Row],[ISC Base]],IF(Table4[[#This Row],[Scope]]="Changed",7.52*(Table4[[#This Row],[ISC Base]] - 0.029) - 3.25 * POWER(Table4[[#This Row],[ISC Base]] - 0.02,15),NA()))</f>
        <v>3.3733761599999994</v>
      </c>
      <c r="U5" s="164">
        <f>IF(Table4[[#This Row],[Impact Sub Score]]&lt;=0,0,IF(Table4[[#This Row],[Scope]]="Unchanged",ROUNDUP(MIN((Table4[[#This Row],[Impact Sub Score]]+Table4[[#This Row],[Exploitability Sub Score]]),10),1),IF(Table4[[#This Row],[Scope]]="Changed",ROUNDUP(MIN((1.08*(Table4[[#This Row],[Impact Sub Score]]+Table4[[#This Row],[Exploitability Sub Score]])),10),1),NA())))</f>
        <v>4.8</v>
      </c>
      <c r="V5" s="184" t="s">
        <v>55</v>
      </c>
      <c r="W5" s="185">
        <f>VLOOKUP(Table4[[#This Row],[Threat Event Initiation]],NIST_Scale_LOAI[],2,FALSE)</f>
        <v>0.5</v>
      </c>
      <c r="X5" s="1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5" s="9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49" t="s">
        <v>155</v>
      </c>
      <c r="AA5" s="49" t="s">
        <v>158</v>
      </c>
      <c r="AB5" s="92" t="s">
        <v>174</v>
      </c>
      <c r="AC5" s="91" t="s">
        <v>56</v>
      </c>
      <c r="AD5" s="91" t="s">
        <v>77</v>
      </c>
      <c r="AE5" s="91" t="s">
        <v>77</v>
      </c>
      <c r="AF5" s="160" t="s">
        <v>78</v>
      </c>
      <c r="AG5" s="160" t="s">
        <v>56</v>
      </c>
      <c r="AH5" s="160" t="s">
        <v>77</v>
      </c>
      <c r="AI5" s="160" t="s">
        <v>77</v>
      </c>
      <c r="AJ5" s="160" t="s">
        <v>99</v>
      </c>
      <c r="AK5" s="164">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5" s="164">
        <f>(1 - ((1 - VLOOKUP(Table4[[#This Row],[ConfidentialityP]],'Reference - CVSSv3.0'!$B$15:$C$17,2,FALSE)) * (1 - VLOOKUP(Table4[[#This Row],[IntegrityP]],'Reference - CVSSv3.0'!$B$15:$C$17,2,FALSE)) *  (1 - VLOOKUP(Table4[[#This Row],[AvailabilityP]],'Reference - CVSSv3.0'!$B$15:$C$17,2,FALSE))))</f>
        <v>0.21999999999999997</v>
      </c>
      <c r="AM5" s="164">
        <f>IF(Table4[[#This Row],[ScopeP]]="Unchanged",6.42*Table4[[#This Row],[ISC BaseP]],IF(Table4[[#This Row],[ScopeP]]="Changed",7.52*(Table4[[#This Row],[ISC BaseP]] - 0.029) - 3.25 * POWER(Table4[[#This Row],[ISC BaseP]] - 0.02,15),NA()))</f>
        <v>1.4363199998935039</v>
      </c>
      <c r="AN5" s="164">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164">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3.7</v>
      </c>
      <c r="AP5" s="9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58" t="s">
        <v>133</v>
      </c>
    </row>
    <row r="6" spans="1:45" s="52" customFormat="1" ht="75.599999999999994" customHeight="1" x14ac:dyDescent="0.25">
      <c r="A6" s="215">
        <v>2</v>
      </c>
      <c r="B6" s="49" t="s">
        <v>120</v>
      </c>
      <c r="C6" s="217" t="str">
        <f>IF(VLOOKUP(Table4[[#This Row],[T ID]],Table5[#All],5,FALSE)="No","Not in scope",VLOOKUP(Table4[[#This Row],[T ID]],Table5[#All],2,FALSE))</f>
        <v>Deliver directed malware</v>
      </c>
      <c r="D6" s="49" t="s">
        <v>323</v>
      </c>
      <c r="E6" s="217" t="str">
        <f>IF(VLOOKUP(Table4[[#This Row],[V ID]],Vulnerabilities[#All],3,FALSE)="No","Not in scope",VLOOKUP(Table4[[#This Row],[V ID]],Vulnerabilities[#All],2,FALSE))</f>
        <v>Unprotected hardware</v>
      </c>
      <c r="F6" s="239" t="s">
        <v>107</v>
      </c>
      <c r="G6" s="217" t="str">
        <f>VLOOKUP(Table4[[#This Row],[A ID]],Assets[#All],3,FALSE)</f>
        <v>System resources</v>
      </c>
      <c r="H6" s="49" t="s">
        <v>343</v>
      </c>
      <c r="I6" s="58" t="s">
        <v>374</v>
      </c>
      <c r="J6" s="91" t="s">
        <v>56</v>
      </c>
      <c r="K6" s="91" t="s">
        <v>65</v>
      </c>
      <c r="L6" s="91" t="s">
        <v>56</v>
      </c>
      <c r="M6" s="91" t="s">
        <v>79</v>
      </c>
      <c r="N6" s="91" t="s">
        <v>65</v>
      </c>
      <c r="O6" s="91" t="s">
        <v>56</v>
      </c>
      <c r="P6" s="91" t="s">
        <v>77</v>
      </c>
      <c r="Q6" s="91" t="s">
        <v>74</v>
      </c>
      <c r="R6"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6" s="221">
        <f>(1 - ((1 - VLOOKUP(Table4[[#This Row],[Confidentiality]],'Reference - CVSSv3.0'!$B$15:$C$17,2,FALSE)) * (1 - VLOOKUP(Table4[[#This Row],[Integrity]],'Reference - CVSSv3.0'!$B$15:$C$17,2,FALSE)) *  (1 - VLOOKUP(Table4[[#This Row],[Availability]],'Reference - CVSSv3.0'!$B$15:$C$17,2,FALSE))))</f>
        <v>0.73230400000000007</v>
      </c>
      <c r="T6" s="221">
        <f>IF(Table4[[#This Row],[Scope]]="Unchanged",6.42*Table4[[#This Row],[ISC Base]],IF(Table4[[#This Row],[Scope]]="Changed",7.52*(Table4[[#This Row],[ISC Base]] - 0.029) - 3.25 * POWER(Table4[[#This Row],[ISC Base]] - 0.02,15),NA()))</f>
        <v>4.7013916800000004</v>
      </c>
      <c r="U6" s="221">
        <f>IF(Table4[[#This Row],[Impact Sub Score]]&lt;=0,0,IF(Table4[[#This Row],[Scope]]="Unchanged",ROUNDUP(MIN((Table4[[#This Row],[Impact Sub Score]]+Table4[[#This Row],[Exploitability Sub Score]]),10),1),IF(Table4[[#This Row],[Scope]]="Changed",ROUNDUP(MIN((1.08*(Table4[[#This Row],[Impact Sub Score]]+Table4[[#This Row],[Exploitability Sub Score]])),10),1),NA())))</f>
        <v>5.8</v>
      </c>
      <c r="V6" s="184" t="s">
        <v>55</v>
      </c>
      <c r="W6" s="221">
        <f>VLOOKUP(Table4[[#This Row],[Threat Event Initiation]],NIST_Scale_LOAI[],2,FALSE)</f>
        <v>0.5</v>
      </c>
      <c r="X6"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6"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18"/>
      <c r="AA6" s="218"/>
      <c r="AB6" s="223"/>
      <c r="AC6" s="216"/>
      <c r="AD6" s="216"/>
      <c r="AE6" s="216"/>
      <c r="AF6" s="219"/>
      <c r="AG6" s="219"/>
      <c r="AH6" s="219"/>
      <c r="AI6" s="219"/>
      <c r="AJ6" s="224"/>
      <c r="AK6"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21" t="e">
        <f>(1 - ((1 - VLOOKUP(Table4[[#This Row],[ConfidentialityP]],'Reference - CVSSv3.0'!$B$15:$C$17,2,FALSE)) * (1 - VLOOKUP(Table4[[#This Row],[IntegrityP]],'Reference - CVSSv3.0'!$B$15:$C$17,2,FALSE)) *  (1 - VLOOKUP(Table4[[#This Row],[AvailabilityP]],'Reference - CVSSv3.0'!$B$15:$C$17,2,FALSE))))</f>
        <v>#N/A</v>
      </c>
      <c r="AM6" s="221" t="e">
        <f>IF(Table4[[#This Row],[ScopeP]]="Unchanged",6.42*Table4[[#This Row],[ISC BaseP]],IF(Table4[[#This Row],[ScopeP]]="Changed",7.52*(Table4[[#This Row],[ISC BaseP]] - 0.029) - 3.25 * POWER(Table4[[#This Row],[ISC BaseP]] - 0.02,15),NA()))</f>
        <v>#N/A</v>
      </c>
      <c r="AN6"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16"/>
    </row>
    <row r="7" spans="1:45" s="52" customFormat="1" ht="57" x14ac:dyDescent="0.25">
      <c r="A7" s="69">
        <v>3</v>
      </c>
      <c r="B7" s="49" t="s">
        <v>267</v>
      </c>
      <c r="C7" s="89" t="str">
        <f>IF(VLOOKUP(Table4[[#This Row],[T ID]],Table5[#All],5,FALSE)="No","Not in scope",VLOOKUP(Table4[[#This Row],[T ID]],Table5[#All],2,FALSE))</f>
        <v>Mis-configuration by user</v>
      </c>
      <c r="D7" s="49" t="s">
        <v>324</v>
      </c>
      <c r="E7" s="89" t="str">
        <f>IF(VLOOKUP(Table4[[#This Row],[V ID]],Vulnerabilities[#All],3,FALSE)="No","Not in scope",VLOOKUP(Table4[[#This Row],[V ID]],Vulnerabilities[#All],2,FALSE))</f>
        <v>Uneducated/ Malicious User</v>
      </c>
      <c r="F7" s="239" t="s">
        <v>108</v>
      </c>
      <c r="G7" s="90" t="str">
        <f>VLOOKUP(Table4[[#This Row],[A ID]],Assets[#All],3,FALSE)</f>
        <v>Admin Password / Credentials / System Configuration / Certificates</v>
      </c>
      <c r="H7" s="49" t="s">
        <v>344</v>
      </c>
      <c r="I7" s="242" t="s">
        <v>377</v>
      </c>
      <c r="J7" s="91" t="s">
        <v>77</v>
      </c>
      <c r="K7" s="91" t="s">
        <v>56</v>
      </c>
      <c r="L7" s="91" t="s">
        <v>56</v>
      </c>
      <c r="M7" s="91" t="s">
        <v>79</v>
      </c>
      <c r="N7" s="91" t="s">
        <v>56</v>
      </c>
      <c r="O7" s="91" t="s">
        <v>56</v>
      </c>
      <c r="P7" s="91" t="s">
        <v>76</v>
      </c>
      <c r="Q7" s="91" t="s">
        <v>74</v>
      </c>
      <c r="R7" s="1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164">
        <f>(1 - ((1 - VLOOKUP(Table4[[#This Row],[Confidentiality]],'Reference - CVSSv3.0'!$B$15:$C$17,2,FALSE)) * (1 - VLOOKUP(Table4[[#This Row],[Integrity]],'Reference - CVSSv3.0'!$B$15:$C$17,2,FALSE)) *  (1 - VLOOKUP(Table4[[#This Row],[Availability]],'Reference - CVSSv3.0'!$B$15:$C$17,2,FALSE))))</f>
        <v>0.39159999999999995</v>
      </c>
      <c r="T7" s="164">
        <f>IF(Table4[[#This Row],[Scope]]="Unchanged",6.42*Table4[[#This Row],[ISC Base]],IF(Table4[[#This Row],[Scope]]="Changed",7.52*(Table4[[#This Row],[ISC Base]] - 0.029) - 3.25 * POWER(Table4[[#This Row],[ISC Base]] - 0.02,15),NA()))</f>
        <v>2.5140719999999996</v>
      </c>
      <c r="U7" s="164">
        <f>IF(Table4[[#This Row],[Impact Sub Score]]&lt;=0,0,IF(Table4[[#This Row],[Scope]]="Unchanged",ROUNDUP(MIN((Table4[[#This Row],[Impact Sub Score]]+Table4[[#This Row],[Exploitability Sub Score]]),10),1),IF(Table4[[#This Row],[Scope]]="Changed",ROUNDUP(MIN((1.08*(Table4[[#This Row],[Impact Sub Score]]+Table4[[#This Row],[Exploitability Sub Score]])),10),1),NA())))</f>
        <v>3.9</v>
      </c>
      <c r="V7" s="184" t="s">
        <v>56</v>
      </c>
      <c r="W7" s="185">
        <f>VLOOKUP(Table4[[#This Row],[Threat Event Initiation]],NIST_Scale_LOAI[],2,FALSE)</f>
        <v>0.2</v>
      </c>
      <c r="X7" s="1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7" s="9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49" t="s">
        <v>155</v>
      </c>
      <c r="AA7" s="49" t="s">
        <v>158</v>
      </c>
      <c r="AB7" s="92" t="s">
        <v>174</v>
      </c>
      <c r="AC7" s="91" t="s">
        <v>65</v>
      </c>
      <c r="AD7" s="91" t="s">
        <v>65</v>
      </c>
      <c r="AE7" s="91" t="s">
        <v>56</v>
      </c>
      <c r="AF7" s="160" t="s">
        <v>75</v>
      </c>
      <c r="AG7" s="160" t="s">
        <v>65</v>
      </c>
      <c r="AH7" s="160" t="s">
        <v>65</v>
      </c>
      <c r="AI7" s="160" t="s">
        <v>76</v>
      </c>
      <c r="AJ7" s="160" t="s">
        <v>74</v>
      </c>
      <c r="AK7" s="164">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0.12109046400000002</v>
      </c>
      <c r="AL7" s="164">
        <f>(1 - ((1 - VLOOKUP(Table4[[#This Row],[ConfidentialityP]],'Reference - CVSSv3.0'!$B$15:$C$17,2,FALSE)) * (1 - VLOOKUP(Table4[[#This Row],[IntegrityP]],'Reference - CVSSv3.0'!$B$15:$C$17,2,FALSE)) *  (1 - VLOOKUP(Table4[[#This Row],[AvailabilityP]],'Reference - CVSSv3.0'!$B$15:$C$17,2,FALSE))))</f>
        <v>0.84899199999999997</v>
      </c>
      <c r="AM7" s="164">
        <f>IF(Table4[[#This Row],[ScopeP]]="Unchanged",6.42*Table4[[#This Row],[ISC BaseP]],IF(Table4[[#This Row],[ScopeP]]="Changed",7.52*(Table4[[#This Row],[ISC BaseP]] - 0.029) - 3.25 * POWER(Table4[[#This Row],[ISC BaseP]] - 0.02,15),NA()))</f>
        <v>5.4505286399999999</v>
      </c>
      <c r="AN7" s="164">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7" s="164">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5.5</v>
      </c>
      <c r="AP7" s="9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7" s="58" t="s">
        <v>210</v>
      </c>
    </row>
    <row r="8" spans="1:45" s="52" customFormat="1" ht="57" x14ac:dyDescent="0.25">
      <c r="A8" s="70">
        <v>4</v>
      </c>
      <c r="B8" s="227" t="s">
        <v>121</v>
      </c>
      <c r="C8" s="217" t="str">
        <f>IF(VLOOKUP(Table4[[#This Row],[T ID]],Table5[#All],5,FALSE)="No","Not in scope",VLOOKUP(Table4[[#This Row],[T ID]],Table5[#All],2,FALSE))</f>
        <v xml:space="preserve">Perform perimeter network reconnaissance/scanning. </v>
      </c>
      <c r="D8" s="49" t="s">
        <v>145</v>
      </c>
      <c r="E8" s="217" t="str">
        <f>IF(VLOOKUP(Table4[[#This Row],[V ID]],Vulnerabilities[#All],3,FALSE)="No","Not in scope",VLOOKUP(Table4[[#This Row],[V ID]],Vulnerabilities[#All],2,FALSE))</f>
        <v>Unprotected network port</v>
      </c>
      <c r="F8" s="49" t="s">
        <v>111</v>
      </c>
      <c r="G8" s="217" t="str">
        <f>VLOOKUP(Table4[[#This Row],[A ID]],Assets[#All],3,FALSE)</f>
        <v>Computer/OS network identification</v>
      </c>
      <c r="H8" s="49" t="s">
        <v>153</v>
      </c>
      <c r="I8" s="242" t="s">
        <v>377</v>
      </c>
      <c r="J8" s="91" t="s">
        <v>56</v>
      </c>
      <c r="K8" s="91" t="s">
        <v>77</v>
      </c>
      <c r="L8" s="91" t="s">
        <v>56</v>
      </c>
      <c r="M8" s="91" t="s">
        <v>78</v>
      </c>
      <c r="N8" s="91" t="s">
        <v>65</v>
      </c>
      <c r="O8" s="91" t="s">
        <v>77</v>
      </c>
      <c r="P8" s="91" t="s">
        <v>77</v>
      </c>
      <c r="Q8" s="91" t="s">
        <v>74</v>
      </c>
      <c r="R8"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8" s="221">
        <f>(1 - ((1 - VLOOKUP(Table4[[#This Row],[Confidentiality]],'Reference - CVSSv3.0'!$B$15:$C$17,2,FALSE)) * (1 - VLOOKUP(Table4[[#This Row],[Integrity]],'Reference - CVSSv3.0'!$B$15:$C$17,2,FALSE)) *  (1 - VLOOKUP(Table4[[#This Row],[Availability]],'Reference - CVSSv3.0'!$B$15:$C$17,2,FALSE))))</f>
        <v>0.39159999999999995</v>
      </c>
      <c r="T8" s="221">
        <f>IF(Table4[[#This Row],[Scope]]="Unchanged",6.42*Table4[[#This Row],[ISC Base]],IF(Table4[[#This Row],[Scope]]="Changed",7.52*(Table4[[#This Row],[ISC Base]] - 0.029) - 3.25 * POWER(Table4[[#This Row],[ISC Base]] - 0.02,15),NA()))</f>
        <v>2.5140719999999996</v>
      </c>
      <c r="U8" s="221">
        <f>IF(Table4[[#This Row],[Impact Sub Score]]&lt;=0,0,IF(Table4[[#This Row],[Scope]]="Unchanged",ROUNDUP(MIN((Table4[[#This Row],[Impact Sub Score]]+Table4[[#This Row],[Exploitability Sub Score]]),10),1),IF(Table4[[#This Row],[Scope]]="Changed",ROUNDUP(MIN((1.08*(Table4[[#This Row],[Impact Sub Score]]+Table4[[#This Row],[Exploitability Sub Score]])),10),1),NA())))</f>
        <v>4.8</v>
      </c>
      <c r="V8" s="184" t="s">
        <v>55</v>
      </c>
      <c r="W8" s="221">
        <f>VLOOKUP(Table4[[#This Row],[Threat Event Initiation]],NIST_Scale_LOAI[],2,FALSE)</f>
        <v>0.5</v>
      </c>
      <c r="X8"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8"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18"/>
      <c r="AA8" s="218"/>
      <c r="AB8" s="223"/>
      <c r="AC8" s="216"/>
      <c r="AD8" s="216"/>
      <c r="AE8" s="216"/>
      <c r="AF8" s="219"/>
      <c r="AG8" s="219"/>
      <c r="AH8" s="219"/>
      <c r="AI8" s="219"/>
      <c r="AJ8" s="224"/>
      <c r="AK8"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21" t="e">
        <f>(1 - ((1 - VLOOKUP(Table4[[#This Row],[ConfidentialityP]],'Reference - CVSSv3.0'!$B$15:$C$17,2,FALSE)) * (1 - VLOOKUP(Table4[[#This Row],[IntegrityP]],'Reference - CVSSv3.0'!$B$15:$C$17,2,FALSE)) *  (1 - VLOOKUP(Table4[[#This Row],[AvailabilityP]],'Reference - CVSSv3.0'!$B$15:$C$17,2,FALSE))))</f>
        <v>#N/A</v>
      </c>
      <c r="AM8" s="221" t="e">
        <f>IF(Table4[[#This Row],[ScopeP]]="Unchanged",6.42*Table4[[#This Row],[ISC BaseP]],IF(Table4[[#This Row],[ScopeP]]="Changed",7.52*(Table4[[#This Row],[ISC BaseP]] - 0.029) - 3.25 * POWER(Table4[[#This Row],[ISC BaseP]] - 0.02,15),NA()))</f>
        <v>#N/A</v>
      </c>
      <c r="AN8"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16"/>
    </row>
    <row r="9" spans="1:45" s="52" customFormat="1" ht="42.75" x14ac:dyDescent="0.25">
      <c r="A9" s="215">
        <v>5</v>
      </c>
      <c r="B9" s="49" t="s">
        <v>123</v>
      </c>
      <c r="C9" s="217" t="str">
        <f>IF(VLOOKUP(Table4[[#This Row],[T ID]],Table5[#All],5,FALSE)="No","Not in scope",VLOOKUP(Table4[[#This Row],[T ID]],Table5[#All],2,FALSE))</f>
        <v xml:space="preserve">Conduct scavenging of ePHI at rest </v>
      </c>
      <c r="D9" s="49" t="s">
        <v>114</v>
      </c>
      <c r="E9" s="217" t="str">
        <f>IF(VLOOKUP(Table4[[#This Row],[V ID]],Vulnerabilities[#All],3,FALSE)="No","Not in scope",VLOOKUP(Table4[[#This Row],[V ID]],Vulnerabilities[#All],2,FALSE))</f>
        <v>Ineffective management of user credentials</v>
      </c>
      <c r="F9" s="239" t="s">
        <v>110</v>
      </c>
      <c r="G9" s="217" t="str">
        <f>VLOOKUP(Table4[[#This Row],[A ID]],Assets[#All],3,FALSE)</f>
        <v>Patient health information at rest</v>
      </c>
      <c r="H9" s="49" t="s">
        <v>333</v>
      </c>
      <c r="I9" s="58" t="s">
        <v>379</v>
      </c>
      <c r="J9" s="91" t="s">
        <v>65</v>
      </c>
      <c r="K9" s="91" t="s">
        <v>77</v>
      </c>
      <c r="L9" s="91" t="s">
        <v>56</v>
      </c>
      <c r="M9" s="91" t="s">
        <v>78</v>
      </c>
      <c r="N9" s="91" t="s">
        <v>65</v>
      </c>
      <c r="O9" s="91" t="s">
        <v>56</v>
      </c>
      <c r="P9" s="91" t="s">
        <v>77</v>
      </c>
      <c r="Q9" s="91" t="s">
        <v>74</v>
      </c>
      <c r="R9"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 s="221">
        <f>(1 - ((1 - VLOOKUP(Table4[[#This Row],[Confidentiality]],'Reference - CVSSv3.0'!$B$15:$C$17,2,FALSE)) * (1 - VLOOKUP(Table4[[#This Row],[Integrity]],'Reference - CVSSv3.0'!$B$15:$C$17,2,FALSE)) *  (1 - VLOOKUP(Table4[[#This Row],[Availability]],'Reference - CVSSv3.0'!$B$15:$C$17,2,FALSE))))</f>
        <v>0.65680000000000005</v>
      </c>
      <c r="T9" s="221">
        <f>IF(Table4[[#This Row],[Scope]]="Unchanged",6.42*Table4[[#This Row],[ISC Base]],IF(Table4[[#This Row],[Scope]]="Changed",7.52*(Table4[[#This Row],[ISC Base]] - 0.029) - 3.25 * POWER(Table4[[#This Row],[ISC Base]] - 0.02,15),NA()))</f>
        <v>4.2166560000000004</v>
      </c>
      <c r="U9" s="221">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9" s="184" t="s">
        <v>56</v>
      </c>
      <c r="W9" s="221">
        <f>VLOOKUP(Table4[[#This Row],[Threat Event Initiation]],NIST_Scale_LOAI[],2,FALSE)</f>
        <v>0.2</v>
      </c>
      <c r="X9"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9"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216"/>
      <c r="AA9" s="218"/>
      <c r="AB9" s="223"/>
      <c r="AC9" s="216"/>
      <c r="AD9" s="216"/>
      <c r="AE9" s="216"/>
      <c r="AF9" s="219"/>
      <c r="AG9" s="219"/>
      <c r="AH9" s="219"/>
      <c r="AI9" s="219"/>
      <c r="AJ9" s="224"/>
      <c r="AK9"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21" t="e">
        <f>(1 - ((1 - VLOOKUP(Table4[[#This Row],[ConfidentialityP]],'Reference - CVSSv3.0'!$B$15:$C$17,2,FALSE)) * (1 - VLOOKUP(Table4[[#This Row],[IntegrityP]],'Reference - CVSSv3.0'!$B$15:$C$17,2,FALSE)) *  (1 - VLOOKUP(Table4[[#This Row],[AvailabilityP]],'Reference - CVSSv3.0'!$B$15:$C$17,2,FALSE))))</f>
        <v>#N/A</v>
      </c>
      <c r="AM9" s="221" t="e">
        <f>IF(Table4[[#This Row],[ScopeP]]="Unchanged",6.42*Table4[[#This Row],[ISC BaseP]],IF(Table4[[#This Row],[ScopeP]]="Changed",7.52*(Table4[[#This Row],[ISC BaseP]] - 0.029) - 3.25 * POWER(Table4[[#This Row],[ISC BaseP]] - 0.02,15),NA()))</f>
        <v>#N/A</v>
      </c>
      <c r="AN9"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16"/>
    </row>
    <row r="10" spans="1:45" s="52" customFormat="1" ht="57" x14ac:dyDescent="0.25">
      <c r="A10" s="69">
        <v>6</v>
      </c>
      <c r="B10" s="49" t="s">
        <v>120</v>
      </c>
      <c r="C10" s="217" t="str">
        <f>IF(VLOOKUP(Table4[[#This Row],[T ID]],Table5[#All],5,FALSE)="No","Not in scope",VLOOKUP(Table4[[#This Row],[T ID]],Table5[#All],2,FALSE))</f>
        <v>Deliver directed malware</v>
      </c>
      <c r="D10" s="49" t="s">
        <v>342</v>
      </c>
      <c r="E10" s="217" t="str">
        <f>IF(VLOOKUP(Table4[[#This Row],[V ID]],Vulnerabilities[#All],3,FALSE)="No","Not in scope",VLOOKUP(Table4[[#This Row],[V ID]],Vulnerabilities[#All],2,FALSE))</f>
        <v>Ineffective management of admin credentials</v>
      </c>
      <c r="F10" s="239" t="s">
        <v>108</v>
      </c>
      <c r="G10" s="217" t="str">
        <f>VLOOKUP(Table4[[#This Row],[A ID]],Assets[#All],3,FALSE)</f>
        <v>Admin Password / Credentials / System Configuration / Certificates</v>
      </c>
      <c r="H10" s="49" t="s">
        <v>331</v>
      </c>
      <c r="I10" s="58" t="s">
        <v>374</v>
      </c>
      <c r="J10" s="91" t="s">
        <v>56</v>
      </c>
      <c r="K10" s="91" t="s">
        <v>65</v>
      </c>
      <c r="L10" s="91" t="s">
        <v>56</v>
      </c>
      <c r="M10" s="91" t="s">
        <v>79</v>
      </c>
      <c r="N10" s="91" t="s">
        <v>65</v>
      </c>
      <c r="O10" s="91" t="s">
        <v>56</v>
      </c>
      <c r="P10" s="91" t="s">
        <v>77</v>
      </c>
      <c r="Q10" s="91" t="s">
        <v>74</v>
      </c>
      <c r="R10"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0" s="221">
        <f>(1 - ((1 - VLOOKUP(Table4[[#This Row],[Confidentiality]],'Reference - CVSSv3.0'!$B$15:$C$17,2,FALSE)) * (1 - VLOOKUP(Table4[[#This Row],[Integrity]],'Reference - CVSSv3.0'!$B$15:$C$17,2,FALSE)) *  (1 - VLOOKUP(Table4[[#This Row],[Availability]],'Reference - CVSSv3.0'!$B$15:$C$17,2,FALSE))))</f>
        <v>0.73230400000000007</v>
      </c>
      <c r="T10" s="221">
        <f>IF(Table4[[#This Row],[Scope]]="Unchanged",6.42*Table4[[#This Row],[ISC Base]],IF(Table4[[#This Row],[Scope]]="Changed",7.52*(Table4[[#This Row],[ISC Base]] - 0.029) - 3.25 * POWER(Table4[[#This Row],[ISC Base]] - 0.02,15),NA()))</f>
        <v>4.7013916800000004</v>
      </c>
      <c r="U10" s="221">
        <f>IF(Table4[[#This Row],[Impact Sub Score]]&lt;=0,0,IF(Table4[[#This Row],[Scope]]="Unchanged",ROUNDUP(MIN((Table4[[#This Row],[Impact Sub Score]]+Table4[[#This Row],[Exploitability Sub Score]]),10),1),IF(Table4[[#This Row],[Scope]]="Changed",ROUNDUP(MIN((1.08*(Table4[[#This Row],[Impact Sub Score]]+Table4[[#This Row],[Exploitability Sub Score]])),10),1),NA())))</f>
        <v>5.8</v>
      </c>
      <c r="V10" s="184" t="s">
        <v>55</v>
      </c>
      <c r="W10" s="221">
        <f>VLOOKUP(Table4[[#This Row],[Threat Event Initiation]],NIST_Scale_LOAI[],2,FALSE)</f>
        <v>0.5</v>
      </c>
      <c r="X10"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0"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216"/>
      <c r="AA10" s="218"/>
      <c r="AB10" s="223"/>
      <c r="AC10" s="216"/>
      <c r="AD10" s="216"/>
      <c r="AE10" s="216"/>
      <c r="AF10" s="219"/>
      <c r="AG10" s="219"/>
      <c r="AH10" s="219"/>
      <c r="AI10" s="219"/>
      <c r="AJ10" s="224"/>
      <c r="AK10"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21" t="e">
        <f>(1 - ((1 - VLOOKUP(Table4[[#This Row],[ConfidentialityP]],'Reference - CVSSv3.0'!$B$15:$C$17,2,FALSE)) * (1 - VLOOKUP(Table4[[#This Row],[IntegrityP]],'Reference - CVSSv3.0'!$B$15:$C$17,2,FALSE)) *  (1 - VLOOKUP(Table4[[#This Row],[AvailabilityP]],'Reference - CVSSv3.0'!$B$15:$C$17,2,FALSE))))</f>
        <v>#N/A</v>
      </c>
      <c r="AM10" s="221" t="e">
        <f>IF(Table4[[#This Row],[ScopeP]]="Unchanged",6.42*Table4[[#This Row],[ISC BaseP]],IF(Table4[[#This Row],[ScopeP]]="Changed",7.52*(Table4[[#This Row],[ISC BaseP]] - 0.029) - 3.25 * POWER(Table4[[#This Row],[ISC BaseP]] - 0.02,15),NA()))</f>
        <v>#N/A</v>
      </c>
      <c r="AN10"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16"/>
    </row>
    <row r="11" spans="1:45" s="52" customFormat="1" ht="42.75" x14ac:dyDescent="0.25">
      <c r="A11" s="70">
        <v>7</v>
      </c>
      <c r="B11" s="49" t="s">
        <v>278</v>
      </c>
      <c r="C11" s="217" t="str">
        <f>IF(VLOOKUP(Table4[[#This Row],[T ID]],Table5[#All],5,FALSE)="No","Not in scope",VLOOKUP(Table4[[#This Row],[T ID]],Table5[#All],2,FALSE))</f>
        <v>Man-in-the middle attack / intercept Navigation communication</v>
      </c>
      <c r="D11" s="49" t="s">
        <v>323</v>
      </c>
      <c r="E11" s="217" t="str">
        <f>IF(VLOOKUP(Table4[[#This Row],[V ID]],Vulnerabilities[#All],3,FALSE)="No","Not in scope",VLOOKUP(Table4[[#This Row],[V ID]],Vulnerabilities[#All],2,FALSE))</f>
        <v>Unprotected hardware</v>
      </c>
      <c r="F11" s="239" t="s">
        <v>113</v>
      </c>
      <c r="G11" s="217" t="str">
        <f>VLOOKUP(Table4[[#This Row],[A ID]],Assets[#All],3,FALSE)</f>
        <v>Navigation Accuracy</v>
      </c>
      <c r="H11" s="49" t="s">
        <v>376</v>
      </c>
      <c r="I11" s="58" t="s">
        <v>379</v>
      </c>
      <c r="J11" s="91" t="s">
        <v>56</v>
      </c>
      <c r="K11" s="91" t="s">
        <v>65</v>
      </c>
      <c r="L11" s="91" t="s">
        <v>65</v>
      </c>
      <c r="M11" s="91" t="s">
        <v>78</v>
      </c>
      <c r="N11" s="91" t="s">
        <v>65</v>
      </c>
      <c r="O11" s="91" t="s">
        <v>65</v>
      </c>
      <c r="P11" s="91" t="s">
        <v>77</v>
      </c>
      <c r="Q11" s="91" t="s">
        <v>74</v>
      </c>
      <c r="R11"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 s="221">
        <f>(1 - ((1 - VLOOKUP(Table4[[#This Row],[Confidentiality]],'Reference - CVSSv3.0'!$B$15:$C$17,2,FALSE)) * (1 - VLOOKUP(Table4[[#This Row],[Integrity]],'Reference - CVSSv3.0'!$B$15:$C$17,2,FALSE)) *  (1 - VLOOKUP(Table4[[#This Row],[Availability]],'Reference - CVSSv3.0'!$B$15:$C$17,2,FALSE))))</f>
        <v>0.84899200000000008</v>
      </c>
      <c r="T11" s="221">
        <f>IF(Table4[[#This Row],[Scope]]="Unchanged",6.42*Table4[[#This Row],[ISC Base]],IF(Table4[[#This Row],[Scope]]="Changed",7.52*(Table4[[#This Row],[ISC Base]] - 0.029) - 3.25 * POWER(Table4[[#This Row],[ISC Base]] - 0.02,15),NA()))</f>
        <v>5.4505286400000008</v>
      </c>
      <c r="U11" s="221">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 s="184" t="s">
        <v>49</v>
      </c>
      <c r="W11" s="221">
        <f>VLOOKUP(Table4[[#This Row],[Threat Event Initiation]],NIST_Scale_LOAI[],2,FALSE)</f>
        <v>0.04</v>
      </c>
      <c r="X11"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1"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216"/>
      <c r="AA11" s="218"/>
      <c r="AB11" s="223"/>
      <c r="AC11" s="216"/>
      <c r="AD11" s="216"/>
      <c r="AE11" s="216"/>
      <c r="AF11" s="219"/>
      <c r="AG11" s="219"/>
      <c r="AH11" s="219"/>
      <c r="AI11" s="219"/>
      <c r="AJ11" s="224"/>
      <c r="AK11"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21" t="e">
        <f>(1 - ((1 - VLOOKUP(Table4[[#This Row],[ConfidentialityP]],'Reference - CVSSv3.0'!$B$15:$C$17,2,FALSE)) * (1 - VLOOKUP(Table4[[#This Row],[IntegrityP]],'Reference - CVSSv3.0'!$B$15:$C$17,2,FALSE)) *  (1 - VLOOKUP(Table4[[#This Row],[AvailabilityP]],'Reference - CVSSv3.0'!$B$15:$C$17,2,FALSE))))</f>
        <v>#N/A</v>
      </c>
      <c r="AM11" s="221" t="e">
        <f>IF(Table4[[#This Row],[ScopeP]]="Unchanged",6.42*Table4[[#This Row],[ISC BaseP]],IF(Table4[[#This Row],[ScopeP]]="Changed",7.52*(Table4[[#This Row],[ISC BaseP]] - 0.029) - 3.25 * POWER(Table4[[#This Row],[ISC BaseP]] - 0.02,15),NA()))</f>
        <v>#N/A</v>
      </c>
      <c r="AN11"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16"/>
    </row>
    <row r="12" spans="1:45" s="52" customFormat="1" ht="48" customHeight="1" x14ac:dyDescent="0.25">
      <c r="A12" s="215">
        <v>8</v>
      </c>
      <c r="B12" s="49" t="s">
        <v>258</v>
      </c>
      <c r="C12" s="217" t="str">
        <f>IF(VLOOKUP(Table4[[#This Row],[T ID]],Table5[#All],5,FALSE)="No","Not in scope",VLOOKUP(Table4[[#This Row],[T ID]],Table5[#All],2,FALSE))</f>
        <v>Network-based denial of service (DoS) attack</v>
      </c>
      <c r="D12" s="49" t="s">
        <v>145</v>
      </c>
      <c r="E12" s="217" t="str">
        <f>IF(VLOOKUP(Table4[[#This Row],[V ID]],Vulnerabilities[#All],3,FALSE)="No","Not in scope",VLOOKUP(Table4[[#This Row],[V ID]],Vulnerabilities[#All],2,FALSE))</f>
        <v>Unprotected network port</v>
      </c>
      <c r="F12" s="239" t="s">
        <v>107</v>
      </c>
      <c r="G12" s="217" t="str">
        <f>VLOOKUP(Table4[[#This Row],[A ID]],Assets[#All],3,FALSE)</f>
        <v>System resources</v>
      </c>
      <c r="H12" s="49" t="s">
        <v>345</v>
      </c>
      <c r="I12" s="58" t="s">
        <v>377</v>
      </c>
      <c r="J12" s="91" t="s">
        <v>77</v>
      </c>
      <c r="K12" s="91" t="s">
        <v>77</v>
      </c>
      <c r="L12" s="91" t="s">
        <v>65</v>
      </c>
      <c r="M12" s="91" t="s">
        <v>78</v>
      </c>
      <c r="N12" s="91" t="s">
        <v>56</v>
      </c>
      <c r="O12" s="91" t="s">
        <v>65</v>
      </c>
      <c r="P12" s="91" t="s">
        <v>77</v>
      </c>
      <c r="Q12" s="91" t="s">
        <v>74</v>
      </c>
      <c r="R12"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2" s="221">
        <f>(1 - ((1 - VLOOKUP(Table4[[#This Row],[Confidentiality]],'Reference - CVSSv3.0'!$B$15:$C$17,2,FALSE)) * (1 - VLOOKUP(Table4[[#This Row],[Integrity]],'Reference - CVSSv3.0'!$B$15:$C$17,2,FALSE)) *  (1 - VLOOKUP(Table4[[#This Row],[Availability]],'Reference - CVSSv3.0'!$B$15:$C$17,2,FALSE))))</f>
        <v>0.56000000000000005</v>
      </c>
      <c r="T12" s="221">
        <f>IF(Table4[[#This Row],[Scope]]="Unchanged",6.42*Table4[[#This Row],[ISC Base]],IF(Table4[[#This Row],[Scope]]="Changed",7.52*(Table4[[#This Row],[ISC Base]] - 0.029) - 3.25 * POWER(Table4[[#This Row],[ISC Base]] - 0.02,15),NA()))</f>
        <v>3.5952000000000002</v>
      </c>
      <c r="U12" s="22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2" s="184" t="s">
        <v>55</v>
      </c>
      <c r="W12" s="221">
        <f>VLOOKUP(Table4[[#This Row],[Threat Event Initiation]],NIST_Scale_LOAI[],2,FALSE)</f>
        <v>0.5</v>
      </c>
      <c r="X12"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2"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216"/>
      <c r="AA12" s="218"/>
      <c r="AB12" s="223"/>
      <c r="AC12" s="216"/>
      <c r="AD12" s="216"/>
      <c r="AE12" s="216"/>
      <c r="AF12" s="219"/>
      <c r="AG12" s="219"/>
      <c r="AH12" s="219"/>
      <c r="AI12" s="219"/>
      <c r="AJ12" s="224"/>
      <c r="AK12"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221" t="e">
        <f>(1 - ((1 - VLOOKUP(Table4[[#This Row],[ConfidentialityP]],'Reference - CVSSv3.0'!$B$15:$C$17,2,FALSE)) * (1 - VLOOKUP(Table4[[#This Row],[IntegrityP]],'Reference - CVSSv3.0'!$B$15:$C$17,2,FALSE)) *  (1 - VLOOKUP(Table4[[#This Row],[AvailabilityP]],'Reference - CVSSv3.0'!$B$15:$C$17,2,FALSE))))</f>
        <v>#N/A</v>
      </c>
      <c r="AM12" s="221" t="e">
        <f>IF(Table4[[#This Row],[ScopeP]]="Unchanged",6.42*Table4[[#This Row],[ISC BaseP]],IF(Table4[[#This Row],[ScopeP]]="Changed",7.52*(Table4[[#This Row],[ISC BaseP]] - 0.029) - 3.25 * POWER(Table4[[#This Row],[ISC BaseP]] - 0.02,15),NA()))</f>
        <v>#N/A</v>
      </c>
      <c r="AN12"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216"/>
    </row>
    <row r="13" spans="1:45" ht="85.5" x14ac:dyDescent="0.25">
      <c r="A13" s="69">
        <v>9</v>
      </c>
      <c r="B13" s="49" t="s">
        <v>271</v>
      </c>
      <c r="C13" s="217" t="str">
        <f>IF(VLOOKUP(Table4[[#This Row],[T ID]],Table5[#All],5,FALSE)="No","Not in scope",VLOOKUP(Table4[[#This Row],[T ID]],Table5[#All],2,FALSE))</f>
        <v>Remote exploit</v>
      </c>
      <c r="D13" s="49" t="s">
        <v>145</v>
      </c>
      <c r="E13" s="217" t="str">
        <f>IF(VLOOKUP(Table4[[#This Row],[V ID]],Vulnerabilities[#All],3,FALSE)="No","Not in scope",VLOOKUP(Table4[[#This Row],[V ID]],Vulnerabilities[#All],2,FALSE))</f>
        <v>Unprotected network port</v>
      </c>
      <c r="F13" s="239" t="s">
        <v>113</v>
      </c>
      <c r="G13" s="217" t="str">
        <f>VLOOKUP(Table4[[#This Row],[A ID]],Assets[#All],3,FALSE)</f>
        <v>Navigation Accuracy</v>
      </c>
      <c r="H13" s="49" t="s">
        <v>346</v>
      </c>
      <c r="I13" s="58" t="s">
        <v>379</v>
      </c>
      <c r="J13" s="91" t="s">
        <v>77</v>
      </c>
      <c r="K13" s="91" t="s">
        <v>65</v>
      </c>
      <c r="L13" s="91" t="s">
        <v>56</v>
      </c>
      <c r="M13" s="91" t="s">
        <v>78</v>
      </c>
      <c r="N13" s="91" t="s">
        <v>65</v>
      </c>
      <c r="O13" s="91" t="s">
        <v>56</v>
      </c>
      <c r="P13" s="91" t="s">
        <v>77</v>
      </c>
      <c r="Q13" s="91" t="s">
        <v>99</v>
      </c>
      <c r="R13"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3" s="221">
        <f>(1 - ((1 - VLOOKUP(Table4[[#This Row],[Confidentiality]],'Reference - CVSSv3.0'!$B$15:$C$17,2,FALSE)) * (1 - VLOOKUP(Table4[[#This Row],[Integrity]],'Reference - CVSSv3.0'!$B$15:$C$17,2,FALSE)) *  (1 - VLOOKUP(Table4[[#This Row],[Availability]],'Reference - CVSSv3.0'!$B$15:$C$17,2,FALSE))))</f>
        <v>0.65680000000000005</v>
      </c>
      <c r="T13" s="221">
        <f>IF(Table4[[#This Row],[Scope]]="Unchanged",6.42*Table4[[#This Row],[ISC Base]],IF(Table4[[#This Row],[Scope]]="Changed",7.52*(Table4[[#This Row],[ISC Base]] - 0.029) - 3.25 * POWER(Table4[[#This Row],[ISC Base]] - 0.02,15),NA()))</f>
        <v>4.7173241070114784</v>
      </c>
      <c r="U13" s="221">
        <f>IF(Table4[[#This Row],[Impact Sub Score]]&lt;=0,0,IF(Table4[[#This Row],[Scope]]="Unchanged",ROUNDUP(MIN((Table4[[#This Row],[Impact Sub Score]]+Table4[[#This Row],[Exploitability Sub Score]]),10),1),IF(Table4[[#This Row],[Scope]]="Changed",ROUNDUP(MIN((1.08*(Table4[[#This Row],[Impact Sub Score]]+Table4[[#This Row],[Exploitability Sub Score]])),10),1),NA())))</f>
        <v>7.1</v>
      </c>
      <c r="V13" s="184" t="s">
        <v>56</v>
      </c>
      <c r="W13" s="221">
        <f>VLOOKUP(Table4[[#This Row],[Threat Event Initiation]],NIST_Scale_LOAI[],2,FALSE)</f>
        <v>0.2</v>
      </c>
      <c r="X13"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3"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216"/>
      <c r="AA13" s="218"/>
      <c r="AB13" s="223"/>
      <c r="AC13" s="216"/>
      <c r="AD13" s="216"/>
      <c r="AE13" s="216"/>
      <c r="AF13" s="219"/>
      <c r="AG13" s="219"/>
      <c r="AH13" s="219"/>
      <c r="AI13" s="219"/>
      <c r="AJ13" s="224"/>
      <c r="AK13"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221" t="e">
        <f>(1 - ((1 - VLOOKUP(Table4[[#This Row],[ConfidentialityP]],'Reference - CVSSv3.0'!$B$15:$C$17,2,FALSE)) * (1 - VLOOKUP(Table4[[#This Row],[IntegrityP]],'Reference - CVSSv3.0'!$B$15:$C$17,2,FALSE)) *  (1 - VLOOKUP(Table4[[#This Row],[AvailabilityP]],'Reference - CVSSv3.0'!$B$15:$C$17,2,FALSE))))</f>
        <v>#N/A</v>
      </c>
      <c r="AM13" s="221" t="e">
        <f>IF(Table4[[#This Row],[ScopeP]]="Unchanged",6.42*Table4[[#This Row],[ISC BaseP]],IF(Table4[[#This Row],[ScopeP]]="Changed",7.52*(Table4[[#This Row],[ISC BaseP]] - 0.029) - 3.25 * POWER(Table4[[#This Row],[ISC BaseP]] - 0.02,15),NA()))</f>
        <v>#N/A</v>
      </c>
      <c r="AN13"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216"/>
    </row>
    <row r="14" spans="1:45" ht="71.25" x14ac:dyDescent="0.25">
      <c r="A14" s="70">
        <v>10</v>
      </c>
      <c r="B14" s="49" t="s">
        <v>271</v>
      </c>
      <c r="C14" s="217" t="str">
        <f>IF(VLOOKUP(Table4[[#This Row],[T ID]],Table5[#All],5,FALSE)="No","Not in scope",VLOOKUP(Table4[[#This Row],[T ID]],Table5[#All],2,FALSE))</f>
        <v>Remote exploit</v>
      </c>
      <c r="D14" s="49" t="s">
        <v>145</v>
      </c>
      <c r="E14" s="217" t="str">
        <f>IF(VLOOKUP(Table4[[#This Row],[V ID]],Vulnerabilities[#All],3,FALSE)="No","Not in scope",VLOOKUP(Table4[[#This Row],[V ID]],Vulnerabilities[#All],2,FALSE))</f>
        <v>Unprotected network port</v>
      </c>
      <c r="F14" s="239" t="s">
        <v>107</v>
      </c>
      <c r="G14" s="217" t="str">
        <f>VLOOKUP(Table4[[#This Row],[A ID]],Assets[#All],3,FALSE)</f>
        <v>System resources</v>
      </c>
      <c r="H14" s="49" t="s">
        <v>347</v>
      </c>
      <c r="I14" s="58" t="s">
        <v>377</v>
      </c>
      <c r="J14" s="91" t="s">
        <v>77</v>
      </c>
      <c r="K14" s="91" t="s">
        <v>56</v>
      </c>
      <c r="L14" s="91" t="s">
        <v>65</v>
      </c>
      <c r="M14" s="91" t="s">
        <v>78</v>
      </c>
      <c r="N14" s="91" t="s">
        <v>65</v>
      </c>
      <c r="O14" s="91" t="s">
        <v>56</v>
      </c>
      <c r="P14" s="91" t="s">
        <v>77</v>
      </c>
      <c r="Q14" s="91" t="s">
        <v>74</v>
      </c>
      <c r="R14"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4" s="221">
        <f>(1 - ((1 - VLOOKUP(Table4[[#This Row],[Confidentiality]],'Reference - CVSSv3.0'!$B$15:$C$17,2,FALSE)) * (1 - VLOOKUP(Table4[[#This Row],[Integrity]],'Reference - CVSSv3.0'!$B$15:$C$17,2,FALSE)) *  (1 - VLOOKUP(Table4[[#This Row],[Availability]],'Reference - CVSSv3.0'!$B$15:$C$17,2,FALSE))))</f>
        <v>0.65680000000000005</v>
      </c>
      <c r="T14" s="221">
        <f>IF(Table4[[#This Row],[Scope]]="Unchanged",6.42*Table4[[#This Row],[ISC Base]],IF(Table4[[#This Row],[Scope]]="Changed",7.52*(Table4[[#This Row],[ISC Base]] - 0.029) - 3.25 * POWER(Table4[[#This Row],[ISC Base]] - 0.02,15),NA()))</f>
        <v>4.2166560000000004</v>
      </c>
      <c r="U14" s="221">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4" s="184" t="s">
        <v>55</v>
      </c>
      <c r="W14" s="221">
        <f>VLOOKUP(Table4[[#This Row],[Threat Event Initiation]],NIST_Scale_LOAI[],2,FALSE)</f>
        <v>0.5</v>
      </c>
      <c r="X14"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4"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216"/>
      <c r="AA14" s="218"/>
      <c r="AB14" s="223"/>
      <c r="AC14" s="216"/>
      <c r="AD14" s="216"/>
      <c r="AE14" s="216"/>
      <c r="AF14" s="219"/>
      <c r="AG14" s="219"/>
      <c r="AH14" s="219"/>
      <c r="AI14" s="219"/>
      <c r="AJ14" s="224"/>
      <c r="AK14"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21" t="e">
        <f>(1 - ((1 - VLOOKUP(Table4[[#This Row],[ConfidentialityP]],'Reference - CVSSv3.0'!$B$15:$C$17,2,FALSE)) * (1 - VLOOKUP(Table4[[#This Row],[IntegrityP]],'Reference - CVSSv3.0'!$B$15:$C$17,2,FALSE)) *  (1 - VLOOKUP(Table4[[#This Row],[AvailabilityP]],'Reference - CVSSv3.0'!$B$15:$C$17,2,FALSE))))</f>
        <v>#N/A</v>
      </c>
      <c r="AM14" s="221" t="e">
        <f>IF(Table4[[#This Row],[ScopeP]]="Unchanged",6.42*Table4[[#This Row],[ISC BaseP]],IF(Table4[[#This Row],[ScopeP]]="Changed",7.52*(Table4[[#This Row],[ISC BaseP]] - 0.029) - 3.25 * POWER(Table4[[#This Row],[ISC BaseP]] - 0.02,15),NA()))</f>
        <v>#N/A</v>
      </c>
      <c r="AN14"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16"/>
    </row>
    <row r="15" spans="1:45" ht="71.25" x14ac:dyDescent="0.25">
      <c r="A15" s="215">
        <v>11</v>
      </c>
      <c r="B15" s="49" t="s">
        <v>271</v>
      </c>
      <c r="C15" s="217" t="str">
        <f>IF(VLOOKUP(Table4[[#This Row],[T ID]],Table5[#All],5,FALSE)="No","Not in scope",VLOOKUP(Table4[[#This Row],[T ID]],Table5[#All],2,FALSE))</f>
        <v>Remote exploit</v>
      </c>
      <c r="D15" s="49" t="s">
        <v>144</v>
      </c>
      <c r="E15" s="217" t="str">
        <f>IF(VLOOKUP(Table4[[#This Row],[V ID]],Vulnerabilities[#All],3,FALSE)="No","Not in scope",VLOOKUP(Table4[[#This Row],[V ID]],Vulnerabilities[#All],2,FALSE))</f>
        <v>Unpatched  OS , Application SW</v>
      </c>
      <c r="F15" s="239" t="s">
        <v>108</v>
      </c>
      <c r="G15" s="217" t="str">
        <f>VLOOKUP(Table4[[#This Row],[A ID]],Assets[#All],3,FALSE)</f>
        <v>Admin Password / Credentials / System Configuration / Certificates</v>
      </c>
      <c r="H15" s="49" t="s">
        <v>348</v>
      </c>
      <c r="I15" s="58" t="s">
        <v>377</v>
      </c>
      <c r="J15" s="91" t="s">
        <v>65</v>
      </c>
      <c r="K15" s="91" t="s">
        <v>65</v>
      </c>
      <c r="L15" s="91" t="s">
        <v>56</v>
      </c>
      <c r="M15" s="91" t="s">
        <v>78</v>
      </c>
      <c r="N15" s="91" t="s">
        <v>56</v>
      </c>
      <c r="O15" s="91" t="s">
        <v>65</v>
      </c>
      <c r="P15" s="91" t="s">
        <v>77</v>
      </c>
      <c r="Q15" s="91" t="s">
        <v>74</v>
      </c>
      <c r="R15"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21">
        <f>(1 - ((1 - VLOOKUP(Table4[[#This Row],[Confidentiality]],'Reference - CVSSv3.0'!$B$15:$C$17,2,FALSE)) * (1 - VLOOKUP(Table4[[#This Row],[Integrity]],'Reference - CVSSv3.0'!$B$15:$C$17,2,FALSE)) *  (1 - VLOOKUP(Table4[[#This Row],[Availability]],'Reference - CVSSv3.0'!$B$15:$C$17,2,FALSE))))</f>
        <v>0.84899199999999997</v>
      </c>
      <c r="T15" s="221">
        <f>IF(Table4[[#This Row],[Scope]]="Unchanged",6.42*Table4[[#This Row],[ISC Base]],IF(Table4[[#This Row],[Scope]]="Changed",7.52*(Table4[[#This Row],[ISC Base]] - 0.029) - 3.25 * POWER(Table4[[#This Row],[ISC Base]] - 0.02,15),NA()))</f>
        <v>5.4505286399999999</v>
      </c>
      <c r="U15" s="221">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5" s="184" t="s">
        <v>55</v>
      </c>
      <c r="W15" s="221">
        <f>VLOOKUP(Table4[[#This Row],[Threat Event Initiation]],NIST_Scale_LOAI[],2,FALSE)</f>
        <v>0.5</v>
      </c>
      <c r="X15"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15"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216"/>
      <c r="AA15" s="218"/>
      <c r="AB15" s="223"/>
      <c r="AC15" s="216"/>
      <c r="AD15" s="216"/>
      <c r="AE15" s="216"/>
      <c r="AF15" s="219"/>
      <c r="AG15" s="219"/>
      <c r="AH15" s="219"/>
      <c r="AI15" s="219"/>
      <c r="AJ15" s="224"/>
      <c r="AK15"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221" t="e">
        <f>(1 - ((1 - VLOOKUP(Table4[[#This Row],[ConfidentialityP]],'Reference - CVSSv3.0'!$B$15:$C$17,2,FALSE)) * (1 - VLOOKUP(Table4[[#This Row],[IntegrityP]],'Reference - CVSSv3.0'!$B$15:$C$17,2,FALSE)) *  (1 - VLOOKUP(Table4[[#This Row],[AvailabilityP]],'Reference - CVSSv3.0'!$B$15:$C$17,2,FALSE))))</f>
        <v>#N/A</v>
      </c>
      <c r="AM15" s="221" t="e">
        <f>IF(Table4[[#This Row],[ScopeP]]="Unchanged",6.42*Table4[[#This Row],[ISC BaseP]],IF(Table4[[#This Row],[ScopeP]]="Changed",7.52*(Table4[[#This Row],[ISC BaseP]] - 0.029) - 3.25 * POWER(Table4[[#This Row],[ISC BaseP]] - 0.02,15),NA()))</f>
        <v>#N/A</v>
      </c>
      <c r="AN15"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216"/>
    </row>
    <row r="16" spans="1:45" ht="42.75" x14ac:dyDescent="0.25">
      <c r="A16" s="69">
        <v>12</v>
      </c>
      <c r="B16" s="49" t="s">
        <v>275</v>
      </c>
      <c r="C16" s="217" t="str">
        <f>IF(VLOOKUP(Table4[[#This Row],[T ID]],Table5[#All],5,FALSE)="No","Not in scope",VLOOKUP(Table4[[#This Row],[T ID]],Table5[#All],2,FALSE))</f>
        <v>Improper disposal of hard disks</v>
      </c>
      <c r="D16" s="49" t="s">
        <v>323</v>
      </c>
      <c r="E16" s="217" t="str">
        <f>IF(VLOOKUP(Table4[[#This Row],[V ID]],Vulnerabilities[#All],3,FALSE)="No","Not in scope",VLOOKUP(Table4[[#This Row],[V ID]],Vulnerabilities[#All],2,FALSE))</f>
        <v>Unprotected hardware</v>
      </c>
      <c r="F16" s="239" t="s">
        <v>110</v>
      </c>
      <c r="G16" s="217" t="str">
        <f>VLOOKUP(Table4[[#This Row],[A ID]],Assets[#All],3,FALSE)</f>
        <v>Patient health information at rest</v>
      </c>
      <c r="H16" s="49" t="s">
        <v>349</v>
      </c>
      <c r="I16" s="58" t="s">
        <v>378</v>
      </c>
      <c r="J16" s="91" t="s">
        <v>65</v>
      </c>
      <c r="K16" s="91" t="s">
        <v>77</v>
      </c>
      <c r="L16" s="91" t="s">
        <v>77</v>
      </c>
      <c r="M16" s="91" t="s">
        <v>75</v>
      </c>
      <c r="N16" s="91" t="s">
        <v>56</v>
      </c>
      <c r="O16" s="91" t="s">
        <v>56</v>
      </c>
      <c r="P16" s="91" t="s">
        <v>77</v>
      </c>
      <c r="Q16" s="91" t="s">
        <v>74</v>
      </c>
      <c r="R16"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6" s="221">
        <f>(1 - ((1 - VLOOKUP(Table4[[#This Row],[Confidentiality]],'Reference - CVSSv3.0'!$B$15:$C$17,2,FALSE)) * (1 - VLOOKUP(Table4[[#This Row],[Integrity]],'Reference - CVSSv3.0'!$B$15:$C$17,2,FALSE)) *  (1 - VLOOKUP(Table4[[#This Row],[Availability]],'Reference - CVSSv3.0'!$B$15:$C$17,2,FALSE))))</f>
        <v>0.56000000000000005</v>
      </c>
      <c r="T16" s="221">
        <f>IF(Table4[[#This Row],[Scope]]="Unchanged",6.42*Table4[[#This Row],[ISC Base]],IF(Table4[[#This Row],[Scope]]="Changed",7.52*(Table4[[#This Row],[ISC Base]] - 0.029) - 3.25 * POWER(Table4[[#This Row],[ISC Base]] - 0.02,15),NA()))</f>
        <v>3.5952000000000002</v>
      </c>
      <c r="U16" s="221">
        <f>IF(Table4[[#This Row],[Impact Sub Score]]&lt;=0,0,IF(Table4[[#This Row],[Scope]]="Unchanged",ROUNDUP(MIN((Table4[[#This Row],[Impact Sub Score]]+Table4[[#This Row],[Exploitability Sub Score]]),10),1),IF(Table4[[#This Row],[Scope]]="Changed",ROUNDUP(MIN((1.08*(Table4[[#This Row],[Impact Sub Score]]+Table4[[#This Row],[Exploitability Sub Score]])),10),1),NA())))</f>
        <v>4.3</v>
      </c>
      <c r="V16" s="184" t="s">
        <v>56</v>
      </c>
      <c r="W16" s="221">
        <f>VLOOKUP(Table4[[#This Row],[Threat Event Initiation]],NIST_Scale_LOAI[],2,FALSE)</f>
        <v>0.2</v>
      </c>
      <c r="X16"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16"/>
      <c r="AA16" s="218"/>
      <c r="AB16" s="223"/>
      <c r="AC16" s="216"/>
      <c r="AD16" s="216"/>
      <c r="AE16" s="216"/>
      <c r="AF16" s="219"/>
      <c r="AG16" s="219"/>
      <c r="AH16" s="219"/>
      <c r="AI16" s="219"/>
      <c r="AJ16" s="224"/>
      <c r="AK16"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21" t="e">
        <f>(1 - ((1 - VLOOKUP(Table4[[#This Row],[ConfidentialityP]],'Reference - CVSSv3.0'!$B$15:$C$17,2,FALSE)) * (1 - VLOOKUP(Table4[[#This Row],[IntegrityP]],'Reference - CVSSv3.0'!$B$15:$C$17,2,FALSE)) *  (1 - VLOOKUP(Table4[[#This Row],[AvailabilityP]],'Reference - CVSSv3.0'!$B$15:$C$17,2,FALSE))))</f>
        <v>#N/A</v>
      </c>
      <c r="AM16" s="221" t="e">
        <f>IF(Table4[[#This Row],[ScopeP]]="Unchanged",6.42*Table4[[#This Row],[ISC BaseP]],IF(Table4[[#This Row],[ScopeP]]="Changed",7.52*(Table4[[#This Row],[ISC BaseP]] - 0.029) - 3.25 * POWER(Table4[[#This Row],[ISC BaseP]] - 0.02,15),NA()))</f>
        <v>#N/A</v>
      </c>
      <c r="AN16"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16"/>
    </row>
    <row r="17" spans="1:43" ht="42.75" x14ac:dyDescent="0.25">
      <c r="A17" s="70">
        <v>13</v>
      </c>
      <c r="B17" s="49" t="s">
        <v>252</v>
      </c>
      <c r="C17" s="89" t="str">
        <f>IF(VLOOKUP(Table4[[#This Row],[T ID]],Table5[#All],5,FALSE)="No","Not in scope",VLOOKUP(Table4[[#This Row],[T ID]],Table5[#All],2,FALSE))</f>
        <v>Theft of system or hard drives</v>
      </c>
      <c r="D17" s="49" t="s">
        <v>323</v>
      </c>
      <c r="E17" s="89" t="str">
        <f>IF(VLOOKUP(Table4[[#This Row],[V ID]],Vulnerabilities[#All],3,FALSE)="No","Not in scope",VLOOKUP(Table4[[#This Row],[V ID]],Vulnerabilities[#All],2,FALSE))</f>
        <v>Unprotected hardware</v>
      </c>
      <c r="F17" s="239" t="s">
        <v>107</v>
      </c>
      <c r="G17" s="90" t="str">
        <f>VLOOKUP(Table4[[#This Row],[A ID]],Assets[#All],3,FALSE)</f>
        <v>System resources</v>
      </c>
      <c r="H17" s="49" t="s">
        <v>350</v>
      </c>
      <c r="I17" s="58" t="s">
        <v>378</v>
      </c>
      <c r="J17" s="91" t="s">
        <v>65</v>
      </c>
      <c r="K17" s="91" t="s">
        <v>358</v>
      </c>
      <c r="L17" s="91" t="s">
        <v>65</v>
      </c>
      <c r="M17" s="91" t="s">
        <v>75</v>
      </c>
      <c r="N17" s="91" t="s">
        <v>359</v>
      </c>
      <c r="O17" s="91" t="s">
        <v>359</v>
      </c>
      <c r="P17" s="91" t="s">
        <v>358</v>
      </c>
      <c r="Q17" s="91" t="s">
        <v>360</v>
      </c>
      <c r="R17" s="164">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7" s="164">
        <f>(1 - ((1 - VLOOKUP(Table4[[#This Row],[Confidentiality]],'Reference - CVSSv3.0'!$B$15:$C$17,2,FALSE)) * (1 - VLOOKUP(Table4[[#This Row],[Integrity]],'Reference - CVSSv3.0'!$B$15:$C$17,2,FALSE)) *  (1 - VLOOKUP(Table4[[#This Row],[Availability]],'Reference - CVSSv3.0'!$B$15:$C$17,2,FALSE))))</f>
        <v>0.80640000000000001</v>
      </c>
      <c r="T17" s="164">
        <f>IF(Table4[[#This Row],[Scope]]="Unchanged",6.42*Table4[[#This Row],[ISC Base]],IF(Table4[[#This Row],[Scope]]="Changed",7.52*(Table4[[#This Row],[ISC Base]] - 0.029) - 3.25 * POWER(Table4[[#This Row],[ISC Base]] - 0.02,15),NA()))</f>
        <v>5.1770880000000004</v>
      </c>
      <c r="U17" s="164">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7" s="184" t="s">
        <v>56</v>
      </c>
      <c r="W17" s="185">
        <f>VLOOKUP(Table4[[#This Row],[Threat Event Initiation]],NIST_Scale_LOAI[],2,FALSE)</f>
        <v>0.2</v>
      </c>
      <c r="X17" s="16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7" s="9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58" t="s">
        <v>156</v>
      </c>
      <c r="AA17" s="49" t="s">
        <v>157</v>
      </c>
      <c r="AB17" s="92" t="s">
        <v>175</v>
      </c>
      <c r="AC17" s="91" t="s">
        <v>56</v>
      </c>
      <c r="AD17" s="91" t="s">
        <v>77</v>
      </c>
      <c r="AE17" s="91" t="s">
        <v>77</v>
      </c>
      <c r="AF17" s="160" t="s">
        <v>78</v>
      </c>
      <c r="AG17" s="160" t="s">
        <v>65</v>
      </c>
      <c r="AH17" s="160" t="s">
        <v>77</v>
      </c>
      <c r="AI17" s="160" t="s">
        <v>77</v>
      </c>
      <c r="AJ17" s="160" t="s">
        <v>74</v>
      </c>
      <c r="AK17" s="164">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L17" s="164">
        <f>(1 - ((1 - VLOOKUP(Table4[[#This Row],[ConfidentialityP]],'Reference - CVSSv3.0'!$B$15:$C$17,2,FALSE)) * (1 - VLOOKUP(Table4[[#This Row],[IntegrityP]],'Reference - CVSSv3.0'!$B$15:$C$17,2,FALSE)) *  (1 - VLOOKUP(Table4[[#This Row],[AvailabilityP]],'Reference - CVSSv3.0'!$B$15:$C$17,2,FALSE))))</f>
        <v>0.21999999999999997</v>
      </c>
      <c r="AM17" s="164">
        <f>IF(Table4[[#This Row],[ScopeP]]="Unchanged",6.42*Table4[[#This Row],[ISC BaseP]],IF(Table4[[#This Row],[ScopeP]]="Changed",7.52*(Table4[[#This Row],[ISC BaseP]] - 0.029) - 3.25 * POWER(Table4[[#This Row],[ISC BaseP]] - 0.02,15),NA()))</f>
        <v>1.4123999999999999</v>
      </c>
      <c r="AN17" s="164">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17" s="164">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17" s="9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17" s="58"/>
    </row>
    <row r="18" spans="1:43" ht="42.75" x14ac:dyDescent="0.25">
      <c r="A18" s="215">
        <v>14</v>
      </c>
      <c r="B18" s="49" t="s">
        <v>255</v>
      </c>
      <c r="C18" s="217" t="str">
        <f>IF(VLOOKUP(Table4[[#This Row],[T ID]],Table5[#All],5,FALSE)="No","Not in scope",VLOOKUP(Table4[[#This Row],[T ID]],Table5[#All],2,FALSE))</f>
        <v>Data theft via physical media</v>
      </c>
      <c r="D18" s="49" t="s">
        <v>146</v>
      </c>
      <c r="E18" s="217" t="str">
        <f>IF(VLOOKUP(Table4[[#This Row],[V ID]],Vulnerabilities[#All],3,FALSE)="No","Not in scope",VLOOKUP(Table4[[#This Row],[V ID]],Vulnerabilities[#All],2,FALSE))</f>
        <v>Unprotected external USB Port</v>
      </c>
      <c r="F18" s="239" t="s">
        <v>110</v>
      </c>
      <c r="G18" s="217" t="str">
        <f>VLOOKUP(Table4[[#This Row],[A ID]],Assets[#All],3,FALSE)</f>
        <v>Patient health information at rest</v>
      </c>
      <c r="H18" s="49" t="s">
        <v>351</v>
      </c>
      <c r="I18" s="58" t="s">
        <v>378</v>
      </c>
      <c r="J18" s="91" t="s">
        <v>65</v>
      </c>
      <c r="K18" s="91" t="s">
        <v>358</v>
      </c>
      <c r="L18" s="91" t="s">
        <v>358</v>
      </c>
      <c r="M18" s="91" t="s">
        <v>75</v>
      </c>
      <c r="N18" s="91" t="s">
        <v>359</v>
      </c>
      <c r="O18" s="91" t="s">
        <v>359</v>
      </c>
      <c r="P18" s="91" t="s">
        <v>358</v>
      </c>
      <c r="Q18" s="91" t="s">
        <v>360</v>
      </c>
      <c r="R18"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8" s="221">
        <f>(1 - ((1 - VLOOKUP(Table4[[#This Row],[Confidentiality]],'Reference - CVSSv3.0'!$B$15:$C$17,2,FALSE)) * (1 - VLOOKUP(Table4[[#This Row],[Integrity]],'Reference - CVSSv3.0'!$B$15:$C$17,2,FALSE)) *  (1 - VLOOKUP(Table4[[#This Row],[Availability]],'Reference - CVSSv3.0'!$B$15:$C$17,2,FALSE))))</f>
        <v>0.56000000000000005</v>
      </c>
      <c r="T18" s="221">
        <f>IF(Table4[[#This Row],[Scope]]="Unchanged",6.42*Table4[[#This Row],[ISC Base]],IF(Table4[[#This Row],[Scope]]="Changed",7.52*(Table4[[#This Row],[ISC Base]] - 0.029) - 3.25 * POWER(Table4[[#This Row],[ISC Base]] - 0.02,15),NA()))</f>
        <v>3.5952000000000002</v>
      </c>
      <c r="U18" s="221">
        <f>IF(Table4[[#This Row],[Impact Sub Score]]&lt;=0,0,IF(Table4[[#This Row],[Scope]]="Unchanged",ROUNDUP(MIN((Table4[[#This Row],[Impact Sub Score]]+Table4[[#This Row],[Exploitability Sub Score]]),10),1),IF(Table4[[#This Row],[Scope]]="Changed",ROUNDUP(MIN((1.08*(Table4[[#This Row],[Impact Sub Score]]+Table4[[#This Row],[Exploitability Sub Score]])),10),1),NA())))</f>
        <v>4.3</v>
      </c>
      <c r="V18" s="184" t="s">
        <v>56</v>
      </c>
      <c r="W18" s="221">
        <f>VLOOKUP(Table4[[#This Row],[Threat Event Initiation]],NIST_Scale_LOAI[],2,FALSE)</f>
        <v>0.2</v>
      </c>
      <c r="X18"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8"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16"/>
      <c r="AA18" s="218"/>
      <c r="AB18" s="223"/>
      <c r="AC18" s="216"/>
      <c r="AD18" s="216"/>
      <c r="AE18" s="216"/>
      <c r="AF18" s="219"/>
      <c r="AG18" s="219"/>
      <c r="AH18" s="219"/>
      <c r="AI18" s="219"/>
      <c r="AJ18" s="224"/>
      <c r="AK18"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21" t="e">
        <f>(1 - ((1 - VLOOKUP(Table4[[#This Row],[ConfidentialityP]],'Reference - CVSSv3.0'!$B$15:$C$17,2,FALSE)) * (1 - VLOOKUP(Table4[[#This Row],[IntegrityP]],'Reference - CVSSv3.0'!$B$15:$C$17,2,FALSE)) *  (1 - VLOOKUP(Table4[[#This Row],[AvailabilityP]],'Reference - CVSSv3.0'!$B$15:$C$17,2,FALSE))))</f>
        <v>#N/A</v>
      </c>
      <c r="AM18" s="221" t="e">
        <f>IF(Table4[[#This Row],[ScopeP]]="Unchanged",6.42*Table4[[#This Row],[ISC BaseP]],IF(Table4[[#This Row],[ScopeP]]="Changed",7.52*(Table4[[#This Row],[ISC BaseP]] - 0.029) - 3.25 * POWER(Table4[[#This Row],[ISC BaseP]] - 0.02,15),NA()))</f>
        <v>#N/A</v>
      </c>
      <c r="AN18"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16"/>
    </row>
    <row r="19" spans="1:43" ht="114" x14ac:dyDescent="0.25">
      <c r="A19" s="69">
        <v>15</v>
      </c>
      <c r="B19" s="49" t="s">
        <v>286</v>
      </c>
      <c r="C19" s="217" t="str">
        <f>IF(VLOOKUP(Table4[[#This Row],[T ID]],Table5[#All],5,FALSE)="No","Not in scope",VLOOKUP(Table4[[#This Row],[T ID]],Table5[#All],2,FALSE))</f>
        <v>Physical Manipulation of Hardware</v>
      </c>
      <c r="D19" s="49" t="s">
        <v>323</v>
      </c>
      <c r="E19" s="217" t="str">
        <f>IF(VLOOKUP(Table4[[#This Row],[V ID]],Vulnerabilities[#All],3,FALSE)="No","Not in scope",VLOOKUP(Table4[[#This Row],[V ID]],Vulnerabilities[#All],2,FALSE))</f>
        <v>Unprotected hardware</v>
      </c>
      <c r="F19" s="239" t="s">
        <v>108</v>
      </c>
      <c r="G19" s="217" t="str">
        <f>VLOOKUP(Table4[[#This Row],[A ID]],Assets[#All],3,FALSE)</f>
        <v>Admin Password / Credentials / System Configuration / Certificates</v>
      </c>
      <c r="H19" s="49" t="s">
        <v>352</v>
      </c>
      <c r="I19" s="58" t="s">
        <v>379</v>
      </c>
      <c r="J19" s="91" t="s">
        <v>56</v>
      </c>
      <c r="K19" s="91" t="s">
        <v>65</v>
      </c>
      <c r="L19" s="91" t="s">
        <v>358</v>
      </c>
      <c r="M19" s="91" t="s">
        <v>75</v>
      </c>
      <c r="N19" s="91" t="s">
        <v>56</v>
      </c>
      <c r="O19" s="91" t="s">
        <v>65</v>
      </c>
      <c r="P19" s="91" t="s">
        <v>358</v>
      </c>
      <c r="Q19" s="91" t="s">
        <v>74</v>
      </c>
      <c r="R19"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19" s="221">
        <f>(1 - ((1 - VLOOKUP(Table4[[#This Row],[Confidentiality]],'Reference - CVSSv3.0'!$B$15:$C$17,2,FALSE)) * (1 - VLOOKUP(Table4[[#This Row],[Integrity]],'Reference - CVSSv3.0'!$B$15:$C$17,2,FALSE)) *  (1 - VLOOKUP(Table4[[#This Row],[Availability]],'Reference - CVSSv3.0'!$B$15:$C$17,2,FALSE))))</f>
        <v>0.65680000000000005</v>
      </c>
      <c r="T19" s="221">
        <f>IF(Table4[[#This Row],[Scope]]="Unchanged",6.42*Table4[[#This Row],[ISC Base]],IF(Table4[[#This Row],[Scope]]="Changed",7.52*(Table4[[#This Row],[ISC Base]] - 0.029) - 3.25 * POWER(Table4[[#This Row],[ISC Base]] - 0.02,15),NA()))</f>
        <v>4.2166560000000004</v>
      </c>
      <c r="U19" s="22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19" s="184" t="s">
        <v>56</v>
      </c>
      <c r="W19" s="221">
        <f>VLOOKUP(Table4[[#This Row],[Threat Event Initiation]],NIST_Scale_LOAI[],2,FALSE)</f>
        <v>0.2</v>
      </c>
      <c r="X19"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9"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16"/>
      <c r="AA19" s="218"/>
      <c r="AB19" s="223"/>
      <c r="AC19" s="216"/>
      <c r="AD19" s="216"/>
      <c r="AE19" s="216"/>
      <c r="AF19" s="219"/>
      <c r="AG19" s="219"/>
      <c r="AH19" s="219"/>
      <c r="AI19" s="219"/>
      <c r="AJ19" s="224"/>
      <c r="AK19"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21" t="e">
        <f>(1 - ((1 - VLOOKUP(Table4[[#This Row],[ConfidentialityP]],'Reference - CVSSv3.0'!$B$15:$C$17,2,FALSE)) * (1 - VLOOKUP(Table4[[#This Row],[IntegrityP]],'Reference - CVSSv3.0'!$B$15:$C$17,2,FALSE)) *  (1 - VLOOKUP(Table4[[#This Row],[AvailabilityP]],'Reference - CVSSv3.0'!$B$15:$C$17,2,FALSE))))</f>
        <v>#N/A</v>
      </c>
      <c r="AM19" s="221" t="e">
        <f>IF(Table4[[#This Row],[ScopeP]]="Unchanged",6.42*Table4[[#This Row],[ISC BaseP]],IF(Table4[[#This Row],[ScopeP]]="Changed",7.52*(Table4[[#This Row],[ISC BaseP]] - 0.029) - 3.25 * POWER(Table4[[#This Row],[ISC BaseP]] - 0.02,15),NA()))</f>
        <v>#N/A</v>
      </c>
      <c r="AN19"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16"/>
    </row>
    <row r="20" spans="1:43" ht="71.25" x14ac:dyDescent="0.25">
      <c r="A20" s="70">
        <v>16</v>
      </c>
      <c r="B20" s="49" t="s">
        <v>304</v>
      </c>
      <c r="C20" s="217" t="str">
        <f>IF(VLOOKUP(Table4[[#This Row],[T ID]],Table5[#All],5,FALSE)="No","Not in scope",VLOOKUP(Table4[[#This Row],[T ID]],Table5[#All],2,FALSE))</f>
        <v>Power Failure at primary facility</v>
      </c>
      <c r="D20" s="49" t="s">
        <v>323</v>
      </c>
      <c r="E20" s="217" t="str">
        <f>IF(VLOOKUP(Table4[[#This Row],[V ID]],Vulnerabilities[#All],3,FALSE)="No","Not in scope",VLOOKUP(Table4[[#This Row],[V ID]],Vulnerabilities[#All],2,FALSE))</f>
        <v>Unprotected hardware</v>
      </c>
      <c r="F20" s="239" t="s">
        <v>107</v>
      </c>
      <c r="G20" s="217" t="str">
        <f>VLOOKUP(Table4[[#This Row],[A ID]],Assets[#All],3,FALSE)</f>
        <v>System resources</v>
      </c>
      <c r="H20" s="49" t="s">
        <v>353</v>
      </c>
      <c r="I20" s="58" t="s">
        <v>377</v>
      </c>
      <c r="J20" s="91" t="s">
        <v>77</v>
      </c>
      <c r="K20" s="91" t="s">
        <v>77</v>
      </c>
      <c r="L20" s="91" t="s">
        <v>65</v>
      </c>
      <c r="M20" s="91" t="s">
        <v>79</v>
      </c>
      <c r="N20" s="91" t="s">
        <v>56</v>
      </c>
      <c r="O20" s="91" t="s">
        <v>77</v>
      </c>
      <c r="P20" s="91" t="s">
        <v>77</v>
      </c>
      <c r="Q20" s="91" t="s">
        <v>74</v>
      </c>
      <c r="R20"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0" s="221">
        <f>(1 - ((1 - VLOOKUP(Table4[[#This Row],[Confidentiality]],'Reference - CVSSv3.0'!$B$15:$C$17,2,FALSE)) * (1 - VLOOKUP(Table4[[#This Row],[Integrity]],'Reference - CVSSv3.0'!$B$15:$C$17,2,FALSE)) *  (1 - VLOOKUP(Table4[[#This Row],[Availability]],'Reference - CVSSv3.0'!$B$15:$C$17,2,FALSE))))</f>
        <v>0.56000000000000005</v>
      </c>
      <c r="T20" s="221">
        <f>IF(Table4[[#This Row],[Scope]]="Unchanged",6.42*Table4[[#This Row],[ISC Base]],IF(Table4[[#This Row],[Scope]]="Changed",7.52*(Table4[[#This Row],[ISC Base]] - 0.029) - 3.25 * POWER(Table4[[#This Row],[ISC Base]] - 0.02,15),NA()))</f>
        <v>3.5952000000000002</v>
      </c>
      <c r="U20" s="221">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0" s="184" t="s">
        <v>49</v>
      </c>
      <c r="W20" s="221">
        <f>VLOOKUP(Table4[[#This Row],[Threat Event Initiation]],NIST_Scale_LOAI[],2,FALSE)</f>
        <v>0.04</v>
      </c>
      <c r="X20"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0"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16"/>
      <c r="AA20" s="218"/>
      <c r="AB20" s="223"/>
      <c r="AC20" s="216"/>
      <c r="AD20" s="216"/>
      <c r="AE20" s="216"/>
      <c r="AF20" s="219"/>
      <c r="AG20" s="219"/>
      <c r="AH20" s="219"/>
      <c r="AI20" s="219"/>
      <c r="AJ20" s="224"/>
      <c r="AK20"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21" t="e">
        <f>(1 - ((1 - VLOOKUP(Table4[[#This Row],[ConfidentialityP]],'Reference - CVSSv3.0'!$B$15:$C$17,2,FALSE)) * (1 - VLOOKUP(Table4[[#This Row],[IntegrityP]],'Reference - CVSSv3.0'!$B$15:$C$17,2,FALSE)) *  (1 - VLOOKUP(Table4[[#This Row],[AvailabilityP]],'Reference - CVSSv3.0'!$B$15:$C$17,2,FALSE))))</f>
        <v>#N/A</v>
      </c>
      <c r="AM20" s="221" t="e">
        <f>IF(Table4[[#This Row],[ScopeP]]="Unchanged",6.42*Table4[[#This Row],[ISC BaseP]],IF(Table4[[#This Row],[ScopeP]]="Changed",7.52*(Table4[[#This Row],[ISC BaseP]] - 0.029) - 3.25 * POWER(Table4[[#This Row],[ISC BaseP]] - 0.02,15),NA()))</f>
        <v>#N/A</v>
      </c>
      <c r="AN20"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16"/>
    </row>
    <row r="21" spans="1:43" ht="114" x14ac:dyDescent="0.25">
      <c r="A21" s="215">
        <v>17</v>
      </c>
      <c r="B21" s="49" t="s">
        <v>290</v>
      </c>
      <c r="C21" s="217" t="str">
        <f>IF(VLOOKUP(Table4[[#This Row],[T ID]],Table5[#All],5,FALSE)="No","Not in scope",VLOOKUP(Table4[[#This Row],[T ID]],Table5[#All],2,FALSE))</f>
        <v>Gather information using open source discovery of organizational information</v>
      </c>
      <c r="D21" s="49" t="s">
        <v>145</v>
      </c>
      <c r="E21" s="217" t="str">
        <f>IF(VLOOKUP(Table4[[#This Row],[V ID]],Vulnerabilities[#All],3,FALSE)="No","Not in scope",VLOOKUP(Table4[[#This Row],[V ID]],Vulnerabilities[#All],2,FALSE))</f>
        <v>Unprotected network port</v>
      </c>
      <c r="F21" s="239" t="s">
        <v>107</v>
      </c>
      <c r="G21" s="217" t="str">
        <f>VLOOKUP(Table4[[#This Row],[A ID]],Assets[#All],3,FALSE)</f>
        <v>System resources</v>
      </c>
      <c r="H21" s="49" t="s">
        <v>354</v>
      </c>
      <c r="I21" s="58" t="s">
        <v>374</v>
      </c>
      <c r="J21" s="91" t="s">
        <v>56</v>
      </c>
      <c r="K21" s="91" t="s">
        <v>56</v>
      </c>
      <c r="L21" s="91" t="s">
        <v>65</v>
      </c>
      <c r="M21" s="91" t="s">
        <v>78</v>
      </c>
      <c r="N21" s="91" t="s">
        <v>65</v>
      </c>
      <c r="O21" s="91" t="s">
        <v>56</v>
      </c>
      <c r="P21" s="91" t="s">
        <v>77</v>
      </c>
      <c r="Q21" s="91" t="s">
        <v>74</v>
      </c>
      <c r="R21"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1" s="221">
        <f>(1 - ((1 - VLOOKUP(Table4[[#This Row],[Confidentiality]],'Reference - CVSSv3.0'!$B$15:$C$17,2,FALSE)) * (1 - VLOOKUP(Table4[[#This Row],[Integrity]],'Reference - CVSSv3.0'!$B$15:$C$17,2,FALSE)) *  (1 - VLOOKUP(Table4[[#This Row],[Availability]],'Reference - CVSSv3.0'!$B$15:$C$17,2,FALSE))))</f>
        <v>0.73230400000000007</v>
      </c>
      <c r="T21" s="221">
        <f>IF(Table4[[#This Row],[Scope]]="Unchanged",6.42*Table4[[#This Row],[ISC Base]],IF(Table4[[#This Row],[Scope]]="Changed",7.52*(Table4[[#This Row],[ISC Base]] - 0.029) - 3.25 * POWER(Table4[[#This Row],[ISC Base]] - 0.02,15),NA()))</f>
        <v>4.7013916800000004</v>
      </c>
      <c r="U21" s="221">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1" s="184" t="s">
        <v>56</v>
      </c>
      <c r="W21" s="221">
        <f>VLOOKUP(Table4[[#This Row],[Threat Event Initiation]],NIST_Scale_LOAI[],2,FALSE)</f>
        <v>0.2</v>
      </c>
      <c r="X21"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1"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216"/>
      <c r="AA21" s="218"/>
      <c r="AB21" s="223"/>
      <c r="AC21" s="216"/>
      <c r="AD21" s="216"/>
      <c r="AE21" s="216"/>
      <c r="AF21" s="219"/>
      <c r="AG21" s="219"/>
      <c r="AH21" s="219"/>
      <c r="AI21" s="219"/>
      <c r="AJ21" s="224"/>
      <c r="AK21"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21" t="e">
        <f>(1 - ((1 - VLOOKUP(Table4[[#This Row],[ConfidentialityP]],'Reference - CVSSv3.0'!$B$15:$C$17,2,FALSE)) * (1 - VLOOKUP(Table4[[#This Row],[IntegrityP]],'Reference - CVSSv3.0'!$B$15:$C$17,2,FALSE)) *  (1 - VLOOKUP(Table4[[#This Row],[AvailabilityP]],'Reference - CVSSv3.0'!$B$15:$C$17,2,FALSE))))</f>
        <v>#N/A</v>
      </c>
      <c r="AM21" s="221" t="e">
        <f>IF(Table4[[#This Row],[ScopeP]]="Unchanged",6.42*Table4[[#This Row],[ISC BaseP]],IF(Table4[[#This Row],[ScopeP]]="Changed",7.52*(Table4[[#This Row],[ISC BaseP]] - 0.029) - 3.25 * POWER(Table4[[#This Row],[ISC BaseP]] - 0.02,15),NA()))</f>
        <v>#N/A</v>
      </c>
      <c r="AN21"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16"/>
    </row>
    <row r="22" spans="1:43" ht="71.25" x14ac:dyDescent="0.25">
      <c r="A22" s="69">
        <v>18</v>
      </c>
      <c r="B22" s="49" t="s">
        <v>119</v>
      </c>
      <c r="C22" s="217" t="str">
        <f>IF(VLOOKUP(Table4[[#This Row],[T ID]],Table5[#All],5,FALSE)="No","Not in scope",VLOOKUP(Table4[[#This Row],[T ID]],Table5[#All],2,FALSE))</f>
        <v>Deliver undirected malware</v>
      </c>
      <c r="D22" s="49" t="s">
        <v>329</v>
      </c>
      <c r="E22" s="217" t="str">
        <f>IF(VLOOKUP(Table4[[#This Row],[V ID]],Vulnerabilities[#All],3,FALSE)="No","Not in scope",VLOOKUP(Table4[[#This Row],[V ID]],Vulnerabilities[#All],2,FALSE))</f>
        <v>Developed code not validated using static/Dynamic Tools</v>
      </c>
      <c r="F22" s="239" t="s">
        <v>107</v>
      </c>
      <c r="G22" s="217" t="str">
        <f>VLOOKUP(Table4[[#This Row],[A ID]],Assets[#All],3,FALSE)</f>
        <v>System resources</v>
      </c>
      <c r="H22" s="49" t="s">
        <v>355</v>
      </c>
      <c r="I22" s="58" t="s">
        <v>374</v>
      </c>
      <c r="J22" s="91" t="s">
        <v>56</v>
      </c>
      <c r="K22" s="91" t="s">
        <v>56</v>
      </c>
      <c r="L22" s="91" t="s">
        <v>65</v>
      </c>
      <c r="M22" s="91" t="s">
        <v>79</v>
      </c>
      <c r="N22" s="91" t="s">
        <v>56</v>
      </c>
      <c r="O22" s="91" t="s">
        <v>56</v>
      </c>
      <c r="P22" s="91" t="s">
        <v>76</v>
      </c>
      <c r="Q22" s="91" t="s">
        <v>74</v>
      </c>
      <c r="R22"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2" s="221">
        <f>(1 - ((1 - VLOOKUP(Table4[[#This Row],[Confidentiality]],'Reference - CVSSv3.0'!$B$15:$C$17,2,FALSE)) * (1 - VLOOKUP(Table4[[#This Row],[Integrity]],'Reference - CVSSv3.0'!$B$15:$C$17,2,FALSE)) *  (1 - VLOOKUP(Table4[[#This Row],[Availability]],'Reference - CVSSv3.0'!$B$15:$C$17,2,FALSE))))</f>
        <v>0.73230400000000007</v>
      </c>
      <c r="T22" s="221">
        <f>IF(Table4[[#This Row],[Scope]]="Unchanged",6.42*Table4[[#This Row],[ISC Base]],IF(Table4[[#This Row],[Scope]]="Changed",7.52*(Table4[[#This Row],[ISC Base]] - 0.029) - 3.25 * POWER(Table4[[#This Row],[ISC Base]] - 0.02,15),NA()))</f>
        <v>4.7013916800000004</v>
      </c>
      <c r="U22" s="221">
        <f>IF(Table4[[#This Row],[Impact Sub Score]]&lt;=0,0,IF(Table4[[#This Row],[Scope]]="Unchanged",ROUNDUP(MIN((Table4[[#This Row],[Impact Sub Score]]+Table4[[#This Row],[Exploitability Sub Score]]),10),1),IF(Table4[[#This Row],[Scope]]="Changed",ROUNDUP(MIN((1.08*(Table4[[#This Row],[Impact Sub Score]]+Table4[[#This Row],[Exploitability Sub Score]])),10),1),NA())))</f>
        <v>6.1</v>
      </c>
      <c r="V22" s="184" t="s">
        <v>49</v>
      </c>
      <c r="W22" s="221">
        <f>VLOOKUP(Table4[[#This Row],[Threat Event Initiation]],NIST_Scale_LOAI[],2,FALSE)</f>
        <v>0.04</v>
      </c>
      <c r="X22"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22"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16"/>
      <c r="AA22" s="218"/>
      <c r="AB22" s="223"/>
      <c r="AC22" s="216"/>
      <c r="AD22" s="216"/>
      <c r="AE22" s="216"/>
      <c r="AF22" s="219"/>
      <c r="AG22" s="219"/>
      <c r="AH22" s="219"/>
      <c r="AI22" s="219"/>
      <c r="AJ22" s="224"/>
      <c r="AK22"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21" t="e">
        <f>(1 - ((1 - VLOOKUP(Table4[[#This Row],[ConfidentialityP]],'Reference - CVSSv3.0'!$B$15:$C$17,2,FALSE)) * (1 - VLOOKUP(Table4[[#This Row],[IntegrityP]],'Reference - CVSSv3.0'!$B$15:$C$17,2,FALSE)) *  (1 - VLOOKUP(Table4[[#This Row],[AvailabilityP]],'Reference - CVSSv3.0'!$B$15:$C$17,2,FALSE))))</f>
        <v>#N/A</v>
      </c>
      <c r="AM22" s="221" t="e">
        <f>IF(Table4[[#This Row],[ScopeP]]="Unchanged",6.42*Table4[[#This Row],[ISC BaseP]],IF(Table4[[#This Row],[ScopeP]]="Changed",7.52*(Table4[[#This Row],[ISC BaseP]] - 0.029) - 3.25 * POWER(Table4[[#This Row],[ISC BaseP]] - 0.02,15),NA()))</f>
        <v>#N/A</v>
      </c>
      <c r="AN22"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16"/>
    </row>
    <row r="23" spans="1:43" ht="85.5" x14ac:dyDescent="0.25">
      <c r="A23" s="70">
        <v>19</v>
      </c>
      <c r="B23" s="49" t="s">
        <v>123</v>
      </c>
      <c r="C23" s="217" t="str">
        <f>IF(VLOOKUP(Table4[[#This Row],[T ID]],Table5[#All],5,FALSE)="No","Not in scope",VLOOKUP(Table4[[#This Row],[T ID]],Table5[#All],2,FALSE))</f>
        <v xml:space="preserve">Conduct scavenging of ePHI at rest </v>
      </c>
      <c r="D23" s="49" t="s">
        <v>325</v>
      </c>
      <c r="E23" s="217" t="str">
        <f>IF(VLOOKUP(Table4[[#This Row],[V ID]],Vulnerabilities[#All],3,FALSE)="No","Not in scope",VLOOKUP(Table4[[#This Row],[V ID]],Vulnerabilities[#All],2,FALSE))</f>
        <v>Insecure Boot / Boot for external media</v>
      </c>
      <c r="F23" s="239" t="s">
        <v>110</v>
      </c>
      <c r="G23" s="217" t="str">
        <f>VLOOKUP(Table4[[#This Row],[A ID]],Assets[#All],3,FALSE)</f>
        <v>Patient health information at rest</v>
      </c>
      <c r="H23" s="49" t="s">
        <v>332</v>
      </c>
      <c r="I23" s="58" t="s">
        <v>379</v>
      </c>
      <c r="J23" s="91" t="s">
        <v>65</v>
      </c>
      <c r="K23" s="91" t="s">
        <v>56</v>
      </c>
      <c r="L23" s="91" t="s">
        <v>56</v>
      </c>
      <c r="M23" s="91" t="s">
        <v>79</v>
      </c>
      <c r="N23" s="91" t="s">
        <v>56</v>
      </c>
      <c r="O23" s="91" t="s">
        <v>56</v>
      </c>
      <c r="P23" s="91" t="s">
        <v>77</v>
      </c>
      <c r="Q23" s="91" t="s">
        <v>74</v>
      </c>
      <c r="R23"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3" s="221">
        <f>(1 - ((1 - VLOOKUP(Table4[[#This Row],[Confidentiality]],'Reference - CVSSv3.0'!$B$15:$C$17,2,FALSE)) * (1 - VLOOKUP(Table4[[#This Row],[Integrity]],'Reference - CVSSv3.0'!$B$15:$C$17,2,FALSE)) *  (1 - VLOOKUP(Table4[[#This Row],[Availability]],'Reference - CVSSv3.0'!$B$15:$C$17,2,FALSE))))</f>
        <v>0.73230400000000007</v>
      </c>
      <c r="T23" s="221">
        <f>IF(Table4[[#This Row],[Scope]]="Unchanged",6.42*Table4[[#This Row],[ISC Base]],IF(Table4[[#This Row],[Scope]]="Changed",7.52*(Table4[[#This Row],[ISC Base]] - 0.029) - 3.25 * POWER(Table4[[#This Row],[ISC Base]] - 0.02,15),NA()))</f>
        <v>4.7013916800000004</v>
      </c>
      <c r="U23" s="221">
        <f>IF(Table4[[#This Row],[Impact Sub Score]]&lt;=0,0,IF(Table4[[#This Row],[Scope]]="Unchanged",ROUNDUP(MIN((Table4[[#This Row],[Impact Sub Score]]+Table4[[#This Row],[Exploitability Sub Score]]),10),1),IF(Table4[[#This Row],[Scope]]="Changed",ROUNDUP(MIN((1.08*(Table4[[#This Row],[Impact Sub Score]]+Table4[[#This Row],[Exploitability Sub Score]])),10),1),NA())))</f>
        <v>6.6</v>
      </c>
      <c r="V23" s="184" t="s">
        <v>56</v>
      </c>
      <c r="W23" s="221">
        <f>VLOOKUP(Table4[[#This Row],[Threat Event Initiation]],NIST_Scale_LOAI[],2,FALSE)</f>
        <v>0.2</v>
      </c>
      <c r="X23"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3"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16"/>
      <c r="AA23" s="218"/>
      <c r="AB23" s="223"/>
      <c r="AC23" s="216"/>
      <c r="AD23" s="216"/>
      <c r="AE23" s="216"/>
      <c r="AF23" s="219"/>
      <c r="AG23" s="219"/>
      <c r="AH23" s="219"/>
      <c r="AI23" s="219"/>
      <c r="AJ23" s="224"/>
      <c r="AK23"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21" t="e">
        <f>(1 - ((1 - VLOOKUP(Table4[[#This Row],[ConfidentialityP]],'Reference - CVSSv3.0'!$B$15:$C$17,2,FALSE)) * (1 - VLOOKUP(Table4[[#This Row],[IntegrityP]],'Reference - CVSSv3.0'!$B$15:$C$17,2,FALSE)) *  (1 - VLOOKUP(Table4[[#This Row],[AvailabilityP]],'Reference - CVSSv3.0'!$B$15:$C$17,2,FALSE))))</f>
        <v>#N/A</v>
      </c>
      <c r="AM23" s="221" t="e">
        <f>IF(Table4[[#This Row],[ScopeP]]="Unchanged",6.42*Table4[[#This Row],[ISC BaseP]],IF(Table4[[#This Row],[ScopeP]]="Changed",7.52*(Table4[[#This Row],[ISC BaseP]] - 0.029) - 3.25 * POWER(Table4[[#This Row],[ISC BaseP]] - 0.02,15),NA()))</f>
        <v>#N/A</v>
      </c>
      <c r="AN23"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16"/>
    </row>
    <row r="24" spans="1:43" ht="57" x14ac:dyDescent="0.25">
      <c r="A24" s="215">
        <v>20</v>
      </c>
      <c r="B24" s="49" t="s">
        <v>315</v>
      </c>
      <c r="C24" s="217" t="str">
        <f>IF(VLOOKUP(Table4[[#This Row],[T ID]],Table5[#All],5,FALSE)="No","Not in scope",VLOOKUP(Table4[[#This Row],[T ID]],Table5[#All],2,FALSE))</f>
        <v>Manipulation of navigation camera firmware / memory</v>
      </c>
      <c r="D24" s="49" t="s">
        <v>323</v>
      </c>
      <c r="E24" s="217" t="str">
        <f>IF(VLOOKUP(Table4[[#This Row],[V ID]],Vulnerabilities[#All],3,FALSE)="No","Not in scope",VLOOKUP(Table4[[#This Row],[V ID]],Vulnerabilities[#All],2,FALSE))</f>
        <v>Unprotected hardware</v>
      </c>
      <c r="F24" s="239" t="s">
        <v>113</v>
      </c>
      <c r="G24" s="217" t="str">
        <f>VLOOKUP(Table4[[#This Row],[A ID]],Assets[#All],3,FALSE)</f>
        <v>Navigation Accuracy</v>
      </c>
      <c r="H24" s="49" t="s">
        <v>356</v>
      </c>
      <c r="I24" s="58" t="s">
        <v>379</v>
      </c>
      <c r="J24" s="91" t="s">
        <v>65</v>
      </c>
      <c r="K24" s="91" t="s">
        <v>56</v>
      </c>
      <c r="L24" s="91" t="s">
        <v>56</v>
      </c>
      <c r="M24" s="91" t="s">
        <v>79</v>
      </c>
      <c r="N24" s="91" t="s">
        <v>65</v>
      </c>
      <c r="O24" s="91" t="s">
        <v>56</v>
      </c>
      <c r="P24" s="91" t="s">
        <v>77</v>
      </c>
      <c r="Q24" s="91" t="s">
        <v>74</v>
      </c>
      <c r="R24" s="22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4" s="221">
        <f>(1 - ((1 - VLOOKUP(Table4[[#This Row],[Confidentiality]],'Reference - CVSSv3.0'!$B$15:$C$17,2,FALSE)) * (1 - VLOOKUP(Table4[[#This Row],[Integrity]],'Reference - CVSSv3.0'!$B$15:$C$17,2,FALSE)) *  (1 - VLOOKUP(Table4[[#This Row],[Availability]],'Reference - CVSSv3.0'!$B$15:$C$17,2,FALSE))))</f>
        <v>0.73230400000000007</v>
      </c>
      <c r="T24" s="221">
        <f>IF(Table4[[#This Row],[Scope]]="Unchanged",6.42*Table4[[#This Row],[ISC Base]],IF(Table4[[#This Row],[Scope]]="Changed",7.52*(Table4[[#This Row],[ISC Base]] - 0.029) - 3.25 * POWER(Table4[[#This Row],[ISC Base]] - 0.02,15),NA()))</f>
        <v>4.7013916800000004</v>
      </c>
      <c r="U24" s="221">
        <f>IF(Table4[[#This Row],[Impact Sub Score]]&lt;=0,0,IF(Table4[[#This Row],[Scope]]="Unchanged",ROUNDUP(MIN((Table4[[#This Row],[Impact Sub Score]]+Table4[[#This Row],[Exploitability Sub Score]]),10),1),IF(Table4[[#This Row],[Scope]]="Changed",ROUNDUP(MIN((1.08*(Table4[[#This Row],[Impact Sub Score]]+Table4[[#This Row],[Exploitability Sub Score]])),10),1),NA())))</f>
        <v>5.8</v>
      </c>
      <c r="V24" s="184" t="s">
        <v>56</v>
      </c>
      <c r="W24" s="221">
        <f>VLOOKUP(Table4[[#This Row],[Threat Event Initiation]],NIST_Scale_LOAI[],2,FALSE)</f>
        <v>0.2</v>
      </c>
      <c r="X24" s="22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4" s="22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216"/>
      <c r="AA24" s="216"/>
      <c r="AB24" s="228"/>
      <c r="AC24" s="216"/>
      <c r="AD24" s="216"/>
      <c r="AE24" s="216"/>
      <c r="AF24" s="219"/>
      <c r="AG24" s="219"/>
      <c r="AH24" s="219"/>
      <c r="AI24" s="219"/>
      <c r="AJ24" s="224"/>
      <c r="AK24" s="22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21" t="e">
        <f>(1 - ((1 - VLOOKUP(Table4[[#This Row],[ConfidentialityP]],'Reference - CVSSv3.0'!$B$15:$C$17,2,FALSE)) * (1 - VLOOKUP(Table4[[#This Row],[IntegrityP]],'Reference - CVSSv3.0'!$B$15:$C$17,2,FALSE)) *  (1 - VLOOKUP(Table4[[#This Row],[AvailabilityP]],'Reference - CVSSv3.0'!$B$15:$C$17,2,FALSE))))</f>
        <v>#N/A</v>
      </c>
      <c r="AM24" s="221" t="e">
        <f>IF(Table4[[#This Row],[ScopeP]]="Unchanged",6.42*Table4[[#This Row],[ISC BaseP]],IF(Table4[[#This Row],[ScopeP]]="Changed",7.52*(Table4[[#This Row],[ISC BaseP]] - 0.029) - 3.25 * POWER(Table4[[#This Row],[ISC BaseP]] - 0.02,15),NA()))</f>
        <v>#N/A</v>
      </c>
      <c r="AN24" s="22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2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16"/>
    </row>
    <row r="25" spans="1:43" ht="57" x14ac:dyDescent="0.25">
      <c r="A25" s="69">
        <v>21</v>
      </c>
      <c r="B25" s="229" t="s">
        <v>286</v>
      </c>
      <c r="C25" s="230" t="str">
        <f>IF(VLOOKUP(Table4[[#This Row],[T ID]],Table5[#All],5,FALSE)="No","Not in scope",VLOOKUP(Table4[[#This Row],[T ID]],Table5[#All],2,FALSE))</f>
        <v>Physical Manipulation of Hardware</v>
      </c>
      <c r="D25" s="49" t="s">
        <v>323</v>
      </c>
      <c r="E25" s="230" t="str">
        <f>IF(VLOOKUP(Table4[[#This Row],[V ID]],Vulnerabilities[#All],3,FALSE)="No","Not in scope",VLOOKUP(Table4[[#This Row],[V ID]],Vulnerabilities[#All],2,FALSE))</f>
        <v>Unprotected hardware</v>
      </c>
      <c r="F25" s="239" t="s">
        <v>113</v>
      </c>
      <c r="G25" s="230" t="str">
        <f>VLOOKUP(Table4[[#This Row],[A ID]],Assets[#All],3,FALSE)</f>
        <v>Navigation Accuracy</v>
      </c>
      <c r="H25" s="49" t="s">
        <v>357</v>
      </c>
      <c r="I25" s="58" t="s">
        <v>379</v>
      </c>
      <c r="J25" s="91" t="s">
        <v>56</v>
      </c>
      <c r="K25" s="91" t="s">
        <v>65</v>
      </c>
      <c r="L25" s="91" t="s">
        <v>358</v>
      </c>
      <c r="M25" s="91" t="s">
        <v>75</v>
      </c>
      <c r="N25" s="91" t="s">
        <v>56</v>
      </c>
      <c r="O25" s="91" t="s">
        <v>65</v>
      </c>
      <c r="P25" s="91" t="s">
        <v>358</v>
      </c>
      <c r="Q25" s="91" t="s">
        <v>74</v>
      </c>
      <c r="R25" s="2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5" s="234">
        <f>(1 - ((1 - VLOOKUP(Table4[[#This Row],[Confidentiality]],'Reference - CVSSv3.0'!$B$15:$C$17,2,FALSE)) * (1 - VLOOKUP(Table4[[#This Row],[Integrity]],'Reference - CVSSv3.0'!$B$15:$C$17,2,FALSE)) *  (1 - VLOOKUP(Table4[[#This Row],[Availability]],'Reference - CVSSv3.0'!$B$15:$C$17,2,FALSE))))</f>
        <v>0.65680000000000005</v>
      </c>
      <c r="T25" s="234">
        <f>IF(Table4[[#This Row],[Scope]]="Unchanged",6.42*Table4[[#This Row],[ISC Base]],IF(Table4[[#This Row],[Scope]]="Changed",7.52*(Table4[[#This Row],[ISC Base]] - 0.029) - 3.25 * POWER(Table4[[#This Row],[ISC Base]] - 0.02,15),NA()))</f>
        <v>4.2166560000000004</v>
      </c>
      <c r="U25" s="234">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5" s="184" t="s">
        <v>56</v>
      </c>
      <c r="W25" s="234">
        <f>VLOOKUP(Table4[[#This Row],[Threat Event Initiation]],NIST_Scale_LOAI[],2,FALSE)</f>
        <v>0.2</v>
      </c>
      <c r="X25" s="2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5" s="2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231"/>
      <c r="AA25" s="231"/>
      <c r="AB25" s="236"/>
      <c r="AC25" s="231"/>
      <c r="AD25" s="231"/>
      <c r="AE25" s="231"/>
      <c r="AF25" s="232"/>
      <c r="AG25" s="232"/>
      <c r="AH25" s="232"/>
      <c r="AI25" s="232"/>
      <c r="AJ25" s="237"/>
      <c r="AK25" s="2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34" t="e">
        <f>(1 - ((1 - VLOOKUP(Table4[[#This Row],[ConfidentialityP]],'Reference - CVSSv3.0'!$B$15:$C$17,2,FALSE)) * (1 - VLOOKUP(Table4[[#This Row],[IntegrityP]],'Reference - CVSSv3.0'!$B$15:$C$17,2,FALSE)) *  (1 - VLOOKUP(Table4[[#This Row],[AvailabilityP]],'Reference - CVSSv3.0'!$B$15:$C$17,2,FALSE))))</f>
        <v>#N/A</v>
      </c>
      <c r="AM25" s="234" t="e">
        <f>IF(Table4[[#This Row],[ScopeP]]="Unchanged",6.42*Table4[[#This Row],[ISC BaseP]],IF(Table4[[#This Row],[ScopeP]]="Changed",7.52*(Table4[[#This Row],[ISC BaseP]] - 0.029) - 3.25 * POWER(Table4[[#This Row],[ISC BaseP]] - 0.02,15),NA()))</f>
        <v>#N/A</v>
      </c>
      <c r="AN25" s="2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31"/>
    </row>
  </sheetData>
  <mergeCells count="4">
    <mergeCell ref="AC3:AQ3"/>
    <mergeCell ref="Z3:AB3"/>
    <mergeCell ref="F3:I3"/>
    <mergeCell ref="J3:Y3"/>
  </mergeCells>
  <phoneticPr fontId="52" type="noConversion"/>
  <conditionalFormatting sqref="AP7:AP23 Y5:Y25">
    <cfRule type="cellIs" dxfId="24" priority="26" operator="equal">
      <formula>"Critical"</formula>
    </cfRule>
    <cfRule type="cellIs" dxfId="23" priority="27" operator="equal">
      <formula>"HIGH"</formula>
    </cfRule>
    <cfRule type="cellIs" dxfId="22" priority="28" operator="equal">
      <formula>"Medium"</formula>
    </cfRule>
    <cfRule type="cellIs" dxfId="21" priority="29" operator="equal">
      <formula>"None"</formula>
    </cfRule>
    <cfRule type="cellIs" dxfId="20" priority="30" operator="equal">
      <formula>"Low"</formula>
    </cfRule>
  </conditionalFormatting>
  <conditionalFormatting sqref="AP5:AP6">
    <cfRule type="cellIs" dxfId="19" priority="11" operator="equal">
      <formula>"Critical"</formula>
    </cfRule>
    <cfRule type="cellIs" dxfId="18" priority="12" operator="equal">
      <formula>"HIGH"</formula>
    </cfRule>
    <cfRule type="cellIs" dxfId="17" priority="13" operator="equal">
      <formula>"Medium"</formula>
    </cfRule>
    <cfRule type="cellIs" dxfId="16" priority="14" operator="equal">
      <formula>"None"</formula>
    </cfRule>
    <cfRule type="cellIs" dxfId="15" priority="1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dataValidation allowBlank="1" showInputMessage="1" showErrorMessage="1" prompt="This metric measures the impact to integrity of a successfully exploited vulnerability. Integrity refers to the trustworthiness and veracity of information." sqref="K4 AD4"/>
    <dataValidation allowBlank="1" showInputMessage="1" showErrorMessage="1" prompt="This metric measures the impact to the confidentiality of the information resources managed by a software component due to a successfully exploited vulnerability. " sqref="J4 AC4"/>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dataValidation allowBlank="1" showInputMessage="1" showErrorMessage="1" prompt="This metric describes the conditions beyond the attacker's control that must exist in order to exploit the vulnerability. The metric is largest for the least complex attacks." sqref="N4 AG4"/>
    <dataValidation allowBlank="1" showInputMessage="1" showErrorMessage="1" prompt="This metric describes the level of privileges an attacker must possess before successfully exploiting the vulnerability. This metric is largest if no privileges are required." sqref="O4 AH4"/>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dataValidation allowBlank="1" showInputMessage="1" showErrorMessage="1" prompt="A scope change is the ability for a vulnerability in one software component to impact resources beyond its means, or privilege." sqref="Q4 AJ4"/>
    <dataValidation allowBlank="1" showInputMessage="1" showErrorMessage="1" prompt="Threat event initiation is assessed by taking into consideration the characteristics of the threat sources of concern including capability, intent, and targeting." sqref="V4"/>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14:formula1>
            <xm:f>'Reference - CVSSv3.0'!$B$21:$B$23</xm:f>
          </x14:formula1>
          <xm:sqref>Q5:Q25 AJ5:AJ25</xm:sqref>
        </x14:dataValidation>
        <x14:dataValidation type="list" allowBlank="1" showInputMessage="1" showErrorMessage="1">
          <x14:formula1>
            <xm:f>'Reference - CVSSv3.0'!$B$15:$B$18</xm:f>
          </x14:formula1>
          <xm:sqref>J5:L25 AC5:AE25</xm:sqref>
        </x14:dataValidation>
        <x14:dataValidation type="list" allowBlank="1" showInputMessage="1" showErrorMessage="1">
          <x14:formula1>
            <xm:f>'Reference - CVSSv3.0'!$B$6:$B$10</xm:f>
          </x14:formula1>
          <xm:sqref>M5:M25 AF5:AF25</xm:sqref>
        </x14:dataValidation>
        <x14:dataValidation type="list" allowBlank="1" showInputMessage="1" showErrorMessage="1">
          <x14:formula1>
            <xm:f>'Reference - CVSSv3.0'!$E$6:$E$8</xm:f>
          </x14:formula1>
          <xm:sqref>N5:N25 AG5:AG25</xm:sqref>
        </x14:dataValidation>
        <x14:dataValidation type="list" allowBlank="1" showInputMessage="1" showErrorMessage="1">
          <x14:formula1>
            <xm:f>'Reference - CVSSv3.0'!$H$6:$H$9</xm:f>
          </x14:formula1>
          <xm:sqref>O5:O25 AH5:AH25</xm:sqref>
        </x14:dataValidation>
        <x14:dataValidation type="list" allowBlank="1" showInputMessage="1" showErrorMessage="1">
          <x14:formula1>
            <xm:f>'Reference - CVSSv3.0'!$L$6:$L$8</xm:f>
          </x14:formula1>
          <xm:sqref>P5:P25 AI5:AI25</xm:sqref>
        </x14:dataValidation>
        <x14:dataValidation type="list" allowBlank="1" showInputMessage="1" showErrorMessage="1">
          <x14:formula1>
            <xm:f>'Reference - CVSSv3.0'!$Q$5:$Q$10</xm:f>
          </x14:formula1>
          <xm:sqref>V5:V25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
  <sheetViews>
    <sheetView zoomScaleNormal="100" workbookViewId="0">
      <selection sqref="A1:G2"/>
    </sheetView>
  </sheetViews>
  <sheetFormatPr defaultColWidth="11.5703125" defaultRowHeight="15" x14ac:dyDescent="0.25"/>
  <cols>
    <col min="1" max="1" width="13.140625" customWidth="1"/>
    <col min="2" max="2" width="58.28515625" customWidth="1"/>
    <col min="3" max="3" width="22.42578125" customWidth="1"/>
    <col min="4" max="4" width="42.5703125" customWidth="1"/>
    <col min="5" max="5" width="55.140625" bestFit="1" customWidth="1"/>
  </cols>
  <sheetData>
    <row r="1" spans="1:7" x14ac:dyDescent="0.25">
      <c r="A1" s="253" t="s">
        <v>202</v>
      </c>
      <c r="B1" s="253"/>
      <c r="C1" s="253"/>
      <c r="D1" s="253"/>
      <c r="E1" s="253"/>
      <c r="F1" s="253"/>
      <c r="G1" s="253"/>
    </row>
    <row r="2" spans="1:7" x14ac:dyDescent="0.25">
      <c r="A2" s="254"/>
      <c r="B2" s="254"/>
      <c r="C2" s="254"/>
      <c r="D2" s="254"/>
      <c r="E2" s="254"/>
      <c r="F2" s="254"/>
      <c r="G2" s="254"/>
    </row>
    <row r="3" spans="1:7" ht="23.25" x14ac:dyDescent="0.25">
      <c r="A3" s="188"/>
      <c r="B3" s="188"/>
      <c r="C3" s="188"/>
      <c r="D3" s="188"/>
      <c r="E3" s="188"/>
      <c r="F3" s="188"/>
      <c r="G3" s="188"/>
    </row>
    <row r="5" spans="1:7" x14ac:dyDescent="0.25">
      <c r="A5" s="189" t="s">
        <v>202</v>
      </c>
    </row>
    <row r="6" spans="1:7" x14ac:dyDescent="0.25">
      <c r="A6" t="s">
        <v>223</v>
      </c>
      <c r="B6" t="s">
        <v>227</v>
      </c>
      <c r="C6" t="s">
        <v>229</v>
      </c>
      <c r="D6" t="s">
        <v>228</v>
      </c>
    </row>
    <row r="10" spans="1:7" ht="15.75" customHeight="1" x14ac:dyDescent="0.25"/>
    <row r="24" spans="11:13" x14ac:dyDescent="0.25">
      <c r="K24" s="195"/>
      <c r="L24" s="195"/>
      <c r="M24" s="196"/>
    </row>
    <row r="25" spans="11:13" x14ac:dyDescent="0.25">
      <c r="K25" s="197"/>
      <c r="L25" s="195"/>
      <c r="M25" s="196"/>
    </row>
    <row r="26" spans="11:13" x14ac:dyDescent="0.25">
      <c r="K26" s="195"/>
      <c r="L26" s="195"/>
      <c r="M26" s="196"/>
    </row>
    <row r="27" spans="11:13" x14ac:dyDescent="0.25">
      <c r="K27" s="195"/>
      <c r="L27" s="195"/>
      <c r="M27" s="195"/>
    </row>
    <row r="28" spans="11:13" x14ac:dyDescent="0.25">
      <c r="K28" s="195"/>
      <c r="L28" s="195"/>
      <c r="M28" s="195"/>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Normal="70" zoomScaleSheetLayoutView="100" workbookViewId="0">
      <selection activeCell="E1" sqref="E1"/>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4" customWidth="1"/>
    <col min="6" max="6" width="6.28515625" style="24" customWidth="1"/>
    <col min="7" max="7" width="28.7109375" style="24" customWidth="1"/>
    <col min="8" max="8" width="38" style="24" customWidth="1"/>
    <col min="9" max="9" width="25.42578125" style="24" customWidth="1"/>
    <col min="10" max="10" width="15" style="24" customWidth="1"/>
    <col min="11" max="11" width="35.7109375" style="24" customWidth="1"/>
    <col min="12" max="12" width="15" style="24" customWidth="1"/>
    <col min="13" max="13" width="36.85546875" style="24" customWidth="1"/>
    <col min="14" max="16384" width="9.140625" style="24"/>
  </cols>
  <sheetData>
    <row r="1" spans="1:14" s="52" customFormat="1" x14ac:dyDescent="0.25">
      <c r="A1" s="31" t="s">
        <v>204</v>
      </c>
      <c r="B1" s="75"/>
      <c r="C1" s="75"/>
      <c r="D1" s="75"/>
      <c r="E1" s="75"/>
      <c r="F1" s="75"/>
      <c r="G1" s="75"/>
      <c r="H1" s="75"/>
      <c r="I1" s="75"/>
      <c r="J1" s="75"/>
      <c r="K1" s="75"/>
      <c r="L1" s="75"/>
      <c r="M1" s="75"/>
      <c r="N1"/>
    </row>
    <row r="2" spans="1:14" s="52" customFormat="1" x14ac:dyDescent="0.25">
      <c r="A2" s="31"/>
      <c r="B2" s="75"/>
      <c r="C2" s="75"/>
      <c r="D2" s="75"/>
      <c r="E2" s="75"/>
      <c r="F2" s="75"/>
      <c r="G2" s="75"/>
      <c r="H2" s="75"/>
      <c r="I2" s="75"/>
      <c r="J2" s="75"/>
      <c r="K2" s="75"/>
      <c r="L2" s="75"/>
      <c r="M2" s="75"/>
      <c r="N2"/>
    </row>
    <row r="3" spans="1:14" s="52" customFormat="1" x14ac:dyDescent="0.25">
      <c r="A3" s="75" t="s">
        <v>133</v>
      </c>
      <c r="B3" s="75"/>
      <c r="C3" s="75"/>
      <c r="D3" s="75"/>
      <c r="E3" s="75"/>
      <c r="F3" s="75"/>
      <c r="G3" s="75"/>
      <c r="H3" s="75"/>
      <c r="I3" s="75"/>
      <c r="J3" s="75"/>
      <c r="K3" s="75"/>
      <c r="L3" s="75"/>
      <c r="M3" s="75"/>
      <c r="N3"/>
    </row>
    <row r="4" spans="1:14" s="52" customFormat="1" ht="42" customHeight="1" x14ac:dyDescent="0.25">
      <c r="A4" s="171" t="s">
        <v>1</v>
      </c>
      <c r="B4" s="172" t="s">
        <v>117</v>
      </c>
      <c r="C4" s="173" t="s">
        <v>2</v>
      </c>
      <c r="D4" s="174" t="s">
        <v>116</v>
      </c>
      <c r="E4" s="175" t="s">
        <v>15</v>
      </c>
      <c r="F4" s="176" t="s">
        <v>118</v>
      </c>
      <c r="G4" s="177" t="s">
        <v>203</v>
      </c>
      <c r="H4" s="177" t="s">
        <v>6</v>
      </c>
      <c r="I4" s="178" t="s">
        <v>173</v>
      </c>
      <c r="J4" s="179" t="s">
        <v>200</v>
      </c>
      <c r="K4" s="180" t="s">
        <v>202</v>
      </c>
      <c r="L4" s="181" t="s">
        <v>201</v>
      </c>
      <c r="M4" s="182" t="s">
        <v>4</v>
      </c>
      <c r="N4" s="2"/>
    </row>
    <row r="5" spans="1:14" s="52" customFormat="1" ht="57" x14ac:dyDescent="0.25">
      <c r="A5" s="70">
        <f>Table4[[#This Row],[
ID '#]]</f>
        <v>1</v>
      </c>
      <c r="B5" s="56" t="str">
        <f>IF(Table4[[#This Row],[A ID]]&gt;0,Table4[[#This Row],[T ID]],"")</f>
        <v>T01</v>
      </c>
      <c r="C5" s="49" t="str">
        <f>Table4[[#This Row],[Threat Event(s)]]</f>
        <v>Deliver undirected malware</v>
      </c>
      <c r="D5" s="56" t="str">
        <f>IF(Table4[[#This Row],[V ID]]&gt;0,Table4[[#This Row],[V ID]],"")</f>
        <v>V11</v>
      </c>
      <c r="E5" s="49" t="str">
        <f>Table4[[#This Row],[Vulnerabilities]]</f>
        <v>Unpatched  OS , Application SW</v>
      </c>
      <c r="F5" s="58" t="str">
        <f>IF(Table4[[#This Row],[A ID]]&gt;0,Table4[[#This Row],[A ID]],"")</f>
        <v>A01</v>
      </c>
      <c r="G5" s="49" t="str">
        <f>Table4[[#This Row],[Asset]]</f>
        <v>System resources</v>
      </c>
      <c r="H5" s="49" t="str">
        <f>IF(Table4[[#This Row],[Impact Description]]&gt;0,Table4[[#This Row],[Impact Description]],"")</f>
        <v xml:space="preserve">Malicious utilization of  computer resources and computing power, incl. denial of service attacks, ransomware deployment, Bitcoin mining, etc., ). </v>
      </c>
      <c r="I5" s="58" t="str">
        <f>IF(Table4[[#This Row],[Safety Impact 
(Risk ID'# or N/A)]]&gt;0,Table4[[#This Row],[Safety Impact 
(Risk ID'# or N/A)]],"")</f>
        <v>[RARC.RI040]</v>
      </c>
      <c r="J5" s="91" t="str">
        <f>Table4[[#This Row],[Security 
Risk 
Level]]</f>
        <v>MEDIUM</v>
      </c>
      <c r="K5" s="49" t="str">
        <f>IF(Table4[[#This Row],[Security Risk Control Measures]]&gt;0,Table4[[#This Row],[Security Risk Control Measures]],"")</f>
        <v>Application Whitelisting
Firewall
Virus Scan
User authentication</v>
      </c>
      <c r="L5" s="91" t="str">
        <f>Table4[[#This Row],[Security Risk LevelP]]</f>
        <v>LOW</v>
      </c>
      <c r="M5" s="58" t="str">
        <f>IF(Table4[[#This Row],[Residual Security Risk Acceptability Justification]]&gt;0,Table4[[#This Row],[Residual Security Risk Acceptability Justification]],"")</f>
        <v xml:space="preserve"> </v>
      </c>
      <c r="N5"/>
    </row>
    <row r="6" spans="1:14" s="52" customFormat="1" ht="85.5" x14ac:dyDescent="0.25">
      <c r="A6" s="69">
        <f>Table4[[#This Row],[
ID '#]]</f>
        <v>2</v>
      </c>
      <c r="B6" s="56" t="str">
        <f>IF(Table4[[#This Row],[A ID]]&gt;0,Table4[[#This Row],[T ID]],"")</f>
        <v>T02</v>
      </c>
      <c r="C6" s="49" t="str">
        <f>Table4[[#This Row],[Threat Event(s)]]</f>
        <v>Deliver directed malware</v>
      </c>
      <c r="D6" s="58" t="str">
        <f>IF(Table4[[#This Row],[V ID]]&gt;0,Table4[[#This Row],[V ID]],"")</f>
        <v>V24</v>
      </c>
      <c r="E6" s="49" t="str">
        <f>Table4[[#This Row],[Vulnerabilities]]</f>
        <v>Unprotected hardware</v>
      </c>
      <c r="F6" s="58" t="str">
        <f>IF(Table4[[#This Row],[A ID]]&gt;0,Table4[[#This Row],[A ID]],"")</f>
        <v>A01</v>
      </c>
      <c r="G6" s="49" t="str">
        <f>Table4[[#This Row],[Asset]]</f>
        <v>System resources</v>
      </c>
      <c r="H6" s="49"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6" s="58" t="str">
        <f>IF(Table4[[#This Row],[Safety Impact 
(Risk ID'# or N/A)]]&gt;0,Table4[[#This Row],[Safety Impact 
(Risk ID'# or N/A)]],"")</f>
        <v>[RARC.RI040]</v>
      </c>
      <c r="J6" s="91" t="str">
        <f>Table4[[#This Row],[Security 
Risk 
Level]]</f>
        <v>MEDIUM</v>
      </c>
      <c r="K6" s="49" t="str">
        <f>IF(Table4[[#This Row],[Security Risk Control Measures]]&gt;0,Table4[[#This Row],[Security Risk Control Measures]],"")</f>
        <v/>
      </c>
      <c r="L6" s="91" t="str">
        <f>Table4[[#This Row],[Security Risk LevelP]]</f>
        <v/>
      </c>
      <c r="M6" s="58" t="str">
        <f>IF(Table4[[#This Row],[Residual Security Risk Acceptability Justification]]&gt;0,Table4[[#This Row],[Residual Security Risk Acceptability Justification]],"")</f>
        <v/>
      </c>
      <c r="N6"/>
    </row>
    <row r="7" spans="1:14" s="52" customFormat="1" ht="57" x14ac:dyDescent="0.25">
      <c r="A7" s="69">
        <f>Table4[[#This Row],[
ID '#]]</f>
        <v>3</v>
      </c>
      <c r="B7" s="56" t="str">
        <f>IF(Table4[[#This Row],[A ID]]&gt;0,Table4[[#This Row],[T ID]],"")</f>
        <v>T10</v>
      </c>
      <c r="C7" s="49" t="str">
        <f>Table4[[#This Row],[Threat Event(s)]]</f>
        <v>Mis-configuration by user</v>
      </c>
      <c r="D7" s="58" t="str">
        <f>IF(Table4[[#This Row],[V ID]]&gt;0,Table4[[#This Row],[V ID]],"")</f>
        <v>V03</v>
      </c>
      <c r="E7" s="49" t="str">
        <f>Table4[[#This Row],[Vulnerabilities]]</f>
        <v>Uneducated/ Malicious User</v>
      </c>
      <c r="F7" s="58" t="str">
        <f>IF(Table4[[#This Row],[A ID]]&gt;0,Table4[[#This Row],[A ID]],"")</f>
        <v>A02</v>
      </c>
      <c r="G7" s="49" t="str">
        <f>Table4[[#This Row],[Asset]]</f>
        <v>Admin Password / Credentials / System Configuration / Certificates</v>
      </c>
      <c r="H7" s="49" t="str">
        <f>IF(Table4[[#This Row],[Impact Description]]&gt;0,Table4[[#This Row],[Impact Description]],"")</f>
        <v xml:space="preserve">If a user misconfigures the system, this might lead to unavailability of the navigation system or make the system less performant for the user. </v>
      </c>
      <c r="I7" s="58" t="str">
        <f>IF(Table4[[#This Row],[Safety Impact 
(Risk ID'# or N/A)]]&gt;0,Table4[[#This Row],[Safety Impact 
(Risk ID'# or N/A)]],"")</f>
        <v>[RARC.RI110]</v>
      </c>
      <c r="J7" s="91" t="str">
        <f>Table4[[#This Row],[Security 
Risk 
Level]]</f>
        <v>LOW</v>
      </c>
      <c r="K7" s="58" t="str">
        <f>IF(Table4[[#This Row],[Security Risk Control Measures]]&gt;0,Table4[[#This Row],[Security Risk Control Measures]],"")</f>
        <v>Application Whitelisting
Firewall
Virus Scan
User authentication</v>
      </c>
      <c r="L7" s="91" t="str">
        <f>Table4[[#This Row],[Security Risk LevelP]]</f>
        <v>MEDIUM</v>
      </c>
      <c r="M7" s="58" t="str">
        <f>IF(Table4[[#This Row],[Residual Security Risk Acceptability Justification]]&gt;0,Table4[[#This Row],[Residual Security Risk Acceptability Justification]],"")</f>
        <v>Justification</v>
      </c>
      <c r="N7"/>
    </row>
    <row r="8" spans="1:14" s="52" customFormat="1" ht="57" x14ac:dyDescent="0.25">
      <c r="A8" s="69">
        <f>Table4[[#This Row],[
ID '#]]</f>
        <v>4</v>
      </c>
      <c r="B8" s="56" t="str">
        <f>IF(Table4[[#This Row],[A ID]]&gt;0,Table4[[#This Row],[T ID]],"")</f>
        <v>T03</v>
      </c>
      <c r="C8" s="49" t="str">
        <f>Table4[[#This Row],[Threat Event(s)]]</f>
        <v xml:space="preserve">Perform perimeter network reconnaissance/scanning. </v>
      </c>
      <c r="D8" s="58" t="str">
        <f>IF(Table4[[#This Row],[V ID]]&gt;0,Table4[[#This Row],[V ID]],"")</f>
        <v>V21</v>
      </c>
      <c r="E8" s="49" t="str">
        <f>Table4[[#This Row],[Vulnerabilities]]</f>
        <v>Unprotected network port</v>
      </c>
      <c r="F8" s="58" t="str">
        <f>IF(Table4[[#This Row],[A ID]]&gt;0,Table4[[#This Row],[A ID]],"")</f>
        <v>A07</v>
      </c>
      <c r="G8" s="49" t="str">
        <f>Table4[[#This Row],[Asset]]</f>
        <v>Computer/OS network identification</v>
      </c>
      <c r="H8" s="49" t="str">
        <f>IF(Table4[[#This Row],[Impact Description]]&gt;0,Table4[[#This Row],[Impact Description]],"")</f>
        <v>Obtain knowledge about system internals in an attempt to find attack vectors and possibilities for exploitation of publicly known Vulnerabilities</v>
      </c>
      <c r="I8" s="58" t="str">
        <f>IF(Table4[[#This Row],[Safety Impact 
(Risk ID'# or N/A)]]&gt;0,Table4[[#This Row],[Safety Impact 
(Risk ID'# or N/A)]],"")</f>
        <v>[RARC.RI110]</v>
      </c>
      <c r="J8" s="91" t="str">
        <f>Table4[[#This Row],[Security 
Risk 
Level]]</f>
        <v>LOW</v>
      </c>
      <c r="K8" s="58" t="str">
        <f>IF(Table4[[#This Row],[Security Risk Control Measures]]&gt;0,Table4[[#This Row],[Security Risk Control Measures]],"")</f>
        <v/>
      </c>
      <c r="L8" s="91" t="str">
        <f>Table4[[#This Row],[Security Risk LevelP]]</f>
        <v/>
      </c>
      <c r="M8" s="58" t="str">
        <f>IF(Table4[[#This Row],[Residual Security Risk Acceptability Justification]]&gt;0,Table4[[#This Row],[Residual Security Risk Acceptability Justification]],"")</f>
        <v/>
      </c>
      <c r="N8"/>
    </row>
    <row r="9" spans="1:14" s="52" customFormat="1" ht="42.75" x14ac:dyDescent="0.25">
      <c r="A9" s="69">
        <f>Table4[[#This Row],[
ID '#]]</f>
        <v>5</v>
      </c>
      <c r="B9" s="56" t="str">
        <f>IF(Table4[[#This Row],[A ID]]&gt;0,Table4[[#This Row],[T ID]],"")</f>
        <v>T05</v>
      </c>
      <c r="C9" s="49" t="str">
        <f>Table4[[#This Row],[Threat Event(s)]]</f>
        <v xml:space="preserve">Conduct scavenging of ePHI at rest </v>
      </c>
      <c r="D9" s="58" t="str">
        <f>IF(Table4[[#This Row],[V ID]]&gt;0,Table4[[#This Row],[V ID]],"")</f>
        <v>V01</v>
      </c>
      <c r="E9" s="49" t="str">
        <f>Table4[[#This Row],[Vulnerabilities]]</f>
        <v>Ineffective management of user credentials</v>
      </c>
      <c r="F9" s="58" t="str">
        <f>IF(Table4[[#This Row],[A ID]]&gt;0,Table4[[#This Row],[A ID]],"")</f>
        <v>A05</v>
      </c>
      <c r="G9" s="49" t="str">
        <f>Table4[[#This Row],[Asset]]</f>
        <v>Patient health information at rest</v>
      </c>
      <c r="H9" s="49" t="str">
        <f>IF(Table4[[#This Row],[Impact Description]]&gt;0,Table4[[#This Row],[Impact Description]],"")</f>
        <v>ePHI stored on Navigation System is exposed to third parties.</v>
      </c>
      <c r="I9" s="58" t="str">
        <f>IF(Table4[[#This Row],[Safety Impact 
(Risk ID'# or N/A)]]&gt;0,Table4[[#This Row],[Safety Impact 
(Risk ID'# or N/A)]],"")</f>
        <v>[RARC.RI180]</v>
      </c>
      <c r="J9" s="91" t="str">
        <f>Table4[[#This Row],[Security 
Risk 
Level]]</f>
        <v>MEDIUM</v>
      </c>
      <c r="K9" s="58" t="str">
        <f>IF(Table4[[#This Row],[Security Risk Control Measures]]&gt;0,Table4[[#This Row],[Security Risk Control Measures]],"")</f>
        <v/>
      </c>
      <c r="L9" s="160" t="str">
        <f>Table4[[#This Row],[Security Risk LevelP]]</f>
        <v/>
      </c>
      <c r="M9" s="58" t="str">
        <f>IF(Table4[[#This Row],[Residual Security Risk Acceptability Justification]]&gt;0,Table4[[#This Row],[Residual Security Risk Acceptability Justification]],"")</f>
        <v/>
      </c>
      <c r="N9"/>
    </row>
    <row r="10" spans="1:14" s="52" customFormat="1" x14ac:dyDescent="0.25">
      <c r="A10"/>
      <c r="B10"/>
      <c r="C10"/>
      <c r="D10"/>
      <c r="E10"/>
      <c r="F10"/>
      <c r="G10"/>
      <c r="H10"/>
      <c r="I10"/>
      <c r="J10"/>
      <c r="K10"/>
      <c r="L10"/>
      <c r="M10"/>
      <c r="N10"/>
    </row>
    <row r="11" spans="1:14" s="52" customFormat="1" x14ac:dyDescent="0.25">
      <c r="A11" s="24"/>
      <c r="B11" s="24"/>
      <c r="C11" s="25"/>
      <c r="D11" s="24"/>
      <c r="E11" s="24"/>
      <c r="F11" s="24"/>
      <c r="G11" s="24"/>
    </row>
    <row r="12" spans="1:14" s="52" customFormat="1" ht="14.25" x14ac:dyDescent="0.15">
      <c r="A12" s="29" t="s">
        <v>177</v>
      </c>
      <c r="C12" s="62"/>
    </row>
    <row r="13" spans="1:14" s="52" customFormat="1" ht="32.25" customHeight="1" x14ac:dyDescent="0.15">
      <c r="B13" s="260" t="s">
        <v>178</v>
      </c>
      <c r="C13" s="260"/>
      <c r="D13" s="260"/>
      <c r="E13" s="260"/>
      <c r="F13" s="260"/>
      <c r="G13" s="260"/>
      <c r="H13" s="260"/>
    </row>
    <row r="14" spans="1:14" s="52" customFormat="1" x14ac:dyDescent="0.25">
      <c r="A14" s="24"/>
      <c r="B14" s="24"/>
      <c r="C14" s="25"/>
      <c r="D14" s="24"/>
      <c r="E14" s="24"/>
      <c r="F14" s="24"/>
      <c r="G14" s="24"/>
    </row>
    <row r="15" spans="1:14" s="52" customFormat="1" x14ac:dyDescent="0.25">
      <c r="A15" s="24"/>
      <c r="B15" s="24"/>
      <c r="C15" s="25"/>
      <c r="D15" s="24"/>
      <c r="E15" s="24"/>
      <c r="F15" s="24"/>
      <c r="G15" s="24"/>
    </row>
    <row r="16" spans="1:14" s="52" customFormat="1" x14ac:dyDescent="0.25">
      <c r="A16" s="24"/>
      <c r="B16" s="24"/>
      <c r="C16" s="25"/>
      <c r="D16" s="24"/>
      <c r="E16" s="24"/>
      <c r="F16" s="24"/>
      <c r="G16" s="24"/>
    </row>
    <row r="17" spans="1:8" s="52" customFormat="1" ht="32.25" customHeight="1" x14ac:dyDescent="0.15">
      <c r="A17" s="24"/>
      <c r="B17" s="24"/>
      <c r="C17" s="25"/>
      <c r="D17" s="24"/>
      <c r="E17" s="24"/>
      <c r="F17" s="24"/>
      <c r="G17" s="24"/>
      <c r="H17" s="187"/>
    </row>
  </sheetData>
  <mergeCells count="1">
    <mergeCell ref="B13:H13"/>
  </mergeCells>
  <conditionalFormatting sqref="L6:L9">
    <cfRule type="cellIs" dxfId="14" priority="1" operator="equal">
      <formula>"Critical"</formula>
    </cfRule>
    <cfRule type="cellIs" dxfId="13" priority="2" operator="equal">
      <formula>"HIGH"</formula>
    </cfRule>
    <cfRule type="cellIs" dxfId="12" priority="3" operator="equal">
      <formula>"Medium"</formula>
    </cfRule>
    <cfRule type="cellIs" dxfId="11" priority="4" operator="equal">
      <formula>"None"</formula>
    </cfRule>
    <cfRule type="cellIs" dxfId="10" priority="5" operator="equal">
      <formula>"Low"</formula>
    </cfRule>
  </conditionalFormatting>
  <conditionalFormatting sqref="J5:J9">
    <cfRule type="cellIs" dxfId="9" priority="11" operator="equal">
      <formula>"Critical"</formula>
    </cfRule>
    <cfRule type="cellIs" dxfId="8" priority="12" operator="equal">
      <formula>"HIGH"</formula>
    </cfRule>
    <cfRule type="cellIs" dxfId="7" priority="13" operator="equal">
      <formula>"Medium"</formula>
    </cfRule>
    <cfRule type="cellIs" dxfId="6" priority="14" operator="equal">
      <formula>"None"</formula>
    </cfRule>
    <cfRule type="cellIs" dxfId="5" priority="15" operator="equal">
      <formula>"Low"</formula>
    </cfRule>
  </conditionalFormatting>
  <conditionalFormatting sqref="L5">
    <cfRule type="cellIs" dxfId="4" priority="6" operator="equal">
      <formula>"Critical"</formula>
    </cfRule>
    <cfRule type="cellIs" dxfId="3" priority="7" operator="equal">
      <formula>"HIGH"</formula>
    </cfRule>
    <cfRule type="cellIs" dxfId="2" priority="8" operator="equal">
      <formula>"Medium"</formula>
    </cfRule>
    <cfRule type="cellIs" dxfId="1" priority="9" operator="equal">
      <formula>"None"</formula>
    </cfRule>
    <cfRule type="cellIs" dxfId="0"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30"/>
  <sheetViews>
    <sheetView view="pageBreakPreview" zoomScale="80" zoomScaleNormal="100" zoomScaleSheetLayoutView="80" workbookViewId="0"/>
  </sheetViews>
  <sheetFormatPr defaultColWidth="9.140625" defaultRowHeight="15" x14ac:dyDescent="0.25"/>
  <cols>
    <col min="1" max="1" width="2.28515625" customWidth="1"/>
    <col min="2" max="2" width="15.28515625" customWidth="1"/>
    <col min="4" max="4" width="5.28515625" customWidth="1"/>
    <col min="7" max="7" width="5.42578125" customWidth="1"/>
    <col min="11" max="11" width="5.28515625" customWidth="1"/>
    <col min="14" max="14" width="5.140625" customWidth="1"/>
    <col min="16" max="16" width="13.85546875" customWidth="1"/>
    <col min="17" max="17" width="11" customWidth="1"/>
    <col min="18" max="18" width="17" customWidth="1"/>
  </cols>
  <sheetData>
    <row r="1" spans="2:18" s="75" customFormat="1" ht="27.75" customHeight="1" x14ac:dyDescent="0.2">
      <c r="B1" s="93" t="s">
        <v>171</v>
      </c>
    </row>
    <row r="2" spans="2:18" s="75" customFormat="1" thickBot="1" x14ac:dyDescent="0.25"/>
    <row r="3" spans="2:18" s="75" customFormat="1" ht="18.75" thickBot="1" x14ac:dyDescent="0.3">
      <c r="B3" s="271" t="s">
        <v>81</v>
      </c>
      <c r="C3" s="272"/>
      <c r="D3" s="272"/>
      <c r="E3" s="272"/>
      <c r="F3" s="272"/>
      <c r="G3" s="272"/>
      <c r="H3" s="272"/>
      <c r="I3" s="272"/>
      <c r="J3" s="272"/>
      <c r="K3" s="272"/>
      <c r="L3" s="272"/>
      <c r="M3" s="272"/>
      <c r="N3" s="273"/>
      <c r="P3" s="271" t="s">
        <v>66</v>
      </c>
      <c r="Q3" s="272"/>
      <c r="R3" s="273"/>
    </row>
    <row r="4" spans="2:18" s="75" customFormat="1" ht="16.5" thickBot="1" x14ac:dyDescent="0.25">
      <c r="B4" s="278" t="s">
        <v>82</v>
      </c>
      <c r="C4" s="279"/>
      <c r="D4" s="280"/>
      <c r="E4" s="278" t="s">
        <v>83</v>
      </c>
      <c r="F4" s="279"/>
      <c r="G4" s="280"/>
      <c r="H4" s="278" t="s">
        <v>84</v>
      </c>
      <c r="I4" s="279"/>
      <c r="J4" s="279"/>
      <c r="K4" s="280"/>
      <c r="L4" s="281" t="s">
        <v>85</v>
      </c>
      <c r="M4" s="282"/>
      <c r="N4" s="283"/>
      <c r="P4" s="94"/>
      <c r="Q4" s="95" t="s">
        <v>127</v>
      </c>
      <c r="R4" s="96" t="s">
        <v>73</v>
      </c>
    </row>
    <row r="5" spans="2:18" s="75" customFormat="1" ht="16.5" thickBot="1" x14ac:dyDescent="0.25">
      <c r="B5" s="97" t="s">
        <v>86</v>
      </c>
      <c r="C5" s="97" t="s">
        <v>87</v>
      </c>
      <c r="D5" s="97" t="s">
        <v>88</v>
      </c>
      <c r="E5" s="97" t="s">
        <v>89</v>
      </c>
      <c r="F5" s="97" t="s">
        <v>87</v>
      </c>
      <c r="G5" s="97" t="s">
        <v>88</v>
      </c>
      <c r="H5" s="97" t="s">
        <v>86</v>
      </c>
      <c r="I5" s="285" t="s">
        <v>87</v>
      </c>
      <c r="J5" s="286"/>
      <c r="K5" s="97" t="s">
        <v>88</v>
      </c>
      <c r="L5" s="97" t="s">
        <v>86</v>
      </c>
      <c r="M5" s="97" t="s">
        <v>87</v>
      </c>
      <c r="N5" s="97" t="s">
        <v>88</v>
      </c>
      <c r="P5" s="98"/>
      <c r="Q5" s="99" t="s">
        <v>49</v>
      </c>
      <c r="R5" s="100">
        <v>0.04</v>
      </c>
    </row>
    <row r="6" spans="2:18" s="75" customFormat="1" ht="15.75" x14ac:dyDescent="0.2">
      <c r="B6" s="101" t="s">
        <v>78</v>
      </c>
      <c r="C6" s="102">
        <v>0.85</v>
      </c>
      <c r="D6" s="103" t="s">
        <v>58</v>
      </c>
      <c r="E6" s="101" t="s">
        <v>56</v>
      </c>
      <c r="F6" s="102">
        <v>0.77</v>
      </c>
      <c r="G6" s="104" t="s">
        <v>90</v>
      </c>
      <c r="H6" s="101" t="s">
        <v>77</v>
      </c>
      <c r="I6" s="105">
        <v>0.85</v>
      </c>
      <c r="J6" s="106">
        <v>0.85</v>
      </c>
      <c r="K6" s="103" t="s">
        <v>58</v>
      </c>
      <c r="L6" s="101" t="s">
        <v>77</v>
      </c>
      <c r="M6" s="107">
        <v>0.85</v>
      </c>
      <c r="N6" s="108" t="s">
        <v>58</v>
      </c>
      <c r="P6" s="98"/>
      <c r="Q6" s="109" t="s">
        <v>56</v>
      </c>
      <c r="R6" s="110">
        <v>0.2</v>
      </c>
    </row>
    <row r="7" spans="2:18" s="75" customFormat="1" ht="15.75" x14ac:dyDescent="0.2">
      <c r="B7" s="101" t="s">
        <v>80</v>
      </c>
      <c r="C7" s="111">
        <v>0.62</v>
      </c>
      <c r="D7" s="103" t="s">
        <v>91</v>
      </c>
      <c r="E7" s="101" t="s">
        <v>65</v>
      </c>
      <c r="F7" s="111">
        <v>0.44</v>
      </c>
      <c r="G7" s="104" t="s">
        <v>92</v>
      </c>
      <c r="H7" s="101" t="s">
        <v>56</v>
      </c>
      <c r="I7" s="112">
        <v>0.62</v>
      </c>
      <c r="J7" s="106">
        <v>0.68</v>
      </c>
      <c r="K7" s="103" t="s">
        <v>90</v>
      </c>
      <c r="L7" s="101" t="s">
        <v>76</v>
      </c>
      <c r="M7" s="113">
        <v>0.62</v>
      </c>
      <c r="N7" s="108" t="s">
        <v>93</v>
      </c>
      <c r="P7" s="98"/>
      <c r="Q7" s="114" t="s">
        <v>55</v>
      </c>
      <c r="R7" s="110">
        <v>0.5</v>
      </c>
    </row>
    <row r="8" spans="2:18" s="75" customFormat="1" ht="15.75" x14ac:dyDescent="0.2">
      <c r="B8" s="101" t="s">
        <v>79</v>
      </c>
      <c r="C8" s="111">
        <v>0.55000000000000004</v>
      </c>
      <c r="D8" s="103" t="s">
        <v>90</v>
      </c>
      <c r="E8" s="101"/>
      <c r="F8" s="111"/>
      <c r="G8" s="103"/>
      <c r="H8" s="101" t="s">
        <v>65</v>
      </c>
      <c r="I8" s="112">
        <v>0.27</v>
      </c>
      <c r="J8" s="106">
        <v>0.5</v>
      </c>
      <c r="K8" s="103" t="s">
        <v>92</v>
      </c>
      <c r="L8" s="101"/>
      <c r="M8" s="106"/>
      <c r="N8" s="108"/>
      <c r="P8" s="98"/>
      <c r="Q8" s="115" t="s">
        <v>65</v>
      </c>
      <c r="R8" s="110">
        <v>0.8</v>
      </c>
    </row>
    <row r="9" spans="2:18" s="75" customFormat="1" ht="15.75" x14ac:dyDescent="0.2">
      <c r="B9" s="101" t="s">
        <v>75</v>
      </c>
      <c r="C9" s="111">
        <v>0.2</v>
      </c>
      <c r="D9" s="108" t="s">
        <v>94</v>
      </c>
      <c r="E9" s="132"/>
      <c r="F9" s="131"/>
      <c r="G9" s="186"/>
      <c r="H9" s="101"/>
      <c r="I9" s="112"/>
      <c r="J9" s="106"/>
      <c r="K9" s="108"/>
      <c r="L9" s="101"/>
      <c r="M9" s="106"/>
      <c r="N9" s="108"/>
      <c r="P9" s="98"/>
      <c r="Q9" s="125" t="s">
        <v>105</v>
      </c>
      <c r="R9" s="110">
        <v>1</v>
      </c>
    </row>
    <row r="10" spans="2:18" s="75" customFormat="1" ht="16.5" thickBot="1" x14ac:dyDescent="0.25">
      <c r="B10" s="116"/>
      <c r="C10" s="117"/>
      <c r="D10" s="118"/>
      <c r="E10" s="119"/>
      <c r="F10" s="120"/>
      <c r="G10" s="121"/>
      <c r="H10" s="116"/>
      <c r="I10" s="122"/>
      <c r="J10" s="123"/>
      <c r="K10" s="118"/>
      <c r="L10" s="116"/>
      <c r="M10" s="123"/>
      <c r="N10" s="118"/>
      <c r="P10" s="124"/>
      <c r="R10" s="110"/>
    </row>
    <row r="11" spans="2:18" s="75" customFormat="1" thickBot="1" x14ac:dyDescent="0.25"/>
    <row r="12" spans="2:18" s="75" customFormat="1" ht="18.75" thickBot="1" x14ac:dyDescent="0.3">
      <c r="B12" s="271" t="s">
        <v>95</v>
      </c>
      <c r="C12" s="272"/>
      <c r="D12" s="272"/>
      <c r="E12" s="272"/>
      <c r="F12" s="272"/>
      <c r="G12" s="272"/>
      <c r="H12" s="272"/>
      <c r="I12" s="272"/>
      <c r="J12" s="272"/>
      <c r="K12" s="272"/>
      <c r="L12" s="272"/>
      <c r="M12" s="272"/>
      <c r="N12" s="273"/>
      <c r="P12" s="163" t="s">
        <v>183</v>
      </c>
      <c r="Q12" s="127" t="s">
        <v>125</v>
      </c>
    </row>
    <row r="13" spans="2:18" s="75" customFormat="1" ht="16.5" thickBot="1" x14ac:dyDescent="0.25">
      <c r="B13" s="274" t="s">
        <v>96</v>
      </c>
      <c r="C13" s="275"/>
      <c r="D13" s="275"/>
      <c r="E13" s="275"/>
      <c r="F13" s="275"/>
      <c r="G13" s="276"/>
      <c r="H13" s="275"/>
      <c r="I13" s="275"/>
      <c r="J13" s="275"/>
      <c r="K13" s="275"/>
      <c r="L13" s="275"/>
      <c r="M13" s="275"/>
      <c r="N13" s="277"/>
      <c r="P13" s="101"/>
      <c r="Q13" s="106" t="s">
        <v>184</v>
      </c>
    </row>
    <row r="14" spans="2:18" s="75" customFormat="1" thickBot="1" x14ac:dyDescent="0.25">
      <c r="B14" s="97" t="s">
        <v>86</v>
      </c>
      <c r="C14" s="97" t="s">
        <v>87</v>
      </c>
      <c r="D14" s="97" t="s">
        <v>88</v>
      </c>
      <c r="E14" s="126"/>
      <c r="F14" s="126"/>
      <c r="G14" s="126"/>
      <c r="H14" s="126"/>
      <c r="I14" s="126"/>
      <c r="J14" s="126"/>
      <c r="K14" s="126"/>
      <c r="L14" s="126"/>
      <c r="M14" s="126"/>
      <c r="N14" s="127"/>
      <c r="P14" s="116"/>
      <c r="Q14" s="123"/>
    </row>
    <row r="15" spans="2:18" s="75" customFormat="1" ht="17.25" x14ac:dyDescent="0.3">
      <c r="B15" s="128" t="s">
        <v>77</v>
      </c>
      <c r="C15" s="102">
        <v>0</v>
      </c>
      <c r="D15" s="129" t="s">
        <v>58</v>
      </c>
      <c r="E15" s="130" t="s">
        <v>179</v>
      </c>
      <c r="F15" s="131"/>
      <c r="G15" s="131"/>
      <c r="H15" s="131"/>
      <c r="J15" s="131"/>
      <c r="K15" s="131"/>
      <c r="L15" s="131"/>
      <c r="M15" s="131"/>
      <c r="N15" s="106"/>
    </row>
    <row r="16" spans="2:18" s="75" customFormat="1" ht="14.25" x14ac:dyDescent="0.2">
      <c r="B16" s="132" t="s">
        <v>56</v>
      </c>
      <c r="C16" s="111">
        <v>0.22</v>
      </c>
      <c r="D16" s="133" t="s">
        <v>90</v>
      </c>
      <c r="E16" s="131"/>
      <c r="F16" s="131"/>
      <c r="G16" s="131"/>
      <c r="H16" s="131"/>
      <c r="I16" s="131"/>
      <c r="J16" s="131"/>
      <c r="K16" s="131"/>
      <c r="L16" s="131"/>
      <c r="M16" s="131"/>
      <c r="N16" s="106"/>
    </row>
    <row r="17" spans="2:17" s="75" customFormat="1" ht="14.25" x14ac:dyDescent="0.2">
      <c r="B17" s="132" t="s">
        <v>65</v>
      </c>
      <c r="C17" s="111">
        <v>0.56000000000000005</v>
      </c>
      <c r="D17" s="133" t="s">
        <v>92</v>
      </c>
      <c r="E17" s="131"/>
      <c r="F17" s="131"/>
      <c r="G17" s="131"/>
      <c r="H17" s="131"/>
      <c r="I17" s="131"/>
      <c r="J17" s="131"/>
      <c r="K17" s="131"/>
      <c r="L17" s="131"/>
      <c r="M17" s="131"/>
      <c r="N17" s="106"/>
    </row>
    <row r="18" spans="2:17" s="75" customFormat="1" thickBot="1" x14ac:dyDescent="0.25">
      <c r="B18" s="119"/>
      <c r="C18" s="117"/>
      <c r="D18" s="134"/>
      <c r="E18" s="120"/>
      <c r="F18" s="120"/>
      <c r="G18" s="120"/>
      <c r="H18" s="120"/>
      <c r="I18" s="120"/>
      <c r="J18" s="120"/>
      <c r="K18" s="120"/>
      <c r="L18" s="120"/>
      <c r="M18" s="120"/>
      <c r="N18" s="123"/>
    </row>
    <row r="19" spans="2:17" s="75" customFormat="1" thickBot="1" x14ac:dyDescent="0.25"/>
    <row r="20" spans="2:17" s="75" customFormat="1" ht="18.75" thickBot="1" x14ac:dyDescent="0.3">
      <c r="B20" s="271" t="s">
        <v>69</v>
      </c>
      <c r="C20" s="272"/>
      <c r="D20" s="272"/>
      <c r="E20" s="272"/>
      <c r="F20" s="272"/>
      <c r="G20" s="272"/>
      <c r="H20" s="272"/>
      <c r="I20" s="272"/>
      <c r="J20" s="272"/>
      <c r="K20" s="272"/>
      <c r="L20" s="272"/>
      <c r="M20" s="272"/>
      <c r="N20" s="273"/>
    </row>
    <row r="21" spans="2:17" s="75" customFormat="1" ht="42.6" customHeight="1" thickBot="1" x14ac:dyDescent="0.25">
      <c r="B21" s="135" t="s">
        <v>74</v>
      </c>
      <c r="C21" s="287" t="s">
        <v>97</v>
      </c>
      <c r="D21" s="288"/>
      <c r="E21" s="288"/>
      <c r="F21" s="288"/>
      <c r="G21" s="288"/>
      <c r="H21" s="288"/>
      <c r="I21" s="288"/>
      <c r="J21" s="288"/>
      <c r="K21" s="288"/>
      <c r="L21" s="288"/>
      <c r="M21" s="289"/>
      <c r="N21" s="136" t="s">
        <v>98</v>
      </c>
    </row>
    <row r="22" spans="2:17" s="75" customFormat="1" ht="43.9" customHeight="1" thickBot="1" x14ac:dyDescent="0.25">
      <c r="B22" s="137" t="s">
        <v>99</v>
      </c>
      <c r="C22" s="290" t="s">
        <v>100</v>
      </c>
      <c r="D22" s="288"/>
      <c r="E22" s="288"/>
      <c r="F22" s="288"/>
      <c r="G22" s="288"/>
      <c r="H22" s="288"/>
      <c r="I22" s="288"/>
      <c r="J22" s="288"/>
      <c r="K22" s="288"/>
      <c r="L22" s="288"/>
      <c r="M22" s="289"/>
      <c r="N22" s="138" t="s">
        <v>101</v>
      </c>
      <c r="O22" s="139"/>
      <c r="P22" s="139"/>
      <c r="Q22" s="139"/>
    </row>
    <row r="23" spans="2:17" s="75" customFormat="1" ht="16.5" thickBot="1" x14ac:dyDescent="0.25">
      <c r="B23" s="137"/>
      <c r="C23" s="290"/>
      <c r="D23" s="288"/>
      <c r="E23" s="288"/>
      <c r="F23" s="288"/>
      <c r="G23" s="288"/>
      <c r="H23" s="288"/>
      <c r="I23" s="288"/>
      <c r="J23" s="288"/>
      <c r="K23" s="288"/>
      <c r="L23" s="288"/>
      <c r="M23" s="289"/>
      <c r="N23" s="138"/>
    </row>
    <row r="24" spans="2:17" s="75" customFormat="1" ht="14.25" x14ac:dyDescent="0.2"/>
    <row r="25" spans="2:17" s="75" customFormat="1" ht="14.25" x14ac:dyDescent="0.2">
      <c r="B25" s="75" t="s">
        <v>102</v>
      </c>
    </row>
    <row r="26" spans="2:17" s="75" customFormat="1" ht="262.5" customHeight="1" x14ac:dyDescent="0.2">
      <c r="B26" s="52" t="s">
        <v>103</v>
      </c>
      <c r="C26" s="284" t="s">
        <v>104</v>
      </c>
      <c r="D26" s="284"/>
      <c r="E26" s="284"/>
      <c r="F26" s="284"/>
      <c r="G26" s="284"/>
      <c r="H26" s="284"/>
      <c r="I26" s="284"/>
      <c r="J26" s="284"/>
    </row>
    <row r="29" spans="2:17" x14ac:dyDescent="0.25">
      <c r="B29" s="29" t="s">
        <v>177</v>
      </c>
    </row>
    <row r="30" spans="2:17" ht="48" customHeight="1" x14ac:dyDescent="0.25">
      <c r="C30" s="260" t="s">
        <v>178</v>
      </c>
      <c r="D30" s="260"/>
      <c r="E30" s="260"/>
      <c r="F30" s="260"/>
      <c r="G30" s="260"/>
      <c r="H30" s="260"/>
      <c r="I30" s="260"/>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64877A3D81AB469AACA2EE19610E87" ma:contentTypeVersion="12" ma:contentTypeDescription="Create a new document." ma:contentTypeScope="" ma:versionID="2e86caf7f3ac30cbd4f92289216ce40d">
  <xsd:schema xmlns:xsd="http://www.w3.org/2001/XMLSchema" xmlns:xs="http://www.w3.org/2001/XMLSchema" xmlns:p="http://schemas.microsoft.com/office/2006/metadata/properties" xmlns:ns2="a3e52c44-b2ba-43b6-ab3d-ff9287d64892" xmlns:ns3="97896bf8-bae8-48c1-9c61-0a346452bfc7" targetNamespace="http://schemas.microsoft.com/office/2006/metadata/properties" ma:root="true" ma:fieldsID="5d6f0b99f685390f7de87540cfdb1cdc" ns2:_="" ns3:_="">
    <xsd:import namespace="a3e52c44-b2ba-43b6-ab3d-ff9287d64892"/>
    <xsd:import namespace="97896bf8-bae8-48c1-9c61-0a346452bf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e52c44-b2ba-43b6-ab3d-ff9287d648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896bf8-bae8-48c1-9c61-0a346452bfc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D504E1-A92F-4361-AD58-486F8ADCA4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e52c44-b2ba-43b6-ab3d-ff9287d64892"/>
    <ds:schemaRef ds:uri="97896bf8-bae8-48c1-9c61-0a346452b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AF7F02-150C-44AA-ACFE-3054112CF8E2}">
  <ds:schemaRefs>
    <ds:schemaRef ds:uri="http://www.w3.org/XML/1998/namespace"/>
    <ds:schemaRef ds:uri="http://purl.org/dc/terms/"/>
    <ds:schemaRef ds:uri="97896bf8-bae8-48c1-9c61-0a346452bfc7"/>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a3e52c44-b2ba-43b6-ab3d-ff9287d64892"/>
    <ds:schemaRef ds:uri="http://schemas.microsoft.com/office/2006/metadata/properties"/>
  </ds:schemaRefs>
</ds:datastoreItem>
</file>

<file path=customXml/itemProps3.xml><?xml version="1.0" encoding="utf-8"?>
<ds:datastoreItem xmlns:ds="http://schemas.openxmlformats.org/officeDocument/2006/customXml" ds:itemID="{03667C78-2767-48FE-B183-28F119783D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35</vt:i4>
      </vt:variant>
    </vt:vector>
  </HeadingPairs>
  <TitlesOfParts>
    <vt:vector size="47" baseType="lpstr">
      <vt:lpstr>Header (Optional)</vt:lpstr>
      <vt:lpstr>Document References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  </dc:title>
  <dc:creator>Nitin Sharma</dc:creator>
  <cp:lastModifiedBy>P Muni Sai Sivakumar</cp:lastModifiedBy>
  <cp:lastPrinted>2019-04-02T20:36:46Z</cp:lastPrinted>
  <dcterms:created xsi:type="dcterms:W3CDTF">2017-03-06T20:58:36Z</dcterms:created>
  <dcterms:modified xsi:type="dcterms:W3CDTF">2022-02-01T07:14:54Z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0x0101008964877A3D81AB469AACA2EE19610E87</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ies>
</file>