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showInkAnnotation="0"/>
  <mc:AlternateContent xmlns:mc="http://schemas.openxmlformats.org/markup-compatibility/2006">
    <mc:Choice Requires="x15">
      <x15ac:absPath xmlns:x15ac="http://schemas.microsoft.com/office/spreadsheetml/2010/11/ac" url="D:\Stryker\"/>
    </mc:Choice>
  </mc:AlternateContent>
  <bookViews>
    <workbookView xWindow="-105" yWindow="-105" windowWidth="19425" windowHeight="10425" tabRatio="891" firstSheet="1" activeTab="1"/>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2" l="1"/>
  <c r="G28" i="12" l="1"/>
  <c r="G43" i="12" l="1"/>
  <c r="E24" i="12" l="1"/>
  <c r="E17" i="12"/>
  <c r="C91" i="12" l="1"/>
  <c r="E107" i="12"/>
  <c r="E90" i="12" l="1"/>
  <c r="W82" i="12"/>
  <c r="G100" i="12"/>
  <c r="C114" i="12"/>
  <c r="E114" i="12"/>
  <c r="G114" i="12"/>
  <c r="R114" i="12"/>
  <c r="S114" i="12"/>
  <c r="T114" i="12" s="1"/>
  <c r="W114" i="12"/>
  <c r="AK114" i="12"/>
  <c r="AL114" i="12"/>
  <c r="AM114" i="12"/>
  <c r="AN114" i="12" s="1"/>
  <c r="AO114" i="12" l="1"/>
  <c r="AP114" i="12" s="1"/>
  <c r="U114" i="12"/>
  <c r="X114" i="12"/>
  <c r="Y114" i="12" s="1"/>
  <c r="C121" i="12"/>
  <c r="E121" i="12"/>
  <c r="G121" i="12"/>
  <c r="R121" i="12"/>
  <c r="S121" i="12"/>
  <c r="T121" i="12" s="1"/>
  <c r="W121" i="12"/>
  <c r="AK121" i="12"/>
  <c r="AL121" i="12"/>
  <c r="AM121" i="12"/>
  <c r="AN121" i="12" s="1"/>
  <c r="C122" i="12"/>
  <c r="E122" i="12"/>
  <c r="G122" i="12"/>
  <c r="R122" i="12"/>
  <c r="S122" i="12"/>
  <c r="T122" i="12" s="1"/>
  <c r="W122" i="12"/>
  <c r="AK122" i="12"/>
  <c r="AL122" i="12"/>
  <c r="AM122" i="12"/>
  <c r="AO122" i="12" s="1"/>
  <c r="AP122" i="12" s="1"/>
  <c r="C123" i="12"/>
  <c r="E123" i="12"/>
  <c r="G123" i="12"/>
  <c r="R123" i="12"/>
  <c r="S123" i="12"/>
  <c r="T123" i="12" s="1"/>
  <c r="W123" i="12"/>
  <c r="AK123" i="12"/>
  <c r="AL123" i="12"/>
  <c r="AM123" i="12"/>
  <c r="AN123" i="12" s="1"/>
  <c r="C117" i="12"/>
  <c r="E117" i="12"/>
  <c r="G117" i="12"/>
  <c r="R117" i="12"/>
  <c r="S117" i="12"/>
  <c r="T117" i="12" s="1"/>
  <c r="W117" i="12"/>
  <c r="AK117" i="12"/>
  <c r="AL117" i="12"/>
  <c r="AM117" i="12"/>
  <c r="AO117" i="12" s="1"/>
  <c r="AP117" i="12" s="1"/>
  <c r="C115" i="12"/>
  <c r="E115" i="12"/>
  <c r="G115" i="12"/>
  <c r="R115" i="12"/>
  <c r="S115" i="12"/>
  <c r="T115" i="12" s="1"/>
  <c r="W115" i="12"/>
  <c r="AK115" i="12"/>
  <c r="AL115" i="12"/>
  <c r="AM115" i="12"/>
  <c r="AN115" i="12" s="1"/>
  <c r="C111" i="12"/>
  <c r="E111" i="12"/>
  <c r="G111" i="12"/>
  <c r="R111" i="12"/>
  <c r="S111" i="12"/>
  <c r="T111" i="12" s="1"/>
  <c r="W111" i="12"/>
  <c r="AK111" i="12"/>
  <c r="AL111" i="12"/>
  <c r="AM111" i="12"/>
  <c r="AO111" i="12" s="1"/>
  <c r="AP111" i="12" s="1"/>
  <c r="C112" i="12"/>
  <c r="E112" i="12"/>
  <c r="G112" i="12"/>
  <c r="R112" i="12"/>
  <c r="S112" i="12"/>
  <c r="T112" i="12" s="1"/>
  <c r="W112" i="12"/>
  <c r="AK112" i="12"/>
  <c r="AL112" i="12"/>
  <c r="AM112" i="12"/>
  <c r="AO112" i="12" s="1"/>
  <c r="AP112" i="12" s="1"/>
  <c r="C113" i="12"/>
  <c r="E113" i="12"/>
  <c r="G113" i="12"/>
  <c r="R113" i="12"/>
  <c r="S113" i="12"/>
  <c r="T113" i="12" s="1"/>
  <c r="W113" i="12"/>
  <c r="AK113" i="12"/>
  <c r="AL113" i="12"/>
  <c r="AM113" i="12"/>
  <c r="AN113" i="12" s="1"/>
  <c r="C108" i="12"/>
  <c r="E108" i="12"/>
  <c r="G108" i="12"/>
  <c r="R108" i="12"/>
  <c r="S108" i="12"/>
  <c r="T108" i="12" s="1"/>
  <c r="W108" i="12"/>
  <c r="AK108" i="12"/>
  <c r="AL108" i="12"/>
  <c r="AM108" i="12"/>
  <c r="AN108" i="12" s="1"/>
  <c r="C109" i="12"/>
  <c r="E109" i="12"/>
  <c r="G109" i="12"/>
  <c r="R109" i="12"/>
  <c r="S109" i="12"/>
  <c r="T109" i="12" s="1"/>
  <c r="W109" i="12"/>
  <c r="AK109" i="12"/>
  <c r="AL109" i="12"/>
  <c r="AM109" i="12"/>
  <c r="AO109" i="12" s="1"/>
  <c r="AP109" i="12" s="1"/>
  <c r="C110" i="12"/>
  <c r="E110" i="12"/>
  <c r="G110" i="12"/>
  <c r="R110" i="12"/>
  <c r="S110" i="12"/>
  <c r="T110" i="12" s="1"/>
  <c r="W110" i="12"/>
  <c r="AK110" i="12"/>
  <c r="AL110" i="12"/>
  <c r="AM110" i="12"/>
  <c r="AN110" i="12" s="1"/>
  <c r="C107" i="12"/>
  <c r="G107" i="12"/>
  <c r="R107" i="12"/>
  <c r="S107" i="12"/>
  <c r="T107" i="12" s="1"/>
  <c r="W107" i="12"/>
  <c r="AK107" i="12"/>
  <c r="AL107" i="12"/>
  <c r="AM107" i="12"/>
  <c r="AN107" i="12" s="1"/>
  <c r="C103" i="12"/>
  <c r="E103" i="12"/>
  <c r="G103" i="12"/>
  <c r="R103" i="12"/>
  <c r="S103" i="12"/>
  <c r="T103" i="12" s="1"/>
  <c r="W103" i="12"/>
  <c r="AK103" i="12"/>
  <c r="AL103" i="12"/>
  <c r="AM103" i="12"/>
  <c r="AO103" i="12" s="1"/>
  <c r="AP103" i="12" s="1"/>
  <c r="C104" i="12"/>
  <c r="E104" i="12"/>
  <c r="G104" i="12"/>
  <c r="R104" i="12"/>
  <c r="S104" i="12"/>
  <c r="T104" i="12" s="1"/>
  <c r="W104" i="12"/>
  <c r="AK104" i="12"/>
  <c r="AL104" i="12"/>
  <c r="AM104" i="12"/>
  <c r="AN104" i="12" s="1"/>
  <c r="C105" i="12"/>
  <c r="E105" i="12"/>
  <c r="G105" i="12"/>
  <c r="R105" i="12"/>
  <c r="S105" i="12"/>
  <c r="T105" i="12" s="1"/>
  <c r="W105" i="12"/>
  <c r="AK105" i="12"/>
  <c r="AL105" i="12"/>
  <c r="AM105" i="12"/>
  <c r="AO105" i="12" s="1"/>
  <c r="AP105" i="12" s="1"/>
  <c r="C101" i="12"/>
  <c r="E101" i="12"/>
  <c r="G101" i="12"/>
  <c r="R101" i="12"/>
  <c r="S101" i="12"/>
  <c r="T101" i="12" s="1"/>
  <c r="W101" i="12"/>
  <c r="AK101" i="12"/>
  <c r="AL101" i="12"/>
  <c r="AM101" i="12"/>
  <c r="AN101" i="12" s="1"/>
  <c r="C102" i="12"/>
  <c r="E102" i="12"/>
  <c r="G102" i="12"/>
  <c r="R102" i="12"/>
  <c r="S102" i="12"/>
  <c r="T102" i="12" s="1"/>
  <c r="W102" i="12"/>
  <c r="AK102" i="12"/>
  <c r="AL102" i="12"/>
  <c r="AM102" i="12"/>
  <c r="AN102" i="12" s="1"/>
  <c r="C99" i="12"/>
  <c r="E99" i="12"/>
  <c r="G99" i="12"/>
  <c r="R99" i="12"/>
  <c r="S99" i="12"/>
  <c r="T99" i="12" s="1"/>
  <c r="W99" i="12"/>
  <c r="AK99" i="12"/>
  <c r="AL99" i="12"/>
  <c r="AM99" i="12"/>
  <c r="AO99" i="12" s="1"/>
  <c r="AP99" i="12" s="1"/>
  <c r="C97" i="12"/>
  <c r="E97" i="12"/>
  <c r="G97" i="12"/>
  <c r="R97" i="12"/>
  <c r="S97" i="12"/>
  <c r="T97" i="12" s="1"/>
  <c r="W97" i="12"/>
  <c r="AK97" i="12"/>
  <c r="AL97" i="12"/>
  <c r="AM97" i="12"/>
  <c r="AN97" i="12" s="1"/>
  <c r="C95" i="12"/>
  <c r="E95" i="12"/>
  <c r="G95" i="12"/>
  <c r="R95" i="12"/>
  <c r="S95" i="12"/>
  <c r="T95" i="12" s="1"/>
  <c r="W95" i="12"/>
  <c r="AK95" i="12"/>
  <c r="AL95" i="12"/>
  <c r="AM95" i="12"/>
  <c r="AO95" i="12" s="1"/>
  <c r="AP95" i="12" s="1"/>
  <c r="C94" i="12"/>
  <c r="E94" i="12"/>
  <c r="G94" i="12"/>
  <c r="R94" i="12"/>
  <c r="S94" i="12"/>
  <c r="T94" i="12" s="1"/>
  <c r="W94" i="12"/>
  <c r="AK94" i="12"/>
  <c r="AL94" i="12"/>
  <c r="AM94" i="12"/>
  <c r="AN94" i="12" s="1"/>
  <c r="C93" i="12"/>
  <c r="E93" i="12"/>
  <c r="G93" i="12"/>
  <c r="R93" i="12"/>
  <c r="S93" i="12"/>
  <c r="T93" i="12" s="1"/>
  <c r="W93" i="12"/>
  <c r="AK93" i="12"/>
  <c r="AL93" i="12"/>
  <c r="AM93" i="12"/>
  <c r="AN93" i="12" s="1"/>
  <c r="C92" i="12"/>
  <c r="E92" i="12"/>
  <c r="G92" i="12"/>
  <c r="R92" i="12"/>
  <c r="S92" i="12"/>
  <c r="T92" i="12" s="1"/>
  <c r="W92" i="12"/>
  <c r="AK92" i="12"/>
  <c r="AL92" i="12"/>
  <c r="AM92" i="12"/>
  <c r="AN92" i="12" s="1"/>
  <c r="C87" i="12"/>
  <c r="E87" i="12"/>
  <c r="G87" i="12"/>
  <c r="R87" i="12"/>
  <c r="S87" i="12"/>
  <c r="T87" i="12" s="1"/>
  <c r="W87" i="12"/>
  <c r="AK87" i="12"/>
  <c r="AL87" i="12"/>
  <c r="AM87" i="12"/>
  <c r="AO87" i="12" s="1"/>
  <c r="AP87" i="12" s="1"/>
  <c r="C85" i="12"/>
  <c r="E85" i="12"/>
  <c r="G85" i="12"/>
  <c r="R85" i="12"/>
  <c r="S85" i="12"/>
  <c r="T85" i="12" s="1"/>
  <c r="W85" i="12"/>
  <c r="AK85" i="12"/>
  <c r="AL85" i="12"/>
  <c r="AM85" i="12"/>
  <c r="AO85" i="12" s="1"/>
  <c r="AP85" i="12" s="1"/>
  <c r="C81" i="12"/>
  <c r="E81" i="12"/>
  <c r="G81" i="12"/>
  <c r="R81" i="12"/>
  <c r="S81" i="12"/>
  <c r="T81" i="12" s="1"/>
  <c r="W81" i="12"/>
  <c r="AK81" i="12"/>
  <c r="AL81" i="12"/>
  <c r="AM81" i="12"/>
  <c r="AN81" i="12" s="1"/>
  <c r="C79" i="12"/>
  <c r="E79" i="12"/>
  <c r="G79" i="12"/>
  <c r="R79" i="12"/>
  <c r="S79" i="12"/>
  <c r="T79" i="12" s="1"/>
  <c r="W79" i="12"/>
  <c r="AK79" i="12"/>
  <c r="AL79" i="12"/>
  <c r="AM79" i="12"/>
  <c r="AO79" i="12" s="1"/>
  <c r="AP79" i="12" s="1"/>
  <c r="C77" i="12"/>
  <c r="E77" i="12"/>
  <c r="G77" i="12"/>
  <c r="R77" i="12"/>
  <c r="S77" i="12"/>
  <c r="T77" i="12" s="1"/>
  <c r="W77" i="12"/>
  <c r="AK77" i="12"/>
  <c r="AL77" i="12"/>
  <c r="AM77" i="12"/>
  <c r="AN77" i="12" s="1"/>
  <c r="C74" i="12"/>
  <c r="E74" i="12"/>
  <c r="G74" i="12"/>
  <c r="R74" i="12"/>
  <c r="S74" i="12"/>
  <c r="T74" i="12" s="1"/>
  <c r="W74" i="12"/>
  <c r="AK74" i="12"/>
  <c r="AL74" i="12"/>
  <c r="AM74" i="12"/>
  <c r="AN74" i="12" s="1"/>
  <c r="C75" i="12"/>
  <c r="E75" i="12"/>
  <c r="G75" i="12"/>
  <c r="R75" i="12"/>
  <c r="S75" i="12"/>
  <c r="T75" i="12" s="1"/>
  <c r="W75" i="12"/>
  <c r="AK75" i="12"/>
  <c r="AL75" i="12"/>
  <c r="AM75" i="12"/>
  <c r="AN75" i="12" s="1"/>
  <c r="C72" i="12"/>
  <c r="E72" i="12"/>
  <c r="G72" i="12"/>
  <c r="R72" i="12"/>
  <c r="S72" i="12"/>
  <c r="T72" i="12" s="1"/>
  <c r="W72" i="12"/>
  <c r="AK72" i="12"/>
  <c r="AL72" i="12"/>
  <c r="AM72" i="12"/>
  <c r="AN72" i="12" s="1"/>
  <c r="C69" i="12"/>
  <c r="E69" i="12"/>
  <c r="G69" i="12"/>
  <c r="R69" i="12"/>
  <c r="S69" i="12"/>
  <c r="T69" i="12" s="1"/>
  <c r="W69" i="12"/>
  <c r="AK69" i="12"/>
  <c r="AL69" i="12"/>
  <c r="AM69" i="12"/>
  <c r="AN69" i="12" s="1"/>
  <c r="C65" i="12"/>
  <c r="E65" i="12"/>
  <c r="G65" i="12"/>
  <c r="R65" i="12"/>
  <c r="S65" i="12"/>
  <c r="T65" i="12" s="1"/>
  <c r="W65" i="12"/>
  <c r="AK65" i="12"/>
  <c r="AL65" i="12"/>
  <c r="AM65" i="12"/>
  <c r="AN65" i="12" s="1"/>
  <c r="C66" i="12"/>
  <c r="E66" i="12"/>
  <c r="G66" i="12"/>
  <c r="R66" i="12"/>
  <c r="S66" i="12"/>
  <c r="T66" i="12" s="1"/>
  <c r="W66" i="12"/>
  <c r="AK66" i="12"/>
  <c r="AL66" i="12"/>
  <c r="AM66" i="12"/>
  <c r="AN66" i="12" s="1"/>
  <c r="C62" i="12"/>
  <c r="E62" i="12"/>
  <c r="G62" i="12"/>
  <c r="R62" i="12"/>
  <c r="S62" i="12"/>
  <c r="T62" i="12" s="1"/>
  <c r="W62" i="12"/>
  <c r="AK62" i="12"/>
  <c r="AL62" i="12"/>
  <c r="AM62" i="12"/>
  <c r="AO62" i="12" s="1"/>
  <c r="AP62" i="12" s="1"/>
  <c r="C63" i="12"/>
  <c r="E63" i="12"/>
  <c r="G63" i="12"/>
  <c r="R63" i="12"/>
  <c r="S63" i="12"/>
  <c r="T63" i="12" s="1"/>
  <c r="W63" i="12"/>
  <c r="AK63" i="12"/>
  <c r="AL63" i="12"/>
  <c r="AM63" i="12"/>
  <c r="AO63" i="12" s="1"/>
  <c r="AP63" i="12" s="1"/>
  <c r="C59" i="12"/>
  <c r="E59" i="12"/>
  <c r="G59" i="12"/>
  <c r="R59" i="12"/>
  <c r="S59" i="12"/>
  <c r="T59" i="12" s="1"/>
  <c r="W59" i="12"/>
  <c r="AK59" i="12"/>
  <c r="AL59" i="12"/>
  <c r="AM59" i="12"/>
  <c r="AN59" i="12" s="1"/>
  <c r="C60" i="12"/>
  <c r="E60" i="12"/>
  <c r="G60" i="12"/>
  <c r="R60" i="12"/>
  <c r="S60" i="12"/>
  <c r="T60" i="12" s="1"/>
  <c r="W60" i="12"/>
  <c r="AK60" i="12"/>
  <c r="AL60" i="12"/>
  <c r="AM60" i="12"/>
  <c r="AN60" i="12" s="1"/>
  <c r="C56" i="12"/>
  <c r="E56" i="12"/>
  <c r="G56" i="12"/>
  <c r="R56" i="12"/>
  <c r="S56" i="12"/>
  <c r="T56" i="12" s="1"/>
  <c r="W56" i="12"/>
  <c r="AK56" i="12"/>
  <c r="AL56" i="12"/>
  <c r="AM56" i="12"/>
  <c r="AN56" i="12" s="1"/>
  <c r="C53" i="12"/>
  <c r="E53" i="12"/>
  <c r="G53" i="12"/>
  <c r="R53" i="12"/>
  <c r="S53" i="12"/>
  <c r="T53" i="12" s="1"/>
  <c r="W53" i="12"/>
  <c r="AK53" i="12"/>
  <c r="AL53" i="12"/>
  <c r="AM53" i="12"/>
  <c r="AN53" i="12" s="1"/>
  <c r="C54" i="12"/>
  <c r="E54" i="12"/>
  <c r="G54" i="12"/>
  <c r="R54" i="12"/>
  <c r="S54" i="12"/>
  <c r="T54" i="12" s="1"/>
  <c r="W54" i="12"/>
  <c r="AK54" i="12"/>
  <c r="AL54" i="12"/>
  <c r="AM54" i="12"/>
  <c r="AN54"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8" i="12"/>
  <c r="E48" i="12"/>
  <c r="G48" i="12"/>
  <c r="R48" i="12"/>
  <c r="S48" i="12"/>
  <c r="T48" i="12" s="1"/>
  <c r="W48" i="12"/>
  <c r="AK48" i="12"/>
  <c r="AL48" i="12"/>
  <c r="AM48" i="12"/>
  <c r="AN48" i="12" s="1"/>
  <c r="C47" i="12"/>
  <c r="E47" i="12"/>
  <c r="G47" i="12"/>
  <c r="R47" i="12"/>
  <c r="S47" i="12"/>
  <c r="T47" i="12" s="1"/>
  <c r="W47" i="12"/>
  <c r="AK47" i="12"/>
  <c r="AL47" i="12"/>
  <c r="AM47" i="12"/>
  <c r="AN47" i="12" s="1"/>
  <c r="C44" i="12"/>
  <c r="E44" i="12"/>
  <c r="G44" i="12"/>
  <c r="R44" i="12"/>
  <c r="S44" i="12"/>
  <c r="T44" i="12" s="1"/>
  <c r="W44" i="12"/>
  <c r="AK44" i="12"/>
  <c r="AL44" i="12"/>
  <c r="AM44" i="12"/>
  <c r="AN44" i="12" s="1"/>
  <c r="C43" i="12"/>
  <c r="E43" i="12"/>
  <c r="R43" i="12"/>
  <c r="S43" i="12"/>
  <c r="T43" i="12" s="1"/>
  <c r="W43" i="12"/>
  <c r="AK43" i="12"/>
  <c r="AL43" i="12"/>
  <c r="AM43" i="12"/>
  <c r="AN43" i="12" s="1"/>
  <c r="C42" i="12"/>
  <c r="E42" i="12"/>
  <c r="G42" i="12"/>
  <c r="R42" i="12"/>
  <c r="S42" i="12"/>
  <c r="T42" i="12" s="1"/>
  <c r="W42" i="12"/>
  <c r="AK42" i="12"/>
  <c r="AL42" i="12"/>
  <c r="AM42" i="12"/>
  <c r="AN42" i="12" s="1"/>
  <c r="C41" i="12"/>
  <c r="E41" i="12"/>
  <c r="G41" i="12"/>
  <c r="R41" i="12"/>
  <c r="S41" i="12"/>
  <c r="T41" i="12" s="1"/>
  <c r="W41" i="12"/>
  <c r="AK41" i="12"/>
  <c r="AL41" i="12"/>
  <c r="AM41" i="12"/>
  <c r="AO41" i="12" s="1"/>
  <c r="AP41" i="12" s="1"/>
  <c r="C39" i="12"/>
  <c r="E39" i="12"/>
  <c r="G39" i="12"/>
  <c r="R39" i="12"/>
  <c r="S39" i="12"/>
  <c r="T39" i="12" s="1"/>
  <c r="W39" i="12"/>
  <c r="AK39" i="12"/>
  <c r="AL39" i="12"/>
  <c r="AM39" i="12"/>
  <c r="AO39" i="12" s="1"/>
  <c r="AP39" i="12" s="1"/>
  <c r="C36" i="12"/>
  <c r="E36" i="12"/>
  <c r="G36" i="12"/>
  <c r="R36" i="12"/>
  <c r="S36" i="12"/>
  <c r="T36" i="12" s="1"/>
  <c r="W36" i="12"/>
  <c r="AK36" i="12"/>
  <c r="AL36" i="12"/>
  <c r="AM36" i="12"/>
  <c r="AN36" i="12" s="1"/>
  <c r="C37" i="12"/>
  <c r="E37" i="12"/>
  <c r="G37" i="12"/>
  <c r="R37" i="12"/>
  <c r="S37" i="12"/>
  <c r="T37" i="12" s="1"/>
  <c r="W37" i="12"/>
  <c r="AK37" i="12"/>
  <c r="AL37" i="12"/>
  <c r="AM37" i="12"/>
  <c r="AN37" i="12" s="1"/>
  <c r="C33" i="12"/>
  <c r="E33" i="12"/>
  <c r="G33" i="12"/>
  <c r="R33" i="12"/>
  <c r="S33" i="12"/>
  <c r="T33" i="12" s="1"/>
  <c r="W33" i="12"/>
  <c r="AK33" i="12"/>
  <c r="AL33" i="12"/>
  <c r="AM33" i="12"/>
  <c r="AN33" i="12" s="1"/>
  <c r="C34" i="12"/>
  <c r="E34" i="12"/>
  <c r="G34" i="12"/>
  <c r="R34" i="12"/>
  <c r="S34" i="12"/>
  <c r="T34" i="12" s="1"/>
  <c r="W34" i="12"/>
  <c r="AK34" i="12"/>
  <c r="AL34" i="12"/>
  <c r="AM34" i="12"/>
  <c r="AN34" i="12" s="1"/>
  <c r="C29" i="12"/>
  <c r="E29" i="12"/>
  <c r="G29" i="12"/>
  <c r="R29" i="12"/>
  <c r="S29" i="12"/>
  <c r="T29" i="12" s="1"/>
  <c r="W29" i="12"/>
  <c r="AK29" i="12"/>
  <c r="AL29" i="12"/>
  <c r="AM29" i="12"/>
  <c r="AN29" i="12" s="1"/>
  <c r="C30" i="12"/>
  <c r="E30" i="12"/>
  <c r="G30" i="12"/>
  <c r="R30" i="12"/>
  <c r="S30" i="12"/>
  <c r="T30" i="12" s="1"/>
  <c r="W30" i="12"/>
  <c r="AK30" i="12"/>
  <c r="AL30" i="12"/>
  <c r="AM30" i="12"/>
  <c r="AO30" i="12" s="1"/>
  <c r="AP30" i="12" s="1"/>
  <c r="C26" i="12"/>
  <c r="E26" i="12"/>
  <c r="G26" i="12"/>
  <c r="R26" i="12"/>
  <c r="S26" i="12"/>
  <c r="T26" i="12" s="1"/>
  <c r="W26" i="12"/>
  <c r="AK26" i="12"/>
  <c r="AL26" i="12"/>
  <c r="AM26" i="12"/>
  <c r="AO26" i="12" s="1"/>
  <c r="AP26" i="12" s="1"/>
  <c r="C27" i="12"/>
  <c r="E27" i="12"/>
  <c r="G27" i="12"/>
  <c r="R27" i="12"/>
  <c r="S27" i="12"/>
  <c r="T27" i="12" s="1"/>
  <c r="W27" i="12"/>
  <c r="AK27" i="12"/>
  <c r="AL27" i="12"/>
  <c r="AM27" i="12"/>
  <c r="AN27" i="12" s="1"/>
  <c r="C23" i="12"/>
  <c r="E23" i="12"/>
  <c r="G23" i="12"/>
  <c r="R23" i="12"/>
  <c r="S23" i="12"/>
  <c r="T23" i="12" s="1"/>
  <c r="W23" i="12"/>
  <c r="AK23" i="12"/>
  <c r="AL23" i="12"/>
  <c r="AM23" i="12"/>
  <c r="AN23" i="12" s="1"/>
  <c r="C24" i="12"/>
  <c r="G24" i="12"/>
  <c r="R24" i="12"/>
  <c r="S24" i="12"/>
  <c r="T24" i="12" s="1"/>
  <c r="W24" i="12"/>
  <c r="AK24" i="12"/>
  <c r="AL24" i="12"/>
  <c r="AM24" i="12"/>
  <c r="AN24" i="12" s="1"/>
  <c r="C21" i="12"/>
  <c r="E21" i="12"/>
  <c r="G21" i="12"/>
  <c r="R21" i="12"/>
  <c r="S21" i="12"/>
  <c r="T21" i="12" s="1"/>
  <c r="W21" i="12"/>
  <c r="AK21" i="12"/>
  <c r="AL21" i="12"/>
  <c r="AM21" i="12"/>
  <c r="AN21" i="12" s="1"/>
  <c r="C18" i="12"/>
  <c r="E18" i="12"/>
  <c r="G18" i="12"/>
  <c r="R18" i="12"/>
  <c r="S18" i="12"/>
  <c r="T18" i="12" s="1"/>
  <c r="W18" i="12"/>
  <c r="AK18" i="12"/>
  <c r="AL18" i="12"/>
  <c r="AM18" i="12"/>
  <c r="AN18" i="12" s="1"/>
  <c r="C15" i="12"/>
  <c r="E15" i="12"/>
  <c r="G15" i="12"/>
  <c r="R15" i="12"/>
  <c r="S15" i="12"/>
  <c r="T15" i="12" s="1"/>
  <c r="W15" i="12"/>
  <c r="AK15" i="12"/>
  <c r="AL15" i="12"/>
  <c r="AM15" i="12"/>
  <c r="AN15" i="12" s="1"/>
  <c r="C14" i="12"/>
  <c r="E14" i="12"/>
  <c r="G14" i="12"/>
  <c r="R14" i="12"/>
  <c r="S14" i="12"/>
  <c r="T14" i="12" s="1"/>
  <c r="W14" i="12"/>
  <c r="AK14" i="12"/>
  <c r="AL14" i="12"/>
  <c r="AM14" i="12"/>
  <c r="AN14" i="12" s="1"/>
  <c r="C16" i="12"/>
  <c r="E16" i="12"/>
  <c r="G16" i="12"/>
  <c r="R16" i="12"/>
  <c r="S16" i="12"/>
  <c r="T16" i="12" s="1"/>
  <c r="W16" i="12"/>
  <c r="AK16" i="12"/>
  <c r="AL16" i="12"/>
  <c r="AM16" i="12"/>
  <c r="AN16" i="12" s="1"/>
  <c r="C13" i="12"/>
  <c r="E13" i="12"/>
  <c r="G13" i="12"/>
  <c r="R13" i="12"/>
  <c r="S13" i="12"/>
  <c r="T13" i="12" s="1"/>
  <c r="W13" i="12"/>
  <c r="AK13" i="12"/>
  <c r="AL13" i="12"/>
  <c r="AM13" i="12"/>
  <c r="AN13" i="12" s="1"/>
  <c r="C12" i="12"/>
  <c r="E12" i="12"/>
  <c r="G12" i="12"/>
  <c r="R12" i="12"/>
  <c r="S12" i="12"/>
  <c r="T12" i="12" s="1"/>
  <c r="W12" i="12"/>
  <c r="AK12" i="12"/>
  <c r="AL12" i="12"/>
  <c r="AM12" i="12"/>
  <c r="AN12" i="12" s="1"/>
  <c r="C9" i="12"/>
  <c r="C9" i="21" s="1"/>
  <c r="E9" i="12"/>
  <c r="G9" i="12"/>
  <c r="R9" i="12"/>
  <c r="S9" i="12"/>
  <c r="T9" i="12" s="1"/>
  <c r="W9" i="12"/>
  <c r="AK9" i="12"/>
  <c r="AL9" i="12"/>
  <c r="AM9" i="12"/>
  <c r="AO9" i="12" s="1"/>
  <c r="AP9" i="12" s="1"/>
  <c r="C8" i="12"/>
  <c r="E8" i="12"/>
  <c r="G8" i="12"/>
  <c r="R8" i="12"/>
  <c r="S8" i="12"/>
  <c r="T8" i="12" s="1"/>
  <c r="W8" i="12"/>
  <c r="AK8" i="12"/>
  <c r="AL8" i="12"/>
  <c r="AM8" i="12"/>
  <c r="AN8" i="12" s="1"/>
  <c r="C6" i="12"/>
  <c r="C6" i="21" s="1"/>
  <c r="E6" i="12"/>
  <c r="E6" i="21" s="1"/>
  <c r="G6" i="12"/>
  <c r="G6" i="21" s="1"/>
  <c r="R6" i="12"/>
  <c r="S6" i="12"/>
  <c r="T6" i="12" s="1"/>
  <c r="W6" i="12"/>
  <c r="AK6" i="12"/>
  <c r="AL6" i="12"/>
  <c r="AM6" i="12"/>
  <c r="AN6" i="12" s="1"/>
  <c r="B6" i="21"/>
  <c r="B7"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5" i="21"/>
  <c r="A6" i="21"/>
  <c r="D6" i="21"/>
  <c r="F6" i="21"/>
  <c r="H6" i="21"/>
  <c r="I6" i="21"/>
  <c r="K6" i="21"/>
  <c r="M6" i="21"/>
  <c r="A8" i="21"/>
  <c r="D8" i="21"/>
  <c r="F8" i="21"/>
  <c r="H8" i="21"/>
  <c r="I8" i="21"/>
  <c r="K8" i="21"/>
  <c r="M8" i="21"/>
  <c r="A9" i="21"/>
  <c r="D9" i="21"/>
  <c r="F9" i="21"/>
  <c r="H9" i="21"/>
  <c r="I9" i="21"/>
  <c r="K9" i="21"/>
  <c r="M9" i="21"/>
  <c r="A10" i="21"/>
  <c r="D10" i="21"/>
  <c r="F10" i="21"/>
  <c r="H10" i="21"/>
  <c r="I10" i="21"/>
  <c r="K10" i="21"/>
  <c r="M10" i="21"/>
  <c r="A11" i="21"/>
  <c r="D11" i="21"/>
  <c r="F11" i="21"/>
  <c r="H11" i="21"/>
  <c r="I11" i="21"/>
  <c r="K11" i="21"/>
  <c r="M11" i="21"/>
  <c r="A12" i="21"/>
  <c r="D12" i="21"/>
  <c r="F12" i="21"/>
  <c r="H12" i="21"/>
  <c r="I12" i="21"/>
  <c r="K12" i="21"/>
  <c r="M12" i="21"/>
  <c r="A13" i="21"/>
  <c r="D13" i="21"/>
  <c r="F13" i="21"/>
  <c r="H13" i="21"/>
  <c r="I13" i="21"/>
  <c r="K13" i="21"/>
  <c r="M13" i="21"/>
  <c r="A14" i="21"/>
  <c r="D14" i="21"/>
  <c r="F14" i="21"/>
  <c r="H14" i="21"/>
  <c r="I14" i="21"/>
  <c r="K14" i="21"/>
  <c r="M14" i="21"/>
  <c r="A15" i="21"/>
  <c r="D15" i="21"/>
  <c r="F15" i="21"/>
  <c r="H15" i="21"/>
  <c r="I15" i="21"/>
  <c r="K15" i="21"/>
  <c r="M15" i="21"/>
  <c r="A16" i="21"/>
  <c r="D16" i="21"/>
  <c r="F16" i="21"/>
  <c r="H16" i="21"/>
  <c r="I16" i="21"/>
  <c r="K16" i="21"/>
  <c r="M16" i="21"/>
  <c r="A17" i="21"/>
  <c r="D17" i="21"/>
  <c r="F17" i="21"/>
  <c r="H17" i="21"/>
  <c r="I17" i="21"/>
  <c r="K17" i="21"/>
  <c r="M17" i="21"/>
  <c r="A18" i="21"/>
  <c r="D18" i="21"/>
  <c r="F18" i="21"/>
  <c r="H18" i="21"/>
  <c r="I18" i="21"/>
  <c r="K18" i="21"/>
  <c r="M18" i="21"/>
  <c r="A19" i="21"/>
  <c r="D19" i="21"/>
  <c r="F19" i="21"/>
  <c r="H19" i="21"/>
  <c r="I19" i="21"/>
  <c r="K19" i="21"/>
  <c r="M19" i="21"/>
  <c r="A20" i="21"/>
  <c r="D20" i="21"/>
  <c r="F20" i="21"/>
  <c r="H20" i="21"/>
  <c r="I20" i="21"/>
  <c r="K20" i="21"/>
  <c r="M20" i="21"/>
  <c r="A21" i="21"/>
  <c r="D21" i="21"/>
  <c r="F21" i="21"/>
  <c r="H21" i="21"/>
  <c r="I21" i="21"/>
  <c r="K21" i="21"/>
  <c r="M21" i="21"/>
  <c r="A22" i="21"/>
  <c r="D22" i="21"/>
  <c r="F22" i="21"/>
  <c r="H22" i="21"/>
  <c r="I22" i="21"/>
  <c r="K22" i="21"/>
  <c r="M22" i="21"/>
  <c r="A23" i="21"/>
  <c r="D23" i="21"/>
  <c r="F23" i="21"/>
  <c r="H23" i="21"/>
  <c r="I23" i="21"/>
  <c r="K23" i="21"/>
  <c r="M23" i="21"/>
  <c r="A24" i="21"/>
  <c r="D24" i="21"/>
  <c r="F24" i="21"/>
  <c r="H24" i="21"/>
  <c r="I24" i="21"/>
  <c r="K24" i="21"/>
  <c r="M24" i="21"/>
  <c r="A25" i="21"/>
  <c r="D25" i="21"/>
  <c r="F25" i="21"/>
  <c r="H25" i="21"/>
  <c r="I25" i="21"/>
  <c r="K25" i="21"/>
  <c r="M25" i="21"/>
  <c r="A26" i="21"/>
  <c r="D26" i="21"/>
  <c r="F26" i="21"/>
  <c r="H26" i="21"/>
  <c r="I26" i="21"/>
  <c r="K26" i="21"/>
  <c r="M26" i="21"/>
  <c r="A27" i="21"/>
  <c r="D27" i="21"/>
  <c r="F27" i="21"/>
  <c r="H27" i="21"/>
  <c r="I27" i="21"/>
  <c r="K27" i="21"/>
  <c r="M27" i="21"/>
  <c r="A28" i="21"/>
  <c r="D28" i="21"/>
  <c r="F28" i="21"/>
  <c r="H28" i="21"/>
  <c r="I28" i="21"/>
  <c r="K28" i="21"/>
  <c r="M28" i="21"/>
  <c r="A29" i="21"/>
  <c r="D29" i="21"/>
  <c r="F29" i="21"/>
  <c r="H29" i="21"/>
  <c r="I29" i="21"/>
  <c r="K29" i="21"/>
  <c r="M29" i="21"/>
  <c r="A30" i="21"/>
  <c r="D30" i="21"/>
  <c r="F30" i="21"/>
  <c r="H30" i="21"/>
  <c r="I30" i="21"/>
  <c r="K30" i="21"/>
  <c r="M30" i="21"/>
  <c r="A31" i="21"/>
  <c r="D31" i="21"/>
  <c r="F31" i="21"/>
  <c r="H31" i="21"/>
  <c r="I31" i="21"/>
  <c r="K31" i="21"/>
  <c r="M31" i="21"/>
  <c r="A32" i="21"/>
  <c r="D32" i="21"/>
  <c r="F32" i="21"/>
  <c r="H32" i="21"/>
  <c r="I32" i="21"/>
  <c r="K32" i="21"/>
  <c r="M32" i="21"/>
  <c r="A33" i="21"/>
  <c r="D33" i="21"/>
  <c r="F33" i="21"/>
  <c r="H33" i="21"/>
  <c r="I33" i="21"/>
  <c r="K33" i="21"/>
  <c r="M33" i="21"/>
  <c r="A34" i="21"/>
  <c r="D34" i="21"/>
  <c r="F34" i="21"/>
  <c r="H34" i="21"/>
  <c r="I34" i="21"/>
  <c r="K34" i="21"/>
  <c r="M34" i="21"/>
  <c r="A35" i="21"/>
  <c r="D35" i="21"/>
  <c r="F35" i="21"/>
  <c r="H35" i="21"/>
  <c r="I35" i="21"/>
  <c r="K35" i="21"/>
  <c r="M35" i="21"/>
  <c r="A36" i="21"/>
  <c r="D36" i="21"/>
  <c r="F36" i="21"/>
  <c r="H36" i="21"/>
  <c r="I36" i="21"/>
  <c r="K36" i="21"/>
  <c r="M36" i="21"/>
  <c r="A37" i="21"/>
  <c r="D37" i="21"/>
  <c r="F37" i="21"/>
  <c r="H37" i="21"/>
  <c r="I37" i="21"/>
  <c r="K37" i="21"/>
  <c r="M37" i="21"/>
  <c r="A38" i="21"/>
  <c r="D38" i="21"/>
  <c r="F38" i="21"/>
  <c r="H38" i="21"/>
  <c r="I38" i="21"/>
  <c r="K38" i="21"/>
  <c r="M38" i="21"/>
  <c r="A39" i="21"/>
  <c r="D39" i="21"/>
  <c r="F39" i="21"/>
  <c r="H39" i="21"/>
  <c r="I39" i="21"/>
  <c r="K39" i="21"/>
  <c r="M39" i="21"/>
  <c r="A40" i="21"/>
  <c r="D40" i="21"/>
  <c r="F40" i="21"/>
  <c r="H40" i="21"/>
  <c r="I40" i="21"/>
  <c r="K40" i="21"/>
  <c r="M40" i="21"/>
  <c r="A41" i="21"/>
  <c r="D41" i="21"/>
  <c r="F41" i="21"/>
  <c r="H41" i="21"/>
  <c r="I41" i="21"/>
  <c r="K41" i="21"/>
  <c r="M41" i="21"/>
  <c r="A42" i="21"/>
  <c r="D42" i="21"/>
  <c r="F42" i="21"/>
  <c r="H42" i="21"/>
  <c r="I42" i="21"/>
  <c r="K42" i="21"/>
  <c r="M42" i="21"/>
  <c r="A43" i="21"/>
  <c r="D43" i="21"/>
  <c r="F43" i="21"/>
  <c r="H43" i="21"/>
  <c r="I43" i="21"/>
  <c r="K43" i="21"/>
  <c r="M43" i="21"/>
  <c r="A44" i="21"/>
  <c r="D44" i="21"/>
  <c r="F44" i="21"/>
  <c r="H44" i="21"/>
  <c r="I44" i="21"/>
  <c r="K44" i="21"/>
  <c r="M44" i="21"/>
  <c r="A45" i="21"/>
  <c r="D45" i="21"/>
  <c r="F45" i="21"/>
  <c r="H45" i="21"/>
  <c r="I45" i="21"/>
  <c r="K45" i="21"/>
  <c r="M45" i="21"/>
  <c r="A46" i="21"/>
  <c r="D46" i="21"/>
  <c r="F46" i="21"/>
  <c r="H46" i="21"/>
  <c r="I46" i="21"/>
  <c r="K46" i="21"/>
  <c r="M46" i="21"/>
  <c r="A47" i="21"/>
  <c r="D47" i="21"/>
  <c r="F47" i="21"/>
  <c r="H47" i="21"/>
  <c r="I47" i="21"/>
  <c r="K47" i="21"/>
  <c r="M47" i="21"/>
  <c r="A48" i="21"/>
  <c r="D48" i="21"/>
  <c r="F48" i="21"/>
  <c r="H48" i="21"/>
  <c r="I48" i="21"/>
  <c r="K48" i="21"/>
  <c r="M48" i="21"/>
  <c r="A49" i="21"/>
  <c r="D49" i="21"/>
  <c r="F49" i="21"/>
  <c r="H49" i="21"/>
  <c r="I49" i="21"/>
  <c r="K49" i="21"/>
  <c r="M49" i="21"/>
  <c r="A50" i="21"/>
  <c r="D50" i="21"/>
  <c r="F50" i="21"/>
  <c r="H50" i="21"/>
  <c r="I50" i="21"/>
  <c r="K50" i="21"/>
  <c r="M50" i="21"/>
  <c r="A51" i="21"/>
  <c r="D51" i="21"/>
  <c r="F51" i="21"/>
  <c r="H51" i="21"/>
  <c r="I51" i="21"/>
  <c r="K51" i="21"/>
  <c r="M51" i="21"/>
  <c r="A52" i="21"/>
  <c r="D52" i="21"/>
  <c r="F52" i="21"/>
  <c r="H52" i="21"/>
  <c r="I52" i="21"/>
  <c r="K52" i="21"/>
  <c r="M52" i="21"/>
  <c r="A53" i="21"/>
  <c r="D53" i="21"/>
  <c r="F53" i="21"/>
  <c r="H53" i="21"/>
  <c r="I53" i="21"/>
  <c r="K53" i="21"/>
  <c r="M53" i="21"/>
  <c r="A54" i="21"/>
  <c r="D54" i="21"/>
  <c r="F54" i="21"/>
  <c r="H54" i="21"/>
  <c r="I54" i="21"/>
  <c r="K54" i="21"/>
  <c r="M54" i="21"/>
  <c r="A55" i="21"/>
  <c r="D55" i="21"/>
  <c r="F55" i="21"/>
  <c r="H55" i="21"/>
  <c r="I55" i="21"/>
  <c r="K55" i="21"/>
  <c r="M55" i="21"/>
  <c r="A56" i="21"/>
  <c r="D56" i="21"/>
  <c r="F56" i="21"/>
  <c r="H56" i="21"/>
  <c r="I56" i="21"/>
  <c r="K56" i="21"/>
  <c r="M56" i="21"/>
  <c r="A57" i="21"/>
  <c r="D57" i="21"/>
  <c r="F57" i="21"/>
  <c r="H57" i="21"/>
  <c r="I57" i="21"/>
  <c r="K57" i="21"/>
  <c r="M57" i="21"/>
  <c r="A58" i="21"/>
  <c r="D58" i="21"/>
  <c r="F58" i="21"/>
  <c r="H58" i="21"/>
  <c r="I58" i="21"/>
  <c r="K58" i="21"/>
  <c r="M58" i="21"/>
  <c r="A59" i="21"/>
  <c r="D59" i="21"/>
  <c r="F59" i="21"/>
  <c r="H59" i="21"/>
  <c r="I59" i="21"/>
  <c r="K59" i="21"/>
  <c r="M59" i="21"/>
  <c r="A60" i="21"/>
  <c r="D60" i="21"/>
  <c r="F60" i="21"/>
  <c r="H60" i="21"/>
  <c r="I60" i="21"/>
  <c r="K60" i="21"/>
  <c r="M60" i="21"/>
  <c r="A61" i="21"/>
  <c r="D61" i="21"/>
  <c r="F61" i="21"/>
  <c r="H61" i="21"/>
  <c r="I61" i="21"/>
  <c r="K61" i="21"/>
  <c r="M61" i="21"/>
  <c r="A62" i="21"/>
  <c r="D62" i="21"/>
  <c r="F62" i="21"/>
  <c r="H62" i="21"/>
  <c r="I62" i="21"/>
  <c r="K62" i="21"/>
  <c r="M62" i="21"/>
  <c r="A63" i="21"/>
  <c r="D63" i="21"/>
  <c r="F63" i="21"/>
  <c r="H63" i="21"/>
  <c r="I63" i="21"/>
  <c r="K63" i="21"/>
  <c r="M63" i="21"/>
  <c r="A64" i="21"/>
  <c r="D64" i="21"/>
  <c r="F64" i="21"/>
  <c r="H64" i="21"/>
  <c r="I64" i="21"/>
  <c r="K64" i="21"/>
  <c r="M64" i="21"/>
  <c r="A65" i="21"/>
  <c r="D65" i="21"/>
  <c r="F65" i="21"/>
  <c r="H65" i="21"/>
  <c r="I65" i="21"/>
  <c r="K65" i="21"/>
  <c r="M65" i="21"/>
  <c r="A66" i="21"/>
  <c r="D66" i="21"/>
  <c r="F66" i="21"/>
  <c r="H66" i="21"/>
  <c r="I66" i="21"/>
  <c r="K66" i="21"/>
  <c r="M66" i="21"/>
  <c r="A67" i="21"/>
  <c r="D67" i="21"/>
  <c r="F67" i="21"/>
  <c r="H67" i="21"/>
  <c r="I67" i="21"/>
  <c r="K67" i="21"/>
  <c r="M67" i="21"/>
  <c r="A68" i="21"/>
  <c r="D68" i="21"/>
  <c r="F68" i="21"/>
  <c r="H68" i="21"/>
  <c r="I68" i="21"/>
  <c r="K68" i="21"/>
  <c r="M68" i="21"/>
  <c r="A69" i="21"/>
  <c r="D69" i="21"/>
  <c r="F69" i="21"/>
  <c r="H69" i="21"/>
  <c r="I69" i="21"/>
  <c r="K69" i="21"/>
  <c r="M69" i="21"/>
  <c r="A70" i="21"/>
  <c r="D70" i="21"/>
  <c r="F70" i="21"/>
  <c r="H70" i="21"/>
  <c r="I70" i="21"/>
  <c r="K70" i="21"/>
  <c r="M70" i="21"/>
  <c r="A71" i="21"/>
  <c r="D71" i="21"/>
  <c r="F71" i="21"/>
  <c r="H71" i="21"/>
  <c r="I71" i="21"/>
  <c r="K71" i="21"/>
  <c r="M71" i="21"/>
  <c r="A72" i="21"/>
  <c r="D72" i="21"/>
  <c r="F72" i="21"/>
  <c r="H72" i="21"/>
  <c r="I72" i="21"/>
  <c r="K72" i="21"/>
  <c r="M72" i="21"/>
  <c r="A73" i="21"/>
  <c r="D73" i="21"/>
  <c r="F73" i="21"/>
  <c r="H73" i="21"/>
  <c r="I73" i="21"/>
  <c r="K73" i="21"/>
  <c r="M73" i="21"/>
  <c r="A74" i="21"/>
  <c r="D74" i="21"/>
  <c r="F74" i="21"/>
  <c r="H74" i="21"/>
  <c r="I74" i="21"/>
  <c r="K74" i="21"/>
  <c r="M74" i="21"/>
  <c r="A75" i="21"/>
  <c r="D75" i="21"/>
  <c r="F75" i="21"/>
  <c r="H75" i="21"/>
  <c r="I75" i="21"/>
  <c r="K75" i="21"/>
  <c r="M75" i="21"/>
  <c r="A76" i="21"/>
  <c r="D76" i="21"/>
  <c r="F76" i="21"/>
  <c r="H76" i="21"/>
  <c r="I76" i="21"/>
  <c r="K76" i="21"/>
  <c r="M76" i="21"/>
  <c r="C119" i="12"/>
  <c r="C120" i="12"/>
  <c r="C124" i="12"/>
  <c r="E119" i="12"/>
  <c r="E120" i="12"/>
  <c r="E124" i="12"/>
  <c r="G119" i="12"/>
  <c r="G120" i="12"/>
  <c r="G124" i="12"/>
  <c r="R119" i="12"/>
  <c r="R120" i="12"/>
  <c r="R124" i="12"/>
  <c r="S119" i="12"/>
  <c r="T119" i="12" s="1"/>
  <c r="S120" i="12"/>
  <c r="T120" i="12" s="1"/>
  <c r="S124" i="12"/>
  <c r="T124" i="12" s="1"/>
  <c r="W119" i="12"/>
  <c r="W120" i="12"/>
  <c r="W124" i="12"/>
  <c r="AK119" i="12"/>
  <c r="AK120" i="12"/>
  <c r="AK124" i="12"/>
  <c r="AL119" i="12"/>
  <c r="AL120" i="12"/>
  <c r="AL124" i="12"/>
  <c r="AM119" i="12"/>
  <c r="AN119" i="12" s="1"/>
  <c r="AM120" i="12"/>
  <c r="AN120" i="12" s="1"/>
  <c r="AM124" i="12"/>
  <c r="AO124" i="12" s="1"/>
  <c r="AP124" i="12" s="1"/>
  <c r="C118" i="12"/>
  <c r="E118" i="12"/>
  <c r="G118" i="12"/>
  <c r="R118" i="12"/>
  <c r="S118" i="12"/>
  <c r="T118" i="12" s="1"/>
  <c r="W118" i="12"/>
  <c r="AK118" i="12"/>
  <c r="AL118" i="12"/>
  <c r="AM118" i="12"/>
  <c r="AN118" i="12" s="1"/>
  <c r="C116" i="12"/>
  <c r="E116" i="12"/>
  <c r="G116" i="12"/>
  <c r="R116" i="12"/>
  <c r="S116" i="12"/>
  <c r="T116" i="12" s="1"/>
  <c r="W116" i="12"/>
  <c r="AK116" i="12"/>
  <c r="AL116" i="12"/>
  <c r="AM116" i="12"/>
  <c r="AN116" i="12" s="1"/>
  <c r="C106" i="12"/>
  <c r="E106" i="12"/>
  <c r="G106" i="12"/>
  <c r="R106" i="12"/>
  <c r="S106" i="12"/>
  <c r="T106" i="12" s="1"/>
  <c r="W106" i="12"/>
  <c r="AK106" i="12"/>
  <c r="AL106" i="12"/>
  <c r="AM106" i="12"/>
  <c r="AN106" i="12" s="1"/>
  <c r="C96" i="12"/>
  <c r="C98" i="12"/>
  <c r="C100" i="12"/>
  <c r="E96" i="12"/>
  <c r="E98" i="12"/>
  <c r="E100" i="12"/>
  <c r="G96" i="12"/>
  <c r="G98" i="12"/>
  <c r="R96" i="12"/>
  <c r="R98" i="12"/>
  <c r="R100" i="12"/>
  <c r="S96" i="12"/>
  <c r="T96" i="12" s="1"/>
  <c r="S98" i="12"/>
  <c r="T98" i="12" s="1"/>
  <c r="S100" i="12"/>
  <c r="T100" i="12" s="1"/>
  <c r="W96" i="12"/>
  <c r="W98" i="12"/>
  <c r="W100" i="12"/>
  <c r="AK96" i="12"/>
  <c r="AK98" i="12"/>
  <c r="AK100" i="12"/>
  <c r="AL96" i="12"/>
  <c r="AL98" i="12"/>
  <c r="AL100" i="12"/>
  <c r="AM96" i="12"/>
  <c r="AO96" i="12" s="1"/>
  <c r="AP96" i="12" s="1"/>
  <c r="AM98" i="12"/>
  <c r="AN98" i="12" s="1"/>
  <c r="AM100" i="12"/>
  <c r="AO100" i="12" s="1"/>
  <c r="AP100" i="12" s="1"/>
  <c r="E91" i="12"/>
  <c r="G91" i="12"/>
  <c r="R91" i="12"/>
  <c r="S91" i="12"/>
  <c r="T91" i="12" s="1"/>
  <c r="W91" i="12"/>
  <c r="AK91" i="12"/>
  <c r="AL91" i="12"/>
  <c r="AM91" i="12"/>
  <c r="AN91" i="12" s="1"/>
  <c r="C83" i="12"/>
  <c r="C84" i="12"/>
  <c r="C86" i="12"/>
  <c r="C88" i="12"/>
  <c r="C89" i="12"/>
  <c r="C90" i="12"/>
  <c r="E83" i="12"/>
  <c r="E84" i="12"/>
  <c r="E86" i="12"/>
  <c r="E88" i="12"/>
  <c r="E89" i="12"/>
  <c r="G83" i="12"/>
  <c r="G84" i="12"/>
  <c r="G86" i="12"/>
  <c r="G88" i="12"/>
  <c r="G89" i="12"/>
  <c r="G90" i="12"/>
  <c r="R83" i="12"/>
  <c r="R84" i="12"/>
  <c r="R86" i="12"/>
  <c r="R88" i="12"/>
  <c r="R89" i="12"/>
  <c r="R90" i="12"/>
  <c r="S83" i="12"/>
  <c r="T83" i="12" s="1"/>
  <c r="S84" i="12"/>
  <c r="T84" i="12" s="1"/>
  <c r="S86" i="12"/>
  <c r="T86" i="12" s="1"/>
  <c r="S88" i="12"/>
  <c r="T88" i="12" s="1"/>
  <c r="S89" i="12"/>
  <c r="T89" i="12" s="1"/>
  <c r="S90" i="12"/>
  <c r="T90" i="12" s="1"/>
  <c r="W83" i="12"/>
  <c r="W84" i="12"/>
  <c r="W86" i="12"/>
  <c r="W88" i="12"/>
  <c r="W89" i="12"/>
  <c r="W90" i="12"/>
  <c r="AK83" i="12"/>
  <c r="AK84" i="12"/>
  <c r="AK86" i="12"/>
  <c r="AK88" i="12"/>
  <c r="AK89" i="12"/>
  <c r="AK90" i="12"/>
  <c r="AL83" i="12"/>
  <c r="AL84" i="12"/>
  <c r="AL86" i="12"/>
  <c r="AL88" i="12"/>
  <c r="AL89" i="12"/>
  <c r="AL90" i="12"/>
  <c r="AM83" i="12"/>
  <c r="AO83" i="12" s="1"/>
  <c r="AP83" i="12" s="1"/>
  <c r="AM84" i="12"/>
  <c r="AN84" i="12" s="1"/>
  <c r="AM86" i="12"/>
  <c r="AN86" i="12" s="1"/>
  <c r="AM88" i="12"/>
  <c r="AN88" i="12" s="1"/>
  <c r="AM89" i="12"/>
  <c r="AN89" i="12" s="1"/>
  <c r="AM90" i="12"/>
  <c r="AO90" i="12" s="1"/>
  <c r="AP90" i="12" s="1"/>
  <c r="C82" i="12"/>
  <c r="E82" i="12"/>
  <c r="G82" i="12"/>
  <c r="R82" i="12"/>
  <c r="S82" i="12"/>
  <c r="T82" i="12" s="1"/>
  <c r="AK82" i="12"/>
  <c r="AL82" i="12"/>
  <c r="AM82" i="12"/>
  <c r="AO82" i="12" s="1"/>
  <c r="AP82" i="12" s="1"/>
  <c r="C80" i="12"/>
  <c r="E80" i="12"/>
  <c r="G80" i="12"/>
  <c r="R80" i="12"/>
  <c r="S80" i="12"/>
  <c r="T80" i="12" s="1"/>
  <c r="W80" i="12"/>
  <c r="AK80" i="12"/>
  <c r="AL80" i="12"/>
  <c r="AM80" i="12"/>
  <c r="AN80" i="12" s="1"/>
  <c r="C78" i="12"/>
  <c r="E78" i="12"/>
  <c r="G78" i="12"/>
  <c r="R78" i="12"/>
  <c r="S78" i="12"/>
  <c r="T78" i="12" s="1"/>
  <c r="W78" i="12"/>
  <c r="AK78" i="12"/>
  <c r="AL78" i="12"/>
  <c r="AM78" i="12"/>
  <c r="AN78" i="12" s="1"/>
  <c r="C76" i="12"/>
  <c r="E76" i="12"/>
  <c r="G76" i="12"/>
  <c r="R76" i="12"/>
  <c r="S76" i="12"/>
  <c r="T76" i="12" s="1"/>
  <c r="W76" i="12"/>
  <c r="AK76" i="12"/>
  <c r="AL76" i="12"/>
  <c r="AM76" i="12"/>
  <c r="AO76" i="12" s="1"/>
  <c r="AP76" i="12" s="1"/>
  <c r="C28" i="12"/>
  <c r="E28" i="12"/>
  <c r="R28" i="12"/>
  <c r="S28" i="12"/>
  <c r="T28" i="12" s="1"/>
  <c r="W28" i="12"/>
  <c r="AK28" i="12"/>
  <c r="AL28" i="12"/>
  <c r="AM28" i="12"/>
  <c r="AN28" i="12" s="1"/>
  <c r="C31" i="12"/>
  <c r="E31" i="12"/>
  <c r="G31" i="12"/>
  <c r="R31" i="12"/>
  <c r="S31" i="12"/>
  <c r="T31" i="12" s="1"/>
  <c r="W31" i="12"/>
  <c r="AK31" i="12"/>
  <c r="AL31" i="12"/>
  <c r="AM31" i="12"/>
  <c r="AO31" i="12" s="1"/>
  <c r="AP31" i="12" s="1"/>
  <c r="C32" i="12"/>
  <c r="E32" i="12"/>
  <c r="G32" i="12"/>
  <c r="R32" i="12"/>
  <c r="S32" i="12"/>
  <c r="T32" i="12" s="1"/>
  <c r="W32" i="12"/>
  <c r="AK32" i="12"/>
  <c r="AL32" i="12"/>
  <c r="AM32" i="12"/>
  <c r="AO32" i="12" s="1"/>
  <c r="AP32" i="12" s="1"/>
  <c r="C35" i="12"/>
  <c r="E35" i="12"/>
  <c r="G35" i="12"/>
  <c r="R35" i="12"/>
  <c r="S35" i="12"/>
  <c r="T35" i="12" s="1"/>
  <c r="W35" i="12"/>
  <c r="AK35" i="12"/>
  <c r="AL35" i="12"/>
  <c r="AM35" i="12"/>
  <c r="AN35" i="12" s="1"/>
  <c r="C38" i="12"/>
  <c r="E38" i="12"/>
  <c r="G38" i="12"/>
  <c r="R38" i="12"/>
  <c r="S38" i="12"/>
  <c r="T38" i="12" s="1"/>
  <c r="W38" i="12"/>
  <c r="AK38" i="12"/>
  <c r="AL38" i="12"/>
  <c r="AM38" i="12"/>
  <c r="AN38" i="12" s="1"/>
  <c r="C7" i="12"/>
  <c r="G7" i="12"/>
  <c r="R7" i="12"/>
  <c r="S7" i="12"/>
  <c r="T7" i="12" s="1"/>
  <c r="W7" i="12"/>
  <c r="AK7" i="12"/>
  <c r="AL7" i="12"/>
  <c r="AM7" i="12"/>
  <c r="AN7" i="12" s="1"/>
  <c r="C10" i="12"/>
  <c r="E10" i="12"/>
  <c r="G10" i="12"/>
  <c r="R10" i="12"/>
  <c r="S10" i="12"/>
  <c r="T10" i="12" s="1"/>
  <c r="W10" i="12"/>
  <c r="AK10" i="12"/>
  <c r="AL10" i="12"/>
  <c r="AM10" i="12"/>
  <c r="AN10" i="12" s="1"/>
  <c r="C11" i="12"/>
  <c r="E11" i="12"/>
  <c r="G11" i="12"/>
  <c r="R11" i="12"/>
  <c r="S11" i="12"/>
  <c r="T11" i="12" s="1"/>
  <c r="W11" i="12"/>
  <c r="AK11" i="12"/>
  <c r="AL11" i="12"/>
  <c r="AM11" i="12"/>
  <c r="AN11" i="12" s="1"/>
  <c r="C17" i="12"/>
  <c r="G17" i="12"/>
  <c r="R17" i="12"/>
  <c r="S17" i="12"/>
  <c r="T17" i="12" s="1"/>
  <c r="W17" i="12"/>
  <c r="AK17" i="12"/>
  <c r="AL17" i="12"/>
  <c r="AM17" i="12"/>
  <c r="AN17" i="12" s="1"/>
  <c r="C19" i="12"/>
  <c r="E19" i="12"/>
  <c r="G19" i="12"/>
  <c r="R19" i="12"/>
  <c r="S19" i="12"/>
  <c r="T19" i="12" s="1"/>
  <c r="W19" i="12"/>
  <c r="AK19" i="12"/>
  <c r="AL19" i="12"/>
  <c r="AM19" i="12"/>
  <c r="AN19" i="12" s="1"/>
  <c r="C20" i="12"/>
  <c r="E20" i="12"/>
  <c r="G20" i="12"/>
  <c r="R20" i="12"/>
  <c r="S20" i="12"/>
  <c r="T20" i="12" s="1"/>
  <c r="W20" i="12"/>
  <c r="AK20" i="12"/>
  <c r="AL20" i="12"/>
  <c r="AM20" i="12"/>
  <c r="AN20" i="12" s="1"/>
  <c r="C22" i="12"/>
  <c r="E22" i="12"/>
  <c r="G22" i="12"/>
  <c r="R22" i="12"/>
  <c r="S22" i="12"/>
  <c r="T22" i="12" s="1"/>
  <c r="W22" i="12"/>
  <c r="AK22" i="12"/>
  <c r="AL22" i="12"/>
  <c r="AM22" i="12"/>
  <c r="AN22" i="12" s="1"/>
  <c r="C49" i="12"/>
  <c r="C52" i="12"/>
  <c r="C55" i="12"/>
  <c r="C57" i="12"/>
  <c r="C58" i="12"/>
  <c r="C61" i="12"/>
  <c r="C64" i="12"/>
  <c r="C67" i="12"/>
  <c r="C68" i="12"/>
  <c r="C70" i="12"/>
  <c r="C71" i="12"/>
  <c r="C73" i="12"/>
  <c r="E49" i="12"/>
  <c r="E52" i="12"/>
  <c r="E55" i="12"/>
  <c r="E57" i="12"/>
  <c r="E58" i="12"/>
  <c r="E61" i="12"/>
  <c r="E64" i="12"/>
  <c r="E67" i="12"/>
  <c r="E68" i="12"/>
  <c r="E70" i="12"/>
  <c r="E71" i="12"/>
  <c r="E73" i="12"/>
  <c r="G49" i="12"/>
  <c r="G52" i="12"/>
  <c r="G55" i="12"/>
  <c r="G57" i="12"/>
  <c r="G58" i="12"/>
  <c r="G61" i="12"/>
  <c r="G64" i="12"/>
  <c r="G67" i="12"/>
  <c r="G68" i="12"/>
  <c r="G70" i="12"/>
  <c r="G71" i="12"/>
  <c r="G73" i="12"/>
  <c r="R49" i="12"/>
  <c r="R52" i="12"/>
  <c r="R55" i="12"/>
  <c r="R57" i="12"/>
  <c r="R58" i="12"/>
  <c r="R61" i="12"/>
  <c r="R64" i="12"/>
  <c r="R67" i="12"/>
  <c r="R68" i="12"/>
  <c r="R70" i="12"/>
  <c r="R71" i="12"/>
  <c r="R73" i="12"/>
  <c r="S49" i="12"/>
  <c r="T49" i="12" s="1"/>
  <c r="S52" i="12"/>
  <c r="T52" i="12" s="1"/>
  <c r="S55" i="12"/>
  <c r="T55" i="12" s="1"/>
  <c r="S57" i="12"/>
  <c r="T57" i="12" s="1"/>
  <c r="S58" i="12"/>
  <c r="T58" i="12" s="1"/>
  <c r="S61" i="12"/>
  <c r="T61" i="12" s="1"/>
  <c r="S64" i="12"/>
  <c r="T64" i="12" s="1"/>
  <c r="S67" i="12"/>
  <c r="T67" i="12" s="1"/>
  <c r="S68" i="12"/>
  <c r="T68" i="12" s="1"/>
  <c r="S70" i="12"/>
  <c r="T70" i="12" s="1"/>
  <c r="S71" i="12"/>
  <c r="T71" i="12" s="1"/>
  <c r="S73" i="12"/>
  <c r="T73" i="12" s="1"/>
  <c r="W49" i="12"/>
  <c r="W52" i="12"/>
  <c r="W55" i="12"/>
  <c r="W57" i="12"/>
  <c r="W58" i="12"/>
  <c r="W61" i="12"/>
  <c r="W64" i="12"/>
  <c r="W67" i="12"/>
  <c r="W68" i="12"/>
  <c r="W70" i="12"/>
  <c r="W71" i="12"/>
  <c r="W73" i="12"/>
  <c r="AK49" i="12"/>
  <c r="AK52" i="12"/>
  <c r="AK55" i="12"/>
  <c r="AK57" i="12"/>
  <c r="AK58" i="12"/>
  <c r="AK61" i="12"/>
  <c r="AK64" i="12"/>
  <c r="AK67" i="12"/>
  <c r="AK68" i="12"/>
  <c r="AK70" i="12"/>
  <c r="AK71" i="12"/>
  <c r="AK73" i="12"/>
  <c r="AL49" i="12"/>
  <c r="AL52" i="12"/>
  <c r="AL55" i="12"/>
  <c r="AL57" i="12"/>
  <c r="AL58" i="12"/>
  <c r="AL61" i="12"/>
  <c r="AL64" i="12"/>
  <c r="AL67" i="12"/>
  <c r="AL68" i="12"/>
  <c r="AL70" i="12"/>
  <c r="AL71" i="12"/>
  <c r="AL73" i="12"/>
  <c r="AM49" i="12"/>
  <c r="AO49" i="12" s="1"/>
  <c r="AP49" i="12" s="1"/>
  <c r="AM52" i="12"/>
  <c r="AN52" i="12" s="1"/>
  <c r="AM55" i="12"/>
  <c r="AO55" i="12" s="1"/>
  <c r="AP55" i="12" s="1"/>
  <c r="AM57" i="12"/>
  <c r="AO57" i="12" s="1"/>
  <c r="AP57" i="12" s="1"/>
  <c r="AM58" i="12"/>
  <c r="AO58" i="12" s="1"/>
  <c r="AP58" i="12" s="1"/>
  <c r="AM61" i="12"/>
  <c r="AN61" i="12" s="1"/>
  <c r="AM64" i="12"/>
  <c r="AO64" i="12" s="1"/>
  <c r="AP64" i="12" s="1"/>
  <c r="AM67" i="12"/>
  <c r="AN67" i="12" s="1"/>
  <c r="AM68" i="12"/>
  <c r="AN68" i="12" s="1"/>
  <c r="AM70" i="12"/>
  <c r="AN70" i="12" s="1"/>
  <c r="AM71" i="12"/>
  <c r="AO71" i="12" s="1"/>
  <c r="AP71" i="12" s="1"/>
  <c r="AM73" i="12"/>
  <c r="AO73" i="12" s="1"/>
  <c r="AP73" i="12" s="1"/>
  <c r="X117" i="12" l="1"/>
  <c r="Y117" i="12" s="1"/>
  <c r="X9" i="12"/>
  <c r="Y9" i="12" s="1"/>
  <c r="U107" i="12"/>
  <c r="U113" i="12"/>
  <c r="U13" i="12"/>
  <c r="U104" i="12"/>
  <c r="U42" i="12"/>
  <c r="U53" i="12"/>
  <c r="U69" i="12"/>
  <c r="U92" i="12"/>
  <c r="U23" i="12"/>
  <c r="U48" i="12"/>
  <c r="U72" i="12"/>
  <c r="U29" i="12"/>
  <c r="X6" i="12"/>
  <c r="Y6" i="12" s="1"/>
  <c r="U109" i="12"/>
  <c r="U123" i="12"/>
  <c r="X111" i="12"/>
  <c r="Y111" i="12" s="1"/>
  <c r="X36" i="12"/>
  <c r="Y36" i="12" s="1"/>
  <c r="X63" i="12"/>
  <c r="Y63" i="12" s="1"/>
  <c r="X87" i="12"/>
  <c r="Y87" i="12" s="1"/>
  <c r="X18" i="12"/>
  <c r="Y18" i="12" s="1"/>
  <c r="U27" i="12"/>
  <c r="U34" i="12"/>
  <c r="U43" i="12"/>
  <c r="X50" i="12"/>
  <c r="Y50" i="12" s="1"/>
  <c r="U56" i="12"/>
  <c r="X62" i="12"/>
  <c r="Y62" i="12" s="1"/>
  <c r="X75" i="12"/>
  <c r="Y75" i="12" s="1"/>
  <c r="U81" i="12"/>
  <c r="X93" i="12"/>
  <c r="Y93" i="12" s="1"/>
  <c r="U97" i="12"/>
  <c r="X8" i="12"/>
  <c r="Y8" i="12" s="1"/>
  <c r="U16" i="12"/>
  <c r="X103" i="12"/>
  <c r="Y103" i="12" s="1"/>
  <c r="U110" i="12"/>
  <c r="U112" i="12"/>
  <c r="U121" i="12"/>
  <c r="X21" i="12"/>
  <c r="Y21" i="12" s="1"/>
  <c r="X26" i="12"/>
  <c r="Y26" i="12" s="1"/>
  <c r="U33" i="12"/>
  <c r="X39" i="12"/>
  <c r="Y39" i="12" s="1"/>
  <c r="U44" i="12"/>
  <c r="X51" i="12"/>
  <c r="Y51" i="12" s="1"/>
  <c r="U60" i="12"/>
  <c r="U66" i="12"/>
  <c r="U74" i="12"/>
  <c r="X77" i="12"/>
  <c r="Y77" i="12" s="1"/>
  <c r="X94" i="12"/>
  <c r="Y94" i="12" s="1"/>
  <c r="U102" i="12"/>
  <c r="X15" i="12"/>
  <c r="Y15" i="12" s="1"/>
  <c r="X24" i="12"/>
  <c r="Y24" i="12" s="1"/>
  <c r="U30" i="12"/>
  <c r="U37" i="12"/>
  <c r="X41" i="12"/>
  <c r="Y41" i="12" s="1"/>
  <c r="U47" i="12"/>
  <c r="U54" i="12"/>
  <c r="U59" i="12"/>
  <c r="U65" i="12"/>
  <c r="X79" i="12"/>
  <c r="Y79" i="12" s="1"/>
  <c r="X85" i="12"/>
  <c r="Y85" i="12" s="1"/>
  <c r="X95" i="12"/>
  <c r="Y95" i="12" s="1"/>
  <c r="X99" i="12"/>
  <c r="Y99" i="12" s="1"/>
  <c r="X101" i="12"/>
  <c r="Y101" i="12" s="1"/>
  <c r="U12" i="12"/>
  <c r="X108" i="12"/>
  <c r="Y108" i="12" s="1"/>
  <c r="U115" i="12"/>
  <c r="X122" i="12"/>
  <c r="Y122" i="12" s="1"/>
  <c r="X121" i="12"/>
  <c r="Y121" i="12" s="1"/>
  <c r="AO121" i="12"/>
  <c r="AP121" i="12" s="1"/>
  <c r="X123" i="12"/>
  <c r="Y123" i="12" s="1"/>
  <c r="AN122" i="12"/>
  <c r="U122" i="12"/>
  <c r="AO123" i="12"/>
  <c r="AP123" i="12" s="1"/>
  <c r="X112" i="12"/>
  <c r="Y112" i="12" s="1"/>
  <c r="X115" i="12"/>
  <c r="Y115" i="12" s="1"/>
  <c r="AN117" i="12"/>
  <c r="U117" i="12"/>
  <c r="AO115" i="12"/>
  <c r="AP115" i="12" s="1"/>
  <c r="AN111" i="12"/>
  <c r="U111" i="12"/>
  <c r="X113" i="12"/>
  <c r="Y113" i="12" s="1"/>
  <c r="AN112" i="12"/>
  <c r="AO113" i="12"/>
  <c r="AP113" i="12" s="1"/>
  <c r="X109" i="12"/>
  <c r="Y109" i="12" s="1"/>
  <c r="AO108" i="12"/>
  <c r="AP108" i="12" s="1"/>
  <c r="U108" i="12"/>
  <c r="X110" i="12"/>
  <c r="Y110" i="12" s="1"/>
  <c r="AN109" i="12"/>
  <c r="X107" i="12"/>
  <c r="Y107" i="12" s="1"/>
  <c r="AO110" i="12"/>
  <c r="AP110" i="12" s="1"/>
  <c r="AO107" i="12"/>
  <c r="AP107" i="12" s="1"/>
  <c r="AN103" i="12"/>
  <c r="X104" i="12"/>
  <c r="Y104" i="12" s="1"/>
  <c r="X102" i="12"/>
  <c r="Y102" i="12" s="1"/>
  <c r="U103" i="12"/>
  <c r="X105" i="12"/>
  <c r="Y105" i="12" s="1"/>
  <c r="AO104" i="12"/>
  <c r="AP104" i="12" s="1"/>
  <c r="AN105" i="12"/>
  <c r="U101" i="12"/>
  <c r="U105" i="12"/>
  <c r="AO101" i="12"/>
  <c r="AP101" i="12" s="1"/>
  <c r="AO102" i="12"/>
  <c r="AP102" i="12" s="1"/>
  <c r="AN99" i="12"/>
  <c r="U99" i="12"/>
  <c r="X97" i="12"/>
  <c r="Y97" i="12" s="1"/>
  <c r="AO97" i="12"/>
  <c r="AP97" i="12" s="1"/>
  <c r="AO94" i="12"/>
  <c r="AP94" i="12" s="1"/>
  <c r="AN95" i="12"/>
  <c r="X92" i="12"/>
  <c r="Y92" i="12" s="1"/>
  <c r="U95" i="12"/>
  <c r="U93" i="12"/>
  <c r="U94" i="12"/>
  <c r="AO93" i="12"/>
  <c r="AP93" i="12" s="1"/>
  <c r="AO92" i="12"/>
  <c r="AP92" i="12" s="1"/>
  <c r="AN87" i="12"/>
  <c r="AN85" i="12"/>
  <c r="U87" i="12"/>
  <c r="U85" i="12"/>
  <c r="X81" i="12"/>
  <c r="Y81" i="12" s="1"/>
  <c r="AO81" i="12"/>
  <c r="AP81" i="12" s="1"/>
  <c r="AN79" i="12"/>
  <c r="U77" i="12"/>
  <c r="U79" i="12"/>
  <c r="X74" i="12"/>
  <c r="Y74" i="12" s="1"/>
  <c r="AO77" i="12"/>
  <c r="AP77" i="12" s="1"/>
  <c r="AO75" i="12"/>
  <c r="AP75" i="12" s="1"/>
  <c r="U75" i="12"/>
  <c r="AO74" i="12"/>
  <c r="AP74" i="12" s="1"/>
  <c r="X72" i="12"/>
  <c r="Y72" i="12" s="1"/>
  <c r="AO72" i="12"/>
  <c r="AP72" i="12" s="1"/>
  <c r="X69" i="12"/>
  <c r="Y69" i="12" s="1"/>
  <c r="X65" i="12"/>
  <c r="Y65" i="12" s="1"/>
  <c r="X66" i="12"/>
  <c r="Y66" i="12" s="1"/>
  <c r="AO69" i="12"/>
  <c r="AP69" i="12" s="1"/>
  <c r="X59" i="12"/>
  <c r="Y59" i="12" s="1"/>
  <c r="AO65" i="12"/>
  <c r="AP65" i="12" s="1"/>
  <c r="AO66" i="12"/>
  <c r="AP66" i="12" s="1"/>
  <c r="AN62" i="12"/>
  <c r="U62" i="12"/>
  <c r="X60" i="12"/>
  <c r="Y60" i="12" s="1"/>
  <c r="AN63" i="12"/>
  <c r="U63" i="12"/>
  <c r="AO59" i="12"/>
  <c r="AP59" i="12" s="1"/>
  <c r="AO60" i="12"/>
  <c r="AP60" i="12" s="1"/>
  <c r="X56" i="12"/>
  <c r="Y56" i="12" s="1"/>
  <c r="X53" i="12"/>
  <c r="Y53" i="12" s="1"/>
  <c r="X54" i="12"/>
  <c r="Y54" i="12" s="1"/>
  <c r="AO56" i="12"/>
  <c r="AP56" i="12" s="1"/>
  <c r="AO53" i="12"/>
  <c r="AP53" i="12" s="1"/>
  <c r="AO54" i="12"/>
  <c r="AP54" i="12" s="1"/>
  <c r="X48" i="12"/>
  <c r="Y48" i="12" s="1"/>
  <c r="AN51" i="12"/>
  <c r="U51" i="12"/>
  <c r="AN50" i="12"/>
  <c r="U50" i="12"/>
  <c r="X44" i="12"/>
  <c r="Y44" i="12" s="1"/>
  <c r="X47" i="12"/>
  <c r="Y47" i="12" s="1"/>
  <c r="AO48" i="12"/>
  <c r="AP48" i="12" s="1"/>
  <c r="X43" i="12"/>
  <c r="Y43" i="12" s="1"/>
  <c r="AO47" i="12"/>
  <c r="AP47" i="12" s="1"/>
  <c r="AO44" i="12"/>
  <c r="AP44" i="12" s="1"/>
  <c r="X42" i="12"/>
  <c r="Y42" i="12" s="1"/>
  <c r="AO43" i="12"/>
  <c r="AP43" i="12" s="1"/>
  <c r="X33" i="12"/>
  <c r="Y33" i="12" s="1"/>
  <c r="AO42" i="12"/>
  <c r="AP42" i="12" s="1"/>
  <c r="AN39" i="12"/>
  <c r="AN41" i="12"/>
  <c r="U39" i="12"/>
  <c r="U41" i="12"/>
  <c r="X37" i="12"/>
  <c r="Y37" i="12" s="1"/>
  <c r="AO36" i="12"/>
  <c r="AP36" i="12" s="1"/>
  <c r="U36" i="12"/>
  <c r="X29" i="12"/>
  <c r="Y29" i="12" s="1"/>
  <c r="AO37" i="12"/>
  <c r="AP37" i="12" s="1"/>
  <c r="X34" i="12"/>
  <c r="Y34" i="12" s="1"/>
  <c r="AO29" i="12"/>
  <c r="AP29" i="12" s="1"/>
  <c r="AO33" i="12"/>
  <c r="AP33" i="12" s="1"/>
  <c r="AO34" i="12"/>
  <c r="AP34" i="12" s="1"/>
  <c r="X30" i="12"/>
  <c r="Y30" i="12" s="1"/>
  <c r="AN30" i="12"/>
  <c r="X23" i="12"/>
  <c r="Y23" i="12" s="1"/>
  <c r="AN26" i="12"/>
  <c r="X27" i="12"/>
  <c r="Y27" i="12" s="1"/>
  <c r="U26" i="12"/>
  <c r="U21" i="12"/>
  <c r="AO24" i="12"/>
  <c r="AP24" i="12" s="1"/>
  <c r="AO27" i="12"/>
  <c r="AP27" i="12" s="1"/>
  <c r="AO18" i="12"/>
  <c r="AP18" i="12" s="1"/>
  <c r="U24" i="12"/>
  <c r="AO23" i="12"/>
  <c r="AP23" i="12" s="1"/>
  <c r="U18" i="12"/>
  <c r="AO21" i="12"/>
  <c r="AP21" i="12" s="1"/>
  <c r="U15" i="12"/>
  <c r="AO15" i="12"/>
  <c r="AP15" i="12" s="1"/>
  <c r="E10" i="21"/>
  <c r="X14" i="12"/>
  <c r="Y14" i="12" s="1"/>
  <c r="U14" i="12"/>
  <c r="AO14" i="12"/>
  <c r="AP14" i="12" s="1"/>
  <c r="X16" i="12"/>
  <c r="Y16" i="12" s="1"/>
  <c r="X13" i="12"/>
  <c r="Y13" i="12" s="1"/>
  <c r="AO16" i="12"/>
  <c r="AP16" i="12" s="1"/>
  <c r="E66" i="21"/>
  <c r="X12" i="12"/>
  <c r="Y12" i="12" s="1"/>
  <c r="AO13" i="12"/>
  <c r="AP13" i="12" s="1"/>
  <c r="C13" i="21"/>
  <c r="E14" i="21"/>
  <c r="U70" i="12"/>
  <c r="U52" i="12"/>
  <c r="AO12" i="12"/>
  <c r="AP12" i="12" s="1"/>
  <c r="U80" i="12"/>
  <c r="X84" i="12"/>
  <c r="Y84" i="12" s="1"/>
  <c r="C52" i="21"/>
  <c r="AN9" i="12"/>
  <c r="E9" i="21"/>
  <c r="U90" i="12"/>
  <c r="U83" i="12"/>
  <c r="C64" i="21"/>
  <c r="U8" i="12"/>
  <c r="U9" i="12"/>
  <c r="C73" i="21"/>
  <c r="C76" i="21"/>
  <c r="AO8" i="12"/>
  <c r="AP8" i="12" s="1"/>
  <c r="E55" i="21"/>
  <c r="G53" i="21"/>
  <c r="E54" i="21"/>
  <c r="G76" i="21"/>
  <c r="E13" i="21"/>
  <c r="X98" i="12"/>
  <c r="Y98" i="12" s="1"/>
  <c r="G60" i="21"/>
  <c r="U116" i="12"/>
  <c r="G71" i="21"/>
  <c r="C71" i="21"/>
  <c r="G12" i="21"/>
  <c r="E70" i="21"/>
  <c r="C59" i="21"/>
  <c r="E67" i="21"/>
  <c r="C65" i="21"/>
  <c r="C55" i="21"/>
  <c r="G74" i="21"/>
  <c r="C11" i="21"/>
  <c r="C70" i="21"/>
  <c r="E76" i="21"/>
  <c r="E58" i="21"/>
  <c r="E63" i="21"/>
  <c r="G8" i="21"/>
  <c r="G54" i="21"/>
  <c r="G10" i="21"/>
  <c r="G14" i="21"/>
  <c r="G70" i="21"/>
  <c r="G61" i="21"/>
  <c r="G65" i="21"/>
  <c r="G51" i="21"/>
  <c r="E52" i="21"/>
  <c r="C53" i="21"/>
  <c r="C56" i="21"/>
  <c r="G58" i="21"/>
  <c r="C60" i="21"/>
  <c r="G66" i="21"/>
  <c r="E64" i="21"/>
  <c r="C62" i="21"/>
  <c r="G68" i="21"/>
  <c r="U71" i="12"/>
  <c r="U55" i="12"/>
  <c r="U22" i="12"/>
  <c r="E12" i="21"/>
  <c r="E8" i="21"/>
  <c r="G50" i="21"/>
  <c r="E51" i="21"/>
  <c r="U98" i="12"/>
  <c r="G57" i="21"/>
  <c r="E68" i="21"/>
  <c r="C75" i="21"/>
  <c r="AO6" i="12"/>
  <c r="AP6" i="12" s="1"/>
  <c r="U6" i="12"/>
  <c r="C12" i="21"/>
  <c r="G11" i="21"/>
  <c r="C8" i="21"/>
  <c r="E50" i="21"/>
  <c r="C51" i="21"/>
  <c r="E61" i="21"/>
  <c r="C58" i="21"/>
  <c r="G64" i="21"/>
  <c r="E62" i="21"/>
  <c r="C68" i="21"/>
  <c r="G69" i="21"/>
  <c r="C69" i="21"/>
  <c r="G73" i="21"/>
  <c r="C74" i="21"/>
  <c r="E11" i="21"/>
  <c r="C50" i="21"/>
  <c r="E60" i="21"/>
  <c r="C57" i="21"/>
  <c r="G63" i="21"/>
  <c r="C67" i="21"/>
  <c r="E72" i="21"/>
  <c r="E73" i="21"/>
  <c r="G75" i="21"/>
  <c r="G55" i="21"/>
  <c r="E59" i="21"/>
  <c r="G62" i="21"/>
  <c r="C66" i="21"/>
  <c r="E71" i="21"/>
  <c r="C14" i="21"/>
  <c r="G13" i="21"/>
  <c r="C10" i="21"/>
  <c r="G9" i="21"/>
  <c r="G56" i="21"/>
  <c r="E57" i="21"/>
  <c r="E69" i="21"/>
  <c r="E75" i="21"/>
  <c r="G52" i="21"/>
  <c r="E53" i="21"/>
  <c r="C54" i="21"/>
  <c r="E56" i="21"/>
  <c r="G59" i="21"/>
  <c r="C61" i="21"/>
  <c r="G67" i="21"/>
  <c r="E65" i="21"/>
  <c r="C63" i="21"/>
  <c r="G72" i="21"/>
  <c r="C72" i="21"/>
  <c r="E74" i="21"/>
  <c r="X124" i="12"/>
  <c r="Y124" i="12" s="1"/>
  <c r="X31" i="12"/>
  <c r="Y31" i="12" s="1"/>
  <c r="X106" i="12"/>
  <c r="Y106" i="12" s="1"/>
  <c r="U89" i="12"/>
  <c r="U96" i="12"/>
  <c r="U49" i="12"/>
  <c r="X38" i="12"/>
  <c r="Y38" i="12" s="1"/>
  <c r="X68" i="12"/>
  <c r="Y68" i="12" s="1"/>
  <c r="U67" i="12"/>
  <c r="X61" i="12"/>
  <c r="Y61" i="12" s="1"/>
  <c r="X28" i="12"/>
  <c r="Y28" i="12" s="1"/>
  <c r="U120" i="12"/>
  <c r="U20" i="12"/>
  <c r="U91" i="12"/>
  <c r="X119" i="12"/>
  <c r="Y119" i="12" s="1"/>
  <c r="U11" i="12"/>
  <c r="X35" i="12"/>
  <c r="Y35" i="12" s="1"/>
  <c r="U76" i="12"/>
  <c r="X64" i="12"/>
  <c r="Y64" i="12" s="1"/>
  <c r="X19" i="12"/>
  <c r="Y19" i="12" s="1"/>
  <c r="X32" i="12"/>
  <c r="Y32" i="12" s="1"/>
  <c r="X78" i="12"/>
  <c r="Y78" i="12" s="1"/>
  <c r="U88" i="12"/>
  <c r="U100" i="12"/>
  <c r="U58" i="12"/>
  <c r="U17" i="12"/>
  <c r="U10" i="12"/>
  <c r="X73" i="12"/>
  <c r="Y73" i="12" s="1"/>
  <c r="U57" i="12"/>
  <c r="U82" i="12"/>
  <c r="U86" i="12"/>
  <c r="U118" i="12"/>
  <c r="U7" i="12"/>
  <c r="X120" i="12"/>
  <c r="Y120" i="12" s="1"/>
  <c r="AO119" i="12"/>
  <c r="AP119" i="12" s="1"/>
  <c r="X118" i="12"/>
  <c r="Y118" i="12" s="1"/>
  <c r="AO120" i="12"/>
  <c r="AP120" i="12" s="1"/>
  <c r="AN124" i="12"/>
  <c r="X90" i="12"/>
  <c r="Y90" i="12" s="1"/>
  <c r="U124" i="12"/>
  <c r="AO84" i="12"/>
  <c r="AP84" i="12" s="1"/>
  <c r="U119" i="12"/>
  <c r="AO116" i="12"/>
  <c r="AP116" i="12" s="1"/>
  <c r="AO118" i="12"/>
  <c r="AP118" i="12" s="1"/>
  <c r="AN82" i="12"/>
  <c r="X116" i="12"/>
  <c r="Y116" i="12" s="1"/>
  <c r="AO106" i="12"/>
  <c r="AP106" i="12" s="1"/>
  <c r="U106" i="12"/>
  <c r="U84" i="12"/>
  <c r="AO86" i="12"/>
  <c r="AP86" i="12" s="1"/>
  <c r="X96" i="12"/>
  <c r="Y96" i="12" s="1"/>
  <c r="X89" i="12"/>
  <c r="Y89" i="12" s="1"/>
  <c r="X91" i="12"/>
  <c r="Y91" i="12" s="1"/>
  <c r="AO98" i="12"/>
  <c r="AP98" i="12" s="1"/>
  <c r="X83" i="12"/>
  <c r="Y83" i="12" s="1"/>
  <c r="AN96" i="12"/>
  <c r="X80" i="12"/>
  <c r="Y80" i="12" s="1"/>
  <c r="X82" i="12"/>
  <c r="Y82" i="12" s="1"/>
  <c r="AN100" i="12"/>
  <c r="X100" i="12"/>
  <c r="Y100" i="12" s="1"/>
  <c r="AO89" i="12"/>
  <c r="AP89" i="12" s="1"/>
  <c r="AO91" i="12"/>
  <c r="AP91" i="12" s="1"/>
  <c r="AN83" i="12"/>
  <c r="X88" i="12"/>
  <c r="Y88" i="12" s="1"/>
  <c r="AN90" i="12"/>
  <c r="X86" i="12"/>
  <c r="Y86" i="12" s="1"/>
  <c r="AO88" i="12"/>
  <c r="AP88" i="12" s="1"/>
  <c r="U78" i="12"/>
  <c r="AO80" i="12"/>
  <c r="AP80" i="12" s="1"/>
  <c r="AO28" i="12"/>
  <c r="AP28" i="12" s="1"/>
  <c r="AN76" i="12"/>
  <c r="X76" i="12"/>
  <c r="Y76" i="12" s="1"/>
  <c r="AO78" i="12"/>
  <c r="AP78" i="12" s="1"/>
  <c r="U28" i="12"/>
  <c r="AN32" i="12"/>
  <c r="AN31" i="12"/>
  <c r="U19" i="12"/>
  <c r="X20" i="12"/>
  <c r="Y20" i="12" s="1"/>
  <c r="U31" i="12"/>
  <c r="X22" i="12"/>
  <c r="Y22" i="12" s="1"/>
  <c r="U35" i="12"/>
  <c r="U32" i="12"/>
  <c r="AO61" i="12"/>
  <c r="AP61" i="12" s="1"/>
  <c r="AO17" i="12"/>
  <c r="AP17" i="12" s="1"/>
  <c r="AO35" i="12"/>
  <c r="AP35" i="12" s="1"/>
  <c r="X70" i="12"/>
  <c r="Y70" i="12" s="1"/>
  <c r="X52" i="12"/>
  <c r="Y52" i="12" s="1"/>
  <c r="X49" i="12"/>
  <c r="Y49" i="12" s="1"/>
  <c r="X7" i="12"/>
  <c r="Y7" i="12" s="1"/>
  <c r="AO19" i="12"/>
  <c r="AP19" i="12" s="1"/>
  <c r="X10" i="12"/>
  <c r="Y10" i="12" s="1"/>
  <c r="AO38" i="12"/>
  <c r="AP38" i="12" s="1"/>
  <c r="U38" i="12"/>
  <c r="AO67" i="12"/>
  <c r="AP67" i="12" s="1"/>
  <c r="AO20" i="12"/>
  <c r="AP20" i="12" s="1"/>
  <c r="X11" i="12"/>
  <c r="Y11" i="12" s="1"/>
  <c r="AO22" i="12"/>
  <c r="AP22" i="12" s="1"/>
  <c r="AO7" i="12"/>
  <c r="AP7" i="12" s="1"/>
  <c r="X55" i="12"/>
  <c r="Y55" i="12" s="1"/>
  <c r="AO10" i="12"/>
  <c r="AP10" i="12" s="1"/>
  <c r="X17" i="12"/>
  <c r="Y17" i="12" s="1"/>
  <c r="AO11" i="12"/>
  <c r="AP11" i="12" s="1"/>
  <c r="L9" i="21"/>
  <c r="U68" i="12"/>
  <c r="X71" i="12"/>
  <c r="Y71" i="12" s="1"/>
  <c r="X67" i="12"/>
  <c r="Y67" i="12" s="1"/>
  <c r="U73" i="12"/>
  <c r="AN64" i="12"/>
  <c r="AN58" i="12"/>
  <c r="AO70" i="12"/>
  <c r="AP70" i="12" s="1"/>
  <c r="X57" i="12"/>
  <c r="Y57" i="12" s="1"/>
  <c r="AO68" i="12"/>
  <c r="AP68" i="12" s="1"/>
  <c r="AN49" i="12"/>
  <c r="AO52" i="12"/>
  <c r="AP52" i="12" s="1"/>
  <c r="AN73" i="12"/>
  <c r="AN57" i="12"/>
  <c r="X58" i="12"/>
  <c r="Y58" i="12" s="1"/>
  <c r="U64" i="12"/>
  <c r="AN71" i="12"/>
  <c r="AN55" i="12"/>
  <c r="U61" i="12"/>
  <c r="J6" i="21" l="1"/>
  <c r="J8" i="21"/>
  <c r="L54" i="21"/>
  <c r="L6" i="21"/>
  <c r="L62" i="21"/>
  <c r="J67" i="21"/>
  <c r="L65" i="21"/>
  <c r="J66" i="21"/>
  <c r="J11" i="21"/>
  <c r="J50" i="21"/>
  <c r="L63" i="21"/>
  <c r="L64" i="21"/>
  <c r="L14" i="21"/>
  <c r="J60" i="21"/>
  <c r="L69" i="21"/>
  <c r="L53" i="21"/>
  <c r="J65" i="21"/>
  <c r="L61" i="21"/>
  <c r="J53" i="21"/>
  <c r="L68" i="21"/>
  <c r="J72" i="21"/>
  <c r="L13" i="21"/>
  <c r="L58" i="21"/>
  <c r="J73" i="21"/>
  <c r="J13" i="21"/>
  <c r="J54" i="21"/>
  <c r="J59" i="21"/>
  <c r="L74" i="21"/>
  <c r="L11" i="21"/>
  <c r="L50" i="21"/>
  <c r="J69" i="21"/>
  <c r="L73" i="21"/>
  <c r="L72" i="21"/>
  <c r="J75" i="21"/>
  <c r="L52" i="21"/>
  <c r="J10" i="21"/>
  <c r="L56" i="21"/>
  <c r="J63" i="21"/>
  <c r="L8" i="21"/>
  <c r="J14" i="21"/>
  <c r="J61" i="21"/>
  <c r="L66" i="21"/>
  <c r="L75" i="21"/>
  <c r="J52" i="21"/>
  <c r="L76" i="21"/>
  <c r="J55" i="21"/>
  <c r="L57" i="21"/>
  <c r="L59" i="21"/>
  <c r="L70" i="21"/>
  <c r="J76" i="21"/>
  <c r="L67" i="21"/>
  <c r="J51" i="21"/>
  <c r="J56" i="21"/>
  <c r="J57" i="21"/>
  <c r="J64" i="21"/>
  <c r="J70" i="21"/>
  <c r="L71" i="21"/>
  <c r="J68" i="21"/>
  <c r="J74" i="21"/>
  <c r="L60" i="21"/>
  <c r="L55" i="21"/>
  <c r="J62" i="21"/>
  <c r="L10" i="21"/>
  <c r="J9" i="21"/>
  <c r="L12" i="21"/>
  <c r="L51" i="21"/>
  <c r="J71" i="21"/>
  <c r="J12" i="21"/>
  <c r="J58" i="21"/>
  <c r="C40" i="12" l="1"/>
  <c r="C5" i="12"/>
  <c r="M7" i="21" l="1"/>
  <c r="K7" i="21"/>
  <c r="I7" i="21"/>
  <c r="H7" i="21"/>
  <c r="F7" i="21"/>
  <c r="D7" i="21"/>
  <c r="A7" i="21"/>
  <c r="M5" i="21"/>
  <c r="K5" i="21"/>
  <c r="I5" i="21"/>
  <c r="H5" i="21"/>
  <c r="F5" i="21"/>
  <c r="D5" i="21"/>
  <c r="A5" i="21"/>
  <c r="E5" i="12" l="1"/>
  <c r="E25" i="12"/>
  <c r="E40" i="12"/>
  <c r="E45" i="12"/>
  <c r="E46" i="12"/>
  <c r="E49" i="21" s="1"/>
  <c r="C25" i="12"/>
  <c r="C45" i="12"/>
  <c r="C46" i="12"/>
  <c r="C49" i="21" s="1"/>
  <c r="E47" i="21" l="1"/>
  <c r="E48" i="21"/>
  <c r="C47" i="21"/>
  <c r="C48" i="21"/>
  <c r="E45" i="21"/>
  <c r="E46" i="21"/>
  <c r="C45" i="21"/>
  <c r="C46" i="21"/>
  <c r="C43" i="21"/>
  <c r="C44" i="21"/>
  <c r="E43" i="21"/>
  <c r="E44" i="21"/>
  <c r="C41" i="21"/>
  <c r="C42" i="21"/>
  <c r="E41" i="21"/>
  <c r="E42" i="21"/>
  <c r="E39" i="21"/>
  <c r="E40" i="21"/>
  <c r="C39" i="21"/>
  <c r="C40" i="21"/>
  <c r="C37" i="21"/>
  <c r="C38" i="21"/>
  <c r="E37" i="21"/>
  <c r="E38" i="21"/>
  <c r="E35" i="21"/>
  <c r="E36" i="21"/>
  <c r="C35" i="21"/>
  <c r="C36" i="21"/>
  <c r="E33" i="21"/>
  <c r="E34" i="21"/>
  <c r="C33" i="21"/>
  <c r="C34" i="21"/>
  <c r="E31" i="21"/>
  <c r="E32" i="21"/>
  <c r="C31" i="21"/>
  <c r="C32" i="21"/>
  <c r="E29" i="21"/>
  <c r="E30" i="21"/>
  <c r="C29" i="21"/>
  <c r="C30" i="21"/>
  <c r="C20" i="21"/>
  <c r="C21" i="21"/>
  <c r="C27" i="21"/>
  <c r="C28" i="21"/>
  <c r="E27" i="21"/>
  <c r="E28" i="21"/>
  <c r="E19" i="21"/>
  <c r="E20" i="21"/>
  <c r="C18" i="21"/>
  <c r="C19" i="21"/>
  <c r="C25" i="21"/>
  <c r="C26" i="21"/>
  <c r="E25" i="21"/>
  <c r="E26" i="21"/>
  <c r="E17" i="21"/>
  <c r="E18" i="21"/>
  <c r="C16" i="21"/>
  <c r="C17" i="21"/>
  <c r="E23" i="21"/>
  <c r="E24" i="21"/>
  <c r="E22" i="21"/>
  <c r="C23" i="21"/>
  <c r="C24" i="21"/>
  <c r="E15" i="21"/>
  <c r="E16" i="21"/>
  <c r="C15" i="21"/>
  <c r="C7" i="21"/>
  <c r="C22" i="21"/>
  <c r="E5" i="21"/>
  <c r="E21" i="21"/>
  <c r="C5" i="21"/>
  <c r="E7" i="21"/>
  <c r="W46" i="12"/>
  <c r="W45" i="12"/>
  <c r="W40" i="12"/>
  <c r="W25" i="12"/>
  <c r="G46" i="12" l="1"/>
  <c r="G49" i="21" s="1"/>
  <c r="R45" i="12"/>
  <c r="R5" i="12" l="1"/>
  <c r="R25" i="12"/>
  <c r="R40" i="12"/>
  <c r="R46" i="12"/>
  <c r="AL46" i="12"/>
  <c r="AL45" i="12"/>
  <c r="AL40" i="12"/>
  <c r="AL25" i="12"/>
  <c r="AK46" i="12"/>
  <c r="AK45" i="12"/>
  <c r="AK40" i="12"/>
  <c r="AK25" i="12"/>
  <c r="AK5" i="12" l="1"/>
  <c r="AM45" i="12" l="1"/>
  <c r="AM46" i="12"/>
  <c r="AO46" i="12" s="1"/>
  <c r="AP46" i="12" s="1"/>
  <c r="L49" i="21" s="1"/>
  <c r="AM40" i="12"/>
  <c r="AM25" i="12"/>
  <c r="AL5" i="12"/>
  <c r="AM5" i="12" s="1"/>
  <c r="AN5" i="12" s="1"/>
  <c r="AN25" i="12" l="1"/>
  <c r="AN45" i="12"/>
  <c r="AN40" i="12"/>
  <c r="AN46" i="12"/>
  <c r="G45" i="12"/>
  <c r="G48" i="21" s="1"/>
  <c r="G40" i="12"/>
  <c r="G25" i="12"/>
  <c r="G46" i="21" l="1"/>
  <c r="G47" i="21"/>
  <c r="G44" i="21"/>
  <c r="G45" i="21"/>
  <c r="G42" i="21"/>
  <c r="G43" i="21"/>
  <c r="G40" i="21"/>
  <c r="G41" i="21"/>
  <c r="G38" i="21"/>
  <c r="G39" i="21"/>
  <c r="G36" i="21"/>
  <c r="G37" i="21"/>
  <c r="G34" i="21"/>
  <c r="G35" i="21"/>
  <c r="G32" i="21"/>
  <c r="G33" i="21"/>
  <c r="G30" i="21"/>
  <c r="G31" i="21"/>
  <c r="G28" i="21"/>
  <c r="G29" i="21"/>
  <c r="G26" i="21"/>
  <c r="G27" i="21"/>
  <c r="G19" i="21"/>
  <c r="G20" i="21"/>
  <c r="G24" i="21"/>
  <c r="G25" i="21"/>
  <c r="G17" i="21"/>
  <c r="G18" i="21"/>
  <c r="G22" i="21"/>
  <c r="G23" i="21"/>
  <c r="G15" i="21"/>
  <c r="G16" i="21"/>
  <c r="G21" i="21"/>
  <c r="G7" i="21"/>
  <c r="AO45" i="12"/>
  <c r="AP45" i="12" s="1"/>
  <c r="L48" i="21" s="1"/>
  <c r="AO40" i="12"/>
  <c r="AP40" i="12" s="1"/>
  <c r="AO25" i="12"/>
  <c r="AP25" i="12" s="1"/>
  <c r="L46" i="21" l="1"/>
  <c r="L47" i="21"/>
  <c r="L44" i="21"/>
  <c r="L45" i="21"/>
  <c r="L42" i="21"/>
  <c r="L43" i="21"/>
  <c r="L40" i="21"/>
  <c r="L41" i="21"/>
  <c r="L38" i="21"/>
  <c r="L39" i="21"/>
  <c r="L36" i="21"/>
  <c r="L37" i="21"/>
  <c r="L34" i="21"/>
  <c r="L35" i="21"/>
  <c r="L32" i="21"/>
  <c r="L33" i="21"/>
  <c r="L30" i="21"/>
  <c r="L31" i="21"/>
  <c r="L21" i="21"/>
  <c r="L28" i="21"/>
  <c r="L29" i="21"/>
  <c r="L26" i="21"/>
  <c r="L27" i="21"/>
  <c r="L19" i="21"/>
  <c r="L20" i="21"/>
  <c r="L17" i="21"/>
  <c r="L18" i="21"/>
  <c r="L24" i="21"/>
  <c r="L25" i="21"/>
  <c r="L22" i="21"/>
  <c r="L23" i="21"/>
  <c r="L15" i="21"/>
  <c r="L16" i="21"/>
  <c r="L7" i="21"/>
  <c r="S46" i="12"/>
  <c r="T46" i="12" s="1"/>
  <c r="S45" i="12"/>
  <c r="T45" i="12" s="1"/>
  <c r="U45" i="12" s="1"/>
  <c r="S40" i="12"/>
  <c r="T40" i="12" s="1"/>
  <c r="S25" i="12"/>
  <c r="T25" i="12" s="1"/>
  <c r="X40" i="12" l="1"/>
  <c r="U46" i="12"/>
  <c r="X46" i="12"/>
  <c r="Y46" i="12" s="1"/>
  <c r="J49" i="21" s="1"/>
  <c r="X25" i="12"/>
  <c r="X45" i="12"/>
  <c r="U25" i="12"/>
  <c r="U40" i="12"/>
  <c r="S5" i="12"/>
  <c r="T5" i="12" s="1"/>
  <c r="U5" i="12" l="1"/>
  <c r="W5" i="12" l="1"/>
  <c r="G5" i="12"/>
  <c r="G5" i="21" s="1"/>
  <c r="X5" i="12" l="1"/>
  <c r="AO5" i="12"/>
  <c r="AP5" i="12" s="1"/>
  <c r="L5" i="21" s="1"/>
  <c r="Y25" i="12" l="1"/>
  <c r="Y40" i="12"/>
  <c r="Y45" i="12"/>
  <c r="J48" i="21" s="1"/>
  <c r="Y5" i="12"/>
  <c r="J46" i="21" l="1"/>
  <c r="J47" i="21"/>
  <c r="J44" i="21"/>
  <c r="J45" i="21"/>
  <c r="J42" i="21"/>
  <c r="J43" i="21"/>
  <c r="J40" i="21"/>
  <c r="J41" i="21"/>
  <c r="J38" i="21"/>
  <c r="J39" i="21"/>
  <c r="J36" i="21"/>
  <c r="J37" i="21"/>
  <c r="J34" i="21"/>
  <c r="J35" i="21"/>
  <c r="J32" i="21"/>
  <c r="J33" i="21"/>
  <c r="J30" i="21"/>
  <c r="J31" i="21"/>
  <c r="J28" i="21"/>
  <c r="J29" i="21"/>
  <c r="J26" i="21"/>
  <c r="J27" i="21"/>
  <c r="J19" i="21"/>
  <c r="J20" i="21"/>
  <c r="J24" i="21"/>
  <c r="J25" i="21"/>
  <c r="J17" i="21"/>
  <c r="J18" i="21"/>
  <c r="J22" i="21"/>
  <c r="J23" i="21"/>
  <c r="J15" i="21"/>
  <c r="J16" i="21"/>
  <c r="J5" i="21"/>
  <c r="J21" i="21"/>
  <c r="J7" i="21"/>
</calcChain>
</file>

<file path=xl/comments1.xml><?xml version="1.0" encoding="utf-8"?>
<comments xmlns="http://schemas.openxmlformats.org/spreadsheetml/2006/main">
  <authors>
    <author>P Muni Sai Sivakumar</author>
  </authors>
  <commentList>
    <comment ref="D19" authorId="0" shapeId="0">
      <text>
        <r>
          <rPr>
            <b/>
            <sz val="9"/>
            <color indexed="81"/>
            <rFont val="Tahoma"/>
            <family val="2"/>
          </rPr>
          <t>P Muni Sai Sivakumar:</t>
        </r>
        <r>
          <rPr>
            <sz val="9"/>
            <color indexed="81"/>
            <rFont val="Tahoma"/>
            <family val="2"/>
          </rPr>
          <t xml:space="preserve">
moving from tablet</t>
        </r>
      </text>
    </comment>
  </commentList>
</comments>
</file>

<file path=xl/comments2.xml><?xml version="1.0" encoding="utf-8"?>
<comments xmlns="http://schemas.openxmlformats.org/spreadsheetml/2006/main">
  <authors>
    <author>P Muni Sai Sivakumar</author>
  </authors>
  <commentList>
    <comment ref="B28" authorId="0" shapeId="0">
      <text>
        <r>
          <rPr>
            <b/>
            <sz val="9"/>
            <color indexed="81"/>
            <rFont val="Tahoma"/>
            <family val="2"/>
          </rPr>
          <t>P Muni Sai Sivakumar:</t>
        </r>
        <r>
          <rPr>
            <sz val="9"/>
            <color indexed="81"/>
            <rFont val="Tahoma"/>
            <family val="2"/>
          </rPr>
          <t xml:space="preserve">
Data in Transit</t>
        </r>
      </text>
    </comment>
  </commentList>
</comments>
</file>

<file path=xl/comments3.xml><?xml version="1.0" encoding="utf-8"?>
<comments xmlns="http://schemas.openxmlformats.org/spreadsheetml/2006/main">
  <authors>
    <author>P Muni Sai Sivakumar</author>
  </authors>
  <commentList>
    <comment ref="D13" authorId="0" shapeId="0">
      <text>
        <r>
          <rPr>
            <b/>
            <sz val="9"/>
            <color indexed="81"/>
            <rFont val="Tahoma"/>
            <family val="2"/>
          </rPr>
          <t>P Muni Sai Sivakumar:</t>
        </r>
        <r>
          <rPr>
            <sz val="9"/>
            <color indexed="81"/>
            <rFont val="Tahoma"/>
            <family val="2"/>
          </rPr>
          <t xml:space="preserve">
Un-Used Ports</t>
        </r>
      </text>
    </comment>
  </commentList>
</comments>
</file>

<file path=xl/sharedStrings.xml><?xml version="1.0" encoding="utf-8"?>
<sst xmlns="http://schemas.openxmlformats.org/spreadsheetml/2006/main" count="2241" uniqueCount="403">
  <si>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</si>
  <si>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</si>
  <si>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</si>
  <si>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</si>
  <si>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</si>
  <si>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</si>
  <si>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</si>
  <si>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</si>
  <si>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</si>
  <si>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</si>
  <si>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</si>
  <si>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</si>
  <si>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</si>
  <si>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</si>
  <si>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</si>
  <si>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</si>
  <si>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</si>
  <si>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</si>
  <si>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</si>
  <si>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</si>
  <si>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</si>
  <si>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</si>
  <si>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</si>
  <si>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</si>
  <si>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</si>
  <si>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</si>
  <si>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</si>
  <si>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</si>
  <si>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Individual (Disgruntled/Ex-Employees, Outsider, Insider, Trusted Insider, Priveleged Insider)</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</si>
  <si>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</si>
  <si>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</si>
  <si>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</si>
  <si>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</si>
  <si>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</si>
  <si>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</si>
  <si>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</si>
  <si>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</si>
  <si>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</si>
  <si>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</si>
  <si>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</si>
  <si>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</si>
  <si>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</si>
  <si>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</si>
  <si>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</si>
  <si>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</si>
  <si>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</si>
  <si>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</si>
  <si>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</si>
  <si>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</si>
  <si>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</si>
  <si>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</si>
  <si>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</si>
  <si>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</si>
  <si>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</si>
  <si>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</si>
  <si>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</si>
  <si>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</si>
  <si>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</si>
  <si>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</si>
  <si>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</si>
  <si>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</si>
  <si>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</si>
  <si>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</si>
  <si>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</si>
  <si>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</si>
  <si>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</si>
  <si>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</si>
  <si>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</si>
  <si>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</si>
  <si>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</si>
  <si>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</si>
  <si>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</si>
  <si>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</si>
  <si>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</si>
  <si>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</si>
  <si>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</si>
  <si>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</si>
  <si>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</si>
  <si>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</si>
  <si>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</si>
  <si>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</si>
  <si>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</si>
  <si>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</si>
  <si>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</si>
  <si>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</si>
  <si>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</si>
  <si>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</si>
  <si>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</si>
  <si>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</si>
  <si>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</si>
  <si>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</si>
  <si>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</si>
  <si>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</si>
  <si>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</si>
  <si>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</si>
  <si>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</si>
  <si>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</si>
  <si>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</si>
  <si>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</si>
  <si>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</si>
  <si>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</si>
  <si>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</si>
  <si>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</si>
  <si>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</si>
  <si>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</si>
  <si>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</si>
  <si>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</si>
  <si>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A11</t>
  </si>
  <si>
    <t>A12</t>
  </si>
  <si>
    <t>A13</t>
  </si>
  <si>
    <t>A14</t>
  </si>
  <si>
    <t>A01</t>
  </si>
  <si>
    <t>A02</t>
  </si>
  <si>
    <t>A03</t>
  </si>
  <si>
    <t>A04</t>
  </si>
  <si>
    <t>A05</t>
  </si>
  <si>
    <t>A06</t>
  </si>
  <si>
    <t>A07</t>
  </si>
  <si>
    <t>A08</t>
  </si>
  <si>
    <t>A09</t>
  </si>
  <si>
    <t>V01</t>
  </si>
  <si>
    <t>V02</t>
  </si>
  <si>
    <t>V ID</t>
  </si>
  <si>
    <t>T ID</t>
  </si>
  <si>
    <t>A ID</t>
  </si>
  <si>
    <t>T01</t>
  </si>
  <si>
    <t>T02</t>
  </si>
  <si>
    <t>T03</t>
  </si>
  <si>
    <t>T04</t>
  </si>
  <si>
    <t>T05</t>
  </si>
  <si>
    <t>Yes</t>
  </si>
  <si>
    <t>n/a</t>
  </si>
  <si>
    <t>Rating</t>
  </si>
  <si>
    <t>Pre-Implementation of Security Controls</t>
  </si>
  <si>
    <t>Post-Implementation of Security Controls</t>
  </si>
  <si>
    <t>Threat Event Initiation</t>
  </si>
  <si>
    <t>Threat Event Initiation
Score</t>
  </si>
  <si>
    <t>Security 
Risk 
Level</t>
  </si>
  <si>
    <t xml:space="preserve"> </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</si>
  <si>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</si>
  <si>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Thread source delivers malware on a removable media which was designed to exploit a known vulnerability of the Navigation System. Directed attack on the Navigation System using knowledge about the Navigation System.</t>
  </si>
  <si>
    <t>Deliver undirected malware</t>
  </si>
  <si>
    <t>Deliver directed malware</t>
  </si>
  <si>
    <t>V11</t>
  </si>
  <si>
    <t>V21</t>
  </si>
  <si>
    <t>V22</t>
  </si>
  <si>
    <t>V23</t>
  </si>
  <si>
    <t>Data</t>
  </si>
  <si>
    <t>Information about internals of the system (Device identification, software versions, supported protocols, etc.)</t>
  </si>
  <si>
    <t>System &amp; Asset Identification</t>
  </si>
  <si>
    <t xml:space="preserve">Medical Device / System: </t>
  </si>
  <si>
    <t>Date:</t>
  </si>
  <si>
    <t xml:space="preserve">Conducted by: </t>
  </si>
  <si>
    <t>&lt;Author Name / Function / Organization&gt;
&lt;Author Name / Function / Organization&gt;</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</si>
  <si>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</si>
  <si>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</si>
  <si>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</si>
  <si>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</si>
  <si>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</si>
  <si>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</si>
  <si>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</si>
  <si>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</si>
  <si>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</si>
  <si>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</si>
  <si>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D05788-1, Ver 1</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</si>
  <si>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</si>
  <si>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</si>
  <si>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</si>
  <si>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</si>
  <si>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</si>
  <si>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</si>
  <si>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</si>
  <si>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</si>
  <si>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</si>
  <si>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</si>
  <si>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</si>
  <si>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</si>
  <si>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</si>
  <si>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</si>
  <si>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</si>
  <si>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</si>
  <si>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</si>
  <si>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</si>
  <si>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</si>
  <si>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</si>
  <si>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</si>
  <si>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</si>
  <si>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</si>
  <si>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</si>
  <si>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</si>
  <si>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</si>
  <si>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</si>
  <si>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</si>
  <si>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</si>
  <si>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</si>
  <si>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</si>
  <si>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</si>
  <si>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</si>
  <si>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Justification</t>
  </si>
  <si>
    <t>Tablet OS/network details &amp; Tablet Application</t>
  </si>
  <si>
    <t>Physical Assets</t>
  </si>
  <si>
    <t>Smart medic (Stryker device) System Component</t>
  </si>
  <si>
    <t>Monitors local bed status information, alerting caregivers visually, audibly or remotely if preset parameters are compromised.</t>
  </si>
  <si>
    <t xml:space="preserve">Authenication/Authorisation data </t>
  </si>
  <si>
    <t>Information related to authenication/authorisation data (password/pins/MFA/Biometrics)</t>
  </si>
  <si>
    <t>Device Maintainence tool (Hardware/Software)</t>
  </si>
  <si>
    <t>Device Maintainence tool (Hardware/Software) that patchs and updates Smart Medic Device and Application related to Security</t>
  </si>
  <si>
    <t>Electronic Health Records (EHR)/ Device Component status</t>
  </si>
  <si>
    <t xml:space="preserve">Smart device components health status information </t>
  </si>
  <si>
    <t>Interface/API Communication</t>
  </si>
  <si>
    <t>Communication middleware enables communication and data management for distributed applications.</t>
  </si>
  <si>
    <t>Wireless Network device</t>
  </si>
  <si>
    <t xml:space="preserve">Devices that are used for communication among the Smart Medic project component. </t>
  </si>
  <si>
    <t>Data at Rest</t>
  </si>
  <si>
    <t>Use strong encryption algorthim to store data on cloud platform (Smartmedic Device)/tablet</t>
  </si>
  <si>
    <t>Data in Motion</t>
  </si>
  <si>
    <t>Use strong encryption algorthim to data moving on tablet to cloud platform(Smartmedic Device)/tablet</t>
  </si>
  <si>
    <t>Smart medic app (Stryker Azure Cloud Web Application)</t>
  </si>
  <si>
    <t>Smart medic application for nurse/health worker (Stryker Azure Cloud Web Application)</t>
  </si>
  <si>
    <t>Smart medic app (Azure Portal Administrator)</t>
  </si>
  <si>
    <t>Azure Portal Administrator for Smart medic app</t>
  </si>
  <si>
    <t>Azure Cloud DataBase</t>
  </si>
  <si>
    <t xml:space="preserve">Azure Cloud DataBase related to Smart Medic app </t>
  </si>
  <si>
    <t>Health vital data</t>
  </si>
  <si>
    <t>Health vital data Body temperature. Pulse rate. Respiration rate,weight data, position data, etc.</t>
  </si>
  <si>
    <t>&lt;2021-07-12&gt;</t>
  </si>
  <si>
    <t>V03</t>
  </si>
  <si>
    <t>V04</t>
  </si>
  <si>
    <t>V05</t>
  </si>
  <si>
    <t>Devices with default passwords needs to be checked for bruteforce attacks</t>
  </si>
  <si>
    <t>External communications and exposure for communciation channels from and to application and devices like tablet and smartmedic device.</t>
  </si>
  <si>
    <t>The password complexity or location vulnerability. Like weak passwords and hardcoded passwords.</t>
  </si>
  <si>
    <t>Checking authentication modes for possible hacks and bypasses</t>
  </si>
  <si>
    <t>V06</t>
  </si>
  <si>
    <t>V07</t>
  </si>
  <si>
    <t>V08</t>
  </si>
  <si>
    <t>V09</t>
  </si>
  <si>
    <t>V10</t>
  </si>
  <si>
    <t>Lack of Asset location digaram in security operations manual</t>
  </si>
  <si>
    <t>Lack of configuration controls for IT assets in the informaion system plan</t>
  </si>
  <si>
    <t>Ineffective patch management of firware, OS and applications thoughout the information system plan</t>
  </si>
  <si>
    <t xml:space="preserve">Lack of plan for periodic Software Vulnerability Management </t>
  </si>
  <si>
    <t>The  static connection digaram between devices and applications with provision for periodic updation as per changes</t>
  </si>
  <si>
    <t>Assest counting system for all instances of product implementation</t>
  </si>
  <si>
    <t>Unprotected network port(s) on network devices and connection points</t>
  </si>
  <si>
    <t>Unprotected external USB Port on the tablet/devices.</t>
  </si>
  <si>
    <t>Unencrypted Network segment throught the information flow</t>
  </si>
  <si>
    <t>Controlled Use of Administrative Privileges over the network</t>
  </si>
  <si>
    <t>V12</t>
  </si>
  <si>
    <t>V13</t>
  </si>
  <si>
    <t>V14</t>
  </si>
  <si>
    <t>V15</t>
  </si>
  <si>
    <t>V16</t>
  </si>
  <si>
    <t>Unencrypted data at rest in all possible locations</t>
  </si>
  <si>
    <t>Unencrypted data in flight in all flowchannels</t>
  </si>
  <si>
    <t>Weak Encryption Implementaion in data at rest and in motion tactical and design wise</t>
  </si>
  <si>
    <t>Weak Algorthim implementation with respect cipher key size</t>
  </si>
  <si>
    <t>InSecure Configurations of Resources</t>
  </si>
  <si>
    <t>V17</t>
  </si>
  <si>
    <t>V18</t>
  </si>
  <si>
    <t>V19</t>
  </si>
  <si>
    <t>InSecure/not recommended  Configuration for Mobile Devices, Laptops, Workstations, and Servers</t>
  </si>
  <si>
    <t>InSecure Configuration for Software/OS on Mobile Devices, Laptops, Workstations, and Servers</t>
  </si>
  <si>
    <t>Legacy system identification if any</t>
  </si>
  <si>
    <t>Outdated  - Software/Hardware</t>
  </si>
  <si>
    <t>V20</t>
  </si>
  <si>
    <t>Gaining Access</t>
  </si>
  <si>
    <t>Maintaining Access</t>
  </si>
  <si>
    <t>Clearing Track</t>
  </si>
  <si>
    <t>Elevation of privilege</t>
  </si>
  <si>
    <t>Denial of service</t>
  </si>
  <si>
    <t>Information disclosure</t>
  </si>
  <si>
    <t>Open network port exploit</t>
  </si>
  <si>
    <t>Brute-force Attack</t>
  </si>
  <si>
    <t>Social Engineering</t>
  </si>
  <si>
    <t>T06</t>
  </si>
  <si>
    <t>T07</t>
  </si>
  <si>
    <t>T08</t>
  </si>
  <si>
    <t>T09</t>
  </si>
  <si>
    <t>T10</t>
  </si>
  <si>
    <t>T11</t>
  </si>
  <si>
    <t>T12</t>
  </si>
  <si>
    <t>This phase is where an attacker breaks into the system/network using various tools or methods. After entering into a system, he has to increase his privilege to administrator level so he can install an application he needs or modify data or hide data</t>
  </si>
  <si>
    <t>The aim is to maintain the access to the target until he finishes the tasks he planned to accomplish in that target.</t>
  </si>
  <si>
    <t>This involves modifying/corrupting/deleting the values of Logs, modifying registry values and uninstalling all applications he used and deleting all folders he created</t>
  </si>
  <si>
    <t>Identify weaknesses of segregation in terms of administrative and user-level privileges</t>
  </si>
  <si>
    <t>Find ways to exhaust or drown out legitimate requests</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</si>
  <si>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</si>
  <si>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Access user and application data e.g. by a malicious application or script</t>
  </si>
  <si>
    <t>Penetrate Open and Unsecured Ports</t>
  </si>
  <si>
    <t>The brute-force attack contained a dictionary of well-known directories and authentication paradigms present in common webservers.</t>
  </si>
  <si>
    <t>create custom phishing scams, phone-based attacks and even physical intrusion to test your organization’s level of security.</t>
  </si>
  <si>
    <t xml:space="preserve">1) Malicious utilization of  computer resources 2) computing power  
3) denial of service attacks, 
4) ransomware attack 
5) Bitcoin mining, etc </t>
  </si>
  <si>
    <t xml:space="preserve">1) Malicious utilization of  computer resources 
2) computing power  
3) denial of service attacks, 
4) ransomware attack 
5) Bitcoin mining, etc </t>
  </si>
  <si>
    <t>1)  Obtain knowledge about system internals
2)  Attempt to find attack vectors 
3)  Possibilities for exploitation of publicly known Vulnerabilities.</t>
  </si>
  <si>
    <t>1) Tampering of forensic data
2) This involves modifying/corrupting/deleting the values of Logs, 
3) Modifying registry values 
4) Uninstalling all malcious applications/tools   
5) Deleting all folders which were created</t>
  </si>
  <si>
    <t>1) Gaining access to the portal 
2) Accessing confidential data, 
3) Lead misuse of confidential data
4)  Company defamation</t>
  </si>
  <si>
    <t>1) Bring down the service availability 
2) Blocking the end user usage</t>
  </si>
  <si>
    <t>1) Allowing application or script to perform abnormal activites on the system.
2) Modifying the data, tampering the confidential data making it unavailable or challenging the integrity of data.</t>
  </si>
  <si>
    <t>1) This threat may hamper digital or physical resources, infractructure and end points
2) Get the user (employee/ client/ customer) to download malware, send money or perform actions that are dangerous.</t>
  </si>
  <si>
    <t>1) This threat may hamper digital or physical resources, infractructure and end points through spear phishing mail 
2) Get the user (employee/ client/ customer) to download malware, send money or perform actions that are dangerous.
3) Reputational harm
4) Economical harm</t>
  </si>
  <si>
    <t>1) An attacker may attempt to discover a weak encryption by systematically trying every possible combination of decryption key.</t>
  </si>
  <si>
    <t>Tablet Resources - web cam, microphone, OTG devices, Removable USB, Tablet Application,</t>
  </si>
  <si>
    <t xml:space="preserve">Utilizing computer resources and computing power by adversary, allows various general purpose attacks, such as  incl. Ransomware deployment, Bitcoin Mining, abuse of peripheral devices such as WebCam, Microphones, etc., . </t>
  </si>
  <si>
    <t>Insecure communications in networks (hospital)</t>
  </si>
  <si>
    <t>Information of health data can be exploit and disclose with various means like network, tablet etc.  .</t>
  </si>
  <si>
    <t>Data Access</t>
  </si>
  <si>
    <t xml:space="preserve">• Encrypting the storage subsystem
• Encryption methods such as HTTPS, SSL, and TLS are often used to protect data in motion.
• Stateful firewall
• Host Hardening
•  Maintain access control list.
•  Use strong encrption algorithm </t>
  </si>
  <si>
    <t>•  Stateful Firewall
• Maintain access control list</t>
  </si>
  <si>
    <t xml:space="preserve">• Use Secure tunnel Communications channel </t>
  </si>
  <si>
    <t>• Disable the device network discoverable
• Maintain Access Control List.
• Block all unrequired ports
• Stateful firewall</t>
  </si>
  <si>
    <t>• Configuring account lockout policies cannot be exploited to lock out well known service accounts.
• Ensuring application is capable of handling required volumes of traffic and that thresholds are in place to handle optimal  loads.
• Review your application's failover functionality.
• Maintain Access Control List.
• Block all unrequired ports
• Stateful firewall</t>
  </si>
  <si>
    <t>• Eliminating rogue access points
• Properly configuring all authorized access points
• Firewall
• Limit Network Access</t>
  </si>
  <si>
    <t xml:space="preserve">• Use secure tunnel communication channel
• Maintain access control list.
• Use strong encrption algorithm </t>
  </si>
  <si>
    <t>• Server-side encryption using Service-Managed keys
• Network access control
• Encryption for sensitive data in transit, such as when files are attached to an email message or moved to cloud storage, removable drives
•  Transfer over encrypted tunnel</t>
  </si>
  <si>
    <t>• Server-side encryption using Service-Managed keys
• Use secure tunnel communication channel
• Network access control
• Encryption for sensitive data in transit, such as when files are attached to an email message or moved to cloud storage, removable drives
•  Transfer over encrypted tunnel</t>
  </si>
  <si>
    <t>• Firewall
• Secure communication links with protocols that provide message confidentiality.</t>
  </si>
  <si>
    <t xml:space="preserve">• Use secure tunnel communication channel
• Configure and upgrade routers for the n/w security
• Configure firewalls to reject any packets with spoofed addresses.
• Maintain access control list.
• Use strong encrption algorithm </t>
  </si>
  <si>
    <t xml:space="preserve">• Set your spam filters setting options to high
• Secure your computing devices </t>
  </si>
  <si>
    <t xml:space="preserve">• Set your spam filters setting options to high
• Secure your computing devices
</t>
  </si>
  <si>
    <t>• Firewall
• Encrypting data at rest
• Protect your data with multi factor authentication
• Use secure tunnel communication channel</t>
  </si>
  <si>
    <t>• Set your spam filters setting options to high
• Firewalls, 
• Use secure tunnel communication channel</t>
  </si>
  <si>
    <t xml:space="preserve">▪Asset should be behind stateful firewall
•  Use secure tunnel communications channel </t>
  </si>
  <si>
    <t xml:space="preserve">• Implement automated configuration monitoring systems
• Use Secure tunnel Communications channel </t>
  </si>
  <si>
    <t xml:space="preserve">• Encrypting the storage subsystem
• Encryption methods such as HTTPS, SSL, and TLS are often used to protect data in motion.
• Stateful firewall
•  Maintain access control list.
•  Use strong encrption algorithm </t>
  </si>
  <si>
    <t xml:space="preserve">•  Using port security on Firewall
•  Application level Firewall
•  Check ing  internet provider’s or router manufacturer’s wireless security options.
</t>
  </si>
  <si>
    <t>• limit authentication attempts (rate Limiting)
• Maintain Access Logs
• Maintain Server Security Logs
• IP Whitelisting
• Use strong encryption algorithyms</t>
  </si>
  <si>
    <t>• Implement automated configuration monitoring systems
• Stateful firewall</t>
  </si>
  <si>
    <t>•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t>
  </si>
  <si>
    <t xml:space="preserve">
• Require multi-factor authentication
• limit authentication attempts (rate Limiting)
• Maintain Access Logs
• Maintain Server Security Logs
• Stronger authentication methods</t>
  </si>
  <si>
    <t>• Require multi-factor authentication
• limit authentication attempts (rate Limiting)
• Maintain Access Logs
• Maintain Server Security Logs
• Stronger authentication methods</t>
  </si>
  <si>
    <t xml:space="preserve">• Require multi-factor authentication
• limit authentication attempts (rate Limiting)
• Maintain Access Logs
• Maintain Server Security Logs
• Stronger authentication methods
</t>
  </si>
  <si>
    <t xml:space="preserve">• Require multi-factor authentication
• limit authentication attempts (rate Limiting)
• Maintain Access Logs
</t>
  </si>
  <si>
    <t xml:space="preserve">• Implement strong encryption descrption method at data at rest
• Use secure tunnel communication channel
</t>
  </si>
  <si>
    <t>• Implement strong sysmetric or unsysmetric algorhythn
• Implementing VPN and stateful Firewall</t>
  </si>
  <si>
    <t>• Anonymization/Pseudomyzation
• Encyrption
• Mainitaing Access Logs
• Maintain Server Security Logs</t>
  </si>
  <si>
    <t>• Use strong encryption.
• Secure communication links with protocols that provide message confidentiality.
• Secure sensitive data in the channel flow
• Protect authentication cookies with Secure Sockets Layer (SSL) or TLS.</t>
  </si>
  <si>
    <t xml:space="preserve">• Firewall
• Do not store sensitive data in plaintext.
• Use strong encrption algorithm.
• Apply salting over sensitive data.
</t>
  </si>
  <si>
    <t>• Stronger authentication methods
• Use strong encrption algorithm.</t>
  </si>
  <si>
    <t xml:space="preserve">• Stronger authentication methods
</t>
  </si>
  <si>
    <t xml:space="preserve">• Stronger authentication methods
</t>
  </si>
  <si>
    <t>• Delete any request for personal information
• Firewall
• Disable device network discoverable
• Maintain access control list</t>
  </si>
  <si>
    <t>• Set your spam filters setting options to high
• Firewalls, 
• Use Multi Factor Authentication
• Use secure tunnel communication channel</t>
  </si>
  <si>
    <t xml:space="preserve">• Set your spam filters setting options to high
• Firewalls, 
• Use Multi Factor Authentication
• Use secure tunnel communication channel
</t>
  </si>
  <si>
    <t xml:space="preserve">• Firewall
• Use Multi Factor Authentication
• Use secure tunnel communication channel
</t>
  </si>
  <si>
    <t>•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t>
  </si>
  <si>
    <t>• Require that administrators establish multi-factor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t>
  </si>
  <si>
    <t>•Never use credentials such as date of birth, spouse, or child’s or pet’s name
•Lockout an account subjected to too many incorrect credential guesses.</t>
  </si>
  <si>
    <t>• Establish secure configuration
• Deploy system configuration management tool
• Implement automated configuration monitoring systems
• Establish internal and external
information sources for threat
intelligence and vulnerability
data, monitoring them regularly
and taking appropriate action for
high-priority items
• Upgrades the software, firmware
• Never use credentials such as date of birth, spouse, or child’s or pet’s name
• Stateful Firewall</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</si>
  <si>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</si>
  <si>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</si>
  <si>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</si>
  <si>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An attacker may attempt to discover a weak credential by systematically trying every possible combination of letters, numbers, and symbols until it discovers the one correct combination that works.</t>
  </si>
  <si>
    <t>• Require multi-factor authentication
• limit authentication attempts (rate Limiting)
• Maintain Access Logs
• Maintain Server Security Logs</t>
  </si>
  <si>
    <t>Threat Category</t>
  </si>
  <si>
    <t>STR(I)DE</t>
  </si>
  <si>
    <t>STRI(D)E</t>
  </si>
  <si>
    <t>STRID[E]</t>
  </si>
  <si>
    <t>ST[R]IDE</t>
  </si>
  <si>
    <t>Data logs are generally exploited through untrusted and unknown access permissions.</t>
  </si>
  <si>
    <t>T13</t>
  </si>
  <si>
    <t>T14</t>
  </si>
  <si>
    <t xml:space="preserve"> Data logs with insufficient access permissions</t>
  </si>
  <si>
    <t>CAPEC-112</t>
  </si>
  <si>
    <t>CAPEC-185</t>
  </si>
  <si>
    <t>TTP</t>
  </si>
  <si>
    <t>Perform Network scanning</t>
  </si>
  <si>
    <t>S[T]RIDE</t>
  </si>
  <si>
    <t>T15</t>
  </si>
  <si>
    <t>Unauthorized Alterations</t>
  </si>
  <si>
    <t xml:space="preserve">Perform Perimeter network reconnaisance / Network Sniffing </t>
  </si>
  <si>
    <t>UnProtected/Unsafely Compiled Application Binaries</t>
  </si>
  <si>
    <t>Irregular  patch updates</t>
  </si>
  <si>
    <t>Lack of Authorization policies &amp; Management</t>
  </si>
  <si>
    <t>SOM</t>
  </si>
  <si>
    <t>Error Info containing sensitive data for Failed Authentication attempts</t>
  </si>
  <si>
    <t>Lack of  Strong Guidelines Password Policy</t>
  </si>
  <si>
    <t>Insufficient Access permissions for accessing Log files</t>
  </si>
  <si>
    <t xml:space="preserve">Generation and Signing of certificates without standards </t>
  </si>
  <si>
    <t>Keys &amp; Certificates</t>
  </si>
  <si>
    <t>V24</t>
  </si>
  <si>
    <t>V25</t>
  </si>
  <si>
    <t>V27</t>
  </si>
  <si>
    <t>V28</t>
  </si>
  <si>
    <t>V29</t>
  </si>
  <si>
    <t>V30</t>
  </si>
  <si>
    <t>V31</t>
  </si>
  <si>
    <t>V32</t>
  </si>
  <si>
    <t>V33</t>
  </si>
  <si>
    <t>V34</t>
  </si>
  <si>
    <t>Absence of Multiple layer Authentication (MFA)</t>
  </si>
  <si>
    <t>AuthN,AuthZ management</t>
  </si>
  <si>
    <t>Non-Standard/outdated algorithms with insufficient crypto elements</t>
  </si>
  <si>
    <t>SBOM/software</t>
  </si>
  <si>
    <t xml:space="preserve">Presence of Re-used/Outdated components in developed software </t>
  </si>
  <si>
    <t>Logging/Monitoring</t>
  </si>
  <si>
    <t>Insufficient Logging information</t>
  </si>
  <si>
    <t>Generation of keys without using a FIPS certified /Standard RNG</t>
  </si>
  <si>
    <t>Improper security (for ex.,Storage &amp; Access) for Keys and Certificates</t>
  </si>
  <si>
    <t>[S]TRID[E]</t>
  </si>
  <si>
    <t>STR[I]DE</t>
  </si>
  <si>
    <t>This involves  modifying registry values, deleting/encrypting Confidential info and uninstalling Any secure applications and renaming/deleting all files/folders</t>
  </si>
  <si>
    <t>Session invalidation after certain time-interval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</si>
</sst>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sz val="11"/>
      <color theme="1"/>
      <name val="Cambria"/>
      <family val="1"/>
    </font>
    <font>
      <sz val="11"/>
      <color rgb="FF000000"/>
      <name val="Cambria"/>
      <family val="1"/>
    </font>
    <font>
      <sz val="11"/>
      <color rgb="FF0000FF"/>
      <name val="Cambria"/>
      <family val="1"/>
    </font>
    <font>
      <sz val="11"/>
      <name val="Cambria"/>
      <family val="1"/>
    </font>
    <font>
      <sz val="11"/>
      <color theme="1"/>
      <name val="Cambria"/>
      <family val="1"/>
    </font>
    <font>
      <sz val="11"/>
      <color rgb="FF000000"/>
      <name val="Calibri"/>
      <family val="2"/>
      <charset val="1"/>
    </font>
    <font>
      <sz val="9"/>
      <color indexed="81"/>
      <name val="Tahoma"/>
      <family val="2"/>
    </font>
    <font>
      <b/>
      <sz val="9"/>
      <color indexed="81"/>
      <name val="Tahoma"/>
      <family val="2"/>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4">
    <xf numFmtId="0" fontId="0" fillId="0" borderId="0"/>
    <xf numFmtId="0" fontId="1" fillId="0" borderId="0"/>
    <xf numFmtId="0" fontId="14" fillId="0" borderId="0"/>
    <xf numFmtId="0" fontId="42" fillId="0" borderId="0"/>
  </cellStyleXfs>
  <cellXfs count="296">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19" fillId="4" borderId="41" xfId="0" applyFont="1" applyFill="1" applyBorder="1" applyAlignment="1">
      <alignment horizontal="center" vertical="center" wrapText="1"/>
    </xf>
    <xf numFmtId="0" fontId="19" fillId="4" borderId="34" xfId="0" applyFont="1" applyFill="1" applyBorder="1" applyAlignment="1">
      <alignment horizontal="center"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23" fillId="0" borderId="1" xfId="0" applyFont="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15" fillId="15" borderId="1" xfId="0"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17" fillId="0" borderId="0" xfId="0" applyFont="1" applyAlignment="1">
      <alignment wrapText="1"/>
    </xf>
    <xf numFmtId="0" fontId="37" fillId="0" borderId="1" xfId="0" applyFont="1" applyBorder="1" applyAlignment="1">
      <alignment vertical="top"/>
    </xf>
    <xf numFmtId="0" fontId="37" fillId="0" borderId="1" xfId="0" applyFont="1" applyBorder="1" applyAlignment="1">
      <alignment vertical="top" wrapText="1"/>
    </xf>
    <xf numFmtId="0" fontId="15" fillId="0" borderId="6" xfId="0" applyFont="1" applyBorder="1" applyAlignment="1">
      <alignment vertical="top" wrapText="1"/>
    </xf>
    <xf numFmtId="0" fontId="15" fillId="3" borderId="3" xfId="0" applyFont="1" applyFill="1" applyBorder="1" applyAlignment="1">
      <alignment horizontal="left" vertical="top" wrapText="1"/>
    </xf>
    <xf numFmtId="0" fontId="0" fillId="0" borderId="0" xfId="0" applyFont="1" applyAlignment="1">
      <alignment vertical="top" wrapText="1"/>
    </xf>
    <xf numFmtId="0" fontId="38" fillId="19" borderId="1" xfId="0" applyFont="1" applyFill="1" applyBorder="1" applyAlignment="1">
      <alignment vertical="top" wrapText="1"/>
    </xf>
    <xf numFmtId="0" fontId="38" fillId="0" borderId="1" xfId="0" applyFont="1" applyBorder="1" applyAlignment="1">
      <alignment horizontal="center" vertical="top" wrapText="1"/>
    </xf>
    <xf numFmtId="0" fontId="37" fillId="0" borderId="1" xfId="0" applyFont="1" applyBorder="1" applyAlignment="1">
      <alignment horizontal="center" vertical="top"/>
    </xf>
    <xf numFmtId="0" fontId="37" fillId="15" borderId="1" xfId="0" applyNumberFormat="1" applyFont="1" applyFill="1" applyBorder="1" applyAlignment="1">
      <alignment vertical="top" wrapText="1"/>
    </xf>
    <xf numFmtId="0" fontId="37" fillId="19" borderId="1" xfId="0" applyFont="1" applyFill="1" applyBorder="1" applyAlignment="1">
      <alignment horizontal="center" vertical="center" wrapText="1"/>
    </xf>
    <xf numFmtId="164" fontId="37" fillId="15" borderId="1" xfId="0" applyNumberFormat="1" applyFont="1" applyFill="1" applyBorder="1" applyAlignment="1">
      <alignment horizontal="center" vertical="center" wrapText="1"/>
    </xf>
    <xf numFmtId="164" fontId="39" fillId="15" borderId="1" xfId="0" applyNumberFormat="1" applyFont="1" applyFill="1" applyBorder="1" applyAlignment="1">
      <alignment horizontal="center" vertical="center" wrapText="1"/>
    </xf>
    <xf numFmtId="0" fontId="37" fillId="0" borderId="1" xfId="0" applyNumberFormat="1" applyFont="1" applyBorder="1" applyAlignment="1">
      <alignment horizontal="center" vertical="top" wrapText="1"/>
    </xf>
    <xf numFmtId="0" fontId="40" fillId="0" borderId="1" xfId="0" applyFont="1" applyBorder="1" applyAlignment="1">
      <alignment vertical="top" wrapText="1"/>
    </xf>
    <xf numFmtId="0" fontId="37" fillId="19" borderId="1" xfId="0" applyNumberFormat="1" applyFont="1" applyFill="1" applyBorder="1" applyAlignment="1">
      <alignment horizontal="center" vertical="center" wrapText="1"/>
    </xf>
    <xf numFmtId="0" fontId="39" fillId="22" borderId="1" xfId="0" applyNumberFormat="1" applyFont="1" applyFill="1" applyBorder="1" applyAlignment="1">
      <alignment horizontal="center" vertical="center" wrapText="1"/>
    </xf>
    <xf numFmtId="0" fontId="37" fillId="0" borderId="1" xfId="0" applyNumberFormat="1" applyFont="1" applyBorder="1" applyAlignment="1">
      <alignment horizontal="center" vertical="top"/>
    </xf>
    <xf numFmtId="0" fontId="37" fillId="0" borderId="1" xfId="0" applyNumberFormat="1" applyFont="1" applyBorder="1" applyAlignment="1">
      <alignment vertical="top"/>
    </xf>
    <xf numFmtId="0" fontId="37" fillId="18" borderId="1" xfId="0" applyNumberFormat="1" applyFont="1" applyFill="1" applyBorder="1" applyAlignment="1">
      <alignment vertical="top"/>
    </xf>
    <xf numFmtId="0" fontId="40" fillId="0" borderId="1" xfId="0" applyFont="1" applyBorder="1" applyAlignment="1">
      <alignment vertical="top"/>
    </xf>
    <xf numFmtId="0" fontId="0" fillId="0" borderId="0" xfId="0" applyAlignment="1">
      <alignment wrapText="1"/>
    </xf>
    <xf numFmtId="0" fontId="37" fillId="0" borderId="1" xfId="0" applyNumberFormat="1" applyFont="1" applyBorder="1" applyAlignment="1">
      <alignment vertical="top" wrapText="1"/>
    </xf>
    <xf numFmtId="0" fontId="0" fillId="0" borderId="0" xfId="0" applyAlignment="1">
      <alignment vertical="top" wrapText="1"/>
    </xf>
    <xf numFmtId="0" fontId="37" fillId="0" borderId="1" xfId="0" applyFont="1" applyBorder="1" applyAlignment="1">
      <alignment horizontal="center" vertical="center"/>
    </xf>
    <xf numFmtId="0" fontId="37" fillId="0" borderId="5" xfId="0" applyFont="1" applyBorder="1" applyAlignment="1">
      <alignment horizontal="center" vertical="center"/>
    </xf>
    <xf numFmtId="0" fontId="0" fillId="0" borderId="0" xfId="0" applyAlignment="1">
      <alignment horizontal="center" vertical="center"/>
    </xf>
    <xf numFmtId="0" fontId="15" fillId="0" borderId="4" xfId="0" applyFont="1" applyBorder="1" applyAlignment="1">
      <alignment horizontal="center" vertical="center" wrapText="1"/>
    </xf>
    <xf numFmtId="0" fontId="25" fillId="4" borderId="37" xfId="0" applyFont="1" applyFill="1" applyBorder="1" applyAlignment="1">
      <alignment horizontal="center" vertical="center" wrapText="1"/>
    </xf>
    <xf numFmtId="0" fontId="15" fillId="0" borderId="1" xfId="0" applyFont="1" applyBorder="1" applyAlignment="1">
      <alignment horizontal="center" vertical="center"/>
    </xf>
    <xf numFmtId="0" fontId="37" fillId="18" borderId="1" xfId="0" applyFont="1" applyFill="1" applyBorder="1" applyAlignment="1">
      <alignment horizontal="center" vertical="center"/>
    </xf>
    <xf numFmtId="0" fontId="18" fillId="4" borderId="36" xfId="0" applyFont="1" applyFill="1" applyBorder="1" applyAlignment="1">
      <alignment horizontal="center" vertical="center" wrapText="1"/>
    </xf>
    <xf numFmtId="0" fontId="25" fillId="4" borderId="35" xfId="0" applyFont="1" applyFill="1" applyBorder="1" applyAlignment="1">
      <alignment horizontal="center" vertical="center" wrapText="1"/>
    </xf>
    <xf numFmtId="0" fontId="18" fillId="4" borderId="37" xfId="0" applyFont="1" applyFill="1" applyBorder="1" applyAlignment="1">
      <alignment horizontal="center" vertical="center" wrapText="1"/>
    </xf>
    <xf numFmtId="0" fontId="25" fillId="4" borderId="41" xfId="0" applyFont="1" applyFill="1" applyBorder="1" applyAlignment="1">
      <alignment horizontal="center" vertical="center" wrapText="1"/>
    </xf>
    <xf numFmtId="0" fontId="37" fillId="18" borderId="1" xfId="0" applyFont="1" applyFill="1" applyBorder="1" applyAlignment="1">
      <alignment horizontal="center" vertical="center" wrapText="1"/>
    </xf>
    <xf numFmtId="0" fontId="15" fillId="0" borderId="6" xfId="0" applyFont="1" applyFill="1" applyBorder="1" applyAlignment="1">
      <alignment horizontal="center" vertical="center"/>
    </xf>
    <xf numFmtId="0" fontId="0" fillId="0" borderId="0" xfId="0" applyFill="1" applyAlignment="1">
      <alignment horizontal="center" vertical="center"/>
    </xf>
    <xf numFmtId="0" fontId="37" fillId="0" borderId="1" xfId="0" applyFont="1" applyFill="1" applyBorder="1" applyAlignment="1">
      <alignment horizontal="center" vertical="center"/>
    </xf>
    <xf numFmtId="0" fontId="15" fillId="0" borderId="1" xfId="0" applyFont="1" applyFill="1" applyBorder="1" applyAlignment="1">
      <alignment vertical="top" wrapText="1"/>
    </xf>
    <xf numFmtId="0" fontId="15" fillId="0" borderId="1" xfId="0" applyFont="1" applyFill="1" applyBorder="1" applyAlignment="1">
      <alignment horizontal="center" vertical="center" wrapText="1"/>
    </xf>
    <xf numFmtId="0" fontId="37" fillId="0" borderId="1" xfId="0" applyFont="1" applyFill="1" applyBorder="1" applyAlignment="1">
      <alignment horizontal="center" vertical="center" wrapText="1"/>
    </xf>
    <xf numFmtId="164" fontId="39" fillId="0" borderId="1" xfId="0" applyNumberFormat="1" applyFont="1" applyFill="1" applyBorder="1" applyAlignment="1">
      <alignment horizontal="center" vertical="center" wrapText="1"/>
    </xf>
    <xf numFmtId="0" fontId="37" fillId="0" borderId="1" xfId="0" applyNumberFormat="1" applyFont="1" applyFill="1" applyBorder="1" applyAlignment="1">
      <alignment horizontal="center" vertical="top" wrapText="1"/>
    </xf>
    <xf numFmtId="0" fontId="37" fillId="0" borderId="1" xfId="0" applyFont="1" applyFill="1" applyBorder="1" applyAlignment="1">
      <alignment vertical="top"/>
    </xf>
    <xf numFmtId="0" fontId="40" fillId="0" borderId="1" xfId="0" applyFont="1" applyFill="1" applyBorder="1" applyAlignment="1">
      <alignment vertical="top"/>
    </xf>
    <xf numFmtId="0" fontId="37" fillId="0" borderId="1" xfId="0" applyNumberFormat="1" applyFont="1" applyFill="1" applyBorder="1" applyAlignment="1">
      <alignment horizontal="center" vertical="center" wrapText="1"/>
    </xf>
    <xf numFmtId="0" fontId="39" fillId="0" borderId="1" xfId="0" applyNumberFormat="1" applyFont="1" applyFill="1" applyBorder="1" applyAlignment="1">
      <alignment horizontal="center" vertical="center" wrapText="1"/>
    </xf>
    <xf numFmtId="0" fontId="0" fillId="0" borderId="0" xfId="0" applyFont="1" applyFill="1"/>
    <xf numFmtId="0" fontId="0" fillId="0" borderId="0" xfId="0" applyFill="1"/>
    <xf numFmtId="0" fontId="15" fillId="19" borderId="4" xfId="0" applyFont="1" applyFill="1" applyBorder="1" applyAlignment="1">
      <alignment horizontal="center" vertical="top" wrapText="1"/>
    </xf>
    <xf numFmtId="0" fontId="41" fillId="0" borderId="5" xfId="0" applyFont="1" applyBorder="1" applyAlignment="1">
      <alignment vertical="top"/>
    </xf>
    <xf numFmtId="0" fontId="15" fillId="0" borderId="39" xfId="0" applyFont="1" applyBorder="1" applyAlignment="1">
      <alignment horizontal="center" vertical="center" wrapText="1"/>
    </xf>
    <xf numFmtId="0" fontId="15" fillId="0" borderId="5" xfId="0" applyFont="1" applyBorder="1" applyAlignment="1">
      <alignment horizontal="left" vertical="center" wrapText="1"/>
    </xf>
    <xf numFmtId="0" fontId="15" fillId="0" borderId="1" xfId="0" applyFont="1" applyBorder="1" applyAlignment="1">
      <alignment horizontal="left" vertical="center"/>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1" xfId="0" applyFont="1" applyBorder="1" applyAlignment="1">
      <alignment vertical="top" wrapText="1"/>
    </xf>
    <xf numFmtId="0" fontId="15" fillId="0" borderId="0" xfId="0" applyFont="1" applyBorder="1" applyAlignment="1">
      <alignment vertical="top"/>
    </xf>
    <xf numFmtId="0" fontId="15" fillId="0" borderId="0" xfId="0" applyFont="1" applyBorder="1" applyAlignment="1">
      <alignment vertical="top" wrapText="1"/>
    </xf>
    <xf numFmtId="0" fontId="15" fillId="10" borderId="4" xfId="0" applyFont="1" applyFill="1" applyBorder="1" applyAlignment="1">
      <alignment vertical="top"/>
    </xf>
    <xf numFmtId="0" fontId="15" fillId="10" borderId="4" xfId="0" applyFont="1" applyFill="1" applyBorder="1" applyAlignment="1">
      <alignment vertical="top" wrapText="1"/>
    </xf>
    <xf numFmtId="0" fontId="15" fillId="10" borderId="0" xfId="0" applyFont="1" applyFill="1" applyBorder="1" applyAlignment="1">
      <alignment vertical="top"/>
    </xf>
    <xf numFmtId="0" fontId="15" fillId="10" borderId="5" xfId="0" applyFont="1" applyFill="1" applyBorder="1" applyAlignment="1">
      <alignment vertical="center"/>
    </xf>
    <xf numFmtId="0" fontId="15" fillId="10" borderId="5" xfId="0" applyFont="1" applyFill="1" applyBorder="1" applyAlignment="1">
      <alignment vertical="top"/>
    </xf>
    <xf numFmtId="0" fontId="15" fillId="10" borderId="5" xfId="0" applyFont="1" applyFill="1" applyBorder="1" applyAlignment="1">
      <alignment horizontal="center" vertical="center"/>
    </xf>
    <xf numFmtId="0" fontId="19" fillId="6" borderId="4" xfId="0" applyFont="1" applyFill="1" applyBorder="1" applyAlignment="1">
      <alignment vertical="top"/>
    </xf>
    <xf numFmtId="0" fontId="19" fillId="6" borderId="1" xfId="0" applyFont="1" applyFill="1" applyBorder="1" applyAlignment="1">
      <alignment horizontal="center" vertical="top" wrapText="1"/>
    </xf>
    <xf numFmtId="0" fontId="19" fillId="6" borderId="1" xfId="0" applyFont="1" applyFill="1" applyBorder="1" applyAlignment="1">
      <alignment horizontal="center" vertical="top"/>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4">
    <cellStyle name="Excel Built-in Normal" xfId="2"/>
    <cellStyle name="Normal" xfId="0" builtinId="0"/>
    <cellStyle name="Normal 2" xfId="1"/>
    <cellStyle name="Normal 3" xfId="3"/>
  </cellStyles>
  <dxfs count="173">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3" name="Assets" displayName="Assets" ref="A9:D23" totalsRowShown="0" headerRowDxfId="172" dataDxfId="170" headerRowBorderDxfId="171" tableBorderDxfId="169" totalsRowBorderDxfId="168">
  <autoFilter ref="A9:D23"/>
  <tableColumns count="4">
    <tableColumn id="1" name="ID #" dataDxfId="167"/>
    <tableColumn id="2" name="Asset Type_x000a_(Information/Physical)" dataDxfId="166"/>
    <tableColumn id="3" name="Asset" dataDxfId="165"/>
    <tableColumn id="4" name="Asset Description" dataDxfId="164"/>
  </tableColumns>
  <tableStyleInfo name="TableStyleLight8" showFirstColumn="0" showLastColumn="0" showRowStripes="1" showColumnStripes="0"/>
</table>
</file>

<file path=xl/tables/table2.xml><?xml version="1.0" encoding="utf-8"?>
<table xmlns="http://schemas.openxmlformats.org/spreadsheetml/2006/main" id="2" name="Vulnerabilities" displayName="Vulnerabilities" ref="A4:D36" totalsRowShown="0" headerRowDxfId="163" dataDxfId="161" headerRowBorderDxfId="162" tableBorderDxfId="160" totalsRowBorderDxfId="159">
  <autoFilter ref="A4:D36"/>
  <tableColumns count="4">
    <tableColumn id="1" name="Vuln. ID" dataDxfId="158"/>
    <tableColumn id="4" name="Vulnerability Description" dataDxfId="157"/>
    <tableColumn id="5" name="Applicable (Yes/No)" dataDxfId="156"/>
    <tableColumn id="6" name="Rationale (if Vulnerability not applicable)" dataDxfId="155"/>
  </tableColumns>
  <tableStyleInfo name="TableStyleLight11" showFirstColumn="0" showLastColumn="0" showRowStripes="1" showColumnStripes="0"/>
</table>
</file>

<file path=xl/tables/table3.xml><?xml version="1.0" encoding="utf-8"?>
<table xmlns="http://schemas.openxmlformats.org/spreadsheetml/2006/main" id="5" name="Table5" displayName="Table5" ref="A3:G19" totalsRowShown="0" headerRowDxfId="154" dataDxfId="152" headerRowBorderDxfId="153" tableBorderDxfId="151" totalsRowBorderDxfId="150">
  <autoFilter ref="A3:G19"/>
  <tableColumns count="7">
    <tableColumn id="1" name="#" dataDxfId="149"/>
    <tableColumn id="6" name="Threat Category" dataDxfId="148"/>
    <tableColumn id="2" name="Threat Event " dataDxfId="147"/>
    <tableColumn id="3" name="Description " dataDxfId="146"/>
    <tableColumn id="4" name="Threat Source" dataDxfId="145"/>
    <tableColumn id="5" name="In Scope (Yes/No)" dataDxfId="144"/>
    <tableColumn id="13" name="Rationale _x000a_(if out of scope)" dataDxfId="143"/>
  </tableColumns>
  <tableStyleInfo name="TableStyleLight11" showFirstColumn="0" showLastColumn="0" showRowStripes="1" showColumnStripes="0"/>
</table>
</file>

<file path=xl/tables/table4.xml><?xml version="1.0" encoding="utf-8"?>
<table xmlns="http://schemas.openxmlformats.org/spreadsheetml/2006/main" id="4" name="Table4" displayName="Table4" ref="A4:AQ124" totalsRowShown="0" headerRowDxfId="137" dataDxfId="136" tableBorderDxfId="135">
  <autoFilter ref="A4:AQ124"/>
  <tableColumns count="43">
    <tableColumn id="1" name="_x000a_ID #" dataDxfId="134" totalsRowDxfId="133"/>
    <tableColumn id="23" name="T ID" dataDxfId="132" totalsRowDxfId="131"/>
    <tableColumn id="2" name="Threat Event(s)" dataDxfId="130" totalsRowDxfId="129">
      <calculatedColumnFormula>IF(VLOOKUP(Table4[[#This Row],[T ID]],Table5[#All],5,FALSE)="No","Not in scope",VLOOKUP(Table4[[#This Row],[T ID]],Table5[#All],2,FALSE))</calculatedColumnFormula>
    </tableColumn>
    <tableColumn id="22" name="V ID" dataDxfId="128" totalsRowDxfId="127"/>
    <tableColumn id="3" name="Vulnerabilities" dataDxfId="126" totalsRowDxfId="125">
      <calculatedColumnFormula>IF(VLOOKUP(Table4[[#This Row],[V ID]],Vulnerabilities[#All],3,FALSE)="No","Not in scope",VLOOKUP(Table4[[#This Row],[V ID]],Vulnerabilities[#All],2,FALSE))</calculatedColumnFormula>
    </tableColumn>
    <tableColumn id="24" name="A ID" dataDxfId="124" totalsRowDxfId="123"/>
    <tableColumn id="4" name="Asset" dataDxfId="122" totalsRowDxfId="121">
      <calculatedColumnFormula>VLOOKUP(Table4[[#This Row],[A ID]],Assets[#All],3,FALSE)</calculatedColumnFormula>
    </tableColumn>
    <tableColumn id="5" name="Impact Description" dataDxfId="120" totalsRowDxfId="119"/>
    <tableColumn id="7" name="Safety Impact _x000a_(Risk ID# or N/A)" dataDxfId="118" totalsRowDxfId="117"/>
    <tableColumn id="26" name="Confidentiality" dataDxfId="116" totalsRowDxfId="115"/>
    <tableColumn id="25" name="Integrity" dataDxfId="114" totalsRowDxfId="113"/>
    <tableColumn id="21" name="Availability" dataDxfId="112" totalsRowDxfId="111"/>
    <tableColumn id="44" name="Attack Vector" dataDxfId="110" totalsRowDxfId="109"/>
    <tableColumn id="45" name="Attack Complexity" dataDxfId="108" totalsRowDxfId="107"/>
    <tableColumn id="46" name="Privileges Required" dataDxfId="106" totalsRowDxfId="105"/>
    <tableColumn id="47" name="User Interaction" dataDxfId="104" totalsRowDxfId="103"/>
    <tableColumn id="43" name="Scope" dataDxfId="102" totalsRowDxfId="101"/>
    <tableColumn id="48" name="Exploitability Sub Score" dataDxfId="100" totalsRowDxfId="99">
      <calculatedColumnFormula>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calculatedColumnFormula>
    </tableColumn>
    <tableColumn id="17" name="ISC Base" dataDxfId="98" totalsRowDxfId="9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name="Impact Sub Score" dataDxfId="96" totalsRowDxfId="95">
      <calculatedColumnFormula>IF(Table4[[#This Row],[Scope]]="Unchanged",6.42*Table4[[#This Row],[ISC Base]],IF(Table4[[#This Row],[Scope]]="Changed",7.52*(Table4[[#This Row],[ISC Base]] - 0.029) - 3.25 * POWER(Table4[[#This Row],[ISC Base]] - 0.02,15),NA()))</calculatedColumnFormula>
    </tableColumn>
    <tableColumn id="34" name="CVSS v3.0 Base Score" dataDxfId="94" totalsRowDxfId="9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name="Threat Event Initiation" dataDxfId="92"/>
    <tableColumn id="33" name="Threat Event Initiation_x000a_Score" dataDxfId="91" totalsRowDxfId="90">
      <calculatedColumnFormula>VLOOKUP(Table4[[#This Row],[Threat Event Initiation]],NIST_Scale_LOAI[],2,FALSE)</calculatedColumnFormula>
    </tableColumn>
    <tableColumn id="10" name="Overall Risk Score" dataDxfId="89" totalsRowDxfId="8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name="Security _x000a_Risk _x000a_Level" dataDxfId="87" totalsRowDxfId="8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name="Security Risk Control Measures" dataDxfId="85" totalsRowDxfId="84"/>
    <tableColumn id="14" name="Implementation of Risk Control Measures " dataDxfId="83" totalsRowDxfId="82"/>
    <tableColumn id="15" name="Verification of Risk Control Measures (Effectiveness)" dataDxfId="81" totalsRowDxfId="80"/>
    <tableColumn id="13" name="ConfidentialityP" dataDxfId="79" totalsRowDxfId="78"/>
    <tableColumn id="27" name="IntegrityP" dataDxfId="77" totalsRowDxfId="76"/>
    <tableColumn id="28" name="AvailabilityP" dataDxfId="75" totalsRowDxfId="74"/>
    <tableColumn id="8" name="Attack VectorP" dataDxfId="73" totalsRowDxfId="72"/>
    <tableColumn id="29" name="Attack ComplexityP" dataDxfId="71" totalsRowDxfId="70"/>
    <tableColumn id="30" name="Privileges RequiredP" dataDxfId="69" totalsRowDxfId="68"/>
    <tableColumn id="31" name="User InteractionP" dataDxfId="67"/>
    <tableColumn id="36" name="ScopeP" dataDxfId="66" totalsRowDxfId="65"/>
    <tableColumn id="35" name="Exploitability Sub ScoreP" dataDxfId="64" totalsRowDxfId="63">
      <calculatedColumnFormula>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calculatedColumnFormula>
    </tableColumn>
    <tableColumn id="40" name="ISC BaseP" dataDxfId="62" totalsRowDxfId="6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name="Impact Sub ScoreP" dataDxfId="60" totalsRowDxfId="59">
      <calculatedColumnFormula>IF(Table4[[#This Row],[ScopeP]]="Unchanged",6.42*Table4[[#This Row],[ISC BaseP]],IF(Table4[[#This Row],[ScopeP]]="Changed",7.52*(Table4[[#This Row],[ISC BaseP]] - 0.029) - 3.25 * POWER(Table4[[#This Row],[ISC BaseP]] - 0.02,15),NA()))</calculatedColumnFormula>
    </tableColumn>
    <tableColumn id="42" name="CVSS v3.0 Base ScoreP" dataDxfId="58" totalsRowDxfId="5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name="Overall Risk ScoreP" dataDxfId="56" totalsRowDxfId="5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name="Security Risk LevelP" dataDxfId="54" totalsRowDxfId="5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name="Residual Security Risk Acceptability Justification" dataDxfId="52" totalsRowDxfId="51"/>
  </tableColumns>
  <tableStyleInfo name="TableStyleLight11" showFirstColumn="0" showLastColumn="0" showRowStripes="1" showColumnStripes="0"/>
</table>
</file>

<file path=xl/tables/table5.xml><?xml version="1.0" encoding="utf-8"?>
<table xmlns="http://schemas.openxmlformats.org/spreadsheetml/2006/main" id="14" name="Table41415" displayName="Table41415" ref="A4:M84" totalsRowShown="0" headerRowDxfId="45" dataDxfId="44" tableBorderDxfId="43">
  <autoFilter ref="A4:M84"/>
  <tableColumns count="13">
    <tableColumn id="1" name="_x000a_ID #" dataDxfId="42" totalsRowDxfId="41">
      <calculatedColumnFormula>Table4[[#This Row],[
ID '#]]</calculatedColumnFormula>
    </tableColumn>
    <tableColumn id="23" name="T ID" dataDxfId="40" totalsRowDxfId="39">
      <calculatedColumnFormula>IF(Table4[[#This Row],[A ID]]&gt;0,Table4[[#This Row],[T ID]],"")</calculatedColumnFormula>
    </tableColumn>
    <tableColumn id="2" name="Threat Event(s)" dataDxfId="38" totalsRowDxfId="37">
      <calculatedColumnFormula>Table4[[#This Row],[Threat Event(s)]]</calculatedColumnFormula>
    </tableColumn>
    <tableColumn id="22" name="V ID" dataDxfId="36" totalsRowDxfId="35">
      <calculatedColumnFormula>IF(Table4[[#This Row],[V ID]]&gt;0,Table4[[#This Row],[V ID]],"")</calculatedColumnFormula>
    </tableColumn>
    <tableColumn id="3" name="Vulnerabilities" dataDxfId="34" totalsRowDxfId="33">
      <calculatedColumnFormula>Table4[[#This Row],[Vulnerabilities]]</calculatedColumnFormula>
    </tableColumn>
    <tableColumn id="24" name="A ID" dataDxfId="32" totalsRowDxfId="31">
      <calculatedColumnFormula>IF(Table4[[#This Row],[A ID]]&gt;0,Table4[[#This Row],[A ID]],"")</calculatedColumnFormula>
    </tableColumn>
    <tableColumn id="4" name="Assets" dataDxfId="30" totalsRowDxfId="29">
      <calculatedColumnFormula>Table4[[#This Row],[Asset]]</calculatedColumnFormula>
    </tableColumn>
    <tableColumn id="5" name="Impact Description" dataDxfId="28" totalsRowDxfId="27">
      <calculatedColumnFormula>IF(Table4[[#This Row],[Impact Description]]&gt;0,Table4[[#This Row],[Impact Description]],"")</calculatedColumnFormula>
    </tableColumn>
    <tableColumn id="7" name="Safety Impact _x000a_(Risk ID# or N/A)" dataDxfId="26" totalsRowDxfId="25">
      <calculatedColumnFormula>IF(Table4[[#This Row],[Safety Impact 
(Risk ID'# or N/A)]]&gt;0,Table4[[#This Row],[Safety Impact 
(Risk ID'# or N/A)]],"")</calculatedColumnFormula>
    </tableColumn>
    <tableColumn id="11" name="Pre-Controls _x000a_Risk Level" dataDxfId="24" totalsRowDxfId="23">
      <calculatedColumnFormula>Table4[[#This Row],[Security 
Risk 
Level]]</calculatedColumnFormula>
    </tableColumn>
    <tableColumn id="12" name="Security Risk Control Measures" dataDxfId="22" totalsRowDxfId="21">
      <calculatedColumnFormula>IF(Table4[[#This Row],[Security Risk Control Measures]]&gt;0,Table4[[#This Row],[Security Risk Control Measures]],"")</calculatedColumnFormula>
    </tableColumn>
    <tableColumn id="50" name="Post-Controls Risk Level" dataDxfId="20" totalsRowDxfId="19">
      <calculatedColumnFormula>Table4[[#This Row],[Security Risk LevelP]]</calculatedColumnFormula>
    </tableColumn>
    <tableColumn id="2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6" name="NIST_Scale_LOAI" displayName="NIST_Scale_LOAI" ref="Q4:R10" totalsRowShown="0" headerRowDxfId="16" dataDxfId="15" tableBorderDxfId="14">
  <autoFilter ref="Q4:R10"/>
  <tableColumns count="2">
    <tableColumn id="1" name="Rating" dataDxfId="13"/>
    <tableColumn id="2" name="Score" dataDxfId="12"/>
  </tableColumns>
  <tableStyleInfo name="TableStyleLight11" showFirstColumn="0" showLastColumn="0" showRowStripes="1" showColumnStripes="0"/>
</table>
</file>

<file path=xl/tables/table7.xml><?xml version="1.0" encoding="utf-8"?>
<table xmlns="http://schemas.openxmlformats.org/spreadsheetml/2006/main" id="7" name="Table7" displayName="Table7" ref="A4:C10" totalsRowShown="0" headerRowDxfId="11" dataDxfId="10" tableBorderDxfId="9">
  <autoFilter ref="A4:C10"/>
  <tableColumns count="3">
    <tableColumn id="1" name="ID#" dataDxfId="8"/>
    <tableColumn id="2" name="Threat Source" dataDxfId="7"/>
    <tableColumn id="3" name="In Scope (Y/N)" dataDxfId="6"/>
  </tableColumns>
  <tableStyleInfo name="TableStyleLight10" showFirstColumn="0" showLastColumn="0" showRowStripes="1" showColumnStripes="0"/>
</table>
</file>

<file path=xl/tables/table8.xml><?xml version="1.0" encoding="utf-8"?>
<table xmlns="http://schemas.openxmlformats.org/spreadsheetml/2006/main" id="8" name="Table8" displayName="Table8" ref="E4:G10" totalsRowShown="0" headerRowDxfId="5" dataDxfId="4" tableBorderDxfId="3">
  <autoFilter ref="E4:G10"/>
  <tableColumns count="3">
    <tableColumn id="1" name="ID#" dataDxfId="2"/>
    <tableColumn id="2" name="Source" dataDxfId="1"/>
    <tableColumn id="3"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0"/>
  <sheetViews>
    <sheetView zoomScaleNormal="100" workbookViewId="0">
      <selection activeCell="A2" sqref="A2"/>
    </sheetView>
  </sheetViews>
  <sheetFormatPr defaultColWidth="9.140625" defaultRowHeight="14.25" x14ac:dyDescent="0.25"/>
  <cols>
    <col min="1" max="1" width="7.85546875" style="28" customWidth="1"/>
    <col min="2" max="2" width="30.7109375" style="28" customWidth="1"/>
    <col min="3" max="3" width="40.85546875" style="28" customWidth="1"/>
    <col min="4" max="4" width="51.28515625" style="28" customWidth="1"/>
    <col min="5" max="5" width="16.140625" style="28" customWidth="1"/>
    <col min="6" max="6" width="14.28515625" style="28" customWidth="1"/>
    <col min="7" max="16384" width="9.140625" style="28"/>
  </cols>
  <sheetData>
    <row r="1" spans="1:4" s="32" customFormat="1" x14ac:dyDescent="0.25">
      <c r="A1" s="31" t="s">
        <v>149</v>
      </c>
    </row>
    <row r="2" spans="1:4" s="32" customFormat="1" x14ac:dyDescent="0.25"/>
    <row r="3" spans="1:4" s="32" customFormat="1" x14ac:dyDescent="0.25">
      <c r="A3" s="33" t="s">
        <v>150</v>
      </c>
      <c r="B3" s="34"/>
      <c r="C3" s="256"/>
      <c r="D3" s="256"/>
    </row>
    <row r="4" spans="1:4" s="32" customFormat="1" x14ac:dyDescent="0.25">
      <c r="A4" s="35" t="s">
        <v>154</v>
      </c>
      <c r="B4" s="36"/>
      <c r="C4" s="256"/>
      <c r="D4" s="256"/>
    </row>
    <row r="5" spans="1:4" s="32" customFormat="1" x14ac:dyDescent="0.25">
      <c r="A5" s="35" t="s">
        <v>151</v>
      </c>
      <c r="B5" s="36"/>
      <c r="C5" s="256" t="s">
        <v>225</v>
      </c>
      <c r="D5" s="256"/>
    </row>
    <row r="6" spans="1:4" s="32" customFormat="1" ht="30" customHeight="1" x14ac:dyDescent="0.25">
      <c r="A6" s="37" t="s">
        <v>152</v>
      </c>
      <c r="B6" s="38"/>
      <c r="C6" s="256" t="s">
        <v>153</v>
      </c>
      <c r="D6" s="256"/>
    </row>
    <row r="7" spans="1:4" s="32" customFormat="1" x14ac:dyDescent="0.25"/>
    <row r="8" spans="1:4" s="32" customFormat="1" x14ac:dyDescent="0.25"/>
    <row r="9" spans="1:4" s="32" customFormat="1" ht="28.5" x14ac:dyDescent="0.25">
      <c r="A9" s="39" t="s">
        <v>8</v>
      </c>
      <c r="B9" s="40" t="s">
        <v>163</v>
      </c>
      <c r="C9" s="40" t="s">
        <v>0</v>
      </c>
      <c r="D9" s="41" t="s">
        <v>11</v>
      </c>
    </row>
    <row r="10" spans="1:4" s="32" customFormat="1" ht="71.25" x14ac:dyDescent="0.25">
      <c r="A10" s="42" t="s">
        <v>111</v>
      </c>
      <c r="B10" s="43" t="s">
        <v>9</v>
      </c>
      <c r="C10" s="44" t="s">
        <v>302</v>
      </c>
      <c r="D10" s="45" t="s">
        <v>303</v>
      </c>
    </row>
    <row r="11" spans="1:4" s="32" customFormat="1" ht="42.75" x14ac:dyDescent="0.25">
      <c r="A11" s="42" t="s">
        <v>112</v>
      </c>
      <c r="B11" s="43" t="s">
        <v>10</v>
      </c>
      <c r="C11" s="44" t="s">
        <v>199</v>
      </c>
      <c r="D11" s="45" t="s">
        <v>148</v>
      </c>
    </row>
    <row r="12" spans="1:4" s="32" customFormat="1" ht="42.75" x14ac:dyDescent="0.25">
      <c r="A12" s="42" t="s">
        <v>113</v>
      </c>
      <c r="B12" s="43" t="s">
        <v>200</v>
      </c>
      <c r="C12" s="44" t="s">
        <v>201</v>
      </c>
      <c r="D12" s="45" t="s">
        <v>202</v>
      </c>
    </row>
    <row r="13" spans="1:4" s="32" customFormat="1" ht="28.5" x14ac:dyDescent="0.25">
      <c r="A13" s="42" t="s">
        <v>114</v>
      </c>
      <c r="B13" s="43" t="s">
        <v>10</v>
      </c>
      <c r="C13" s="44" t="s">
        <v>203</v>
      </c>
      <c r="D13" s="45" t="s">
        <v>204</v>
      </c>
    </row>
    <row r="14" spans="1:4" s="32" customFormat="1" ht="42.75" x14ac:dyDescent="0.25">
      <c r="A14" s="42" t="s">
        <v>115</v>
      </c>
      <c r="B14" s="43" t="s">
        <v>200</v>
      </c>
      <c r="C14" s="44" t="s">
        <v>205</v>
      </c>
      <c r="D14" s="45" t="s">
        <v>206</v>
      </c>
    </row>
    <row r="15" spans="1:4" s="32" customFormat="1" ht="28.5" x14ac:dyDescent="0.25">
      <c r="A15" s="42" t="s">
        <v>116</v>
      </c>
      <c r="B15" s="43" t="s">
        <v>10</v>
      </c>
      <c r="C15" s="46" t="s">
        <v>207</v>
      </c>
      <c r="D15" s="45" t="s">
        <v>208</v>
      </c>
    </row>
    <row r="16" spans="1:4" s="32" customFormat="1" ht="28.5" x14ac:dyDescent="0.25">
      <c r="A16" s="42" t="s">
        <v>117</v>
      </c>
      <c r="B16" s="43" t="s">
        <v>10</v>
      </c>
      <c r="C16" s="44" t="s">
        <v>209</v>
      </c>
      <c r="D16" s="47" t="s">
        <v>210</v>
      </c>
    </row>
    <row r="17" spans="1:4" s="32" customFormat="1" ht="28.5" x14ac:dyDescent="0.25">
      <c r="A17" s="42" t="s">
        <v>118</v>
      </c>
      <c r="B17" s="48" t="s">
        <v>200</v>
      </c>
      <c r="C17" s="49" t="s">
        <v>211</v>
      </c>
      <c r="D17" s="47" t="s">
        <v>212</v>
      </c>
    </row>
    <row r="18" spans="1:4" s="32" customFormat="1" ht="28.5" x14ac:dyDescent="0.25">
      <c r="A18" s="42" t="s">
        <v>119</v>
      </c>
      <c r="B18" s="48" t="s">
        <v>10</v>
      </c>
      <c r="C18" s="49" t="s">
        <v>213</v>
      </c>
      <c r="D18" s="47" t="s">
        <v>214</v>
      </c>
    </row>
    <row r="19" spans="1:4" s="32" customFormat="1" ht="28.5" x14ac:dyDescent="0.25">
      <c r="A19" s="42" t="s">
        <v>106</v>
      </c>
      <c r="B19" s="48" t="s">
        <v>10</v>
      </c>
      <c r="C19" s="49" t="s">
        <v>215</v>
      </c>
      <c r="D19" s="47" t="s">
        <v>216</v>
      </c>
    </row>
    <row r="20" spans="1:4" s="32" customFormat="1" ht="28.5" x14ac:dyDescent="0.25">
      <c r="A20" s="42" t="s">
        <v>107</v>
      </c>
      <c r="B20" s="48" t="s">
        <v>10</v>
      </c>
      <c r="C20" s="49" t="s">
        <v>217</v>
      </c>
      <c r="D20" s="47" t="s">
        <v>218</v>
      </c>
    </row>
    <row r="21" spans="1:4" s="32" customFormat="1" ht="28.5" x14ac:dyDescent="0.25">
      <c r="A21" s="42" t="s">
        <v>108</v>
      </c>
      <c r="B21" s="48" t="s">
        <v>10</v>
      </c>
      <c r="C21" s="49" t="s">
        <v>219</v>
      </c>
      <c r="D21" s="47" t="s">
        <v>220</v>
      </c>
    </row>
    <row r="22" spans="1:4" s="32" customFormat="1" x14ac:dyDescent="0.25">
      <c r="A22" s="42" t="s">
        <v>109</v>
      </c>
      <c r="B22" s="48" t="s">
        <v>10</v>
      </c>
      <c r="C22" s="49" t="s">
        <v>221</v>
      </c>
      <c r="D22" s="47" t="s">
        <v>222</v>
      </c>
    </row>
    <row r="23" spans="1:4" s="32" customFormat="1" ht="28.5" x14ac:dyDescent="0.25">
      <c r="A23" s="42" t="s">
        <v>110</v>
      </c>
      <c r="B23" s="50" t="s">
        <v>10</v>
      </c>
      <c r="C23" s="51" t="s">
        <v>223</v>
      </c>
      <c r="D23" s="52" t="s">
        <v>224</v>
      </c>
    </row>
    <row r="37" spans="1:8" x14ac:dyDescent="0.15">
      <c r="A37" s="29" t="s">
        <v>165</v>
      </c>
    </row>
    <row r="38" spans="1:8" ht="34.5" customHeight="1" x14ac:dyDescent="0.15">
      <c r="B38" s="257" t="s">
        <v>166</v>
      </c>
      <c r="C38" s="257"/>
      <c r="D38" s="30"/>
      <c r="E38" s="30"/>
      <c r="F38" s="30"/>
      <c r="G38" s="30"/>
      <c r="H38" s="30"/>
    </row>
    <row r="40" spans="1:8" x14ac:dyDescent="0.25">
      <c r="B40" s="32" t="s">
        <v>164</v>
      </c>
    </row>
  </sheetData>
  <mergeCells count="5">
    <mergeCell ref="C3:D3"/>
    <mergeCell ref="C4:D4"/>
    <mergeCell ref="C5:D5"/>
    <mergeCell ref="C6:D6"/>
    <mergeCell ref="B38:C38"/>
  </mergeCell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 r:id="rId2"/>
  <legacyDrawingHF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51"/>
  <sheetViews>
    <sheetView tabSelected="1" zoomScale="110" zoomScaleNormal="100" workbookViewId="0">
      <selection activeCell="B10" sqref="B10"/>
    </sheetView>
  </sheetViews>
  <sheetFormatPr defaultColWidth="9.140625" defaultRowHeight="15" x14ac:dyDescent="0.25"/>
  <cols>
    <col min="1" max="1" width="31.7109375" style="26" customWidth="1"/>
    <col min="2" max="2" width="59.42578125" style="191" customWidth="1"/>
    <col min="3" max="3" width="20.7109375" style="26" customWidth="1"/>
    <col min="4" max="4" width="42.7109375" style="26" customWidth="1"/>
    <col min="5" max="5" width="15" style="26" customWidth="1"/>
    <col min="6" max="16384" width="9.140625" style="26"/>
  </cols>
  <sheetData>
    <row r="1" spans="1:4" s="53" customFormat="1" ht="15" customHeight="1" x14ac:dyDescent="0.25">
      <c r="A1" s="31" t="s">
        <v>156</v>
      </c>
      <c r="B1" s="32"/>
    </row>
    <row r="2" spans="1:4" s="53" customFormat="1" ht="15" customHeight="1" x14ac:dyDescent="0.25">
      <c r="A2" s="31"/>
      <c r="B2" s="32"/>
    </row>
    <row r="3" spans="1:4" s="53" customFormat="1" ht="14.25" hidden="1" x14ac:dyDescent="0.25">
      <c r="B3" s="32"/>
    </row>
    <row r="4" spans="1:4" s="53" customFormat="1" ht="14.25" x14ac:dyDescent="0.25">
      <c r="A4" s="54" t="s">
        <v>7</v>
      </c>
      <c r="B4" s="63" t="s">
        <v>13</v>
      </c>
      <c r="C4" s="55" t="s">
        <v>67</v>
      </c>
      <c r="D4" s="55" t="s">
        <v>68</v>
      </c>
    </row>
    <row r="5" spans="1:4" s="53" customFormat="1" ht="14.25" x14ac:dyDescent="0.25">
      <c r="A5" s="253" t="s">
        <v>391</v>
      </c>
      <c r="B5" s="254"/>
      <c r="C5" s="255"/>
      <c r="D5" s="255"/>
    </row>
    <row r="6" spans="1:4" s="53" customFormat="1" ht="28.5" x14ac:dyDescent="0.25">
      <c r="A6" s="56" t="s">
        <v>120</v>
      </c>
      <c r="B6" s="189" t="s">
        <v>229</v>
      </c>
      <c r="C6" s="49" t="s">
        <v>130</v>
      </c>
      <c r="D6" s="49" t="s">
        <v>131</v>
      </c>
    </row>
    <row r="7" spans="1:4" s="53" customFormat="1" ht="14.25" x14ac:dyDescent="0.25">
      <c r="A7" s="247" t="s">
        <v>121</v>
      </c>
      <c r="B7" s="244" t="s">
        <v>376</v>
      </c>
      <c r="C7" s="244"/>
      <c r="D7" s="244"/>
    </row>
    <row r="8" spans="1:4" s="53" customFormat="1" ht="28.5" x14ac:dyDescent="0.25">
      <c r="A8" s="247" t="s">
        <v>226</v>
      </c>
      <c r="B8" s="244" t="s">
        <v>375</v>
      </c>
      <c r="C8" s="244"/>
      <c r="D8" s="244"/>
    </row>
    <row r="9" spans="1:4" s="53" customFormat="1" ht="28.5" x14ac:dyDescent="0.25">
      <c r="A9" s="58" t="s">
        <v>227</v>
      </c>
      <c r="B9" s="49" t="s">
        <v>231</v>
      </c>
      <c r="C9" s="49" t="s">
        <v>130</v>
      </c>
      <c r="D9" s="49" t="s">
        <v>131</v>
      </c>
    </row>
    <row r="10" spans="1:4" s="53" customFormat="1" ht="28.5" x14ac:dyDescent="0.25">
      <c r="A10" s="58" t="s">
        <v>228</v>
      </c>
      <c r="B10" s="244" t="s">
        <v>232</v>
      </c>
      <c r="C10" s="188" t="s">
        <v>130</v>
      </c>
      <c r="D10" s="49" t="s">
        <v>131</v>
      </c>
    </row>
    <row r="11" spans="1:4" s="53" customFormat="1" ht="14.25" x14ac:dyDescent="0.25">
      <c r="A11" s="247" t="s">
        <v>233</v>
      </c>
      <c r="B11" s="244" t="s">
        <v>390</v>
      </c>
      <c r="C11" s="244"/>
      <c r="D11" s="244"/>
    </row>
    <row r="12" spans="1:4" x14ac:dyDescent="0.25">
      <c r="A12" s="247" t="s">
        <v>234</v>
      </c>
      <c r="B12" s="244" t="s">
        <v>373</v>
      </c>
    </row>
    <row r="13" spans="1:4" s="53" customFormat="1" ht="14.25" x14ac:dyDescent="0.25">
      <c r="A13" s="60" t="s">
        <v>374</v>
      </c>
      <c r="B13" s="190"/>
      <c r="C13" s="60"/>
      <c r="D13" s="60"/>
    </row>
    <row r="14" spans="1:4" s="53" customFormat="1" ht="14.25" x14ac:dyDescent="0.25">
      <c r="A14" s="61" t="s">
        <v>234</v>
      </c>
      <c r="B14" s="61" t="s">
        <v>238</v>
      </c>
      <c r="C14" s="49" t="s">
        <v>130</v>
      </c>
      <c r="D14" s="49" t="s">
        <v>131</v>
      </c>
    </row>
    <row r="15" spans="1:4" s="53" customFormat="1" ht="28.5" x14ac:dyDescent="0.25">
      <c r="A15" s="61" t="s">
        <v>235</v>
      </c>
      <c r="B15" s="49" t="s">
        <v>239</v>
      </c>
      <c r="C15" s="49" t="s">
        <v>130</v>
      </c>
      <c r="D15" s="49" t="s">
        <v>131</v>
      </c>
    </row>
    <row r="16" spans="1:4" s="53" customFormat="1" ht="28.5" x14ac:dyDescent="0.25">
      <c r="A16" s="61" t="s">
        <v>236</v>
      </c>
      <c r="B16" s="188" t="s">
        <v>240</v>
      </c>
      <c r="C16" s="188" t="s">
        <v>130</v>
      </c>
      <c r="D16" s="49" t="s">
        <v>131</v>
      </c>
    </row>
    <row r="17" spans="1:4" s="53" customFormat="1" ht="14.25" x14ac:dyDescent="0.25">
      <c r="A17" s="61" t="s">
        <v>237</v>
      </c>
      <c r="B17" s="49" t="s">
        <v>241</v>
      </c>
      <c r="C17" s="188" t="s">
        <v>130</v>
      </c>
      <c r="D17" s="49" t="s">
        <v>131</v>
      </c>
    </row>
    <row r="18" spans="1:4" s="53" customFormat="1" ht="41.25" customHeight="1" x14ac:dyDescent="0.25">
      <c r="A18" s="61" t="s">
        <v>143</v>
      </c>
      <c r="B18" s="49" t="s">
        <v>242</v>
      </c>
      <c r="C18" s="49" t="s">
        <v>130</v>
      </c>
      <c r="D18" s="49" t="s">
        <v>131</v>
      </c>
    </row>
    <row r="19" spans="1:4" s="53" customFormat="1" ht="28.5" x14ac:dyDescent="0.25">
      <c r="A19" s="61" t="s">
        <v>248</v>
      </c>
      <c r="B19" s="49" t="s">
        <v>243</v>
      </c>
      <c r="C19" s="49" t="s">
        <v>130</v>
      </c>
      <c r="D19" s="49" t="s">
        <v>131</v>
      </c>
    </row>
    <row r="20" spans="1:4" s="53" customFormat="1" ht="14.25" x14ac:dyDescent="0.25">
      <c r="A20" s="60" t="s">
        <v>12</v>
      </c>
      <c r="B20" s="190"/>
      <c r="C20" s="60"/>
      <c r="D20" s="60"/>
    </row>
    <row r="21" spans="1:4" s="53" customFormat="1" ht="28.5" x14ac:dyDescent="0.25">
      <c r="A21" s="61" t="s">
        <v>248</v>
      </c>
      <c r="B21" s="49" t="s">
        <v>244</v>
      </c>
      <c r="C21" s="49" t="s">
        <v>130</v>
      </c>
      <c r="D21" s="49" t="s">
        <v>131</v>
      </c>
    </row>
    <row r="22" spans="1:4" s="53" customFormat="1" ht="14.25" x14ac:dyDescent="0.25">
      <c r="A22" s="61" t="s">
        <v>249</v>
      </c>
      <c r="B22" s="49" t="s">
        <v>245</v>
      </c>
      <c r="C22" s="49" t="s">
        <v>130</v>
      </c>
      <c r="D22" s="49" t="s">
        <v>131</v>
      </c>
    </row>
    <row r="23" spans="1:4" s="53" customFormat="1" ht="14.25" x14ac:dyDescent="0.25">
      <c r="A23" s="61" t="s">
        <v>250</v>
      </c>
      <c r="B23" s="49" t="s">
        <v>246</v>
      </c>
      <c r="C23" s="49" t="s">
        <v>130</v>
      </c>
      <c r="D23" s="49" t="s">
        <v>131</v>
      </c>
    </row>
    <row r="24" spans="1:4" s="53" customFormat="1" ht="42.75" x14ac:dyDescent="0.25">
      <c r="A24" s="58" t="s">
        <v>251</v>
      </c>
      <c r="B24" s="189" t="s">
        <v>230</v>
      </c>
      <c r="C24" s="49" t="s">
        <v>130</v>
      </c>
      <c r="D24" s="49" t="s">
        <v>131</v>
      </c>
    </row>
    <row r="25" spans="1:4" s="53" customFormat="1" ht="14.25" x14ac:dyDescent="0.25">
      <c r="A25" s="61" t="s">
        <v>252</v>
      </c>
      <c r="B25" s="49" t="s">
        <v>247</v>
      </c>
      <c r="C25" s="49" t="s">
        <v>130</v>
      </c>
      <c r="D25" s="49" t="s">
        <v>131</v>
      </c>
    </row>
    <row r="26" spans="1:4" s="53" customFormat="1" ht="14.25" x14ac:dyDescent="0.25">
      <c r="A26" s="60" t="s">
        <v>147</v>
      </c>
      <c r="B26" s="190"/>
      <c r="C26" s="60"/>
      <c r="D26" s="60"/>
    </row>
    <row r="27" spans="1:4" s="53" customFormat="1" ht="14.25" x14ac:dyDescent="0.25">
      <c r="A27" s="61" t="s">
        <v>258</v>
      </c>
      <c r="B27" s="49" t="s">
        <v>253</v>
      </c>
      <c r="C27" s="49" t="s">
        <v>130</v>
      </c>
      <c r="D27" s="59" t="s">
        <v>131</v>
      </c>
    </row>
    <row r="28" spans="1:4" s="53" customFormat="1" ht="14.25" x14ac:dyDescent="0.25">
      <c r="A28" s="61" t="s">
        <v>259</v>
      </c>
      <c r="B28" s="49" t="s">
        <v>254</v>
      </c>
      <c r="C28" s="49" t="s">
        <v>130</v>
      </c>
      <c r="D28" s="59" t="s">
        <v>131</v>
      </c>
    </row>
    <row r="29" spans="1:4" s="53" customFormat="1" ht="28.5" x14ac:dyDescent="0.25">
      <c r="A29" s="61" t="s">
        <v>260</v>
      </c>
      <c r="B29" s="49" t="s">
        <v>255</v>
      </c>
      <c r="C29" s="49" t="s">
        <v>130</v>
      </c>
      <c r="D29" s="59" t="s">
        <v>131</v>
      </c>
    </row>
    <row r="30" spans="1:4" s="53" customFormat="1" ht="28.5" x14ac:dyDescent="0.25">
      <c r="A30" s="248" t="s">
        <v>265</v>
      </c>
      <c r="B30" s="244" t="s">
        <v>392</v>
      </c>
      <c r="C30" s="244"/>
      <c r="D30" s="241"/>
    </row>
    <row r="31" spans="1:4" s="53" customFormat="1" ht="14.25" x14ac:dyDescent="0.25">
      <c r="A31" s="61" t="s">
        <v>144</v>
      </c>
      <c r="B31" s="49" t="s">
        <v>256</v>
      </c>
      <c r="C31" s="49" t="s">
        <v>130</v>
      </c>
      <c r="D31" s="59" t="s">
        <v>131</v>
      </c>
    </row>
    <row r="32" spans="1:4" s="53" customFormat="1" ht="14.25" x14ac:dyDescent="0.25">
      <c r="A32" s="60" t="s">
        <v>257</v>
      </c>
      <c r="B32" s="190"/>
      <c r="C32" s="60"/>
      <c r="D32" s="60"/>
    </row>
    <row r="33" spans="1:4" s="53" customFormat="1" ht="28.5" x14ac:dyDescent="0.25">
      <c r="A33" s="61" t="s">
        <v>144</v>
      </c>
      <c r="B33" s="49" t="s">
        <v>261</v>
      </c>
      <c r="C33" s="49" t="s">
        <v>130</v>
      </c>
      <c r="D33" s="59" t="s">
        <v>131</v>
      </c>
    </row>
    <row r="34" spans="1:4" s="53" customFormat="1" ht="28.5" x14ac:dyDescent="0.25">
      <c r="A34" s="61" t="s">
        <v>145</v>
      </c>
      <c r="B34" s="49" t="s">
        <v>262</v>
      </c>
      <c r="C34" s="49" t="s">
        <v>130</v>
      </c>
      <c r="D34" s="59" t="s">
        <v>131</v>
      </c>
    </row>
    <row r="35" spans="1:4" s="53" customFormat="1" ht="14.25" x14ac:dyDescent="0.25">
      <c r="A35" s="61" t="s">
        <v>146</v>
      </c>
      <c r="B35" s="51" t="s">
        <v>263</v>
      </c>
      <c r="C35" s="49" t="s">
        <v>130</v>
      </c>
      <c r="D35" s="59" t="s">
        <v>131</v>
      </c>
    </row>
    <row r="36" spans="1:4" s="53" customFormat="1" ht="14.25" x14ac:dyDescent="0.25">
      <c r="A36" s="61" t="s">
        <v>380</v>
      </c>
      <c r="B36" s="188" t="s">
        <v>264</v>
      </c>
      <c r="C36" s="49" t="s">
        <v>130</v>
      </c>
      <c r="D36" s="59" t="s">
        <v>131</v>
      </c>
    </row>
    <row r="37" spans="1:4" s="53" customFormat="1" ht="14.25" x14ac:dyDescent="0.25">
      <c r="A37" s="58" t="s">
        <v>381</v>
      </c>
      <c r="B37" s="49" t="s">
        <v>304</v>
      </c>
      <c r="C37" s="49" t="s">
        <v>130</v>
      </c>
      <c r="D37" s="49" t="s">
        <v>131</v>
      </c>
    </row>
    <row r="38" spans="1:4" s="53" customFormat="1" ht="14.25" x14ac:dyDescent="0.25">
      <c r="A38" s="242" t="s">
        <v>393</v>
      </c>
      <c r="B38" s="242"/>
      <c r="C38" s="242"/>
      <c r="D38" s="242"/>
    </row>
    <row r="39" spans="1:4" s="53" customFormat="1" ht="28.5" x14ac:dyDescent="0.25">
      <c r="A39" s="247" t="s">
        <v>382</v>
      </c>
      <c r="B39" s="243" t="s">
        <v>394</v>
      </c>
      <c r="C39" s="244" t="s">
        <v>130</v>
      </c>
      <c r="D39" s="241"/>
    </row>
    <row r="40" spans="1:4" s="53" customFormat="1" ht="14.25" x14ac:dyDescent="0.25">
      <c r="A40" s="247" t="s">
        <v>383</v>
      </c>
      <c r="B40" s="241" t="s">
        <v>371</v>
      </c>
      <c r="C40" s="244" t="s">
        <v>130</v>
      </c>
      <c r="D40" s="241" t="s">
        <v>131</v>
      </c>
    </row>
    <row r="41" spans="1:4" s="53" customFormat="1" ht="14.25" x14ac:dyDescent="0.25">
      <c r="A41" s="247" t="s">
        <v>384</v>
      </c>
      <c r="B41" s="243" t="s">
        <v>372</v>
      </c>
      <c r="C41" s="244" t="s">
        <v>130</v>
      </c>
      <c r="D41" s="241"/>
    </row>
    <row r="42" spans="1:4" s="53" customFormat="1" ht="14.25" x14ac:dyDescent="0.25">
      <c r="A42" s="242" t="s">
        <v>395</v>
      </c>
      <c r="B42" s="242"/>
      <c r="C42" s="242"/>
      <c r="D42" s="242"/>
    </row>
    <row r="43" spans="1:4" s="53" customFormat="1" ht="14.25" x14ac:dyDescent="0.25">
      <c r="A43" s="249" t="s">
        <v>385</v>
      </c>
      <c r="B43" s="245" t="s">
        <v>396</v>
      </c>
      <c r="C43" s="246"/>
      <c r="D43" s="245"/>
    </row>
    <row r="44" spans="1:4" s="53" customFormat="1" ht="14.25" x14ac:dyDescent="0.25">
      <c r="A44" s="249" t="s">
        <v>386</v>
      </c>
      <c r="B44" s="245" t="s">
        <v>377</v>
      </c>
      <c r="C44" s="246"/>
      <c r="D44" s="245"/>
    </row>
    <row r="45" spans="1:4" s="53" customFormat="1" ht="14.25" x14ac:dyDescent="0.25">
      <c r="A45" s="242" t="s">
        <v>379</v>
      </c>
      <c r="B45" s="242"/>
      <c r="C45" s="242"/>
      <c r="D45" s="242"/>
    </row>
    <row r="46" spans="1:4" s="53" customFormat="1" ht="28.5" x14ac:dyDescent="0.25">
      <c r="A46" s="249" t="s">
        <v>387</v>
      </c>
      <c r="B46" s="246" t="s">
        <v>397</v>
      </c>
      <c r="C46" s="246"/>
      <c r="D46" s="245"/>
    </row>
    <row r="47" spans="1:4" s="53" customFormat="1" ht="14.25" x14ac:dyDescent="0.25">
      <c r="A47" s="249" t="s">
        <v>388</v>
      </c>
      <c r="B47" s="246" t="s">
        <v>378</v>
      </c>
      <c r="C47" s="246"/>
      <c r="D47" s="245"/>
    </row>
    <row r="48" spans="1:4" s="53" customFormat="1" ht="28.5" x14ac:dyDescent="0.25">
      <c r="A48" s="249" t="s">
        <v>389</v>
      </c>
      <c r="B48" s="246" t="s">
        <v>398</v>
      </c>
      <c r="C48" s="246"/>
      <c r="D48" s="245"/>
    </row>
    <row r="49" spans="1:8" s="53" customFormat="1" ht="14.25" x14ac:dyDescent="0.25">
      <c r="A49" s="245"/>
      <c r="B49" s="245"/>
      <c r="C49" s="246"/>
      <c r="D49" s="245"/>
    </row>
    <row r="50" spans="1:8" s="53" customFormat="1" ht="47.25" customHeight="1" x14ac:dyDescent="0.15">
      <c r="B50" s="186" t="s">
        <v>166</v>
      </c>
      <c r="C50" s="30"/>
      <c r="D50" s="30"/>
      <c r="E50" s="30"/>
      <c r="F50" s="30"/>
      <c r="G50" s="30"/>
      <c r="H50" s="30"/>
    </row>
    <row r="51" spans="1:8" s="53" customFormat="1" ht="14.25" x14ac:dyDescent="0.25">
      <c r="B51" s="32"/>
    </row>
  </sheetData>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 CVSSv3.0'!$Q$12:$Q$14</xm:f>
          </x14:formula1>
          <xm:sqref>C27:C31 C33:C35 C6:C11 C21:C25 C37 C14:C19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68"/>
  <sheetViews>
    <sheetView topLeftCell="A10" zoomScale="80" zoomScaleNormal="80" workbookViewId="0">
      <selection activeCell="C18" sqref="C18"/>
    </sheetView>
  </sheetViews>
  <sheetFormatPr defaultColWidth="9.140625" defaultRowHeight="15" x14ac:dyDescent="0.25"/>
  <cols>
    <col min="1" max="1" width="6.140625" style="26" customWidth="1"/>
    <col min="2" max="2" width="26" style="26" customWidth="1"/>
    <col min="3" max="3" width="38.140625" style="26" customWidth="1"/>
    <col min="4" max="4" width="49.42578125" style="26" customWidth="1"/>
    <col min="5" max="5" width="27.85546875" style="26" customWidth="1"/>
    <col min="6" max="6" width="15.140625" style="27" customWidth="1"/>
    <col min="7" max="7" width="24.7109375" style="26" customWidth="1"/>
    <col min="8" max="16384" width="9.140625" style="26"/>
  </cols>
  <sheetData>
    <row r="1" spans="1:7" s="53" customFormat="1" ht="14.25" x14ac:dyDescent="0.25">
      <c r="A1" s="31" t="s">
        <v>157</v>
      </c>
      <c r="B1" s="31"/>
      <c r="F1" s="62"/>
    </row>
    <row r="2" spans="1:7" s="53" customFormat="1" ht="14.25" x14ac:dyDescent="0.25">
      <c r="F2" s="62"/>
    </row>
    <row r="3" spans="1:7" s="53" customFormat="1" ht="28.5" x14ac:dyDescent="0.25">
      <c r="A3" s="63" t="s">
        <v>20</v>
      </c>
      <c r="B3" s="63" t="s">
        <v>354</v>
      </c>
      <c r="C3" s="63" t="s">
        <v>23</v>
      </c>
      <c r="D3" s="63" t="s">
        <v>21</v>
      </c>
      <c r="E3" s="63" t="s">
        <v>15</v>
      </c>
      <c r="F3" s="63" t="s">
        <v>173</v>
      </c>
      <c r="G3" s="64" t="s">
        <v>174</v>
      </c>
    </row>
    <row r="4" spans="1:7" s="72" customFormat="1" ht="114" x14ac:dyDescent="0.25">
      <c r="A4" s="65" t="s">
        <v>125</v>
      </c>
      <c r="B4" s="213" t="s">
        <v>364</v>
      </c>
      <c r="C4" s="66" t="s">
        <v>141</v>
      </c>
      <c r="D4" s="67" t="s">
        <v>139</v>
      </c>
      <c r="E4" s="68" t="s">
        <v>158</v>
      </c>
      <c r="F4" s="69" t="s">
        <v>130</v>
      </c>
      <c r="G4" s="71" t="s">
        <v>131</v>
      </c>
    </row>
    <row r="5" spans="1:7" s="53" customFormat="1" ht="71.25" x14ac:dyDescent="0.25">
      <c r="A5" s="65" t="s">
        <v>126</v>
      </c>
      <c r="B5" s="213" t="s">
        <v>364</v>
      </c>
      <c r="C5" s="66" t="s">
        <v>142</v>
      </c>
      <c r="D5" s="67" t="s">
        <v>140</v>
      </c>
      <c r="E5" s="68" t="s">
        <v>155</v>
      </c>
      <c r="F5" s="69" t="s">
        <v>130</v>
      </c>
      <c r="G5" s="71" t="s">
        <v>131</v>
      </c>
    </row>
    <row r="6" spans="1:7" s="53" customFormat="1" ht="71.25" x14ac:dyDescent="0.25">
      <c r="A6" s="65" t="s">
        <v>127</v>
      </c>
      <c r="B6" s="213" t="s">
        <v>399</v>
      </c>
      <c r="C6" s="66" t="s">
        <v>266</v>
      </c>
      <c r="D6" s="66" t="s">
        <v>282</v>
      </c>
      <c r="E6" s="68" t="s">
        <v>155</v>
      </c>
      <c r="F6" s="69" t="s">
        <v>130</v>
      </c>
      <c r="G6" s="71" t="s">
        <v>131</v>
      </c>
    </row>
    <row r="7" spans="1:7" s="53" customFormat="1" ht="42.75" x14ac:dyDescent="0.25">
      <c r="A7" s="73" t="s">
        <v>128</v>
      </c>
      <c r="B7" s="236" t="s">
        <v>365</v>
      </c>
      <c r="C7" s="74" t="s">
        <v>267</v>
      </c>
      <c r="D7" s="74" t="s">
        <v>283</v>
      </c>
      <c r="E7" s="68" t="s">
        <v>155</v>
      </c>
      <c r="F7" s="69" t="s">
        <v>130</v>
      </c>
      <c r="G7" s="71" t="s">
        <v>131</v>
      </c>
    </row>
    <row r="8" spans="1:7" s="53" customFormat="1" ht="57" x14ac:dyDescent="0.25">
      <c r="A8" s="65" t="s">
        <v>129</v>
      </c>
      <c r="B8" s="213" t="s">
        <v>365</v>
      </c>
      <c r="C8" s="74" t="s">
        <v>268</v>
      </c>
      <c r="D8" s="74" t="s">
        <v>284</v>
      </c>
      <c r="E8" s="68" t="s">
        <v>155</v>
      </c>
      <c r="F8" s="69" t="s">
        <v>130</v>
      </c>
      <c r="G8" s="71" t="s">
        <v>131</v>
      </c>
    </row>
    <row r="9" spans="1:7" s="53" customFormat="1" ht="28.5" x14ac:dyDescent="0.25">
      <c r="A9" s="65" t="s">
        <v>275</v>
      </c>
      <c r="B9" s="42" t="s">
        <v>357</v>
      </c>
      <c r="C9" s="192" t="s">
        <v>269</v>
      </c>
      <c r="D9" s="192" t="s">
        <v>285</v>
      </c>
      <c r="E9" s="193" t="s">
        <v>155</v>
      </c>
      <c r="F9" s="194" t="s">
        <v>130</v>
      </c>
      <c r="G9" s="71" t="s">
        <v>131</v>
      </c>
    </row>
    <row r="10" spans="1:7" s="53" customFormat="1" ht="28.5" x14ac:dyDescent="0.25">
      <c r="A10" s="65" t="s">
        <v>276</v>
      </c>
      <c r="B10" s="42" t="s">
        <v>356</v>
      </c>
      <c r="C10" s="192" t="s">
        <v>270</v>
      </c>
      <c r="D10" s="192" t="s">
        <v>286</v>
      </c>
      <c r="E10" s="193" t="s">
        <v>158</v>
      </c>
      <c r="F10" s="194" t="s">
        <v>130</v>
      </c>
      <c r="G10" s="71" t="s">
        <v>131</v>
      </c>
    </row>
    <row r="11" spans="1:7" s="53" customFormat="1" ht="156.75" x14ac:dyDescent="0.25">
      <c r="A11" s="65" t="s">
        <v>277</v>
      </c>
      <c r="B11" s="213" t="s">
        <v>355</v>
      </c>
      <c r="C11" s="192" t="s">
        <v>271</v>
      </c>
      <c r="D11" s="192" t="s">
        <v>287</v>
      </c>
      <c r="E11" s="193" t="s">
        <v>155</v>
      </c>
      <c r="F11" s="194" t="s">
        <v>130</v>
      </c>
      <c r="G11" s="71" t="s">
        <v>131</v>
      </c>
    </row>
    <row r="12" spans="1:7" s="53" customFormat="1" ht="28.5" x14ac:dyDescent="0.25">
      <c r="A12" s="65" t="s">
        <v>278</v>
      </c>
      <c r="B12" s="213" t="s">
        <v>400</v>
      </c>
      <c r="C12" s="192" t="s">
        <v>306</v>
      </c>
      <c r="D12" s="192" t="s">
        <v>288</v>
      </c>
      <c r="E12" s="193" t="s">
        <v>158</v>
      </c>
      <c r="F12" s="194" t="s">
        <v>130</v>
      </c>
      <c r="G12" s="71" t="s">
        <v>131</v>
      </c>
    </row>
    <row r="13" spans="1:7" s="53" customFormat="1" ht="14.25" x14ac:dyDescent="0.25">
      <c r="A13" s="65" t="s">
        <v>279</v>
      </c>
      <c r="B13" s="42" t="s">
        <v>365</v>
      </c>
      <c r="C13" s="192" t="s">
        <v>272</v>
      </c>
      <c r="D13" s="74" t="s">
        <v>289</v>
      </c>
      <c r="E13" s="193" t="s">
        <v>158</v>
      </c>
      <c r="F13" s="194" t="s">
        <v>130</v>
      </c>
      <c r="G13" s="71" t="s">
        <v>131</v>
      </c>
    </row>
    <row r="14" spans="1:7" s="53" customFormat="1" ht="42.75" x14ac:dyDescent="0.25">
      <c r="A14" s="65" t="s">
        <v>280</v>
      </c>
      <c r="B14" s="213" t="s">
        <v>363</v>
      </c>
      <c r="C14" s="192" t="s">
        <v>273</v>
      </c>
      <c r="D14" s="192" t="s">
        <v>290</v>
      </c>
      <c r="E14" s="193" t="s">
        <v>155</v>
      </c>
      <c r="F14" s="194" t="s">
        <v>130</v>
      </c>
      <c r="G14" s="71" t="s">
        <v>131</v>
      </c>
    </row>
    <row r="15" spans="1:7" s="53" customFormat="1" ht="42.75" x14ac:dyDescent="0.25">
      <c r="A15" s="65" t="s">
        <v>281</v>
      </c>
      <c r="B15" s="42" t="s">
        <v>365</v>
      </c>
      <c r="C15" s="59" t="s">
        <v>274</v>
      </c>
      <c r="D15" s="244" t="s">
        <v>291</v>
      </c>
      <c r="E15" s="69" t="s">
        <v>158</v>
      </c>
      <c r="F15" s="69" t="s">
        <v>130</v>
      </c>
      <c r="G15" s="71" t="s">
        <v>131</v>
      </c>
    </row>
    <row r="16" spans="1:7" s="53" customFormat="1" ht="38.25" customHeight="1" x14ac:dyDescent="0.25">
      <c r="A16" s="250" t="s">
        <v>360</v>
      </c>
      <c r="B16" s="238" t="s">
        <v>358</v>
      </c>
      <c r="C16" s="239" t="s">
        <v>362</v>
      </c>
      <c r="D16" s="207" t="s">
        <v>359</v>
      </c>
      <c r="E16" s="193" t="s">
        <v>155</v>
      </c>
      <c r="F16" s="69" t="s">
        <v>130</v>
      </c>
      <c r="G16" s="71" t="s">
        <v>131</v>
      </c>
    </row>
    <row r="17" spans="1:8" s="53" customFormat="1" ht="28.5" x14ac:dyDescent="0.25">
      <c r="A17" s="251" t="s">
        <v>361</v>
      </c>
      <c r="B17" s="42" t="s">
        <v>365</v>
      </c>
      <c r="C17" s="59" t="s">
        <v>366</v>
      </c>
      <c r="D17" s="49" t="s">
        <v>370</v>
      </c>
      <c r="E17" s="69" t="s">
        <v>158</v>
      </c>
      <c r="F17" s="69" t="s">
        <v>130</v>
      </c>
      <c r="G17" s="71" t="s">
        <v>131</v>
      </c>
    </row>
    <row r="18" spans="1:8" s="53" customFormat="1" ht="57" x14ac:dyDescent="0.25">
      <c r="A18" s="252" t="s">
        <v>368</v>
      </c>
      <c r="B18" s="215" t="s">
        <v>367</v>
      </c>
      <c r="C18" s="240" t="s">
        <v>369</v>
      </c>
      <c r="D18" s="74" t="s">
        <v>401</v>
      </c>
      <c r="E18" s="193" t="s">
        <v>155</v>
      </c>
      <c r="F18" s="69" t="s">
        <v>130</v>
      </c>
      <c r="G18" s="71" t="s">
        <v>131</v>
      </c>
    </row>
    <row r="19" spans="1:8" s="53" customFormat="1" ht="14.25" x14ac:dyDescent="0.25">
      <c r="A19" s="237"/>
      <c r="B19" s="42"/>
      <c r="C19" s="59"/>
      <c r="D19" s="59"/>
      <c r="E19" s="59"/>
      <c r="F19" s="69"/>
      <c r="G19" s="71"/>
    </row>
    <row r="20" spans="1:8" s="53" customFormat="1" ht="14.25" x14ac:dyDescent="0.25">
      <c r="F20" s="62"/>
    </row>
    <row r="21" spans="1:8" s="53" customFormat="1" ht="14.25" x14ac:dyDescent="0.15">
      <c r="A21" s="29" t="s">
        <v>165</v>
      </c>
      <c r="B21" s="29"/>
      <c r="F21" s="62"/>
    </row>
    <row r="22" spans="1:8" s="53" customFormat="1" ht="30" customHeight="1" x14ac:dyDescent="0.15">
      <c r="C22" s="257" t="s">
        <v>166</v>
      </c>
      <c r="D22" s="257"/>
      <c r="E22" s="257"/>
      <c r="F22" s="30"/>
      <c r="G22" s="30"/>
      <c r="H22" s="30"/>
    </row>
    <row r="23" spans="1:8" s="53" customFormat="1" ht="14.25" x14ac:dyDescent="0.25">
      <c r="F23" s="62"/>
    </row>
    <row r="24" spans="1:8" s="53" customFormat="1" ht="14.25" x14ac:dyDescent="0.25">
      <c r="F24" s="62"/>
    </row>
    <row r="25" spans="1:8" s="53" customFormat="1" ht="14.25" x14ac:dyDescent="0.25">
      <c r="F25" s="62"/>
    </row>
    <row r="26" spans="1:8" s="53" customFormat="1" ht="14.25" x14ac:dyDescent="0.25">
      <c r="F26" s="62"/>
    </row>
    <row r="27" spans="1:8" s="53" customFormat="1" ht="14.25" x14ac:dyDescent="0.25">
      <c r="F27" s="62"/>
    </row>
    <row r="28" spans="1:8" s="53" customFormat="1" ht="14.25" x14ac:dyDescent="0.25">
      <c r="F28" s="62"/>
    </row>
    <row r="29" spans="1:8" s="53" customFormat="1" ht="14.25" x14ac:dyDescent="0.25">
      <c r="F29" s="62"/>
    </row>
    <row r="30" spans="1:8" s="53" customFormat="1" ht="14.25" x14ac:dyDescent="0.25">
      <c r="F30" s="62"/>
    </row>
    <row r="31" spans="1:8" s="53" customFormat="1" ht="14.25" x14ac:dyDescent="0.25">
      <c r="F31" s="62"/>
    </row>
    <row r="32" spans="1:8" s="53" customFormat="1" ht="14.25" x14ac:dyDescent="0.25">
      <c r="F32" s="62"/>
    </row>
    <row r="33" spans="2:6" s="53" customFormat="1" ht="14.25" x14ac:dyDescent="0.25">
      <c r="F33" s="62"/>
    </row>
    <row r="34" spans="2:6" s="53" customFormat="1" ht="14.25" x14ac:dyDescent="0.25">
      <c r="F34" s="62"/>
    </row>
    <row r="35" spans="2:6" s="53" customFormat="1" ht="14.25" x14ac:dyDescent="0.25">
      <c r="F35" s="62"/>
    </row>
    <row r="36" spans="2:6" s="53" customFormat="1" ht="14.25" x14ac:dyDescent="0.25">
      <c r="F36" s="62"/>
    </row>
    <row r="37" spans="2:6" s="53" customFormat="1" ht="14.25" x14ac:dyDescent="0.25">
      <c r="B37" s="53" t="s">
        <v>402</v>
      </c>
      <c r="F37" s="62"/>
    </row>
    <row r="38" spans="2:6" s="53" customFormat="1" ht="14.25" x14ac:dyDescent="0.25">
      <c r="F38" s="62"/>
    </row>
    <row r="39" spans="2:6" s="53" customFormat="1" ht="14.25" x14ac:dyDescent="0.25">
      <c r="F39" s="62"/>
    </row>
    <row r="40" spans="2:6" s="53" customFormat="1" ht="14.25" x14ac:dyDescent="0.25">
      <c r="F40" s="62"/>
    </row>
    <row r="41" spans="2:6" s="53" customFormat="1" ht="14.25" x14ac:dyDescent="0.25">
      <c r="F41" s="62"/>
    </row>
    <row r="42" spans="2:6" s="53" customFormat="1" ht="14.25" x14ac:dyDescent="0.25">
      <c r="F42" s="62"/>
    </row>
    <row r="43" spans="2:6" s="53" customFormat="1" ht="14.25" x14ac:dyDescent="0.25">
      <c r="F43" s="62"/>
    </row>
    <row r="44" spans="2:6" s="53" customFormat="1" ht="14.25" x14ac:dyDescent="0.25">
      <c r="F44" s="62"/>
    </row>
    <row r="45" spans="2:6" s="53" customFormat="1" ht="14.25" x14ac:dyDescent="0.25">
      <c r="F45" s="62"/>
    </row>
    <row r="46" spans="2:6" s="53" customFormat="1" ht="14.25" x14ac:dyDescent="0.25">
      <c r="F46" s="62"/>
    </row>
    <row r="47" spans="2:6" s="53" customFormat="1" ht="14.25" x14ac:dyDescent="0.25">
      <c r="F47" s="62"/>
    </row>
    <row r="48" spans="2:6" s="53" customFormat="1" ht="14.25" x14ac:dyDescent="0.25">
      <c r="F48" s="62"/>
    </row>
    <row r="49" spans="6:6" s="53" customFormat="1" ht="14.25" x14ac:dyDescent="0.25">
      <c r="F49" s="62"/>
    </row>
    <row r="50" spans="6:6" s="53" customFormat="1" ht="14.25" x14ac:dyDescent="0.25">
      <c r="F50" s="62"/>
    </row>
    <row r="51" spans="6:6" s="53" customFormat="1" ht="14.25" x14ac:dyDescent="0.25">
      <c r="F51" s="62"/>
    </row>
    <row r="52" spans="6:6" s="53" customFormat="1" ht="14.25" x14ac:dyDescent="0.25">
      <c r="F52" s="62"/>
    </row>
    <row r="53" spans="6:6" s="53" customFormat="1" ht="14.25" x14ac:dyDescent="0.25">
      <c r="F53" s="62"/>
    </row>
    <row r="54" spans="6:6" s="53" customFormat="1" ht="14.25" x14ac:dyDescent="0.25">
      <c r="F54" s="62"/>
    </row>
    <row r="55" spans="6:6" s="53" customFormat="1" ht="14.25" x14ac:dyDescent="0.25">
      <c r="F55" s="62"/>
    </row>
    <row r="56" spans="6:6" s="53" customFormat="1" ht="14.25" x14ac:dyDescent="0.25">
      <c r="F56" s="62"/>
    </row>
    <row r="57" spans="6:6" s="53" customFormat="1" ht="14.25" x14ac:dyDescent="0.25">
      <c r="F57" s="62"/>
    </row>
    <row r="58" spans="6:6" s="53" customFormat="1" ht="14.25" x14ac:dyDescent="0.25">
      <c r="F58" s="62"/>
    </row>
    <row r="59" spans="6:6" s="53" customFormat="1" ht="14.25" x14ac:dyDescent="0.25">
      <c r="F59" s="62"/>
    </row>
    <row r="60" spans="6:6" s="53" customFormat="1" ht="14.25" x14ac:dyDescent="0.25">
      <c r="F60" s="62"/>
    </row>
    <row r="61" spans="6:6" s="53" customFormat="1" ht="14.25" x14ac:dyDescent="0.25">
      <c r="F61" s="62"/>
    </row>
    <row r="62" spans="6:6" s="53" customFormat="1" ht="14.25" x14ac:dyDescent="0.25">
      <c r="F62" s="62"/>
    </row>
    <row r="63" spans="6:6" s="53" customFormat="1" ht="14.25" x14ac:dyDescent="0.25">
      <c r="F63" s="62"/>
    </row>
    <row r="64" spans="6:6" s="53" customFormat="1" ht="14.25" x14ac:dyDescent="0.25">
      <c r="F64" s="62"/>
    </row>
    <row r="65" spans="6:6" s="53" customFormat="1" ht="14.25" x14ac:dyDescent="0.25">
      <c r="F65" s="62"/>
    </row>
    <row r="66" spans="6:6" s="53" customFormat="1" ht="14.25" x14ac:dyDescent="0.25">
      <c r="F66" s="62"/>
    </row>
    <row r="67" spans="6:6" s="53" customFormat="1" ht="14.25" x14ac:dyDescent="0.25">
      <c r="F67" s="62"/>
    </row>
    <row r="68" spans="6:6" s="53" customFormat="1" ht="14.25" x14ac:dyDescent="0.25">
      <c r="F68" s="62"/>
    </row>
  </sheetData>
  <mergeCells count="1">
    <mergeCell ref="C22:E22"/>
  </mergeCells>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 CVSSv3.0'!$Q$12:$Q$14</xm:f>
          </x14:formula1>
          <xm:sqref>F4:F19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127"/>
  <sheetViews>
    <sheetView zoomScale="80" zoomScaleNormal="80" workbookViewId="0">
      <pane xSplit="3660" activePane="topRight"/>
      <selection activeCell="G6" sqref="G6"/>
      <selection pane="topRight" activeCell="C5" sqref="C5"/>
    </sheetView>
  </sheetViews>
  <sheetFormatPr defaultColWidth="9.140625" defaultRowHeight="15" x14ac:dyDescent="0.25"/>
  <cols>
    <col min="2" max="2" width="4.85546875" style="212" customWidth="1"/>
    <col min="3" max="3" width="25.5703125" customWidth="1"/>
    <col min="4" max="4" width="13.42578125" style="212" customWidth="1"/>
    <col min="5" max="5" width="17.140625" style="207" customWidth="1"/>
    <col min="6" max="6" width="6.28515625" style="212" customWidth="1"/>
    <col min="7" max="7" width="28.7109375" style="207" customWidth="1"/>
    <col min="8" max="8" width="44.140625" customWidth="1"/>
    <col min="9" max="9" width="25.42578125" customWidth="1"/>
    <col min="10" max="12" width="9.140625" style="212" customWidth="1"/>
    <col min="13" max="17" width="15.85546875" customWidth="1"/>
    <col min="18" max="20" width="15.85546875" hidden="1" customWidth="1"/>
    <col min="21" max="21" width="15.85546875" customWidth="1"/>
    <col min="22" max="22" width="15.28515625" customWidth="1"/>
    <col min="23" max="23" width="17.42578125" hidden="1" customWidth="1"/>
    <col min="24" max="25" width="12.140625" customWidth="1"/>
    <col min="26" max="26" width="35.7109375" style="207" customWidth="1"/>
    <col min="27" max="27" width="32.7109375" customWidth="1"/>
    <col min="28" max="28" width="23.140625" customWidth="1"/>
    <col min="29" max="31" width="9.140625" customWidth="1"/>
    <col min="32" max="36" width="15.85546875" customWidth="1"/>
    <col min="37" max="39" width="15.85546875" hidden="1" customWidth="1"/>
    <col min="40" max="42" width="15.85546875" customWidth="1"/>
    <col min="43" max="43" width="40.7109375" style="2" customWidth="1"/>
    <col min="44" max="44" width="13.28515625" style="2" customWidth="1"/>
    <col min="45" max="45" width="24.85546875" customWidth="1"/>
  </cols>
  <sheetData>
    <row r="1" spans="1:45" s="75" customFormat="1" ht="14.25" x14ac:dyDescent="0.2">
      <c r="A1" s="31" t="s">
        <v>159</v>
      </c>
      <c r="B1" s="100"/>
      <c r="D1" s="100"/>
      <c r="E1" s="79"/>
      <c r="F1" s="100"/>
      <c r="G1" s="79"/>
      <c r="J1" s="100"/>
      <c r="K1" s="100"/>
      <c r="L1" s="100"/>
      <c r="Z1" s="79"/>
    </row>
    <row r="2" spans="1:45" s="75" customFormat="1" ht="14.25" x14ac:dyDescent="0.2">
      <c r="A2" s="75" t="s">
        <v>138</v>
      </c>
      <c r="B2" s="100"/>
      <c r="D2" s="100"/>
      <c r="E2" s="79"/>
      <c r="F2" s="100"/>
      <c r="G2" s="79"/>
      <c r="J2" s="100"/>
      <c r="K2" s="100"/>
      <c r="L2" s="100"/>
      <c r="Z2" s="79"/>
    </row>
    <row r="3" spans="1:45" s="75" customFormat="1" ht="23.25" customHeight="1" x14ac:dyDescent="0.2">
      <c r="A3" s="76"/>
      <c r="B3" s="219"/>
      <c r="C3" s="77"/>
      <c r="D3" s="217"/>
      <c r="E3" s="78"/>
      <c r="F3" s="264" t="s">
        <v>3</v>
      </c>
      <c r="G3" s="264"/>
      <c r="H3" s="264"/>
      <c r="I3" s="264"/>
      <c r="J3" s="265" t="s">
        <v>133</v>
      </c>
      <c r="K3" s="266"/>
      <c r="L3" s="266"/>
      <c r="M3" s="266"/>
      <c r="N3" s="266"/>
      <c r="O3" s="266"/>
      <c r="P3" s="266"/>
      <c r="Q3" s="266"/>
      <c r="R3" s="266"/>
      <c r="S3" s="266"/>
      <c r="T3" s="266"/>
      <c r="U3" s="266"/>
      <c r="V3" s="266"/>
      <c r="W3" s="266"/>
      <c r="X3" s="266"/>
      <c r="Y3" s="267"/>
      <c r="Z3" s="261" t="s">
        <v>5</v>
      </c>
      <c r="AA3" s="262"/>
      <c r="AB3" s="263"/>
      <c r="AC3" s="258" t="s">
        <v>134</v>
      </c>
      <c r="AD3" s="259"/>
      <c r="AE3" s="259"/>
      <c r="AF3" s="259"/>
      <c r="AG3" s="259"/>
      <c r="AH3" s="259"/>
      <c r="AI3" s="259"/>
      <c r="AJ3" s="259"/>
      <c r="AK3" s="259"/>
      <c r="AL3" s="259"/>
      <c r="AM3" s="259"/>
      <c r="AN3" s="259"/>
      <c r="AO3" s="259"/>
      <c r="AP3" s="259"/>
      <c r="AQ3" s="260"/>
      <c r="AR3" s="79"/>
      <c r="AS3" s="79"/>
    </row>
    <row r="4" spans="1:45" s="75" customFormat="1" ht="88.5" customHeight="1" x14ac:dyDescent="0.2">
      <c r="A4" s="80" t="s">
        <v>1</v>
      </c>
      <c r="B4" s="220" t="s">
        <v>123</v>
      </c>
      <c r="C4" s="81" t="s">
        <v>2</v>
      </c>
      <c r="D4" s="218" t="s">
        <v>122</v>
      </c>
      <c r="E4" s="82" t="s">
        <v>14</v>
      </c>
      <c r="F4" s="214" t="s">
        <v>124</v>
      </c>
      <c r="G4" s="83" t="s">
        <v>0</v>
      </c>
      <c r="H4" s="83" t="s">
        <v>6</v>
      </c>
      <c r="I4" s="84" t="s">
        <v>162</v>
      </c>
      <c r="J4" s="163" t="s">
        <v>70</v>
      </c>
      <c r="K4" s="163" t="s">
        <v>71</v>
      </c>
      <c r="L4" s="163" t="s">
        <v>72</v>
      </c>
      <c r="M4" s="159" t="s">
        <v>82</v>
      </c>
      <c r="N4" s="159" t="s">
        <v>83</v>
      </c>
      <c r="O4" s="159" t="s">
        <v>195</v>
      </c>
      <c r="P4" s="159" t="s">
        <v>85</v>
      </c>
      <c r="Q4" s="159" t="s">
        <v>69</v>
      </c>
      <c r="R4" s="159" t="s">
        <v>168</v>
      </c>
      <c r="S4" s="159" t="s">
        <v>169</v>
      </c>
      <c r="T4" s="159" t="s">
        <v>170</v>
      </c>
      <c r="U4" s="159" t="s">
        <v>193</v>
      </c>
      <c r="V4" s="164" t="s">
        <v>135</v>
      </c>
      <c r="W4" s="164" t="s">
        <v>136</v>
      </c>
      <c r="X4" s="165" t="s">
        <v>175</v>
      </c>
      <c r="Y4" s="166" t="s">
        <v>137</v>
      </c>
      <c r="Z4" s="158" t="s">
        <v>190</v>
      </c>
      <c r="AA4" s="158" t="s">
        <v>197</v>
      </c>
      <c r="AB4" s="158" t="s">
        <v>16</v>
      </c>
      <c r="AC4" s="167" t="s">
        <v>176</v>
      </c>
      <c r="AD4" s="167" t="s">
        <v>177</v>
      </c>
      <c r="AE4" s="167" t="s">
        <v>178</v>
      </c>
      <c r="AF4" s="168" t="s">
        <v>179</v>
      </c>
      <c r="AG4" s="168" t="s">
        <v>180</v>
      </c>
      <c r="AH4" s="168" t="s">
        <v>196</v>
      </c>
      <c r="AI4" s="168" t="s">
        <v>181</v>
      </c>
      <c r="AJ4" s="168" t="s">
        <v>182</v>
      </c>
      <c r="AK4" s="168" t="s">
        <v>183</v>
      </c>
      <c r="AL4" s="168" t="s">
        <v>184</v>
      </c>
      <c r="AM4" s="168" t="s">
        <v>185</v>
      </c>
      <c r="AN4" s="168" t="s">
        <v>194</v>
      </c>
      <c r="AO4" s="168" t="s">
        <v>186</v>
      </c>
      <c r="AP4" s="168" t="s">
        <v>187</v>
      </c>
      <c r="AQ4" s="181" t="s">
        <v>4</v>
      </c>
      <c r="AR4" s="79"/>
      <c r="AS4" s="79"/>
    </row>
    <row r="5" spans="1:45" s="53" customFormat="1" ht="409.5" x14ac:dyDescent="0.25">
      <c r="A5" s="70">
        <v>1</v>
      </c>
      <c r="B5" s="182" t="s">
        <v>125</v>
      </c>
      <c r="C5" s="85" t="str">
        <f>IF(VLOOKUP(Table4[[#This Row],[T ID]],Table5[#All],5,FALSE)="No","Not in scope",VLOOKUP(Table4[[#This Row],[T ID]],Table5[#All],2,FALSE))</f>
        <v>CAPEC-185</v>
      </c>
      <c r="D5" s="212" t="s">
        <v>249</v>
      </c>
      <c r="E5" s="85" t="str">
        <f>IF(VLOOKUP(Table4[[#This Row],[V ID]],Vulnerabilities[#All],3,FALSE)="No","Not in scope",VLOOKUP(Table4[[#This Row],[V ID]],Vulnerabilities[#All],2,FALSE))</f>
        <v>Unprotected external USB Port on the tablet/devices.</v>
      </c>
      <c r="F5" s="215" t="s">
        <v>111</v>
      </c>
      <c r="G5" s="86" t="str">
        <f>VLOOKUP(Table4[[#This Row],[A ID]],Assets[#All],3,FALSE)</f>
        <v>Tablet Resources - web cam, microphone, OTG devices, Removable USB, Tablet Application,</v>
      </c>
      <c r="H5" s="49" t="s">
        <v>292</v>
      </c>
      <c r="I5" s="49"/>
      <c r="J5" s="87" t="s">
        <v>56</v>
      </c>
      <c r="K5" s="87" t="s">
        <v>56</v>
      </c>
      <c r="L5" s="87" t="s">
        <v>56</v>
      </c>
      <c r="M5" s="157" t="s">
        <v>75</v>
      </c>
      <c r="N5" s="157" t="s">
        <v>56</v>
      </c>
      <c r="O5" s="157" t="s">
        <v>56</v>
      </c>
      <c r="P5" s="196" t="s">
        <v>76</v>
      </c>
      <c r="Q5" s="196" t="s">
        <v>74</v>
      </c>
      <c r="R5"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5" s="161">
        <f>(1 - ((1 - VLOOKUP(Table4[[#This Row],[Confidentiality]],'Reference - CVSSv3.0'!$B$15:$C$17,2,FALSE)) * (1 - VLOOKUP(Table4[[#This Row],[Integrity]],'Reference - CVSSv3.0'!$B$15:$C$17,2,FALSE)) *  (1 - VLOOKUP(Table4[[#This Row],[Availability]],'Reference - CVSSv3.0'!$B$15:$C$17,2,FALSE))))</f>
        <v>0.52544799999999992</v>
      </c>
      <c r="T5" s="161">
        <f>IF(Table4[[#This Row],[Scope]]="Unchanged",6.42*Table4[[#This Row],[ISC Base]],IF(Table4[[#This Row],[Scope]]="Changed",7.52*(Table4[[#This Row],[ISC Base]] - 0.029) - 3.25 * POWER(Table4[[#This Row],[ISC Base]] - 0.02,15),NA()))</f>
        <v>3.3733761599999994</v>
      </c>
      <c r="U5" s="16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182" t="s">
        <v>56</v>
      </c>
      <c r="W5" s="183">
        <f>VLOOKUP(Table4[[#This Row],[Threat Event Initiation]],NIST_Scale_LOAI[],2,FALSE)</f>
        <v>0.2</v>
      </c>
      <c r="X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49" t="s">
        <v>322</v>
      </c>
      <c r="AA5" s="49"/>
      <c r="AB5" s="88"/>
      <c r="AC5" s="87" t="s">
        <v>56</v>
      </c>
      <c r="AD5" s="87" t="s">
        <v>77</v>
      </c>
      <c r="AE5" s="87" t="s">
        <v>77</v>
      </c>
      <c r="AF5" s="157" t="s">
        <v>78</v>
      </c>
      <c r="AG5" s="157" t="s">
        <v>56</v>
      </c>
      <c r="AH5" s="157" t="s">
        <v>77</v>
      </c>
      <c r="AI5" s="157" t="s">
        <v>77</v>
      </c>
      <c r="AJ5" s="157" t="s">
        <v>99</v>
      </c>
      <c r="AK5" s="161">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3.8870427750000003</v>
      </c>
      <c r="AL5" s="161">
        <f>(1 - ((1 - VLOOKUP(Table4[[#This Row],[ConfidentialityP]],'Reference - CVSSv3.0'!$B$15:$C$17,2,FALSE)) * (1 - VLOOKUP(Table4[[#This Row],[IntegrityP]],'Reference - CVSSv3.0'!$B$15:$C$17,2,FALSE)) *  (1 - VLOOKUP(Table4[[#This Row],[AvailabilityP]],'Reference - CVSSv3.0'!$B$15:$C$17,2,FALSE))))</f>
        <v>0.21999999999999997</v>
      </c>
      <c r="AM5" s="161">
        <f>IF(Table4[[#This Row],[ScopeP]]="Unchanged",6.42*Table4[[#This Row],[ISC BaseP]],IF(Table4[[#This Row],[ScopeP]]="Changed",7.52*(Table4[[#This Row],[ISC BaseP]] - 0.029) - 3.25 * POWER(Table4[[#This Row],[ISC BaseP]] - 0.02,15),NA()))</f>
        <v>1.4363199998935039</v>
      </c>
      <c r="AN5" s="161">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2.4</v>
      </c>
      <c r="AP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9" t="s">
        <v>138</v>
      </c>
    </row>
    <row r="6" spans="1:45" s="53" customFormat="1" ht="72.75" customHeight="1" x14ac:dyDescent="0.25">
      <c r="A6" s="70">
        <v>2</v>
      </c>
      <c r="B6" s="182" t="s">
        <v>125</v>
      </c>
      <c r="C6" s="195" t="str">
        <f>IF(VLOOKUP(Table4[[#This Row],[T ID]],Table5[#All],5,FALSE)="No","Not in scope",VLOOKUP(Table4[[#This Row],[T ID]],Table5[#All],2,FALSE))</f>
        <v>CAPEC-185</v>
      </c>
      <c r="D6" s="212" t="s">
        <v>249</v>
      </c>
      <c r="E6" s="195" t="str">
        <f>IF(VLOOKUP(Table4[[#This Row],[V ID]],Vulnerabilities[#All],3,FALSE)="No","Not in scope",VLOOKUP(Table4[[#This Row],[V ID]],Vulnerabilities[#All],2,FALSE))</f>
        <v>Unprotected external USB Port on the tablet/devices.</v>
      </c>
      <c r="F6" s="216" t="s">
        <v>113</v>
      </c>
      <c r="G6" s="195" t="str">
        <f>VLOOKUP(Table4[[#This Row],[A ID]],Assets[#All],3,FALSE)</f>
        <v>Smart medic (Stryker device) System Component</v>
      </c>
      <c r="H6" s="49" t="s">
        <v>292</v>
      </c>
      <c r="I6" s="49"/>
      <c r="J6" s="87" t="s">
        <v>56</v>
      </c>
      <c r="K6" s="87" t="s">
        <v>56</v>
      </c>
      <c r="L6" s="87" t="s">
        <v>56</v>
      </c>
      <c r="M6" s="157" t="s">
        <v>75</v>
      </c>
      <c r="N6" s="157" t="s">
        <v>56</v>
      </c>
      <c r="O6" s="157" t="s">
        <v>56</v>
      </c>
      <c r="P6" s="196" t="s">
        <v>76</v>
      </c>
      <c r="Q6" s="196" t="s">
        <v>74</v>
      </c>
      <c r="R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6" s="198">
        <f>(1 - ((1 - VLOOKUP(Table4[[#This Row],[Confidentiality]],'Reference - CVSSv3.0'!$B$15:$C$17,2,FALSE)) * (1 - VLOOKUP(Table4[[#This Row],[Integrity]],'Reference - CVSSv3.0'!$B$15:$C$17,2,FALSE)) *  (1 - VLOOKUP(Table4[[#This Row],[Availability]],'Reference - CVSSv3.0'!$B$15:$C$17,2,FALSE))))</f>
        <v>0.52544799999999992</v>
      </c>
      <c r="T6" s="198">
        <f>IF(Table4[[#This Row],[Scope]]="Unchanged",6.42*Table4[[#This Row],[ISC Base]],IF(Table4[[#This Row],[Scope]]="Changed",7.52*(Table4[[#This Row],[ISC Base]] - 0.029) - 3.25 * POWER(Table4[[#This Row],[ISC Base]] - 0.02,15),NA()))</f>
        <v>3.3733761599999994</v>
      </c>
      <c r="U6"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6" s="182" t="s">
        <v>56</v>
      </c>
      <c r="W6" s="198">
        <f>VLOOKUP(Table4[[#This Row],[Threat Event Initiation]],NIST_Scale_LOAI[],2,FALSE)</f>
        <v>0.2</v>
      </c>
      <c r="X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49" t="s">
        <v>322</v>
      </c>
      <c r="AA6" s="188"/>
      <c r="AB6" s="200"/>
      <c r="AC6" s="187"/>
      <c r="AD6" s="187"/>
      <c r="AE6" s="187"/>
      <c r="AF6" s="196"/>
      <c r="AG6" s="196"/>
      <c r="AH6" s="196"/>
      <c r="AI6" s="196"/>
      <c r="AJ6" s="201"/>
      <c r="AK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 s="198" t="e">
        <f>(1 - ((1 - VLOOKUP(Table4[[#This Row],[ConfidentialityP]],'Reference - CVSSv3.0'!$B$15:$C$17,2,FALSE)) * (1 - VLOOKUP(Table4[[#This Row],[IntegrityP]],'Reference - CVSSv3.0'!$B$15:$C$17,2,FALSE)) *  (1 - VLOOKUP(Table4[[#This Row],[AvailabilityP]],'Reference - CVSSv3.0'!$B$15:$C$17,2,FALSE))))</f>
        <v>#N/A</v>
      </c>
      <c r="AM6" s="198" t="e">
        <f>IF(Table4[[#This Row],[ScopeP]]="Unchanged",6.42*Table4[[#This Row],[ISC BaseP]],IF(Table4[[#This Row],[ScopeP]]="Changed",7.52*(Table4[[#This Row],[ISC BaseP]] - 0.029) - 3.25 * POWER(Table4[[#This Row],[ISC BaseP]] - 0.02,15),NA()))</f>
        <v>#N/A</v>
      </c>
      <c r="AN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187"/>
    </row>
    <row r="7" spans="1:45" s="53" customFormat="1" ht="81.75" customHeight="1" x14ac:dyDescent="0.25">
      <c r="A7" s="70">
        <v>3</v>
      </c>
      <c r="B7" s="182" t="s">
        <v>125</v>
      </c>
      <c r="C7" s="195" t="str">
        <f>IF(VLOOKUP(Table4[[#This Row],[T ID]],Table5[#All],5,FALSE)="No","Not in scope",VLOOKUP(Table4[[#This Row],[T ID]],Table5[#All],2,FALSE))</f>
        <v>CAPEC-185</v>
      </c>
      <c r="D7" s="212" t="s">
        <v>121</v>
      </c>
      <c r="E7" s="195" t="str">
        <f>IF(VLOOKUP(Table4[[#This Row],[V ID]],Vulnerabilities[#All],3,FALSE)="No","Not in scope",VLOOKUP(Table4[[#This Row],[V ID]],Vulnerabilities[#All],2,FALSE))</f>
        <v>Lack of  Strong Guidelines Password Policy</v>
      </c>
      <c r="F7" s="216" t="s">
        <v>113</v>
      </c>
      <c r="G7" s="195" t="str">
        <f>VLOOKUP(Table4[[#This Row],[A ID]],Assets[#All],3,FALSE)</f>
        <v>Smart medic (Stryker device) System Component</v>
      </c>
      <c r="H7" s="49" t="s">
        <v>292</v>
      </c>
      <c r="I7" s="49"/>
      <c r="J7" s="87" t="s">
        <v>56</v>
      </c>
      <c r="K7" s="87" t="s">
        <v>56</v>
      </c>
      <c r="L7" s="87" t="s">
        <v>56</v>
      </c>
      <c r="M7" s="196" t="s">
        <v>78</v>
      </c>
      <c r="N7" s="157" t="s">
        <v>56</v>
      </c>
      <c r="O7" s="157" t="s">
        <v>56</v>
      </c>
      <c r="P7" s="196" t="s">
        <v>76</v>
      </c>
      <c r="Q7" s="196" t="s">
        <v>74</v>
      </c>
      <c r="R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7" s="198">
        <f>(1 - ((1 - VLOOKUP(Table4[[#This Row],[Confidentiality]],'Reference - CVSSv3.0'!$B$15:$C$17,2,FALSE)) * (1 - VLOOKUP(Table4[[#This Row],[Integrity]],'Reference - CVSSv3.0'!$B$15:$C$17,2,FALSE)) *  (1 - VLOOKUP(Table4[[#This Row],[Availability]],'Reference - CVSSv3.0'!$B$15:$C$17,2,FALSE))))</f>
        <v>0.52544799999999992</v>
      </c>
      <c r="T7" s="198">
        <f>IF(Table4[[#This Row],[Scope]]="Unchanged",6.42*Table4[[#This Row],[ISC Base]],IF(Table4[[#This Row],[Scope]]="Changed",7.52*(Table4[[#This Row],[ISC Base]] - 0.029) - 3.25 * POWER(Table4[[#This Row],[ISC Base]] - 0.02,15),NA()))</f>
        <v>3.3733761599999994</v>
      </c>
      <c r="U7"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7" s="182" t="s">
        <v>56</v>
      </c>
      <c r="W7" s="198">
        <f>VLOOKUP(Table4[[#This Row],[Threat Event Initiation]],NIST_Scale_LOAI[],2,FALSE)</f>
        <v>0.2</v>
      </c>
      <c r="X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9" t="s">
        <v>322</v>
      </c>
      <c r="AA7" s="188"/>
      <c r="AB7" s="200"/>
      <c r="AC7" s="187"/>
      <c r="AD7" s="187"/>
      <c r="AE7" s="187"/>
      <c r="AF7" s="196"/>
      <c r="AG7" s="196"/>
      <c r="AH7" s="196"/>
      <c r="AI7" s="196"/>
      <c r="AJ7" s="201"/>
      <c r="AK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 s="198" t="e">
        <f>(1 - ((1 - VLOOKUP(Table4[[#This Row],[ConfidentialityP]],'Reference - CVSSv3.0'!$B$15:$C$17,2,FALSE)) * (1 - VLOOKUP(Table4[[#This Row],[IntegrityP]],'Reference - CVSSv3.0'!$B$15:$C$17,2,FALSE)) *  (1 - VLOOKUP(Table4[[#This Row],[AvailabilityP]],'Reference - CVSSv3.0'!$B$15:$C$17,2,FALSE))))</f>
        <v>#N/A</v>
      </c>
      <c r="AM7" s="198" t="e">
        <f>IF(Table4[[#This Row],[ScopeP]]="Unchanged",6.42*Table4[[#This Row],[ISC BaseP]],IF(Table4[[#This Row],[ScopeP]]="Changed",7.52*(Table4[[#This Row],[ISC BaseP]] - 0.029) - 3.25 * POWER(Table4[[#This Row],[ISC BaseP]] - 0.02,15),NA()))</f>
        <v>#N/A</v>
      </c>
      <c r="AN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187"/>
    </row>
    <row r="8" spans="1:45" s="53" customFormat="1" ht="409.5" x14ac:dyDescent="0.25">
      <c r="A8" s="70">
        <v>4</v>
      </c>
      <c r="B8" s="182" t="s">
        <v>125</v>
      </c>
      <c r="C8" s="195" t="str">
        <f>IF(VLOOKUP(Table4[[#This Row],[T ID]],Table5[#All],5,FALSE)="No","Not in scope",VLOOKUP(Table4[[#This Row],[T ID]],Table5[#All],2,FALSE))</f>
        <v>CAPEC-185</v>
      </c>
      <c r="D8" s="212" t="s">
        <v>121</v>
      </c>
      <c r="E8" s="195" t="str">
        <f>IF(VLOOKUP(Table4[[#This Row],[V ID]],Vulnerabilities[#All],3,FALSE)="No","Not in scope",VLOOKUP(Table4[[#This Row],[V ID]],Vulnerabilities[#All],2,FALSE))</f>
        <v>Lack of  Strong Guidelines Password Policy</v>
      </c>
      <c r="F8" s="215" t="s">
        <v>111</v>
      </c>
      <c r="G8" s="195" t="str">
        <f>VLOOKUP(Table4[[#This Row],[A ID]],Assets[#All],3,FALSE)</f>
        <v>Tablet Resources - web cam, microphone, OTG devices, Removable USB, Tablet Application,</v>
      </c>
      <c r="H8" s="49" t="s">
        <v>292</v>
      </c>
      <c r="I8" s="49"/>
      <c r="J8" s="87" t="s">
        <v>56</v>
      </c>
      <c r="K8" s="87" t="s">
        <v>56</v>
      </c>
      <c r="L8" s="87" t="s">
        <v>56</v>
      </c>
      <c r="M8" s="196" t="s">
        <v>78</v>
      </c>
      <c r="N8" s="157" t="s">
        <v>56</v>
      </c>
      <c r="O8" s="157" t="s">
        <v>56</v>
      </c>
      <c r="P8" s="196" t="s">
        <v>76</v>
      </c>
      <c r="Q8" s="196" t="s">
        <v>74</v>
      </c>
      <c r="R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8" s="198">
        <f>(1 - ((1 - VLOOKUP(Table4[[#This Row],[Confidentiality]],'Reference - CVSSv3.0'!$B$15:$C$17,2,FALSE)) * (1 - VLOOKUP(Table4[[#This Row],[Integrity]],'Reference - CVSSv3.0'!$B$15:$C$17,2,FALSE)) *  (1 - VLOOKUP(Table4[[#This Row],[Availability]],'Reference - CVSSv3.0'!$B$15:$C$17,2,FALSE))))</f>
        <v>0.52544799999999992</v>
      </c>
      <c r="T8" s="198">
        <f>IF(Table4[[#This Row],[Scope]]="Unchanged",6.42*Table4[[#This Row],[ISC Base]],IF(Table4[[#This Row],[Scope]]="Changed",7.52*(Table4[[#This Row],[ISC Base]] - 0.029) - 3.25 * POWER(Table4[[#This Row],[ISC Base]] - 0.02,15),NA()))</f>
        <v>3.3733761599999994</v>
      </c>
      <c r="U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8" s="182" t="s">
        <v>56</v>
      </c>
      <c r="W8" s="198">
        <f>VLOOKUP(Table4[[#This Row],[Threat Event Initiation]],NIST_Scale_LOAI[],2,FALSE)</f>
        <v>0.2</v>
      </c>
      <c r="X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49" t="s">
        <v>322</v>
      </c>
      <c r="AA8" s="188"/>
      <c r="AB8" s="200"/>
      <c r="AC8" s="187"/>
      <c r="AD8" s="187"/>
      <c r="AE8" s="187"/>
      <c r="AF8" s="196"/>
      <c r="AG8" s="196"/>
      <c r="AH8" s="196"/>
      <c r="AI8" s="196"/>
      <c r="AJ8" s="201"/>
      <c r="AK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 s="198" t="e">
        <f>(1 - ((1 - VLOOKUP(Table4[[#This Row],[ConfidentialityP]],'Reference - CVSSv3.0'!$B$15:$C$17,2,FALSE)) * (1 - VLOOKUP(Table4[[#This Row],[IntegrityP]],'Reference - CVSSv3.0'!$B$15:$C$17,2,FALSE)) *  (1 - VLOOKUP(Table4[[#This Row],[AvailabilityP]],'Reference - CVSSv3.0'!$B$15:$C$17,2,FALSE))))</f>
        <v>#N/A</v>
      </c>
      <c r="AM8" s="198" t="e">
        <f>IF(Table4[[#This Row],[ScopeP]]="Unchanged",6.42*Table4[[#This Row],[ISC BaseP]],IF(Table4[[#This Row],[ScopeP]]="Changed",7.52*(Table4[[#This Row],[ISC BaseP]] - 0.029) - 3.25 * POWER(Table4[[#This Row],[ISC BaseP]] - 0.02,15),NA()))</f>
        <v>#N/A</v>
      </c>
      <c r="AN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187"/>
    </row>
    <row r="9" spans="1:45" s="53" customFormat="1" ht="409.5" x14ac:dyDescent="0.25">
      <c r="A9" s="70">
        <v>5</v>
      </c>
      <c r="B9" s="182" t="s">
        <v>125</v>
      </c>
      <c r="C9" s="195" t="str">
        <f>IF(VLOOKUP(Table4[[#This Row],[T ID]],Table5[#All],5,FALSE)="No","Not in scope",VLOOKUP(Table4[[#This Row],[T ID]],Table5[#All],2,FALSE))</f>
        <v>CAPEC-185</v>
      </c>
      <c r="D9" s="212" t="s">
        <v>145</v>
      </c>
      <c r="E9" s="195" t="str">
        <f>IF(VLOOKUP(Table4[[#This Row],[V ID]],Vulnerabilities[#All],3,FALSE)="No","Not in scope",VLOOKUP(Table4[[#This Row],[V ID]],Vulnerabilities[#All],2,FALSE))</f>
        <v>InSecure Configuration for Software/OS on Mobile Devices, Laptops, Workstations, and Servers</v>
      </c>
      <c r="F9" s="216" t="s">
        <v>113</v>
      </c>
      <c r="G9" s="195" t="str">
        <f>VLOOKUP(Table4[[#This Row],[A ID]],Assets[#All],3,FALSE)</f>
        <v>Smart medic (Stryker device) System Component</v>
      </c>
      <c r="H9" s="49" t="s">
        <v>292</v>
      </c>
      <c r="I9" s="49"/>
      <c r="J9" s="87" t="s">
        <v>56</v>
      </c>
      <c r="K9" s="87" t="s">
        <v>56</v>
      </c>
      <c r="L9" s="87" t="s">
        <v>56</v>
      </c>
      <c r="M9" s="196" t="s">
        <v>75</v>
      </c>
      <c r="N9" s="157" t="s">
        <v>56</v>
      </c>
      <c r="O9" s="157" t="s">
        <v>56</v>
      </c>
      <c r="P9" s="196" t="s">
        <v>77</v>
      </c>
      <c r="Q9" s="196" t="s">
        <v>74</v>
      </c>
      <c r="R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9" s="198">
        <f>(1 - ((1 - VLOOKUP(Table4[[#This Row],[Confidentiality]],'Reference - CVSSv3.0'!$B$15:$C$17,2,FALSE)) * (1 - VLOOKUP(Table4[[#This Row],[Integrity]],'Reference - CVSSv3.0'!$B$15:$C$17,2,FALSE)) *  (1 - VLOOKUP(Table4[[#This Row],[Availability]],'Reference - CVSSv3.0'!$B$15:$C$17,2,FALSE))))</f>
        <v>0.52544799999999992</v>
      </c>
      <c r="T9" s="198">
        <f>IF(Table4[[#This Row],[Scope]]="Unchanged",6.42*Table4[[#This Row],[ISC Base]],IF(Table4[[#This Row],[Scope]]="Changed",7.52*(Table4[[#This Row],[ISC Base]] - 0.029) - 3.25 * POWER(Table4[[#This Row],[ISC Base]] - 0.02,15),NA()))</f>
        <v>3.3733761599999994</v>
      </c>
      <c r="U9"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182" t="s">
        <v>56</v>
      </c>
      <c r="W9" s="198">
        <f>VLOOKUP(Table4[[#This Row],[Threat Event Initiation]],NIST_Scale_LOAI[],2,FALSE)</f>
        <v>0.2</v>
      </c>
      <c r="X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49" t="s">
        <v>322</v>
      </c>
      <c r="AA9" s="188"/>
      <c r="AB9" s="200"/>
      <c r="AC9" s="187"/>
      <c r="AD9" s="187"/>
      <c r="AE9" s="187"/>
      <c r="AF9" s="196"/>
      <c r="AG9" s="196"/>
      <c r="AH9" s="196"/>
      <c r="AI9" s="196"/>
      <c r="AJ9" s="201"/>
      <c r="AK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 s="198" t="e">
        <f>(1 - ((1 - VLOOKUP(Table4[[#This Row],[ConfidentialityP]],'Reference - CVSSv3.0'!$B$15:$C$17,2,FALSE)) * (1 - VLOOKUP(Table4[[#This Row],[IntegrityP]],'Reference - CVSSv3.0'!$B$15:$C$17,2,FALSE)) *  (1 - VLOOKUP(Table4[[#This Row],[AvailabilityP]],'Reference - CVSSv3.0'!$B$15:$C$17,2,FALSE))))</f>
        <v>#N/A</v>
      </c>
      <c r="AM9" s="198" t="e">
        <f>IF(Table4[[#This Row],[ScopeP]]="Unchanged",6.42*Table4[[#This Row],[ISC BaseP]],IF(Table4[[#This Row],[ScopeP]]="Changed",7.52*(Table4[[#This Row],[ISC BaseP]] - 0.029) - 3.25 * POWER(Table4[[#This Row],[ISC BaseP]] - 0.02,15),NA()))</f>
        <v>#N/A</v>
      </c>
      <c r="AN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187"/>
    </row>
    <row r="10" spans="1:45" s="53" customFormat="1" ht="77.25" customHeight="1" x14ac:dyDescent="0.25">
      <c r="A10" s="70">
        <v>6</v>
      </c>
      <c r="B10" s="182" t="s">
        <v>125</v>
      </c>
      <c r="C10" s="195" t="str">
        <f>IF(VLOOKUP(Table4[[#This Row],[T ID]],Table5[#All],5,FALSE)="No","Not in scope",VLOOKUP(Table4[[#This Row],[T ID]],Table5[#All],2,FALSE))</f>
        <v>CAPEC-185</v>
      </c>
      <c r="D10" s="212" t="s">
        <v>145</v>
      </c>
      <c r="E10" s="195" t="str">
        <f>IF(VLOOKUP(Table4[[#This Row],[V ID]],Vulnerabilities[#All],3,FALSE)="No","Not in scope",VLOOKUP(Table4[[#This Row],[V ID]],Vulnerabilities[#All],2,FALSE))</f>
        <v>InSecure Configuration for Software/OS on Mobile Devices, Laptops, Workstations, and Servers</v>
      </c>
      <c r="F10" s="215" t="s">
        <v>111</v>
      </c>
      <c r="G10" s="195" t="str">
        <f>VLOOKUP(Table4[[#This Row],[A ID]],Assets[#All],3,FALSE)</f>
        <v>Tablet Resources - web cam, microphone, OTG devices, Removable USB, Tablet Application,</v>
      </c>
      <c r="H10" s="49" t="s">
        <v>292</v>
      </c>
      <c r="I10" s="49"/>
      <c r="J10" s="87" t="s">
        <v>56</v>
      </c>
      <c r="K10" s="87" t="s">
        <v>56</v>
      </c>
      <c r="L10" s="87" t="s">
        <v>56</v>
      </c>
      <c r="M10" s="196" t="s">
        <v>75</v>
      </c>
      <c r="N10" s="157" t="s">
        <v>56</v>
      </c>
      <c r="O10" s="157" t="s">
        <v>56</v>
      </c>
      <c r="P10" s="196" t="s">
        <v>77</v>
      </c>
      <c r="Q10" s="196" t="s">
        <v>74</v>
      </c>
      <c r="R1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10" s="198">
        <f>(1 - ((1 - VLOOKUP(Table4[[#This Row],[Confidentiality]],'Reference - CVSSv3.0'!$B$15:$C$17,2,FALSE)) * (1 - VLOOKUP(Table4[[#This Row],[Integrity]],'Reference - CVSSv3.0'!$B$15:$C$17,2,FALSE)) *  (1 - VLOOKUP(Table4[[#This Row],[Availability]],'Reference - CVSSv3.0'!$B$15:$C$17,2,FALSE))))</f>
        <v>0.52544799999999992</v>
      </c>
      <c r="T10" s="198">
        <f>IF(Table4[[#This Row],[Scope]]="Unchanged",6.42*Table4[[#This Row],[ISC Base]],IF(Table4[[#This Row],[Scope]]="Changed",7.52*(Table4[[#This Row],[ISC Base]] - 0.029) - 3.25 * POWER(Table4[[#This Row],[ISC Base]] - 0.02,15),NA()))</f>
        <v>3.3733761599999994</v>
      </c>
      <c r="U1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182" t="s">
        <v>56</v>
      </c>
      <c r="W10" s="198">
        <f>VLOOKUP(Table4[[#This Row],[Threat Event Initiation]],NIST_Scale_LOAI[],2,FALSE)</f>
        <v>0.2</v>
      </c>
      <c r="X1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49" t="s">
        <v>322</v>
      </c>
      <c r="AA10" s="188"/>
      <c r="AB10" s="200"/>
      <c r="AC10" s="187"/>
      <c r="AD10" s="187"/>
      <c r="AE10" s="187"/>
      <c r="AF10" s="196"/>
      <c r="AG10" s="196"/>
      <c r="AH10" s="196"/>
      <c r="AI10" s="196"/>
      <c r="AJ10" s="201"/>
      <c r="AK1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 s="198" t="e">
        <f>(1 - ((1 - VLOOKUP(Table4[[#This Row],[ConfidentialityP]],'Reference - CVSSv3.0'!$B$15:$C$17,2,FALSE)) * (1 - VLOOKUP(Table4[[#This Row],[IntegrityP]],'Reference - CVSSv3.0'!$B$15:$C$17,2,FALSE)) *  (1 - VLOOKUP(Table4[[#This Row],[AvailabilityP]],'Reference - CVSSv3.0'!$B$15:$C$17,2,FALSE))))</f>
        <v>#N/A</v>
      </c>
      <c r="AM10" s="198" t="e">
        <f>IF(Table4[[#This Row],[ScopeP]]="Unchanged",6.42*Table4[[#This Row],[ISC BaseP]],IF(Table4[[#This Row],[ScopeP]]="Changed",7.52*(Table4[[#This Row],[ISC BaseP]] - 0.029) - 3.25 * POWER(Table4[[#This Row],[ISC BaseP]] - 0.02,15),NA()))</f>
        <v>#N/A</v>
      </c>
      <c r="AN1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187"/>
    </row>
    <row r="11" spans="1:45" s="53" customFormat="1" ht="409.5" x14ac:dyDescent="0.25">
      <c r="A11" s="70">
        <v>7</v>
      </c>
      <c r="B11" s="182" t="s">
        <v>125</v>
      </c>
      <c r="C11" s="195" t="str">
        <f>IF(VLOOKUP(Table4[[#This Row],[T ID]],Table5[#All],5,FALSE)="No","Not in scope",VLOOKUP(Table4[[#This Row],[T ID]],Table5[#All],2,FALSE))</f>
        <v>CAPEC-185</v>
      </c>
      <c r="D11" s="212" t="s">
        <v>235</v>
      </c>
      <c r="E11" s="195" t="str">
        <f>IF(VLOOKUP(Table4[[#This Row],[V ID]],Vulnerabilities[#All],3,FALSE)="No","Not in scope",VLOOKUP(Table4[[#This Row],[V ID]],Vulnerabilities[#All],2,FALSE))</f>
        <v>Lack of configuration controls for IT assets in the informaion system plan</v>
      </c>
      <c r="F11" s="216" t="s">
        <v>115</v>
      </c>
      <c r="G11" s="195" t="str">
        <f>VLOOKUP(Table4[[#This Row],[A ID]],Assets[#All],3,FALSE)</f>
        <v>Device Maintainence tool (Hardware/Software)</v>
      </c>
      <c r="H11" s="49" t="s">
        <v>292</v>
      </c>
      <c r="I11" s="49"/>
      <c r="J11" s="87" t="s">
        <v>56</v>
      </c>
      <c r="K11" s="87" t="s">
        <v>56</v>
      </c>
      <c r="L11" s="87" t="s">
        <v>56</v>
      </c>
      <c r="M11" s="196" t="s">
        <v>79</v>
      </c>
      <c r="N11" s="157" t="s">
        <v>56</v>
      </c>
      <c r="O11" s="157" t="s">
        <v>56</v>
      </c>
      <c r="P11" s="196" t="s">
        <v>77</v>
      </c>
      <c r="Q11" s="196" t="s">
        <v>74</v>
      </c>
      <c r="R1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1" s="198">
        <f>(1 - ((1 - VLOOKUP(Table4[[#This Row],[Confidentiality]],'Reference - CVSSv3.0'!$B$15:$C$17,2,FALSE)) * (1 - VLOOKUP(Table4[[#This Row],[Integrity]],'Reference - CVSSv3.0'!$B$15:$C$17,2,FALSE)) *  (1 - VLOOKUP(Table4[[#This Row],[Availability]],'Reference - CVSSv3.0'!$B$15:$C$17,2,FALSE))))</f>
        <v>0.52544799999999992</v>
      </c>
      <c r="T11" s="198">
        <f>IF(Table4[[#This Row],[Scope]]="Unchanged",6.42*Table4[[#This Row],[ISC Base]],IF(Table4[[#This Row],[Scope]]="Changed",7.52*(Table4[[#This Row],[ISC Base]] - 0.029) - 3.25 * POWER(Table4[[#This Row],[ISC Base]] - 0.02,15),NA()))</f>
        <v>3.3733761599999994</v>
      </c>
      <c r="U11"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182" t="s">
        <v>56</v>
      </c>
      <c r="W11" s="198">
        <f>VLOOKUP(Table4[[#This Row],[Threat Event Initiation]],NIST_Scale_LOAI[],2,FALSE)</f>
        <v>0.2</v>
      </c>
      <c r="X1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49" t="s">
        <v>322</v>
      </c>
      <c r="AA11" s="188"/>
      <c r="AB11" s="200"/>
      <c r="AC11" s="187"/>
      <c r="AD11" s="187"/>
      <c r="AE11" s="187"/>
      <c r="AF11" s="196"/>
      <c r="AG11" s="196"/>
      <c r="AH11" s="196"/>
      <c r="AI11" s="196"/>
      <c r="AJ11" s="201"/>
      <c r="AK1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 s="198" t="e">
        <f>(1 - ((1 - VLOOKUP(Table4[[#This Row],[ConfidentialityP]],'Reference - CVSSv3.0'!$B$15:$C$17,2,FALSE)) * (1 - VLOOKUP(Table4[[#This Row],[IntegrityP]],'Reference - CVSSv3.0'!$B$15:$C$17,2,FALSE)) *  (1 - VLOOKUP(Table4[[#This Row],[AvailabilityP]],'Reference - CVSSv3.0'!$B$15:$C$17,2,FALSE))))</f>
        <v>#N/A</v>
      </c>
      <c r="AM11" s="198" t="e">
        <f>IF(Table4[[#This Row],[ScopeP]]="Unchanged",6.42*Table4[[#This Row],[ISC BaseP]],IF(Table4[[#This Row],[ScopeP]]="Changed",7.52*(Table4[[#This Row],[ISC BaseP]] - 0.029) - 3.25 * POWER(Table4[[#This Row],[ISC BaseP]] - 0.02,15),NA()))</f>
        <v>#N/A</v>
      </c>
      <c r="AN1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187"/>
    </row>
    <row r="12" spans="1:45" s="53" customFormat="1" ht="72.75" customHeight="1" x14ac:dyDescent="0.25">
      <c r="A12" s="70">
        <v>8</v>
      </c>
      <c r="B12" s="182" t="s">
        <v>125</v>
      </c>
      <c r="C12" s="195" t="str">
        <f>IF(VLOOKUP(Table4[[#This Row],[T ID]],Table5[#All],5,FALSE)="No","Not in scope",VLOOKUP(Table4[[#This Row],[T ID]],Table5[#All],2,FALSE))</f>
        <v>CAPEC-185</v>
      </c>
      <c r="D12" s="212" t="s">
        <v>235</v>
      </c>
      <c r="E12" s="195" t="str">
        <f>IF(VLOOKUP(Table4[[#This Row],[V ID]],Vulnerabilities[#All],3,FALSE)="No","Not in scope",VLOOKUP(Table4[[#This Row],[V ID]],Vulnerabilities[#All],2,FALSE))</f>
        <v>Lack of configuration controls for IT assets in the informaion system plan</v>
      </c>
      <c r="F12" s="215" t="s">
        <v>111</v>
      </c>
      <c r="G12" s="195" t="str">
        <f>VLOOKUP(Table4[[#This Row],[A ID]],Assets[#All],3,FALSE)</f>
        <v>Tablet Resources - web cam, microphone, OTG devices, Removable USB, Tablet Application,</v>
      </c>
      <c r="H12" s="49" t="s">
        <v>292</v>
      </c>
      <c r="I12" s="49"/>
      <c r="J12" s="87" t="s">
        <v>56</v>
      </c>
      <c r="K12" s="87" t="s">
        <v>56</v>
      </c>
      <c r="L12" s="87" t="s">
        <v>56</v>
      </c>
      <c r="M12" s="196" t="s">
        <v>79</v>
      </c>
      <c r="N12" s="157" t="s">
        <v>56</v>
      </c>
      <c r="O12" s="157" t="s">
        <v>56</v>
      </c>
      <c r="P12" s="196" t="s">
        <v>77</v>
      </c>
      <c r="Q12" s="196" t="s">
        <v>74</v>
      </c>
      <c r="R1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2" s="198">
        <f>(1 - ((1 - VLOOKUP(Table4[[#This Row],[Confidentiality]],'Reference - CVSSv3.0'!$B$15:$C$17,2,FALSE)) * (1 - VLOOKUP(Table4[[#This Row],[Integrity]],'Reference - CVSSv3.0'!$B$15:$C$17,2,FALSE)) *  (1 - VLOOKUP(Table4[[#This Row],[Availability]],'Reference - CVSSv3.0'!$B$15:$C$17,2,FALSE))))</f>
        <v>0.52544799999999992</v>
      </c>
      <c r="T12" s="198">
        <f>IF(Table4[[#This Row],[Scope]]="Unchanged",6.42*Table4[[#This Row],[ISC Base]],IF(Table4[[#This Row],[Scope]]="Changed",7.52*(Table4[[#This Row],[ISC Base]] - 0.029) - 3.25 * POWER(Table4[[#This Row],[ISC Base]] - 0.02,15),NA()))</f>
        <v>3.3733761599999994</v>
      </c>
      <c r="U1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182" t="s">
        <v>56</v>
      </c>
      <c r="W12" s="198">
        <f>VLOOKUP(Table4[[#This Row],[Threat Event Initiation]],NIST_Scale_LOAI[],2,FALSE)</f>
        <v>0.2</v>
      </c>
      <c r="X1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49" t="s">
        <v>322</v>
      </c>
      <c r="AA12" s="188"/>
      <c r="AB12" s="200"/>
      <c r="AC12" s="187"/>
      <c r="AD12" s="187"/>
      <c r="AE12" s="187"/>
      <c r="AF12" s="196"/>
      <c r="AG12" s="196"/>
      <c r="AH12" s="196"/>
      <c r="AI12" s="196"/>
      <c r="AJ12" s="201"/>
      <c r="AK1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 s="198" t="e">
        <f>(1 - ((1 - VLOOKUP(Table4[[#This Row],[ConfidentialityP]],'Reference - CVSSv3.0'!$B$15:$C$17,2,FALSE)) * (1 - VLOOKUP(Table4[[#This Row],[IntegrityP]],'Reference - CVSSv3.0'!$B$15:$C$17,2,FALSE)) *  (1 - VLOOKUP(Table4[[#This Row],[AvailabilityP]],'Reference - CVSSv3.0'!$B$15:$C$17,2,FALSE))))</f>
        <v>#N/A</v>
      </c>
      <c r="AM12" s="198" t="e">
        <f>IF(Table4[[#This Row],[ScopeP]]="Unchanged",6.42*Table4[[#This Row],[ISC BaseP]],IF(Table4[[#This Row],[ScopeP]]="Changed",7.52*(Table4[[#This Row],[ISC BaseP]] - 0.029) - 3.25 * POWER(Table4[[#This Row],[ISC BaseP]] - 0.02,15),NA()))</f>
        <v>#N/A</v>
      </c>
      <c r="AN1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187"/>
    </row>
    <row r="13" spans="1:45" s="53" customFormat="1" ht="76.5" customHeight="1" x14ac:dyDescent="0.25">
      <c r="A13" s="70">
        <v>9</v>
      </c>
      <c r="B13" s="182" t="s">
        <v>125</v>
      </c>
      <c r="C13" s="195" t="str">
        <f>IF(VLOOKUP(Table4[[#This Row],[T ID]],Table5[#All],5,FALSE)="No","Not in scope",VLOOKUP(Table4[[#This Row],[T ID]],Table5[#All],2,FALSE))</f>
        <v>CAPEC-185</v>
      </c>
      <c r="D13" s="212" t="s">
        <v>235</v>
      </c>
      <c r="E13" s="195" t="str">
        <f>IF(VLOOKUP(Table4[[#This Row],[V ID]],Vulnerabilities[#All],3,FALSE)="No","Not in scope",VLOOKUP(Table4[[#This Row],[V ID]],Vulnerabilities[#All],2,FALSE))</f>
        <v>Lack of configuration controls for IT assets in the informaion system plan</v>
      </c>
      <c r="F13" s="216" t="s">
        <v>113</v>
      </c>
      <c r="G13" s="195" t="str">
        <f>VLOOKUP(Table4[[#This Row],[A ID]],Assets[#All],3,FALSE)</f>
        <v>Smart medic (Stryker device) System Component</v>
      </c>
      <c r="H13" s="49" t="s">
        <v>292</v>
      </c>
      <c r="I13" s="49"/>
      <c r="J13" s="87" t="s">
        <v>56</v>
      </c>
      <c r="K13" s="87" t="s">
        <v>56</v>
      </c>
      <c r="L13" s="87" t="s">
        <v>56</v>
      </c>
      <c r="M13" s="196" t="s">
        <v>79</v>
      </c>
      <c r="N13" s="157" t="s">
        <v>56</v>
      </c>
      <c r="O13" s="157" t="s">
        <v>56</v>
      </c>
      <c r="P13" s="196" t="s">
        <v>77</v>
      </c>
      <c r="Q13" s="196" t="s">
        <v>74</v>
      </c>
      <c r="R1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3" s="198">
        <f>(1 - ((1 - VLOOKUP(Table4[[#This Row],[Confidentiality]],'Reference - CVSSv3.0'!$B$15:$C$17,2,FALSE)) * (1 - VLOOKUP(Table4[[#This Row],[Integrity]],'Reference - CVSSv3.0'!$B$15:$C$17,2,FALSE)) *  (1 - VLOOKUP(Table4[[#This Row],[Availability]],'Reference - CVSSv3.0'!$B$15:$C$17,2,FALSE))))</f>
        <v>0.52544799999999992</v>
      </c>
      <c r="T13" s="198">
        <f>IF(Table4[[#This Row],[Scope]]="Unchanged",6.42*Table4[[#This Row],[ISC Base]],IF(Table4[[#This Row],[Scope]]="Changed",7.52*(Table4[[#This Row],[ISC Base]] - 0.029) - 3.25 * POWER(Table4[[#This Row],[ISC Base]] - 0.02,15),NA()))</f>
        <v>3.3733761599999994</v>
      </c>
      <c r="U13"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182" t="s">
        <v>56</v>
      </c>
      <c r="W13" s="198">
        <f>VLOOKUP(Table4[[#This Row],[Threat Event Initiation]],NIST_Scale_LOAI[],2,FALSE)</f>
        <v>0.2</v>
      </c>
      <c r="X1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49" t="s">
        <v>322</v>
      </c>
      <c r="AA13" s="188"/>
      <c r="AB13" s="200"/>
      <c r="AC13" s="187"/>
      <c r="AD13" s="187"/>
      <c r="AE13" s="187"/>
      <c r="AF13" s="196"/>
      <c r="AG13" s="196"/>
      <c r="AH13" s="196"/>
      <c r="AI13" s="196"/>
      <c r="AJ13" s="201"/>
      <c r="AK1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 s="198" t="e">
        <f>(1 - ((1 - VLOOKUP(Table4[[#This Row],[ConfidentialityP]],'Reference - CVSSv3.0'!$B$15:$C$17,2,FALSE)) * (1 - VLOOKUP(Table4[[#This Row],[IntegrityP]],'Reference - CVSSv3.0'!$B$15:$C$17,2,FALSE)) *  (1 - VLOOKUP(Table4[[#This Row],[AvailabilityP]],'Reference - CVSSv3.0'!$B$15:$C$17,2,FALSE))))</f>
        <v>#N/A</v>
      </c>
      <c r="AM13" s="198" t="e">
        <f>IF(Table4[[#This Row],[ScopeP]]="Unchanged",6.42*Table4[[#This Row],[ISC BaseP]],IF(Table4[[#This Row],[ScopeP]]="Changed",7.52*(Table4[[#This Row],[ISC BaseP]] - 0.029) - 3.25 * POWER(Table4[[#This Row],[ISC BaseP]] - 0.02,15),NA()))</f>
        <v>#N/A</v>
      </c>
      <c r="AN1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187"/>
    </row>
    <row r="14" spans="1:45" s="53" customFormat="1" ht="409.5" x14ac:dyDescent="0.25">
      <c r="A14" s="70">
        <v>10</v>
      </c>
      <c r="B14" s="182" t="s">
        <v>125</v>
      </c>
      <c r="C14" s="195" t="str">
        <f>IF(VLOOKUP(Table4[[#This Row],[T ID]],Table5[#All],5,FALSE)="No","Not in scope",VLOOKUP(Table4[[#This Row],[T ID]],Table5[#All],2,FALSE))</f>
        <v>CAPEC-185</v>
      </c>
      <c r="D14" s="212" t="s">
        <v>236</v>
      </c>
      <c r="E14" s="195" t="str">
        <f>IF(VLOOKUP(Table4[[#This Row],[V ID]],Vulnerabilities[#All],3,FALSE)="No","Not in scope",VLOOKUP(Table4[[#This Row],[V ID]],Vulnerabilities[#All],2,FALSE))</f>
        <v>Ineffective patch management of firware, OS and applications thoughout the information system plan</v>
      </c>
      <c r="F14" s="216" t="s">
        <v>115</v>
      </c>
      <c r="G14" s="195" t="str">
        <f>VLOOKUP(Table4[[#This Row],[A ID]],Assets[#All],3,FALSE)</f>
        <v>Device Maintainence tool (Hardware/Software)</v>
      </c>
      <c r="H14" s="49" t="s">
        <v>292</v>
      </c>
      <c r="I14" s="49"/>
      <c r="J14" s="87" t="s">
        <v>56</v>
      </c>
      <c r="K14" s="87" t="s">
        <v>56</v>
      </c>
      <c r="L14" s="87" t="s">
        <v>56</v>
      </c>
      <c r="M14" s="196" t="s">
        <v>79</v>
      </c>
      <c r="N14" s="157" t="s">
        <v>56</v>
      </c>
      <c r="O14" s="157" t="s">
        <v>56</v>
      </c>
      <c r="P14" s="196" t="s">
        <v>77</v>
      </c>
      <c r="Q14" s="196" t="s">
        <v>74</v>
      </c>
      <c r="R1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4" s="198">
        <f>(1 - ((1 - VLOOKUP(Table4[[#This Row],[Confidentiality]],'Reference - CVSSv3.0'!$B$15:$C$17,2,FALSE)) * (1 - VLOOKUP(Table4[[#This Row],[Integrity]],'Reference - CVSSv3.0'!$B$15:$C$17,2,FALSE)) *  (1 - VLOOKUP(Table4[[#This Row],[Availability]],'Reference - CVSSv3.0'!$B$15:$C$17,2,FALSE))))</f>
        <v>0.52544799999999992</v>
      </c>
      <c r="T14" s="198">
        <f>IF(Table4[[#This Row],[Scope]]="Unchanged",6.42*Table4[[#This Row],[ISC Base]],IF(Table4[[#This Row],[Scope]]="Changed",7.52*(Table4[[#This Row],[ISC Base]] - 0.029) - 3.25 * POWER(Table4[[#This Row],[ISC Base]] - 0.02,15),NA()))</f>
        <v>3.3733761599999994</v>
      </c>
      <c r="U1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182" t="s">
        <v>56</v>
      </c>
      <c r="W14" s="198">
        <f>VLOOKUP(Table4[[#This Row],[Threat Event Initiation]],NIST_Scale_LOAI[],2,FALSE)</f>
        <v>0.2</v>
      </c>
      <c r="X1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49" t="s">
        <v>322</v>
      </c>
      <c r="AA14" s="188"/>
      <c r="AB14" s="200"/>
      <c r="AC14" s="187"/>
      <c r="AD14" s="187"/>
      <c r="AE14" s="187"/>
      <c r="AF14" s="196"/>
      <c r="AG14" s="196"/>
      <c r="AH14" s="196"/>
      <c r="AI14" s="196"/>
      <c r="AJ14" s="201"/>
      <c r="AK1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4" s="198" t="e">
        <f>(1 - ((1 - VLOOKUP(Table4[[#This Row],[ConfidentialityP]],'Reference - CVSSv3.0'!$B$15:$C$17,2,FALSE)) * (1 - VLOOKUP(Table4[[#This Row],[IntegrityP]],'Reference - CVSSv3.0'!$B$15:$C$17,2,FALSE)) *  (1 - VLOOKUP(Table4[[#This Row],[AvailabilityP]],'Reference - CVSSv3.0'!$B$15:$C$17,2,FALSE))))</f>
        <v>#N/A</v>
      </c>
      <c r="AM14" s="198" t="e">
        <f>IF(Table4[[#This Row],[ScopeP]]="Unchanged",6.42*Table4[[#This Row],[ISC BaseP]],IF(Table4[[#This Row],[ScopeP]]="Changed",7.52*(Table4[[#This Row],[ISC BaseP]] - 0.029) - 3.25 * POWER(Table4[[#This Row],[ISC BaseP]] - 0.02,15),NA()))</f>
        <v>#N/A</v>
      </c>
      <c r="AN1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187"/>
    </row>
    <row r="15" spans="1:45" s="53" customFormat="1" ht="409.5" x14ac:dyDescent="0.25">
      <c r="A15" s="70">
        <v>11</v>
      </c>
      <c r="B15" s="182" t="s">
        <v>125</v>
      </c>
      <c r="C15" s="195" t="str">
        <f>IF(VLOOKUP(Table4[[#This Row],[T ID]],Table5[#All],5,FALSE)="No","Not in scope",VLOOKUP(Table4[[#This Row],[T ID]],Table5[#All],2,FALSE))</f>
        <v>CAPEC-185</v>
      </c>
      <c r="D15" s="212" t="s">
        <v>236</v>
      </c>
      <c r="E15" s="195" t="str">
        <f>IF(VLOOKUP(Table4[[#This Row],[V ID]],Vulnerabilities[#All],3,FALSE)="No","Not in scope",VLOOKUP(Table4[[#This Row],[V ID]],Vulnerabilities[#All],2,FALSE))</f>
        <v>Ineffective patch management of firware, OS and applications thoughout the information system plan</v>
      </c>
      <c r="F15" s="215" t="s">
        <v>111</v>
      </c>
      <c r="G15" s="195" t="str">
        <f>VLOOKUP(Table4[[#This Row],[A ID]],Assets[#All],3,FALSE)</f>
        <v>Tablet Resources - web cam, microphone, OTG devices, Removable USB, Tablet Application,</v>
      </c>
      <c r="H15" s="49" t="s">
        <v>292</v>
      </c>
      <c r="I15" s="49"/>
      <c r="J15" s="87" t="s">
        <v>56</v>
      </c>
      <c r="K15" s="87" t="s">
        <v>56</v>
      </c>
      <c r="L15" s="87" t="s">
        <v>56</v>
      </c>
      <c r="M15" s="196" t="s">
        <v>79</v>
      </c>
      <c r="N15" s="157" t="s">
        <v>56</v>
      </c>
      <c r="O15" s="157" t="s">
        <v>56</v>
      </c>
      <c r="P15" s="196" t="s">
        <v>77</v>
      </c>
      <c r="Q15" s="196" t="s">
        <v>74</v>
      </c>
      <c r="R1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5" s="198">
        <f>(1 - ((1 - VLOOKUP(Table4[[#This Row],[Confidentiality]],'Reference - CVSSv3.0'!$B$15:$C$17,2,FALSE)) * (1 - VLOOKUP(Table4[[#This Row],[Integrity]],'Reference - CVSSv3.0'!$B$15:$C$17,2,FALSE)) *  (1 - VLOOKUP(Table4[[#This Row],[Availability]],'Reference - CVSSv3.0'!$B$15:$C$17,2,FALSE))))</f>
        <v>0.52544799999999992</v>
      </c>
      <c r="T15" s="198">
        <f>IF(Table4[[#This Row],[Scope]]="Unchanged",6.42*Table4[[#This Row],[ISC Base]],IF(Table4[[#This Row],[Scope]]="Changed",7.52*(Table4[[#This Row],[ISC Base]] - 0.029) - 3.25 * POWER(Table4[[#This Row],[ISC Base]] - 0.02,15),NA()))</f>
        <v>3.3733761599999994</v>
      </c>
      <c r="U15"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182" t="s">
        <v>56</v>
      </c>
      <c r="W15" s="198">
        <f>VLOOKUP(Table4[[#This Row],[Threat Event Initiation]],NIST_Scale_LOAI[],2,FALSE)</f>
        <v>0.2</v>
      </c>
      <c r="X1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49" t="s">
        <v>322</v>
      </c>
      <c r="AA15" s="188"/>
      <c r="AB15" s="200"/>
      <c r="AC15" s="187"/>
      <c r="AD15" s="187"/>
      <c r="AE15" s="187"/>
      <c r="AF15" s="196"/>
      <c r="AG15" s="196"/>
      <c r="AH15" s="196"/>
      <c r="AI15" s="196"/>
      <c r="AJ15" s="201"/>
      <c r="AK1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5" s="198" t="e">
        <f>(1 - ((1 - VLOOKUP(Table4[[#This Row],[ConfidentialityP]],'Reference - CVSSv3.0'!$B$15:$C$17,2,FALSE)) * (1 - VLOOKUP(Table4[[#This Row],[IntegrityP]],'Reference - CVSSv3.0'!$B$15:$C$17,2,FALSE)) *  (1 - VLOOKUP(Table4[[#This Row],[AvailabilityP]],'Reference - CVSSv3.0'!$B$15:$C$17,2,FALSE))))</f>
        <v>#N/A</v>
      </c>
      <c r="AM15" s="198" t="e">
        <f>IF(Table4[[#This Row],[ScopeP]]="Unchanged",6.42*Table4[[#This Row],[ISC BaseP]],IF(Table4[[#This Row],[ScopeP]]="Changed",7.52*(Table4[[#This Row],[ISC BaseP]] - 0.029) - 3.25 * POWER(Table4[[#This Row],[ISC BaseP]] - 0.02,15),NA()))</f>
        <v>#N/A</v>
      </c>
      <c r="AN1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187"/>
    </row>
    <row r="16" spans="1:45" s="53" customFormat="1" ht="409.5" x14ac:dyDescent="0.25">
      <c r="A16" s="70">
        <v>12</v>
      </c>
      <c r="B16" s="182" t="s">
        <v>125</v>
      </c>
      <c r="C16" s="195" t="str">
        <f>IF(VLOOKUP(Table4[[#This Row],[T ID]],Table5[#All],5,FALSE)="No","Not in scope",VLOOKUP(Table4[[#This Row],[T ID]],Table5[#All],2,FALSE))</f>
        <v>CAPEC-185</v>
      </c>
      <c r="D16" s="212" t="s">
        <v>236</v>
      </c>
      <c r="E16" s="195" t="str">
        <f>IF(VLOOKUP(Table4[[#This Row],[V ID]],Vulnerabilities[#All],3,FALSE)="No","Not in scope",VLOOKUP(Table4[[#This Row],[V ID]],Vulnerabilities[#All],2,FALSE))</f>
        <v>Ineffective patch management of firware, OS and applications thoughout the information system plan</v>
      </c>
      <c r="F16" s="216" t="s">
        <v>113</v>
      </c>
      <c r="G16" s="195" t="str">
        <f>VLOOKUP(Table4[[#This Row],[A ID]],Assets[#All],3,FALSE)</f>
        <v>Smart medic (Stryker device) System Component</v>
      </c>
      <c r="H16" s="49" t="s">
        <v>292</v>
      </c>
      <c r="I16" s="49"/>
      <c r="J16" s="87" t="s">
        <v>56</v>
      </c>
      <c r="K16" s="87" t="s">
        <v>56</v>
      </c>
      <c r="L16" s="87" t="s">
        <v>56</v>
      </c>
      <c r="M16" s="196" t="s">
        <v>79</v>
      </c>
      <c r="N16" s="157" t="s">
        <v>56</v>
      </c>
      <c r="O16" s="157" t="s">
        <v>56</v>
      </c>
      <c r="P16" s="196" t="s">
        <v>77</v>
      </c>
      <c r="Q16" s="196" t="s">
        <v>74</v>
      </c>
      <c r="R1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6" s="198">
        <f>(1 - ((1 - VLOOKUP(Table4[[#This Row],[Confidentiality]],'Reference - CVSSv3.0'!$B$15:$C$17,2,FALSE)) * (1 - VLOOKUP(Table4[[#This Row],[Integrity]],'Reference - CVSSv3.0'!$B$15:$C$17,2,FALSE)) *  (1 - VLOOKUP(Table4[[#This Row],[Availability]],'Reference - CVSSv3.0'!$B$15:$C$17,2,FALSE))))</f>
        <v>0.52544799999999992</v>
      </c>
      <c r="T16" s="198">
        <f>IF(Table4[[#This Row],[Scope]]="Unchanged",6.42*Table4[[#This Row],[ISC Base]],IF(Table4[[#This Row],[Scope]]="Changed",7.52*(Table4[[#This Row],[ISC Base]] - 0.029) - 3.25 * POWER(Table4[[#This Row],[ISC Base]] - 0.02,15),NA()))</f>
        <v>3.3733761599999994</v>
      </c>
      <c r="U16"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182" t="s">
        <v>56</v>
      </c>
      <c r="W16" s="198">
        <f>VLOOKUP(Table4[[#This Row],[Threat Event Initiation]],NIST_Scale_LOAI[],2,FALSE)</f>
        <v>0.2</v>
      </c>
      <c r="X1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49" t="s">
        <v>322</v>
      </c>
      <c r="AA16" s="188"/>
      <c r="AB16" s="200"/>
      <c r="AC16" s="187"/>
      <c r="AD16" s="187"/>
      <c r="AE16" s="187"/>
      <c r="AF16" s="196"/>
      <c r="AG16" s="196"/>
      <c r="AH16" s="196"/>
      <c r="AI16" s="196"/>
      <c r="AJ16" s="201"/>
      <c r="AK1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6" s="198" t="e">
        <f>(1 - ((1 - VLOOKUP(Table4[[#This Row],[ConfidentialityP]],'Reference - CVSSv3.0'!$B$15:$C$17,2,FALSE)) * (1 - VLOOKUP(Table4[[#This Row],[IntegrityP]],'Reference - CVSSv3.0'!$B$15:$C$17,2,FALSE)) *  (1 - VLOOKUP(Table4[[#This Row],[AvailabilityP]],'Reference - CVSSv3.0'!$B$15:$C$17,2,FALSE))))</f>
        <v>#N/A</v>
      </c>
      <c r="AM16" s="198" t="e">
        <f>IF(Table4[[#This Row],[ScopeP]]="Unchanged",6.42*Table4[[#This Row],[ISC BaseP]],IF(Table4[[#This Row],[ScopeP]]="Changed",7.52*(Table4[[#This Row],[ISC BaseP]] - 0.029) - 3.25 * POWER(Table4[[#This Row],[ISC BaseP]] - 0.02,15),NA()))</f>
        <v>#N/A</v>
      </c>
      <c r="AN1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187"/>
    </row>
    <row r="17" spans="1:43" s="53" customFormat="1" ht="409.5" x14ac:dyDescent="0.25">
      <c r="A17" s="70">
        <v>13</v>
      </c>
      <c r="B17" s="182" t="s">
        <v>125</v>
      </c>
      <c r="C17" s="195" t="str">
        <f>IF(VLOOKUP(Table4[[#This Row],[T ID]],Table5[#All],5,FALSE)="No","Not in scope",VLOOKUP(Table4[[#This Row],[T ID]],Table5[#All],2,FALSE))</f>
        <v>CAPEC-185</v>
      </c>
      <c r="D17" s="212" t="s">
        <v>248</v>
      </c>
      <c r="E17" s="195" t="str">
        <f>IF(VLOOKUP(Table4[[#This Row],[V ID]],Vulnerabilities[#All],3,FALSE)="No","Not in scope",VLOOKUP(Table4[[#This Row],[V ID]],Vulnerabilities[#All],2,FALSE))</f>
        <v>Assest counting system for all instances of product implementation</v>
      </c>
      <c r="F17" s="216" t="s">
        <v>111</v>
      </c>
      <c r="G17" s="195" t="str">
        <f>VLOOKUP(Table4[[#This Row],[A ID]],Assets[#All],3,FALSE)</f>
        <v>Tablet Resources - web cam, microphone, OTG devices, Removable USB, Tablet Application,</v>
      </c>
      <c r="H17" s="49" t="s">
        <v>292</v>
      </c>
      <c r="I17" s="49"/>
      <c r="J17" s="87" t="s">
        <v>56</v>
      </c>
      <c r="K17" s="87" t="s">
        <v>65</v>
      </c>
      <c r="L17" s="87" t="s">
        <v>56</v>
      </c>
      <c r="M17" s="196" t="s">
        <v>78</v>
      </c>
      <c r="N17" s="157" t="s">
        <v>56</v>
      </c>
      <c r="O17" s="157" t="s">
        <v>56</v>
      </c>
      <c r="P17" s="196" t="s">
        <v>77</v>
      </c>
      <c r="Q17" s="196" t="s">
        <v>74</v>
      </c>
      <c r="R1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17" s="198">
        <f>(1 - ((1 - VLOOKUP(Table4[[#This Row],[Confidentiality]],'Reference - CVSSv3.0'!$B$15:$C$17,2,FALSE)) * (1 - VLOOKUP(Table4[[#This Row],[Integrity]],'Reference - CVSSv3.0'!$B$15:$C$17,2,FALSE)) *  (1 - VLOOKUP(Table4[[#This Row],[Availability]],'Reference - CVSSv3.0'!$B$15:$C$17,2,FALSE))))</f>
        <v>0.73230400000000007</v>
      </c>
      <c r="T17" s="198">
        <f>IF(Table4[[#This Row],[Scope]]="Unchanged",6.42*Table4[[#This Row],[ISC Base]],IF(Table4[[#This Row],[Scope]]="Changed",7.52*(Table4[[#This Row],[ISC Base]] - 0.029) - 3.25 * POWER(Table4[[#This Row],[ISC Base]] - 0.02,15),NA()))</f>
        <v>4.7013916800000004</v>
      </c>
      <c r="U17"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17" s="182" t="s">
        <v>56</v>
      </c>
      <c r="W17" s="198">
        <f>VLOOKUP(Table4[[#This Row],[Threat Event Initiation]],NIST_Scale_LOAI[],2,FALSE)</f>
        <v>0.2</v>
      </c>
      <c r="X1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49" t="s">
        <v>322</v>
      </c>
      <c r="AA17" s="188"/>
      <c r="AB17" s="200"/>
      <c r="AC17" s="187"/>
      <c r="AD17" s="187"/>
      <c r="AE17" s="187"/>
      <c r="AF17" s="196"/>
      <c r="AG17" s="196"/>
      <c r="AH17" s="196"/>
      <c r="AI17" s="196"/>
      <c r="AJ17" s="201"/>
      <c r="AK1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7" s="198" t="e">
        <f>(1 - ((1 - VLOOKUP(Table4[[#This Row],[ConfidentialityP]],'Reference - CVSSv3.0'!$B$15:$C$17,2,FALSE)) * (1 - VLOOKUP(Table4[[#This Row],[IntegrityP]],'Reference - CVSSv3.0'!$B$15:$C$17,2,FALSE)) *  (1 - VLOOKUP(Table4[[#This Row],[AvailabilityP]],'Reference - CVSSv3.0'!$B$15:$C$17,2,FALSE))))</f>
        <v>#N/A</v>
      </c>
      <c r="AM17" s="198" t="e">
        <f>IF(Table4[[#This Row],[ScopeP]]="Unchanged",6.42*Table4[[#This Row],[ISC BaseP]],IF(Table4[[#This Row],[ScopeP]]="Changed",7.52*(Table4[[#This Row],[ISC BaseP]] - 0.029) - 3.25 * POWER(Table4[[#This Row],[ISC BaseP]] - 0.02,15),NA()))</f>
        <v>#N/A</v>
      </c>
      <c r="AN1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187"/>
    </row>
    <row r="18" spans="1:43" s="53" customFormat="1" ht="409.5" x14ac:dyDescent="0.25">
      <c r="A18" s="70">
        <v>14</v>
      </c>
      <c r="B18" s="182" t="s">
        <v>125</v>
      </c>
      <c r="C18" s="195" t="str">
        <f>IF(VLOOKUP(Table4[[#This Row],[T ID]],Table5[#All],5,FALSE)="No","Not in scope",VLOOKUP(Table4[[#This Row],[T ID]],Table5[#All],2,FALSE))</f>
        <v>CAPEC-185</v>
      </c>
      <c r="D18" s="212" t="s">
        <v>248</v>
      </c>
      <c r="E18" s="195" t="str">
        <f>IF(VLOOKUP(Table4[[#This Row],[V ID]],Vulnerabilities[#All],3,FALSE)="No","Not in scope",VLOOKUP(Table4[[#This Row],[V ID]],Vulnerabilities[#All],2,FALSE))</f>
        <v>Assest counting system for all instances of product implementation</v>
      </c>
      <c r="F18" s="216" t="s">
        <v>113</v>
      </c>
      <c r="G18" s="195" t="str">
        <f>VLOOKUP(Table4[[#This Row],[A ID]],Assets[#All],3,FALSE)</f>
        <v>Smart medic (Stryker device) System Component</v>
      </c>
      <c r="H18" s="49" t="s">
        <v>292</v>
      </c>
      <c r="I18" s="49"/>
      <c r="J18" s="87" t="s">
        <v>56</v>
      </c>
      <c r="K18" s="87" t="s">
        <v>56</v>
      </c>
      <c r="L18" s="87" t="s">
        <v>65</v>
      </c>
      <c r="M18" s="196" t="s">
        <v>78</v>
      </c>
      <c r="N18" s="157" t="s">
        <v>56</v>
      </c>
      <c r="O18" s="157" t="s">
        <v>56</v>
      </c>
      <c r="P18" s="196" t="s">
        <v>77</v>
      </c>
      <c r="Q18" s="196" t="s">
        <v>74</v>
      </c>
      <c r="R1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18" s="198">
        <f>(1 - ((1 - VLOOKUP(Table4[[#This Row],[Confidentiality]],'Reference - CVSSv3.0'!$B$15:$C$17,2,FALSE)) * (1 - VLOOKUP(Table4[[#This Row],[Integrity]],'Reference - CVSSv3.0'!$B$15:$C$17,2,FALSE)) *  (1 - VLOOKUP(Table4[[#This Row],[Availability]],'Reference - CVSSv3.0'!$B$15:$C$17,2,FALSE))))</f>
        <v>0.73230400000000007</v>
      </c>
      <c r="T18" s="198">
        <f>IF(Table4[[#This Row],[Scope]]="Unchanged",6.42*Table4[[#This Row],[ISC Base]],IF(Table4[[#This Row],[Scope]]="Changed",7.52*(Table4[[#This Row],[ISC Base]] - 0.029) - 3.25 * POWER(Table4[[#This Row],[ISC Base]] - 0.02,15),NA()))</f>
        <v>4.7013916800000004</v>
      </c>
      <c r="U18"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18" s="182" t="s">
        <v>56</v>
      </c>
      <c r="W18" s="198">
        <f>VLOOKUP(Table4[[#This Row],[Threat Event Initiation]],NIST_Scale_LOAI[],2,FALSE)</f>
        <v>0.2</v>
      </c>
      <c r="X1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49" t="s">
        <v>322</v>
      </c>
      <c r="AA18" s="188"/>
      <c r="AB18" s="200"/>
      <c r="AC18" s="187"/>
      <c r="AD18" s="187"/>
      <c r="AE18" s="187"/>
      <c r="AF18" s="196"/>
      <c r="AG18" s="196"/>
      <c r="AH18" s="196"/>
      <c r="AI18" s="196"/>
      <c r="AJ18" s="201"/>
      <c r="AK1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8" s="198" t="e">
        <f>(1 - ((1 - VLOOKUP(Table4[[#This Row],[ConfidentialityP]],'Reference - CVSSv3.0'!$B$15:$C$17,2,FALSE)) * (1 - VLOOKUP(Table4[[#This Row],[IntegrityP]],'Reference - CVSSv3.0'!$B$15:$C$17,2,FALSE)) *  (1 - VLOOKUP(Table4[[#This Row],[AvailabilityP]],'Reference - CVSSv3.0'!$B$15:$C$17,2,FALSE))))</f>
        <v>#N/A</v>
      </c>
      <c r="AM18" s="198" t="e">
        <f>IF(Table4[[#This Row],[ScopeP]]="Unchanged",6.42*Table4[[#This Row],[ISC BaseP]],IF(Table4[[#This Row],[ScopeP]]="Changed",7.52*(Table4[[#This Row],[ISC BaseP]] - 0.029) - 3.25 * POWER(Table4[[#This Row],[ISC BaseP]] - 0.02,15),NA()))</f>
        <v>#N/A</v>
      </c>
      <c r="AN1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187"/>
    </row>
    <row r="19" spans="1:43" s="53" customFormat="1" ht="409.5" x14ac:dyDescent="0.25">
      <c r="A19" s="70">
        <v>15</v>
      </c>
      <c r="B19" s="182" t="s">
        <v>125</v>
      </c>
      <c r="C19" s="195" t="str">
        <f>IF(VLOOKUP(Table4[[#This Row],[T ID]],Table5[#All],5,FALSE)="No","Not in scope",VLOOKUP(Table4[[#This Row],[T ID]],Table5[#All],2,FALSE))</f>
        <v>CAPEC-185</v>
      </c>
      <c r="D19" s="212" t="s">
        <v>252</v>
      </c>
      <c r="E19" s="195" t="str">
        <f>IF(VLOOKUP(Table4[[#This Row],[V ID]],Vulnerabilities[#All],3,FALSE)="No","Not in scope",VLOOKUP(Table4[[#This Row],[V ID]],Vulnerabilities[#All],2,FALSE))</f>
        <v>Controlled Use of Administrative Privileges over the network</v>
      </c>
      <c r="F19" s="216" t="s">
        <v>111</v>
      </c>
      <c r="G19" s="195" t="str">
        <f>VLOOKUP(Table4[[#This Row],[A ID]],Assets[#All],3,FALSE)</f>
        <v>Tablet Resources - web cam, microphone, OTG devices, Removable USB, Tablet Application,</v>
      </c>
      <c r="H19" s="49" t="s">
        <v>292</v>
      </c>
      <c r="I19" s="49"/>
      <c r="J19" s="87" t="s">
        <v>56</v>
      </c>
      <c r="K19" s="87" t="s">
        <v>56</v>
      </c>
      <c r="L19" s="87" t="s">
        <v>56</v>
      </c>
      <c r="M19" s="196" t="s">
        <v>79</v>
      </c>
      <c r="N19" s="157" t="s">
        <v>56</v>
      </c>
      <c r="O19" s="157" t="s">
        <v>56</v>
      </c>
      <c r="P19" s="196" t="s">
        <v>77</v>
      </c>
      <c r="Q19" s="196" t="s">
        <v>74</v>
      </c>
      <c r="R1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9" s="198">
        <f>(1 - ((1 - VLOOKUP(Table4[[#This Row],[Confidentiality]],'Reference - CVSSv3.0'!$B$15:$C$17,2,FALSE)) * (1 - VLOOKUP(Table4[[#This Row],[Integrity]],'Reference - CVSSv3.0'!$B$15:$C$17,2,FALSE)) *  (1 - VLOOKUP(Table4[[#This Row],[Availability]],'Reference - CVSSv3.0'!$B$15:$C$17,2,FALSE))))</f>
        <v>0.52544799999999992</v>
      </c>
      <c r="T19" s="198">
        <f>IF(Table4[[#This Row],[Scope]]="Unchanged",6.42*Table4[[#This Row],[ISC Base]],IF(Table4[[#This Row],[Scope]]="Changed",7.52*(Table4[[#This Row],[ISC Base]] - 0.029) - 3.25 * POWER(Table4[[#This Row],[ISC Base]] - 0.02,15),NA()))</f>
        <v>3.3733761599999994</v>
      </c>
      <c r="U19"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182" t="s">
        <v>56</v>
      </c>
      <c r="W19" s="198">
        <f>VLOOKUP(Table4[[#This Row],[Threat Event Initiation]],NIST_Scale_LOAI[],2,FALSE)</f>
        <v>0.2</v>
      </c>
      <c r="X1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49" t="s">
        <v>322</v>
      </c>
      <c r="AA19" s="188"/>
      <c r="AB19" s="200"/>
      <c r="AC19" s="187"/>
      <c r="AD19" s="187"/>
      <c r="AE19" s="187"/>
      <c r="AF19" s="196"/>
      <c r="AG19" s="196"/>
      <c r="AH19" s="196"/>
      <c r="AI19" s="196"/>
      <c r="AJ19" s="201"/>
      <c r="AK1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9" s="198" t="e">
        <f>(1 - ((1 - VLOOKUP(Table4[[#This Row],[ConfidentialityP]],'Reference - CVSSv3.0'!$B$15:$C$17,2,FALSE)) * (1 - VLOOKUP(Table4[[#This Row],[IntegrityP]],'Reference - CVSSv3.0'!$B$15:$C$17,2,FALSE)) *  (1 - VLOOKUP(Table4[[#This Row],[AvailabilityP]],'Reference - CVSSv3.0'!$B$15:$C$17,2,FALSE))))</f>
        <v>#N/A</v>
      </c>
      <c r="AM19" s="198" t="e">
        <f>IF(Table4[[#This Row],[ScopeP]]="Unchanged",6.42*Table4[[#This Row],[ISC BaseP]],IF(Table4[[#This Row],[ScopeP]]="Changed",7.52*(Table4[[#This Row],[ISC BaseP]] - 0.029) - 3.25 * POWER(Table4[[#This Row],[ISC BaseP]] - 0.02,15),NA()))</f>
        <v>#N/A</v>
      </c>
      <c r="AN1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187"/>
    </row>
    <row r="20" spans="1:43" s="53" customFormat="1" ht="409.5" x14ac:dyDescent="0.25">
      <c r="A20" s="70">
        <v>16</v>
      </c>
      <c r="B20" s="182" t="s">
        <v>125</v>
      </c>
      <c r="C20" s="195" t="str">
        <f>IF(VLOOKUP(Table4[[#This Row],[T ID]],Table5[#All],5,FALSE)="No","Not in scope",VLOOKUP(Table4[[#This Row],[T ID]],Table5[#All],2,FALSE))</f>
        <v>CAPEC-185</v>
      </c>
      <c r="D20" s="212" t="s">
        <v>258</v>
      </c>
      <c r="E20" s="195" t="str">
        <f>IF(VLOOKUP(Table4[[#This Row],[V ID]],Vulnerabilities[#All],3,FALSE)="No","Not in scope",VLOOKUP(Table4[[#This Row],[V ID]],Vulnerabilities[#All],2,FALSE))</f>
        <v>Unencrypted data at rest in all possible locations</v>
      </c>
      <c r="F20" s="216" t="s">
        <v>113</v>
      </c>
      <c r="G20" s="195" t="str">
        <f>VLOOKUP(Table4[[#This Row],[A ID]],Assets[#All],3,FALSE)</f>
        <v>Smart medic (Stryker device) System Component</v>
      </c>
      <c r="H20" s="49" t="s">
        <v>292</v>
      </c>
      <c r="I20" s="49"/>
      <c r="J20" s="87" t="s">
        <v>65</v>
      </c>
      <c r="K20" s="87" t="s">
        <v>56</v>
      </c>
      <c r="L20" s="87" t="s">
        <v>56</v>
      </c>
      <c r="M20" s="196" t="s">
        <v>78</v>
      </c>
      <c r="N20" s="157" t="s">
        <v>56</v>
      </c>
      <c r="O20" s="157" t="s">
        <v>56</v>
      </c>
      <c r="P20" s="196" t="s">
        <v>77</v>
      </c>
      <c r="Q20" s="196" t="s">
        <v>74</v>
      </c>
      <c r="R2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20" s="198">
        <f>(1 - ((1 - VLOOKUP(Table4[[#This Row],[Confidentiality]],'Reference - CVSSv3.0'!$B$15:$C$17,2,FALSE)) * (1 - VLOOKUP(Table4[[#This Row],[Integrity]],'Reference - CVSSv3.0'!$B$15:$C$17,2,FALSE)) *  (1 - VLOOKUP(Table4[[#This Row],[Availability]],'Reference - CVSSv3.0'!$B$15:$C$17,2,FALSE))))</f>
        <v>0.73230400000000007</v>
      </c>
      <c r="T20" s="198">
        <f>IF(Table4[[#This Row],[Scope]]="Unchanged",6.42*Table4[[#This Row],[ISC Base]],IF(Table4[[#This Row],[Scope]]="Changed",7.52*(Table4[[#This Row],[ISC Base]] - 0.029) - 3.25 * POWER(Table4[[#This Row],[ISC Base]] - 0.02,15),NA()))</f>
        <v>4.7013916800000004</v>
      </c>
      <c r="U20"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20" s="182" t="s">
        <v>56</v>
      </c>
      <c r="W20" s="198">
        <f>VLOOKUP(Table4[[#This Row],[Threat Event Initiation]],NIST_Scale_LOAI[],2,FALSE)</f>
        <v>0.2</v>
      </c>
      <c r="X2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2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49" t="s">
        <v>322</v>
      </c>
      <c r="AA20" s="188"/>
      <c r="AB20" s="200"/>
      <c r="AC20" s="187"/>
      <c r="AD20" s="187"/>
      <c r="AE20" s="187"/>
      <c r="AF20" s="196"/>
      <c r="AG20" s="196"/>
      <c r="AH20" s="196"/>
      <c r="AI20" s="196"/>
      <c r="AJ20" s="201"/>
      <c r="AK2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0" s="198" t="e">
        <f>(1 - ((1 - VLOOKUP(Table4[[#This Row],[ConfidentialityP]],'Reference - CVSSv3.0'!$B$15:$C$17,2,FALSE)) * (1 - VLOOKUP(Table4[[#This Row],[IntegrityP]],'Reference - CVSSv3.0'!$B$15:$C$17,2,FALSE)) *  (1 - VLOOKUP(Table4[[#This Row],[AvailabilityP]],'Reference - CVSSv3.0'!$B$15:$C$17,2,FALSE))))</f>
        <v>#N/A</v>
      </c>
      <c r="AM20" s="198" t="e">
        <f>IF(Table4[[#This Row],[ScopeP]]="Unchanged",6.42*Table4[[#This Row],[ISC BaseP]],IF(Table4[[#This Row],[ScopeP]]="Changed",7.52*(Table4[[#This Row],[ISC BaseP]] - 0.029) - 3.25 * POWER(Table4[[#This Row],[ISC BaseP]] - 0.02,15),NA()))</f>
        <v>#N/A</v>
      </c>
      <c r="AN2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187"/>
    </row>
    <row r="21" spans="1:43" s="53" customFormat="1" ht="107.25" customHeight="1" x14ac:dyDescent="0.25">
      <c r="A21" s="70">
        <v>17</v>
      </c>
      <c r="B21" s="182" t="s">
        <v>125</v>
      </c>
      <c r="C21" s="195" t="str">
        <f>IF(VLOOKUP(Table4[[#This Row],[T ID]],Table5[#All],5,FALSE)="No","Not in scope",VLOOKUP(Table4[[#This Row],[T ID]],Table5[#All],2,FALSE))</f>
        <v>CAPEC-185</v>
      </c>
      <c r="D21" s="212" t="s">
        <v>258</v>
      </c>
      <c r="E21" s="195" t="str">
        <f>IF(VLOOKUP(Table4[[#This Row],[V ID]],Vulnerabilities[#All],3,FALSE)="No","Not in scope",VLOOKUP(Table4[[#This Row],[V ID]],Vulnerabilities[#All],2,FALSE))</f>
        <v>Unencrypted data at rest in all possible locations</v>
      </c>
      <c r="F21" s="216" t="s">
        <v>111</v>
      </c>
      <c r="G21" s="195" t="str">
        <f>VLOOKUP(Table4[[#This Row],[A ID]],Assets[#All],3,FALSE)</f>
        <v>Tablet Resources - web cam, microphone, OTG devices, Removable USB, Tablet Application,</v>
      </c>
      <c r="H21" s="49" t="s">
        <v>292</v>
      </c>
      <c r="I21" s="49"/>
      <c r="J21" s="87" t="s">
        <v>65</v>
      </c>
      <c r="K21" s="87" t="s">
        <v>56</v>
      </c>
      <c r="L21" s="87" t="s">
        <v>56</v>
      </c>
      <c r="M21" s="196" t="s">
        <v>78</v>
      </c>
      <c r="N21" s="157" t="s">
        <v>56</v>
      </c>
      <c r="O21" s="157" t="s">
        <v>56</v>
      </c>
      <c r="P21" s="196" t="s">
        <v>77</v>
      </c>
      <c r="Q21" s="196" t="s">
        <v>74</v>
      </c>
      <c r="R2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21" s="198">
        <f>(1 - ((1 - VLOOKUP(Table4[[#This Row],[Confidentiality]],'Reference - CVSSv3.0'!$B$15:$C$17,2,FALSE)) * (1 - VLOOKUP(Table4[[#This Row],[Integrity]],'Reference - CVSSv3.0'!$B$15:$C$17,2,FALSE)) *  (1 - VLOOKUP(Table4[[#This Row],[Availability]],'Reference - CVSSv3.0'!$B$15:$C$17,2,FALSE))))</f>
        <v>0.73230400000000007</v>
      </c>
      <c r="T21" s="198">
        <f>IF(Table4[[#This Row],[Scope]]="Unchanged",6.42*Table4[[#This Row],[ISC Base]],IF(Table4[[#This Row],[Scope]]="Changed",7.52*(Table4[[#This Row],[ISC Base]] - 0.029) - 3.25 * POWER(Table4[[#This Row],[ISC Base]] - 0.02,15),NA()))</f>
        <v>4.7013916800000004</v>
      </c>
      <c r="U21"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21" s="182" t="s">
        <v>56</v>
      </c>
      <c r="W21" s="198">
        <f>VLOOKUP(Table4[[#This Row],[Threat Event Initiation]],NIST_Scale_LOAI[],2,FALSE)</f>
        <v>0.2</v>
      </c>
      <c r="X2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2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49" t="s">
        <v>322</v>
      </c>
      <c r="AA21" s="188"/>
      <c r="AB21" s="200"/>
      <c r="AC21" s="187"/>
      <c r="AD21" s="187"/>
      <c r="AE21" s="187"/>
      <c r="AF21" s="196"/>
      <c r="AG21" s="196"/>
      <c r="AH21" s="196"/>
      <c r="AI21" s="196"/>
      <c r="AJ21" s="201"/>
      <c r="AK2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1" s="198" t="e">
        <f>(1 - ((1 - VLOOKUP(Table4[[#This Row],[ConfidentialityP]],'Reference - CVSSv3.0'!$B$15:$C$17,2,FALSE)) * (1 - VLOOKUP(Table4[[#This Row],[IntegrityP]],'Reference - CVSSv3.0'!$B$15:$C$17,2,FALSE)) *  (1 - VLOOKUP(Table4[[#This Row],[AvailabilityP]],'Reference - CVSSv3.0'!$B$15:$C$17,2,FALSE))))</f>
        <v>#N/A</v>
      </c>
      <c r="AM21" s="198" t="e">
        <f>IF(Table4[[#This Row],[ScopeP]]="Unchanged",6.42*Table4[[#This Row],[ISC BaseP]],IF(Table4[[#This Row],[ScopeP]]="Changed",7.52*(Table4[[#This Row],[ISC BaseP]] - 0.029) - 3.25 * POWER(Table4[[#This Row],[ISC BaseP]] - 0.02,15),NA()))</f>
        <v>#N/A</v>
      </c>
      <c r="AN2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187"/>
    </row>
    <row r="22" spans="1:43" s="53" customFormat="1" ht="80.25" customHeight="1" x14ac:dyDescent="0.25">
      <c r="A22" s="70">
        <v>18</v>
      </c>
      <c r="B22" s="182" t="s">
        <v>125</v>
      </c>
      <c r="C22" s="195" t="str">
        <f>IF(VLOOKUP(Table4[[#This Row],[T ID]],Table5[#All],5,FALSE)="No","Not in scope",VLOOKUP(Table4[[#This Row],[T ID]],Table5[#All],2,FALSE))</f>
        <v>CAPEC-185</v>
      </c>
      <c r="D22" s="212" t="s">
        <v>146</v>
      </c>
      <c r="E22" s="195" t="str">
        <f>IF(VLOOKUP(Table4[[#This Row],[V ID]],Vulnerabilities[#All],3,FALSE)="No","Not in scope",VLOOKUP(Table4[[#This Row],[V ID]],Vulnerabilities[#All],2,FALSE))</f>
        <v>Legacy system identification if any</v>
      </c>
      <c r="F22" s="216" t="s">
        <v>115</v>
      </c>
      <c r="G22" s="195" t="str">
        <f>VLOOKUP(Table4[[#This Row],[A ID]],Assets[#All],3,FALSE)</f>
        <v>Device Maintainence tool (Hardware/Software)</v>
      </c>
      <c r="H22" s="49" t="s">
        <v>292</v>
      </c>
      <c r="I22" s="49"/>
      <c r="J22" s="87" t="s">
        <v>56</v>
      </c>
      <c r="K22" s="87" t="s">
        <v>56</v>
      </c>
      <c r="L22" s="87" t="s">
        <v>56</v>
      </c>
      <c r="M22" s="196" t="s">
        <v>75</v>
      </c>
      <c r="N22" s="157" t="s">
        <v>56</v>
      </c>
      <c r="O22" s="157" t="s">
        <v>56</v>
      </c>
      <c r="P22" s="196" t="s">
        <v>77</v>
      </c>
      <c r="Q22" s="196" t="s">
        <v>74</v>
      </c>
      <c r="R2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22" s="198">
        <f>(1 - ((1 - VLOOKUP(Table4[[#This Row],[Confidentiality]],'Reference - CVSSv3.0'!$B$15:$C$17,2,FALSE)) * (1 - VLOOKUP(Table4[[#This Row],[Integrity]],'Reference - CVSSv3.0'!$B$15:$C$17,2,FALSE)) *  (1 - VLOOKUP(Table4[[#This Row],[Availability]],'Reference - CVSSv3.0'!$B$15:$C$17,2,FALSE))))</f>
        <v>0.52544799999999992</v>
      </c>
      <c r="T22" s="198">
        <f>IF(Table4[[#This Row],[Scope]]="Unchanged",6.42*Table4[[#This Row],[ISC Base]],IF(Table4[[#This Row],[Scope]]="Changed",7.52*(Table4[[#This Row],[ISC Base]] - 0.029) - 3.25 * POWER(Table4[[#This Row],[ISC Base]] - 0.02,15),NA()))</f>
        <v>3.3733761599999994</v>
      </c>
      <c r="U22"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182" t="s">
        <v>55</v>
      </c>
      <c r="W22" s="198">
        <f>VLOOKUP(Table4[[#This Row],[Threat Event Initiation]],NIST_Scale_LOAI[],2,FALSE)</f>
        <v>0.5</v>
      </c>
      <c r="X2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49" t="s">
        <v>322</v>
      </c>
      <c r="AA22" s="188"/>
      <c r="AB22" s="200"/>
      <c r="AC22" s="187"/>
      <c r="AD22" s="187"/>
      <c r="AE22" s="187"/>
      <c r="AF22" s="196"/>
      <c r="AG22" s="196"/>
      <c r="AH22" s="196"/>
      <c r="AI22" s="196"/>
      <c r="AJ22" s="201"/>
      <c r="AK2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2" s="198" t="e">
        <f>(1 - ((1 - VLOOKUP(Table4[[#This Row],[ConfidentialityP]],'Reference - CVSSv3.0'!$B$15:$C$17,2,FALSE)) * (1 - VLOOKUP(Table4[[#This Row],[IntegrityP]],'Reference - CVSSv3.0'!$B$15:$C$17,2,FALSE)) *  (1 - VLOOKUP(Table4[[#This Row],[AvailabilityP]],'Reference - CVSSv3.0'!$B$15:$C$17,2,FALSE))))</f>
        <v>#N/A</v>
      </c>
      <c r="AM22" s="198" t="e">
        <f>IF(Table4[[#This Row],[ScopeP]]="Unchanged",6.42*Table4[[#This Row],[ISC BaseP]],IF(Table4[[#This Row],[ScopeP]]="Changed",7.52*(Table4[[#This Row],[ISC BaseP]] - 0.029) - 3.25 * POWER(Table4[[#This Row],[ISC BaseP]] - 0.02,15),NA()))</f>
        <v>#N/A</v>
      </c>
      <c r="AN2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187"/>
    </row>
    <row r="23" spans="1:43" s="53" customFormat="1" ht="76.5" customHeight="1" x14ac:dyDescent="0.25">
      <c r="A23" s="70">
        <v>19</v>
      </c>
      <c r="B23" s="182" t="s">
        <v>125</v>
      </c>
      <c r="C23" s="195" t="str">
        <f>IF(VLOOKUP(Table4[[#This Row],[T ID]],Table5[#All],5,FALSE)="No","Not in scope",VLOOKUP(Table4[[#This Row],[T ID]],Table5[#All],2,FALSE))</f>
        <v>CAPEC-185</v>
      </c>
      <c r="D23" s="212" t="s">
        <v>146</v>
      </c>
      <c r="E23" s="195" t="str">
        <f>IF(VLOOKUP(Table4[[#This Row],[V ID]],Vulnerabilities[#All],3,FALSE)="No","Not in scope",VLOOKUP(Table4[[#This Row],[V ID]],Vulnerabilities[#All],2,FALSE))</f>
        <v>Legacy system identification if any</v>
      </c>
      <c r="F23" s="216" t="s">
        <v>113</v>
      </c>
      <c r="G23" s="195" t="str">
        <f>VLOOKUP(Table4[[#This Row],[A ID]],Assets[#All],3,FALSE)</f>
        <v>Smart medic (Stryker device) System Component</v>
      </c>
      <c r="H23" s="49" t="s">
        <v>292</v>
      </c>
      <c r="I23" s="49"/>
      <c r="J23" s="87" t="s">
        <v>56</v>
      </c>
      <c r="K23" s="87" t="s">
        <v>56</v>
      </c>
      <c r="L23" s="87" t="s">
        <v>56</v>
      </c>
      <c r="M23" s="196" t="s">
        <v>75</v>
      </c>
      <c r="N23" s="157" t="s">
        <v>56</v>
      </c>
      <c r="O23" s="157" t="s">
        <v>56</v>
      </c>
      <c r="P23" s="196" t="s">
        <v>77</v>
      </c>
      <c r="Q23" s="196" t="s">
        <v>74</v>
      </c>
      <c r="R2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23" s="198">
        <f>(1 - ((1 - VLOOKUP(Table4[[#This Row],[Confidentiality]],'Reference - CVSSv3.0'!$B$15:$C$17,2,FALSE)) * (1 - VLOOKUP(Table4[[#This Row],[Integrity]],'Reference - CVSSv3.0'!$B$15:$C$17,2,FALSE)) *  (1 - VLOOKUP(Table4[[#This Row],[Availability]],'Reference - CVSSv3.0'!$B$15:$C$17,2,FALSE))))</f>
        <v>0.52544799999999992</v>
      </c>
      <c r="T23" s="198">
        <f>IF(Table4[[#This Row],[Scope]]="Unchanged",6.42*Table4[[#This Row],[ISC Base]],IF(Table4[[#This Row],[Scope]]="Changed",7.52*(Table4[[#This Row],[ISC Base]] - 0.029) - 3.25 * POWER(Table4[[#This Row],[ISC Base]] - 0.02,15),NA()))</f>
        <v>3.3733761599999994</v>
      </c>
      <c r="U23"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182" t="s">
        <v>55</v>
      </c>
      <c r="W23" s="198">
        <f>VLOOKUP(Table4[[#This Row],[Threat Event Initiation]],NIST_Scale_LOAI[],2,FALSE)</f>
        <v>0.5</v>
      </c>
      <c r="X2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49" t="s">
        <v>322</v>
      </c>
      <c r="AA23" s="188"/>
      <c r="AB23" s="200"/>
      <c r="AC23" s="187"/>
      <c r="AD23" s="187"/>
      <c r="AE23" s="187"/>
      <c r="AF23" s="196"/>
      <c r="AG23" s="196"/>
      <c r="AH23" s="196"/>
      <c r="AI23" s="196"/>
      <c r="AJ23" s="201"/>
      <c r="AK2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3" s="198" t="e">
        <f>(1 - ((1 - VLOOKUP(Table4[[#This Row],[ConfidentialityP]],'Reference - CVSSv3.0'!$B$15:$C$17,2,FALSE)) * (1 - VLOOKUP(Table4[[#This Row],[IntegrityP]],'Reference - CVSSv3.0'!$B$15:$C$17,2,FALSE)) *  (1 - VLOOKUP(Table4[[#This Row],[AvailabilityP]],'Reference - CVSSv3.0'!$B$15:$C$17,2,FALSE))))</f>
        <v>#N/A</v>
      </c>
      <c r="AM23" s="198" t="e">
        <f>IF(Table4[[#This Row],[ScopeP]]="Unchanged",6.42*Table4[[#This Row],[ISC BaseP]],IF(Table4[[#This Row],[ScopeP]]="Changed",7.52*(Table4[[#This Row],[ISC BaseP]] - 0.029) - 3.25 * POWER(Table4[[#This Row],[ISC BaseP]] - 0.02,15),NA()))</f>
        <v>#N/A</v>
      </c>
      <c r="AN2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187"/>
    </row>
    <row r="24" spans="1:43" s="53" customFormat="1" ht="80.25" customHeight="1" x14ac:dyDescent="0.25">
      <c r="A24" s="70">
        <v>20</v>
      </c>
      <c r="B24" s="182" t="s">
        <v>125</v>
      </c>
      <c r="C24" s="195" t="str">
        <f>IF(VLOOKUP(Table4[[#This Row],[T ID]],Table5[#All],5,FALSE)="No","Not in scope",VLOOKUP(Table4[[#This Row],[T ID]],Table5[#All],2,FALSE))</f>
        <v>CAPEC-185</v>
      </c>
      <c r="D24" s="212" t="s">
        <v>146</v>
      </c>
      <c r="E24" s="195" t="str">
        <f>IF(VLOOKUP(Table4[[#This Row],[V ID]],Vulnerabilities[#All],3,FALSE)="No","Not in scope",VLOOKUP(Table4[[#This Row],[V ID]],Vulnerabilities[#All],2,FALSE))</f>
        <v>Legacy system identification if any</v>
      </c>
      <c r="F24" s="216" t="s">
        <v>111</v>
      </c>
      <c r="G24" s="195" t="str">
        <f>VLOOKUP(Table4[[#This Row],[A ID]],Assets[#All],3,FALSE)</f>
        <v>Tablet Resources - web cam, microphone, OTG devices, Removable USB, Tablet Application,</v>
      </c>
      <c r="H24" s="49" t="s">
        <v>292</v>
      </c>
      <c r="I24" s="49"/>
      <c r="J24" s="87" t="s">
        <v>56</v>
      </c>
      <c r="K24" s="87" t="s">
        <v>56</v>
      </c>
      <c r="L24" s="87" t="s">
        <v>56</v>
      </c>
      <c r="M24" s="196" t="s">
        <v>75</v>
      </c>
      <c r="N24" s="157" t="s">
        <v>56</v>
      </c>
      <c r="O24" s="157" t="s">
        <v>56</v>
      </c>
      <c r="P24" s="196" t="s">
        <v>77</v>
      </c>
      <c r="Q24" s="196" t="s">
        <v>74</v>
      </c>
      <c r="R2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24" s="198">
        <f>(1 - ((1 - VLOOKUP(Table4[[#This Row],[Confidentiality]],'Reference - CVSSv3.0'!$B$15:$C$17,2,FALSE)) * (1 - VLOOKUP(Table4[[#This Row],[Integrity]],'Reference - CVSSv3.0'!$B$15:$C$17,2,FALSE)) *  (1 - VLOOKUP(Table4[[#This Row],[Availability]],'Reference - CVSSv3.0'!$B$15:$C$17,2,FALSE))))</f>
        <v>0.52544799999999992</v>
      </c>
      <c r="T24" s="198">
        <f>IF(Table4[[#This Row],[Scope]]="Unchanged",6.42*Table4[[#This Row],[ISC Base]],IF(Table4[[#This Row],[Scope]]="Changed",7.52*(Table4[[#This Row],[ISC Base]] - 0.029) - 3.25 * POWER(Table4[[#This Row],[ISC Base]] - 0.02,15),NA()))</f>
        <v>3.3733761599999994</v>
      </c>
      <c r="U2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182" t="s">
        <v>56</v>
      </c>
      <c r="W24" s="198">
        <f>VLOOKUP(Table4[[#This Row],[Threat Event Initiation]],NIST_Scale_LOAI[],2,FALSE)</f>
        <v>0.2</v>
      </c>
      <c r="X2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49" t="s">
        <v>322</v>
      </c>
      <c r="AA24" s="188"/>
      <c r="AB24" s="200"/>
      <c r="AC24" s="187"/>
      <c r="AD24" s="187"/>
      <c r="AE24" s="187"/>
      <c r="AF24" s="196"/>
      <c r="AG24" s="196"/>
      <c r="AH24" s="196"/>
      <c r="AI24" s="196"/>
      <c r="AJ24" s="201"/>
      <c r="AK2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4" s="198" t="e">
        <f>(1 - ((1 - VLOOKUP(Table4[[#This Row],[ConfidentialityP]],'Reference - CVSSv3.0'!$B$15:$C$17,2,FALSE)) * (1 - VLOOKUP(Table4[[#This Row],[IntegrityP]],'Reference - CVSSv3.0'!$B$15:$C$17,2,FALSE)) *  (1 - VLOOKUP(Table4[[#This Row],[AvailabilityP]],'Reference - CVSSv3.0'!$B$15:$C$17,2,FALSE))))</f>
        <v>#N/A</v>
      </c>
      <c r="AM24" s="198" t="e">
        <f>IF(Table4[[#This Row],[ScopeP]]="Unchanged",6.42*Table4[[#This Row],[ISC BaseP]],IF(Table4[[#This Row],[ScopeP]]="Changed",7.52*(Table4[[#This Row],[ISC BaseP]] - 0.029) - 3.25 * POWER(Table4[[#This Row],[ISC BaseP]] - 0.02,15),NA()))</f>
        <v>#N/A</v>
      </c>
      <c r="AN2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187"/>
    </row>
    <row r="25" spans="1:43" s="53" customFormat="1" ht="86.25" customHeight="1" x14ac:dyDescent="0.25">
      <c r="A25" s="70">
        <v>21</v>
      </c>
      <c r="B25" s="182" t="s">
        <v>126</v>
      </c>
      <c r="C25" s="85" t="str">
        <f>IF(VLOOKUP(Table4[[#This Row],[T ID]],Table5[#All],5,FALSE)="No","Not in scope",VLOOKUP(Table4[[#This Row],[T ID]],Table5[#All],2,FALSE))</f>
        <v>CAPEC-185</v>
      </c>
      <c r="D25" s="212" t="s">
        <v>144</v>
      </c>
      <c r="E25" s="85" t="str">
        <f>IF(VLOOKUP(Table4[[#This Row],[V ID]],Vulnerabilities[#All],3,FALSE)="No","Not in scope",VLOOKUP(Table4[[#This Row],[V ID]],Vulnerabilities[#All],2,FALSE))</f>
        <v>Weak Algorthim implementation with respect cipher key size</v>
      </c>
      <c r="F25" s="216" t="s">
        <v>115</v>
      </c>
      <c r="G25" s="86" t="str">
        <f>VLOOKUP(Table4[[#This Row],[A ID]],Assets[#All],3,FALSE)</f>
        <v>Device Maintainence tool (Hardware/Software)</v>
      </c>
      <c r="H25" s="49" t="s">
        <v>292</v>
      </c>
      <c r="I25" s="49"/>
      <c r="J25" s="87" t="s">
        <v>56</v>
      </c>
      <c r="K25" s="87" t="s">
        <v>56</v>
      </c>
      <c r="L25" s="87" t="s">
        <v>56</v>
      </c>
      <c r="M25" s="196" t="s">
        <v>79</v>
      </c>
      <c r="N25" s="157" t="s">
        <v>56</v>
      </c>
      <c r="O25" s="157" t="s">
        <v>56</v>
      </c>
      <c r="P25" s="196" t="s">
        <v>76</v>
      </c>
      <c r="Q25" s="196" t="s">
        <v>74</v>
      </c>
      <c r="R25"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25" s="161">
        <f>(1 - ((1 - VLOOKUP(Table4[[#This Row],[Confidentiality]],'Reference - CVSSv3.0'!$B$15:$C$17,2,FALSE)) * (1 - VLOOKUP(Table4[[#This Row],[Integrity]],'Reference - CVSSv3.0'!$B$15:$C$17,2,FALSE)) *  (1 - VLOOKUP(Table4[[#This Row],[Availability]],'Reference - CVSSv3.0'!$B$15:$C$17,2,FALSE))))</f>
        <v>0.52544799999999992</v>
      </c>
      <c r="T25" s="161">
        <f>IF(Table4[[#This Row],[Scope]]="Unchanged",6.42*Table4[[#This Row],[ISC Base]],IF(Table4[[#This Row],[Scope]]="Changed",7.52*(Table4[[#This Row],[ISC Base]] - 0.029) - 3.25 * POWER(Table4[[#This Row],[ISC Base]] - 0.02,15),NA()))</f>
        <v>3.3733761599999994</v>
      </c>
      <c r="U25" s="161">
        <f>IF(Table4[[#This Row],[Impact Sub Score]]&lt;=0,0,IF(Table4[[#This Row],[Scope]]="Unchanged",ROUNDUP(MIN((Table4[[#This Row],[Impact Sub Score]]+Table4[[#This Row],[Exploitability Sub Score]]),10),1),IF(Table4[[#This Row],[Scope]]="Changed",ROUNDUP(MIN((1.08*(Table4[[#This Row],[Impact Sub Score]]+Table4[[#This Row],[Exploitability Sub Score]])),10),1),NA())))</f>
        <v>4.8</v>
      </c>
      <c r="V25" s="182" t="s">
        <v>65</v>
      </c>
      <c r="W25" s="183">
        <f>VLOOKUP(Table4[[#This Row],[Threat Event Initiation]],NIST_Scale_LOAI[],2,FALSE)</f>
        <v>0.8</v>
      </c>
      <c r="X2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2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49" t="s">
        <v>322</v>
      </c>
      <c r="AA25" s="49"/>
      <c r="AB25" s="88"/>
      <c r="AC25" s="87" t="s">
        <v>65</v>
      </c>
      <c r="AD25" s="87" t="s">
        <v>65</v>
      </c>
      <c r="AE25" s="87" t="s">
        <v>56</v>
      </c>
      <c r="AF25" s="157" t="s">
        <v>75</v>
      </c>
      <c r="AG25" s="157" t="s">
        <v>65</v>
      </c>
      <c r="AH25" s="157" t="s">
        <v>65</v>
      </c>
      <c r="AI25" s="157" t="s">
        <v>76</v>
      </c>
      <c r="AJ25" s="157" t="s">
        <v>74</v>
      </c>
      <c r="AK25" s="161">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0.12109046400000002</v>
      </c>
      <c r="AL25" s="161">
        <f>(1 - ((1 - VLOOKUP(Table4[[#This Row],[ConfidentialityP]],'Reference - CVSSv3.0'!$B$15:$C$17,2,FALSE)) * (1 - VLOOKUP(Table4[[#This Row],[IntegrityP]],'Reference - CVSSv3.0'!$B$15:$C$17,2,FALSE)) *  (1 - VLOOKUP(Table4[[#This Row],[AvailabilityP]],'Reference - CVSSv3.0'!$B$15:$C$17,2,FALSE))))</f>
        <v>0.84899199999999997</v>
      </c>
      <c r="AM25" s="161">
        <f>IF(Table4[[#This Row],[ScopeP]]="Unchanged",6.42*Table4[[#This Row],[ISC BaseP]],IF(Table4[[#This Row],[ScopeP]]="Changed",7.52*(Table4[[#This Row],[ISC BaseP]] - 0.029) - 3.25 * POWER(Table4[[#This Row],[ISC BaseP]] - 0.02,15),NA()))</f>
        <v>5.4505286399999999</v>
      </c>
      <c r="AN25" s="161">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2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5.6</v>
      </c>
      <c r="AP2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25" s="59" t="s">
        <v>198</v>
      </c>
    </row>
    <row r="26" spans="1:43" s="53" customFormat="1" ht="409.5" x14ac:dyDescent="0.25">
      <c r="A26" s="70">
        <v>22</v>
      </c>
      <c r="B26" s="182" t="s">
        <v>126</v>
      </c>
      <c r="C26" s="195" t="str">
        <f>IF(VLOOKUP(Table4[[#This Row],[T ID]],Table5[#All],5,FALSE)="No","Not in scope",VLOOKUP(Table4[[#This Row],[T ID]],Table5[#All],2,FALSE))</f>
        <v>CAPEC-185</v>
      </c>
      <c r="D26" s="212" t="s">
        <v>144</v>
      </c>
      <c r="E26" s="195" t="str">
        <f>IF(VLOOKUP(Table4[[#This Row],[V ID]],Vulnerabilities[#All],3,FALSE)="No","Not in scope",VLOOKUP(Table4[[#This Row],[V ID]],Vulnerabilities[#All],2,FALSE))</f>
        <v>Weak Algorthim implementation with respect cipher key size</v>
      </c>
      <c r="F26" s="216" t="s">
        <v>113</v>
      </c>
      <c r="G26" s="195" t="str">
        <f>VLOOKUP(Table4[[#This Row],[A ID]],Assets[#All],3,FALSE)</f>
        <v>Smart medic (Stryker device) System Component</v>
      </c>
      <c r="H26" s="49" t="s">
        <v>292</v>
      </c>
      <c r="I26" s="49"/>
      <c r="J26" s="87" t="s">
        <v>65</v>
      </c>
      <c r="K26" s="87" t="s">
        <v>65</v>
      </c>
      <c r="L26" s="87" t="s">
        <v>56</v>
      </c>
      <c r="M26" s="196" t="s">
        <v>79</v>
      </c>
      <c r="N26" s="157" t="s">
        <v>56</v>
      </c>
      <c r="O26" s="157" t="s">
        <v>56</v>
      </c>
      <c r="P26" s="196" t="s">
        <v>76</v>
      </c>
      <c r="Q26" s="196" t="s">
        <v>74</v>
      </c>
      <c r="R2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26" s="198">
        <f>(1 - ((1 - VLOOKUP(Table4[[#This Row],[Confidentiality]],'Reference - CVSSv3.0'!$B$15:$C$17,2,FALSE)) * (1 - VLOOKUP(Table4[[#This Row],[Integrity]],'Reference - CVSSv3.0'!$B$15:$C$17,2,FALSE)) *  (1 - VLOOKUP(Table4[[#This Row],[Availability]],'Reference - CVSSv3.0'!$B$15:$C$17,2,FALSE))))</f>
        <v>0.84899199999999997</v>
      </c>
      <c r="T26" s="198">
        <f>IF(Table4[[#This Row],[Scope]]="Unchanged",6.42*Table4[[#This Row],[ISC Base]],IF(Table4[[#This Row],[Scope]]="Changed",7.52*(Table4[[#This Row],[ISC Base]] - 0.029) - 3.25 * POWER(Table4[[#This Row],[ISC Base]] - 0.02,15),NA()))</f>
        <v>5.4505286399999999</v>
      </c>
      <c r="U26" s="198">
        <f>IF(Table4[[#This Row],[Impact Sub Score]]&lt;=0,0,IF(Table4[[#This Row],[Scope]]="Unchanged",ROUNDUP(MIN((Table4[[#This Row],[Impact Sub Score]]+Table4[[#This Row],[Exploitability Sub Score]]),10),1),IF(Table4[[#This Row],[Scope]]="Changed",ROUNDUP(MIN((1.08*(Table4[[#This Row],[Impact Sub Score]]+Table4[[#This Row],[Exploitability Sub Score]])),10),1),NA())))</f>
        <v>6.8</v>
      </c>
      <c r="V26" s="182" t="s">
        <v>65</v>
      </c>
      <c r="W26" s="198">
        <f>VLOOKUP(Table4[[#This Row],[Threat Event Initiation]],NIST_Scale_LOAI[],2,FALSE)</f>
        <v>0.8</v>
      </c>
      <c r="X2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6.6</v>
      </c>
      <c r="Y2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49" t="s">
        <v>322</v>
      </c>
      <c r="AA26" s="188"/>
      <c r="AB26" s="200"/>
      <c r="AC26" s="187"/>
      <c r="AD26" s="187"/>
      <c r="AE26" s="187"/>
      <c r="AF26" s="196"/>
      <c r="AG26" s="196"/>
      <c r="AH26" s="196"/>
      <c r="AI26" s="196"/>
      <c r="AJ26" s="201"/>
      <c r="AK2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6" s="198" t="e">
        <f>(1 - ((1 - VLOOKUP(Table4[[#This Row],[ConfidentialityP]],'Reference - CVSSv3.0'!$B$15:$C$17,2,FALSE)) * (1 - VLOOKUP(Table4[[#This Row],[IntegrityP]],'Reference - CVSSv3.0'!$B$15:$C$17,2,FALSE)) *  (1 - VLOOKUP(Table4[[#This Row],[AvailabilityP]],'Reference - CVSSv3.0'!$B$15:$C$17,2,FALSE))))</f>
        <v>#N/A</v>
      </c>
      <c r="AM26" s="198" t="e">
        <f>IF(Table4[[#This Row],[ScopeP]]="Unchanged",6.42*Table4[[#This Row],[ISC BaseP]],IF(Table4[[#This Row],[ScopeP]]="Changed",7.52*(Table4[[#This Row],[ISC BaseP]] - 0.029) - 3.25 * POWER(Table4[[#This Row],[ISC BaseP]] - 0.02,15),NA()))</f>
        <v>#N/A</v>
      </c>
      <c r="AN2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187"/>
    </row>
    <row r="27" spans="1:43" s="53" customFormat="1" ht="409.5" x14ac:dyDescent="0.25">
      <c r="A27" s="70">
        <v>23</v>
      </c>
      <c r="B27" s="182" t="s">
        <v>126</v>
      </c>
      <c r="C27" s="195" t="str">
        <f>IF(VLOOKUP(Table4[[#This Row],[T ID]],Table5[#All],5,FALSE)="No","Not in scope",VLOOKUP(Table4[[#This Row],[T ID]],Table5[#All],2,FALSE))</f>
        <v>CAPEC-185</v>
      </c>
      <c r="D27" s="212" t="s">
        <v>144</v>
      </c>
      <c r="E27" s="195" t="str">
        <f>IF(VLOOKUP(Table4[[#This Row],[V ID]],Vulnerabilities[#All],3,FALSE)="No","Not in scope",VLOOKUP(Table4[[#This Row],[V ID]],Vulnerabilities[#All],2,FALSE))</f>
        <v>Weak Algorthim implementation with respect cipher key size</v>
      </c>
      <c r="F27" s="216" t="s">
        <v>111</v>
      </c>
      <c r="G27" s="195" t="str">
        <f>VLOOKUP(Table4[[#This Row],[A ID]],Assets[#All],3,FALSE)</f>
        <v>Tablet Resources - web cam, microphone, OTG devices, Removable USB, Tablet Application,</v>
      </c>
      <c r="H27" s="49" t="s">
        <v>292</v>
      </c>
      <c r="I27" s="49"/>
      <c r="J27" s="87" t="s">
        <v>56</v>
      </c>
      <c r="K27" s="87" t="s">
        <v>56</v>
      </c>
      <c r="L27" s="87" t="s">
        <v>56</v>
      </c>
      <c r="M27" s="196" t="s">
        <v>79</v>
      </c>
      <c r="N27" s="157" t="s">
        <v>56</v>
      </c>
      <c r="O27" s="157" t="s">
        <v>56</v>
      </c>
      <c r="P27" s="196" t="s">
        <v>76</v>
      </c>
      <c r="Q27" s="196" t="s">
        <v>74</v>
      </c>
      <c r="R2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27" s="198">
        <f>(1 - ((1 - VLOOKUP(Table4[[#This Row],[Confidentiality]],'Reference - CVSSv3.0'!$B$15:$C$17,2,FALSE)) * (1 - VLOOKUP(Table4[[#This Row],[Integrity]],'Reference - CVSSv3.0'!$B$15:$C$17,2,FALSE)) *  (1 - VLOOKUP(Table4[[#This Row],[Availability]],'Reference - CVSSv3.0'!$B$15:$C$17,2,FALSE))))</f>
        <v>0.52544799999999992</v>
      </c>
      <c r="T27" s="198">
        <f>IF(Table4[[#This Row],[Scope]]="Unchanged",6.42*Table4[[#This Row],[ISC Base]],IF(Table4[[#This Row],[Scope]]="Changed",7.52*(Table4[[#This Row],[ISC Base]] - 0.029) - 3.25 * POWER(Table4[[#This Row],[ISC Base]] - 0.02,15),NA()))</f>
        <v>3.3733761599999994</v>
      </c>
      <c r="U27"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182" t="s">
        <v>56</v>
      </c>
      <c r="W27" s="198">
        <f>VLOOKUP(Table4[[#This Row],[Threat Event Initiation]],NIST_Scale_LOAI[],2,FALSE)</f>
        <v>0.2</v>
      </c>
      <c r="X2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49" t="s">
        <v>322</v>
      </c>
      <c r="AA27" s="188"/>
      <c r="AB27" s="200"/>
      <c r="AC27" s="187"/>
      <c r="AD27" s="187"/>
      <c r="AE27" s="187"/>
      <c r="AF27" s="196"/>
      <c r="AG27" s="196"/>
      <c r="AH27" s="196"/>
      <c r="AI27" s="196"/>
      <c r="AJ27" s="201"/>
      <c r="AK2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7" s="198" t="e">
        <f>(1 - ((1 - VLOOKUP(Table4[[#This Row],[ConfidentialityP]],'Reference - CVSSv3.0'!$B$15:$C$17,2,FALSE)) * (1 - VLOOKUP(Table4[[#This Row],[IntegrityP]],'Reference - CVSSv3.0'!$B$15:$C$17,2,FALSE)) *  (1 - VLOOKUP(Table4[[#This Row],[AvailabilityP]],'Reference - CVSSv3.0'!$B$15:$C$17,2,FALSE))))</f>
        <v>#N/A</v>
      </c>
      <c r="AM27" s="198" t="e">
        <f>IF(Table4[[#This Row],[ScopeP]]="Unchanged",6.42*Table4[[#This Row],[ISC BaseP]],IF(Table4[[#This Row],[ScopeP]]="Changed",7.52*(Table4[[#This Row],[ISC BaseP]] - 0.029) - 3.25 * POWER(Table4[[#This Row],[ISC BaseP]] - 0.02,15),NA()))</f>
        <v>#N/A</v>
      </c>
      <c r="AN2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187"/>
    </row>
    <row r="28" spans="1:43" s="53" customFormat="1" ht="409.5" x14ac:dyDescent="0.25">
      <c r="A28" s="70">
        <v>24</v>
      </c>
      <c r="B28" s="182" t="s">
        <v>126</v>
      </c>
      <c r="C28" s="195" t="str">
        <f>IF(VLOOKUP(Table4[[#This Row],[T ID]],Table5[#All],5,FALSE)="No","Not in scope",VLOOKUP(Table4[[#This Row],[T ID]],Table5[#All],2,FALSE))</f>
        <v>CAPEC-185</v>
      </c>
      <c r="D28" s="212" t="s">
        <v>249</v>
      </c>
      <c r="E28" s="195" t="str">
        <f>IF(VLOOKUP(Table4[[#This Row],[V ID]],Vulnerabilities[#All],3,FALSE)="No","Not in scope",VLOOKUP(Table4[[#This Row],[V ID]],Vulnerabilities[#All],2,FALSE))</f>
        <v>Unprotected external USB Port on the tablet/devices.</v>
      </c>
      <c r="F28" s="216" t="s">
        <v>118</v>
      </c>
      <c r="G28" s="195" t="str">
        <f>VLOOKUP(Table4[[#This Row],[A ID]],Assets[#All],3,FALSE)</f>
        <v>Wireless Network device</v>
      </c>
      <c r="H28" s="49" t="s">
        <v>292</v>
      </c>
      <c r="I28" s="49"/>
      <c r="J28" s="87" t="s">
        <v>56</v>
      </c>
      <c r="K28" s="87" t="s">
        <v>56</v>
      </c>
      <c r="L28" s="87" t="s">
        <v>56</v>
      </c>
      <c r="M28" s="157" t="s">
        <v>75</v>
      </c>
      <c r="N28" s="157" t="s">
        <v>56</v>
      </c>
      <c r="O28" s="157" t="s">
        <v>56</v>
      </c>
      <c r="P28" s="196" t="s">
        <v>76</v>
      </c>
      <c r="Q28" s="196" t="s">
        <v>74</v>
      </c>
      <c r="R2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28" s="198">
        <f>(1 - ((1 - VLOOKUP(Table4[[#This Row],[Confidentiality]],'Reference - CVSSv3.0'!$B$15:$C$17,2,FALSE)) * (1 - VLOOKUP(Table4[[#This Row],[Integrity]],'Reference - CVSSv3.0'!$B$15:$C$17,2,FALSE)) *  (1 - VLOOKUP(Table4[[#This Row],[Availability]],'Reference - CVSSv3.0'!$B$15:$C$17,2,FALSE))))</f>
        <v>0.52544799999999992</v>
      </c>
      <c r="T28" s="198">
        <f>IF(Table4[[#This Row],[Scope]]="Unchanged",6.42*Table4[[#This Row],[ISC Base]],IF(Table4[[#This Row],[Scope]]="Changed",7.52*(Table4[[#This Row],[ISC Base]] - 0.029) - 3.25 * POWER(Table4[[#This Row],[ISC Base]] - 0.02,15),NA()))</f>
        <v>3.3733761599999994</v>
      </c>
      <c r="U28"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182" t="s">
        <v>55</v>
      </c>
      <c r="W28" s="198">
        <f>VLOOKUP(Table4[[#This Row],[Threat Event Initiation]],NIST_Scale_LOAI[],2,FALSE)</f>
        <v>0.5</v>
      </c>
      <c r="X2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49" t="s">
        <v>308</v>
      </c>
      <c r="AA28" s="188"/>
      <c r="AB28" s="200"/>
      <c r="AC28" s="187"/>
      <c r="AD28" s="187"/>
      <c r="AE28" s="187"/>
      <c r="AF28" s="196"/>
      <c r="AG28" s="196"/>
      <c r="AH28" s="196"/>
      <c r="AI28" s="196"/>
      <c r="AJ28" s="201"/>
      <c r="AK2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8" s="198" t="e">
        <f>(1 - ((1 - VLOOKUP(Table4[[#This Row],[ConfidentialityP]],'Reference - CVSSv3.0'!$B$15:$C$17,2,FALSE)) * (1 - VLOOKUP(Table4[[#This Row],[IntegrityP]],'Reference - CVSSv3.0'!$B$15:$C$17,2,FALSE)) *  (1 - VLOOKUP(Table4[[#This Row],[AvailabilityP]],'Reference - CVSSv3.0'!$B$15:$C$17,2,FALSE))))</f>
        <v>#N/A</v>
      </c>
      <c r="AM28" s="198" t="e">
        <f>IF(Table4[[#This Row],[ScopeP]]="Unchanged",6.42*Table4[[#This Row],[ISC BaseP]],IF(Table4[[#This Row],[ScopeP]]="Changed",7.52*(Table4[[#This Row],[ISC BaseP]] - 0.029) - 3.25 * POWER(Table4[[#This Row],[ISC BaseP]] - 0.02,15),NA()))</f>
        <v>#N/A</v>
      </c>
      <c r="AN2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187"/>
    </row>
    <row r="29" spans="1:43" s="53" customFormat="1" ht="74.25" customHeight="1" x14ac:dyDescent="0.25">
      <c r="A29" s="70">
        <v>25</v>
      </c>
      <c r="B29" s="182" t="s">
        <v>126</v>
      </c>
      <c r="C29" s="195" t="str">
        <f>IF(VLOOKUP(Table4[[#This Row],[T ID]],Table5[#All],5,FALSE)="No","Not in scope",VLOOKUP(Table4[[#This Row],[T ID]],Table5[#All],2,FALSE))</f>
        <v>CAPEC-185</v>
      </c>
      <c r="D29" s="212" t="s">
        <v>249</v>
      </c>
      <c r="E29" s="195" t="str">
        <f>IF(VLOOKUP(Table4[[#This Row],[V ID]],Vulnerabilities[#All],3,FALSE)="No","Not in scope",VLOOKUP(Table4[[#This Row],[V ID]],Vulnerabilities[#All],2,FALSE))</f>
        <v>Unprotected external USB Port on the tablet/devices.</v>
      </c>
      <c r="F29" s="216" t="s">
        <v>111</v>
      </c>
      <c r="G29" s="195" t="str">
        <f>VLOOKUP(Table4[[#This Row],[A ID]],Assets[#All],3,FALSE)</f>
        <v>Tablet Resources - web cam, microphone, OTG devices, Removable USB, Tablet Application,</v>
      </c>
      <c r="H29" s="49" t="s">
        <v>292</v>
      </c>
      <c r="I29" s="49"/>
      <c r="J29" s="87" t="s">
        <v>56</v>
      </c>
      <c r="K29" s="87" t="s">
        <v>56</v>
      </c>
      <c r="L29" s="87" t="s">
        <v>56</v>
      </c>
      <c r="M29" s="157" t="s">
        <v>75</v>
      </c>
      <c r="N29" s="157" t="s">
        <v>56</v>
      </c>
      <c r="O29" s="157" t="s">
        <v>56</v>
      </c>
      <c r="P29" s="196" t="s">
        <v>76</v>
      </c>
      <c r="Q29" s="196" t="s">
        <v>74</v>
      </c>
      <c r="R2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29" s="198">
        <f>(1 - ((1 - VLOOKUP(Table4[[#This Row],[Confidentiality]],'Reference - CVSSv3.0'!$B$15:$C$17,2,FALSE)) * (1 - VLOOKUP(Table4[[#This Row],[Integrity]],'Reference - CVSSv3.0'!$B$15:$C$17,2,FALSE)) *  (1 - VLOOKUP(Table4[[#This Row],[Availability]],'Reference - CVSSv3.0'!$B$15:$C$17,2,FALSE))))</f>
        <v>0.52544799999999992</v>
      </c>
      <c r="T29" s="198">
        <f>IF(Table4[[#This Row],[Scope]]="Unchanged",6.42*Table4[[#This Row],[ISC Base]],IF(Table4[[#This Row],[Scope]]="Changed",7.52*(Table4[[#This Row],[ISC Base]] - 0.029) - 3.25 * POWER(Table4[[#This Row],[ISC Base]] - 0.02,15),NA()))</f>
        <v>3.3733761599999994</v>
      </c>
      <c r="U29"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182" t="s">
        <v>65</v>
      </c>
      <c r="W29" s="198">
        <f>VLOOKUP(Table4[[#This Row],[Threat Event Initiation]],NIST_Scale_LOAI[],2,FALSE)</f>
        <v>0.8</v>
      </c>
      <c r="X2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49" t="s">
        <v>322</v>
      </c>
      <c r="AA29" s="188"/>
      <c r="AB29" s="200"/>
      <c r="AC29" s="187"/>
      <c r="AD29" s="187"/>
      <c r="AE29" s="187"/>
      <c r="AF29" s="196"/>
      <c r="AG29" s="196"/>
      <c r="AH29" s="196"/>
      <c r="AI29" s="196"/>
      <c r="AJ29" s="201"/>
      <c r="AK2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9" s="198" t="e">
        <f>(1 - ((1 - VLOOKUP(Table4[[#This Row],[ConfidentialityP]],'Reference - CVSSv3.0'!$B$15:$C$17,2,FALSE)) * (1 - VLOOKUP(Table4[[#This Row],[IntegrityP]],'Reference - CVSSv3.0'!$B$15:$C$17,2,FALSE)) *  (1 - VLOOKUP(Table4[[#This Row],[AvailabilityP]],'Reference - CVSSv3.0'!$B$15:$C$17,2,FALSE))))</f>
        <v>#N/A</v>
      </c>
      <c r="AM29" s="198" t="e">
        <f>IF(Table4[[#This Row],[ScopeP]]="Unchanged",6.42*Table4[[#This Row],[ISC BaseP]],IF(Table4[[#This Row],[ScopeP]]="Changed",7.52*(Table4[[#This Row],[ISC BaseP]] - 0.029) - 3.25 * POWER(Table4[[#This Row],[ISC BaseP]] - 0.02,15),NA()))</f>
        <v>#N/A</v>
      </c>
      <c r="AN2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187"/>
    </row>
    <row r="30" spans="1:43" s="53" customFormat="1" ht="409.5" x14ac:dyDescent="0.25">
      <c r="A30" s="70">
        <v>26</v>
      </c>
      <c r="B30" s="182" t="s">
        <v>126</v>
      </c>
      <c r="C30" s="195" t="str">
        <f>IF(VLOOKUP(Table4[[#This Row],[T ID]],Table5[#All],5,FALSE)="No","Not in scope",VLOOKUP(Table4[[#This Row],[T ID]],Table5[#All],2,FALSE))</f>
        <v>CAPEC-185</v>
      </c>
      <c r="D30" s="212" t="s">
        <v>249</v>
      </c>
      <c r="E30" s="195" t="str">
        <f>IF(VLOOKUP(Table4[[#This Row],[V ID]],Vulnerabilities[#All],3,FALSE)="No","Not in scope",VLOOKUP(Table4[[#This Row],[V ID]],Vulnerabilities[#All],2,FALSE))</f>
        <v>Unprotected external USB Port on the tablet/devices.</v>
      </c>
      <c r="F30" s="216" t="s">
        <v>107</v>
      </c>
      <c r="G30" s="195" t="str">
        <f>VLOOKUP(Table4[[#This Row],[A ID]],Assets[#All],3,FALSE)</f>
        <v>Smart medic app (Stryker Azure Cloud Web Application)</v>
      </c>
      <c r="H30" s="49" t="s">
        <v>292</v>
      </c>
      <c r="I30" s="49"/>
      <c r="J30" s="87" t="s">
        <v>56</v>
      </c>
      <c r="K30" s="87" t="s">
        <v>56</v>
      </c>
      <c r="L30" s="87" t="s">
        <v>56</v>
      </c>
      <c r="M30" s="157" t="s">
        <v>75</v>
      </c>
      <c r="N30" s="157" t="s">
        <v>56</v>
      </c>
      <c r="O30" s="157" t="s">
        <v>56</v>
      </c>
      <c r="P30" s="196" t="s">
        <v>76</v>
      </c>
      <c r="Q30" s="196" t="s">
        <v>74</v>
      </c>
      <c r="R3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30" s="198">
        <f>(1 - ((1 - VLOOKUP(Table4[[#This Row],[Confidentiality]],'Reference - CVSSv3.0'!$B$15:$C$17,2,FALSE)) * (1 - VLOOKUP(Table4[[#This Row],[Integrity]],'Reference - CVSSv3.0'!$B$15:$C$17,2,FALSE)) *  (1 - VLOOKUP(Table4[[#This Row],[Availability]],'Reference - CVSSv3.0'!$B$15:$C$17,2,FALSE))))</f>
        <v>0.52544799999999992</v>
      </c>
      <c r="T30" s="198">
        <f>IF(Table4[[#This Row],[Scope]]="Unchanged",6.42*Table4[[#This Row],[ISC Base]],IF(Table4[[#This Row],[Scope]]="Changed",7.52*(Table4[[#This Row],[ISC Base]] - 0.029) - 3.25 * POWER(Table4[[#This Row],[ISC Base]] - 0.02,15),NA()))</f>
        <v>3.3733761599999994</v>
      </c>
      <c r="U30"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182" t="s">
        <v>56</v>
      </c>
      <c r="W30" s="198">
        <f>VLOOKUP(Table4[[#This Row],[Threat Event Initiation]],NIST_Scale_LOAI[],2,FALSE)</f>
        <v>0.2</v>
      </c>
      <c r="X3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49" t="s">
        <v>309</v>
      </c>
      <c r="AA30" s="188"/>
      <c r="AB30" s="200"/>
      <c r="AC30" s="187"/>
      <c r="AD30" s="187"/>
      <c r="AE30" s="187"/>
      <c r="AF30" s="196"/>
      <c r="AG30" s="196"/>
      <c r="AH30" s="196"/>
      <c r="AI30" s="196"/>
      <c r="AJ30" s="201"/>
      <c r="AK3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0" s="198" t="e">
        <f>(1 - ((1 - VLOOKUP(Table4[[#This Row],[ConfidentialityP]],'Reference - CVSSv3.0'!$B$15:$C$17,2,FALSE)) * (1 - VLOOKUP(Table4[[#This Row],[IntegrityP]],'Reference - CVSSv3.0'!$B$15:$C$17,2,FALSE)) *  (1 - VLOOKUP(Table4[[#This Row],[AvailabilityP]],'Reference - CVSSv3.0'!$B$15:$C$17,2,FALSE))))</f>
        <v>#N/A</v>
      </c>
      <c r="AM30" s="198" t="e">
        <f>IF(Table4[[#This Row],[ScopeP]]="Unchanged",6.42*Table4[[#This Row],[ISC BaseP]],IF(Table4[[#This Row],[ScopeP]]="Changed",7.52*(Table4[[#This Row],[ISC BaseP]] - 0.029) - 3.25 * POWER(Table4[[#This Row],[ISC BaseP]] - 0.02,15),NA()))</f>
        <v>#N/A</v>
      </c>
      <c r="AN3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187"/>
    </row>
    <row r="31" spans="1:43" s="53" customFormat="1" ht="409.5" x14ac:dyDescent="0.25">
      <c r="A31" s="70">
        <v>27</v>
      </c>
      <c r="B31" s="182" t="s">
        <v>126</v>
      </c>
      <c r="C31" s="195" t="str">
        <f>IF(VLOOKUP(Table4[[#This Row],[T ID]],Table5[#All],5,FALSE)="No","Not in scope",VLOOKUP(Table4[[#This Row],[T ID]],Table5[#All],2,FALSE))</f>
        <v>CAPEC-185</v>
      </c>
      <c r="D31" s="212" t="s">
        <v>121</v>
      </c>
      <c r="E31" s="195" t="str">
        <f>IF(VLOOKUP(Table4[[#This Row],[V ID]],Vulnerabilities[#All],3,FALSE)="No","Not in scope",VLOOKUP(Table4[[#This Row],[V ID]],Vulnerabilities[#All],2,FALSE))</f>
        <v>Lack of  Strong Guidelines Password Policy</v>
      </c>
      <c r="F31" s="216" t="s">
        <v>111</v>
      </c>
      <c r="G31" s="195" t="str">
        <f>VLOOKUP(Table4[[#This Row],[A ID]],Assets[#All],3,FALSE)</f>
        <v>Tablet Resources - web cam, microphone, OTG devices, Removable USB, Tablet Application,</v>
      </c>
      <c r="H31" s="49" t="s">
        <v>292</v>
      </c>
      <c r="I31" s="49"/>
      <c r="J31" s="87" t="s">
        <v>56</v>
      </c>
      <c r="K31" s="87" t="s">
        <v>56</v>
      </c>
      <c r="L31" s="87" t="s">
        <v>56</v>
      </c>
      <c r="M31" s="196" t="s">
        <v>78</v>
      </c>
      <c r="N31" s="157" t="s">
        <v>56</v>
      </c>
      <c r="O31" s="157" t="s">
        <v>56</v>
      </c>
      <c r="P31" s="196" t="s">
        <v>76</v>
      </c>
      <c r="Q31" s="196" t="s">
        <v>74</v>
      </c>
      <c r="R3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31" s="198">
        <f>(1 - ((1 - VLOOKUP(Table4[[#This Row],[Confidentiality]],'Reference - CVSSv3.0'!$B$15:$C$17,2,FALSE)) * (1 - VLOOKUP(Table4[[#This Row],[Integrity]],'Reference - CVSSv3.0'!$B$15:$C$17,2,FALSE)) *  (1 - VLOOKUP(Table4[[#This Row],[Availability]],'Reference - CVSSv3.0'!$B$15:$C$17,2,FALSE))))</f>
        <v>0.52544799999999992</v>
      </c>
      <c r="T31" s="198">
        <f>IF(Table4[[#This Row],[Scope]]="Unchanged",6.42*Table4[[#This Row],[ISC Base]],IF(Table4[[#This Row],[Scope]]="Changed",7.52*(Table4[[#This Row],[ISC Base]] - 0.029) - 3.25 * POWER(Table4[[#This Row],[ISC Base]] - 0.02,15),NA()))</f>
        <v>3.3733761599999994</v>
      </c>
      <c r="U31"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31" s="182" t="s">
        <v>65</v>
      </c>
      <c r="W31" s="198">
        <f>VLOOKUP(Table4[[#This Row],[Threat Event Initiation]],NIST_Scale_LOAI[],2,FALSE)</f>
        <v>0.8</v>
      </c>
      <c r="X3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49" t="s">
        <v>322</v>
      </c>
      <c r="AA31" s="188"/>
      <c r="AB31" s="200"/>
      <c r="AC31" s="187"/>
      <c r="AD31" s="187"/>
      <c r="AE31" s="187"/>
      <c r="AF31" s="196"/>
      <c r="AG31" s="196"/>
      <c r="AH31" s="196"/>
      <c r="AI31" s="196"/>
      <c r="AJ31" s="201"/>
      <c r="AK3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1" s="198" t="e">
        <f>(1 - ((1 - VLOOKUP(Table4[[#This Row],[ConfidentialityP]],'Reference - CVSSv3.0'!$B$15:$C$17,2,FALSE)) * (1 - VLOOKUP(Table4[[#This Row],[IntegrityP]],'Reference - CVSSv3.0'!$B$15:$C$17,2,FALSE)) *  (1 - VLOOKUP(Table4[[#This Row],[AvailabilityP]],'Reference - CVSSv3.0'!$B$15:$C$17,2,FALSE))))</f>
        <v>#N/A</v>
      </c>
      <c r="AM31" s="198" t="e">
        <f>IF(Table4[[#This Row],[ScopeP]]="Unchanged",6.42*Table4[[#This Row],[ISC BaseP]],IF(Table4[[#This Row],[ScopeP]]="Changed",7.52*(Table4[[#This Row],[ISC BaseP]] - 0.029) - 3.25 * POWER(Table4[[#This Row],[ISC BaseP]] - 0.02,15),NA()))</f>
        <v>#N/A</v>
      </c>
      <c r="AN3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187"/>
    </row>
    <row r="32" spans="1:43" s="53" customFormat="1" ht="73.5" customHeight="1" x14ac:dyDescent="0.25">
      <c r="A32" s="70">
        <v>28</v>
      </c>
      <c r="B32" s="182" t="s">
        <v>126</v>
      </c>
      <c r="C32" s="195" t="str">
        <f>IF(VLOOKUP(Table4[[#This Row],[T ID]],Table5[#All],5,FALSE)="No","Not in scope",VLOOKUP(Table4[[#This Row],[T ID]],Table5[#All],2,FALSE))</f>
        <v>CAPEC-185</v>
      </c>
      <c r="D32" s="212" t="s">
        <v>235</v>
      </c>
      <c r="E32" s="195" t="str">
        <f>IF(VLOOKUP(Table4[[#This Row],[V ID]],Vulnerabilities[#All],3,FALSE)="No","Not in scope",VLOOKUP(Table4[[#This Row],[V ID]],Vulnerabilities[#All],2,FALSE))</f>
        <v>Lack of configuration controls for IT assets in the informaion system plan</v>
      </c>
      <c r="F32" s="216" t="s">
        <v>115</v>
      </c>
      <c r="G32" s="195" t="str">
        <f>VLOOKUP(Table4[[#This Row],[A ID]],Assets[#All],3,FALSE)</f>
        <v>Device Maintainence tool (Hardware/Software)</v>
      </c>
      <c r="H32" s="49" t="s">
        <v>292</v>
      </c>
      <c r="I32" s="49"/>
      <c r="J32" s="87" t="s">
        <v>56</v>
      </c>
      <c r="K32" s="87" t="s">
        <v>56</v>
      </c>
      <c r="L32" s="87" t="s">
        <v>56</v>
      </c>
      <c r="M32" s="196" t="s">
        <v>79</v>
      </c>
      <c r="N32" s="157" t="s">
        <v>56</v>
      </c>
      <c r="O32" s="157" t="s">
        <v>56</v>
      </c>
      <c r="P32" s="196" t="s">
        <v>77</v>
      </c>
      <c r="Q32" s="196" t="s">
        <v>74</v>
      </c>
      <c r="R3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32" s="198">
        <f>(1 - ((1 - VLOOKUP(Table4[[#This Row],[Confidentiality]],'Reference - CVSSv3.0'!$B$15:$C$17,2,FALSE)) * (1 - VLOOKUP(Table4[[#This Row],[Integrity]],'Reference - CVSSv3.0'!$B$15:$C$17,2,FALSE)) *  (1 - VLOOKUP(Table4[[#This Row],[Availability]],'Reference - CVSSv3.0'!$B$15:$C$17,2,FALSE))))</f>
        <v>0.52544799999999992</v>
      </c>
      <c r="T32" s="198">
        <f>IF(Table4[[#This Row],[Scope]]="Unchanged",6.42*Table4[[#This Row],[ISC Base]],IF(Table4[[#This Row],[Scope]]="Changed",7.52*(Table4[[#This Row],[ISC Base]] - 0.029) - 3.25 * POWER(Table4[[#This Row],[ISC Base]] - 0.02,15),NA()))</f>
        <v>3.3733761599999994</v>
      </c>
      <c r="U3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182" t="s">
        <v>56</v>
      </c>
      <c r="W32" s="198">
        <f>VLOOKUP(Table4[[#This Row],[Threat Event Initiation]],NIST_Scale_LOAI[],2,FALSE)</f>
        <v>0.2</v>
      </c>
      <c r="X3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49" t="s">
        <v>322</v>
      </c>
      <c r="AA32" s="188"/>
      <c r="AB32" s="200"/>
      <c r="AC32" s="187"/>
      <c r="AD32" s="187"/>
      <c r="AE32" s="187"/>
      <c r="AF32" s="196"/>
      <c r="AG32" s="196"/>
      <c r="AH32" s="196"/>
      <c r="AI32" s="196"/>
      <c r="AJ32" s="201"/>
      <c r="AK3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2" s="198" t="e">
        <f>(1 - ((1 - VLOOKUP(Table4[[#This Row],[ConfidentialityP]],'Reference - CVSSv3.0'!$B$15:$C$17,2,FALSE)) * (1 - VLOOKUP(Table4[[#This Row],[IntegrityP]],'Reference - CVSSv3.0'!$B$15:$C$17,2,FALSE)) *  (1 - VLOOKUP(Table4[[#This Row],[AvailabilityP]],'Reference - CVSSv3.0'!$B$15:$C$17,2,FALSE))))</f>
        <v>#N/A</v>
      </c>
      <c r="AM32" s="198" t="e">
        <f>IF(Table4[[#This Row],[ScopeP]]="Unchanged",6.42*Table4[[#This Row],[ISC BaseP]],IF(Table4[[#This Row],[ScopeP]]="Changed",7.52*(Table4[[#This Row],[ISC BaseP]] - 0.029) - 3.25 * POWER(Table4[[#This Row],[ISC BaseP]] - 0.02,15),NA()))</f>
        <v>#N/A</v>
      </c>
      <c r="AN3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187"/>
    </row>
    <row r="33" spans="1:43" s="53" customFormat="1" ht="88.5" customHeight="1" x14ac:dyDescent="0.25">
      <c r="A33" s="70">
        <v>29</v>
      </c>
      <c r="B33" s="182" t="s">
        <v>126</v>
      </c>
      <c r="C33" s="195" t="str">
        <f>IF(VLOOKUP(Table4[[#This Row],[T ID]],Table5[#All],5,FALSE)="No","Not in scope",VLOOKUP(Table4[[#This Row],[T ID]],Table5[#All],2,FALSE))</f>
        <v>CAPEC-185</v>
      </c>
      <c r="D33" s="212" t="s">
        <v>235</v>
      </c>
      <c r="E33" s="195" t="str">
        <f>IF(VLOOKUP(Table4[[#This Row],[V ID]],Vulnerabilities[#All],3,FALSE)="No","Not in scope",VLOOKUP(Table4[[#This Row],[V ID]],Vulnerabilities[#All],2,FALSE))</f>
        <v>Lack of configuration controls for IT assets in the informaion system plan</v>
      </c>
      <c r="F33" s="216" t="s">
        <v>113</v>
      </c>
      <c r="G33" s="195" t="str">
        <f>VLOOKUP(Table4[[#This Row],[A ID]],Assets[#All],3,FALSE)</f>
        <v>Smart medic (Stryker device) System Component</v>
      </c>
      <c r="H33" s="49" t="s">
        <v>292</v>
      </c>
      <c r="I33" s="49"/>
      <c r="J33" s="87" t="s">
        <v>56</v>
      </c>
      <c r="K33" s="87" t="s">
        <v>56</v>
      </c>
      <c r="L33" s="87" t="s">
        <v>56</v>
      </c>
      <c r="M33" s="196" t="s">
        <v>79</v>
      </c>
      <c r="N33" s="157" t="s">
        <v>56</v>
      </c>
      <c r="O33" s="157" t="s">
        <v>56</v>
      </c>
      <c r="P33" s="196" t="s">
        <v>77</v>
      </c>
      <c r="Q33" s="196" t="s">
        <v>74</v>
      </c>
      <c r="R3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33" s="198">
        <f>(1 - ((1 - VLOOKUP(Table4[[#This Row],[Confidentiality]],'Reference - CVSSv3.0'!$B$15:$C$17,2,FALSE)) * (1 - VLOOKUP(Table4[[#This Row],[Integrity]],'Reference - CVSSv3.0'!$B$15:$C$17,2,FALSE)) *  (1 - VLOOKUP(Table4[[#This Row],[Availability]],'Reference - CVSSv3.0'!$B$15:$C$17,2,FALSE))))</f>
        <v>0.52544799999999992</v>
      </c>
      <c r="T33" s="198">
        <f>IF(Table4[[#This Row],[Scope]]="Unchanged",6.42*Table4[[#This Row],[ISC Base]],IF(Table4[[#This Row],[Scope]]="Changed",7.52*(Table4[[#This Row],[ISC Base]] - 0.029) - 3.25 * POWER(Table4[[#This Row],[ISC Base]] - 0.02,15),NA()))</f>
        <v>3.3733761599999994</v>
      </c>
      <c r="U33"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182" t="s">
        <v>56</v>
      </c>
      <c r="W33" s="198">
        <f>VLOOKUP(Table4[[#This Row],[Threat Event Initiation]],NIST_Scale_LOAI[],2,FALSE)</f>
        <v>0.2</v>
      </c>
      <c r="X3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49" t="s">
        <v>322</v>
      </c>
      <c r="AA33" s="188"/>
      <c r="AB33" s="200"/>
      <c r="AC33" s="187"/>
      <c r="AD33" s="187"/>
      <c r="AE33" s="187"/>
      <c r="AF33" s="196"/>
      <c r="AG33" s="196"/>
      <c r="AH33" s="196"/>
      <c r="AI33" s="196"/>
      <c r="AJ33" s="201"/>
      <c r="AK3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3" s="198" t="e">
        <f>(1 - ((1 - VLOOKUP(Table4[[#This Row],[ConfidentialityP]],'Reference - CVSSv3.0'!$B$15:$C$17,2,FALSE)) * (1 - VLOOKUP(Table4[[#This Row],[IntegrityP]],'Reference - CVSSv3.0'!$B$15:$C$17,2,FALSE)) *  (1 - VLOOKUP(Table4[[#This Row],[AvailabilityP]],'Reference - CVSSv3.0'!$B$15:$C$17,2,FALSE))))</f>
        <v>#N/A</v>
      </c>
      <c r="AM33" s="198" t="e">
        <f>IF(Table4[[#This Row],[ScopeP]]="Unchanged",6.42*Table4[[#This Row],[ISC BaseP]],IF(Table4[[#This Row],[ScopeP]]="Changed",7.52*(Table4[[#This Row],[ISC BaseP]] - 0.029) - 3.25 * POWER(Table4[[#This Row],[ISC BaseP]] - 0.02,15),NA()))</f>
        <v>#N/A</v>
      </c>
      <c r="AN3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187"/>
    </row>
    <row r="34" spans="1:43" s="53" customFormat="1" ht="90.75" customHeight="1" x14ac:dyDescent="0.25">
      <c r="A34" s="70">
        <v>30</v>
      </c>
      <c r="B34" s="182" t="s">
        <v>126</v>
      </c>
      <c r="C34" s="195" t="str">
        <f>IF(VLOOKUP(Table4[[#This Row],[T ID]],Table5[#All],5,FALSE)="No","Not in scope",VLOOKUP(Table4[[#This Row],[T ID]],Table5[#All],2,FALSE))</f>
        <v>CAPEC-185</v>
      </c>
      <c r="D34" s="212" t="s">
        <v>235</v>
      </c>
      <c r="E34" s="195" t="str">
        <f>IF(VLOOKUP(Table4[[#This Row],[V ID]],Vulnerabilities[#All],3,FALSE)="No","Not in scope",VLOOKUP(Table4[[#This Row],[V ID]],Vulnerabilities[#All],2,FALSE))</f>
        <v>Lack of configuration controls for IT assets in the informaion system plan</v>
      </c>
      <c r="F34" s="216" t="s">
        <v>111</v>
      </c>
      <c r="G34" s="195" t="str">
        <f>VLOOKUP(Table4[[#This Row],[A ID]],Assets[#All],3,FALSE)</f>
        <v>Tablet Resources - web cam, microphone, OTG devices, Removable USB, Tablet Application,</v>
      </c>
      <c r="H34" s="49" t="s">
        <v>292</v>
      </c>
      <c r="I34" s="49"/>
      <c r="J34" s="87" t="s">
        <v>56</v>
      </c>
      <c r="K34" s="87" t="s">
        <v>56</v>
      </c>
      <c r="L34" s="87" t="s">
        <v>56</v>
      </c>
      <c r="M34" s="196" t="s">
        <v>79</v>
      </c>
      <c r="N34" s="157" t="s">
        <v>56</v>
      </c>
      <c r="O34" s="157" t="s">
        <v>56</v>
      </c>
      <c r="P34" s="196" t="s">
        <v>77</v>
      </c>
      <c r="Q34" s="196" t="s">
        <v>74</v>
      </c>
      <c r="R3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34" s="198">
        <f>(1 - ((1 - VLOOKUP(Table4[[#This Row],[Confidentiality]],'Reference - CVSSv3.0'!$B$15:$C$17,2,FALSE)) * (1 - VLOOKUP(Table4[[#This Row],[Integrity]],'Reference - CVSSv3.0'!$B$15:$C$17,2,FALSE)) *  (1 - VLOOKUP(Table4[[#This Row],[Availability]],'Reference - CVSSv3.0'!$B$15:$C$17,2,FALSE))))</f>
        <v>0.52544799999999992</v>
      </c>
      <c r="T34" s="198">
        <f>IF(Table4[[#This Row],[Scope]]="Unchanged",6.42*Table4[[#This Row],[ISC Base]],IF(Table4[[#This Row],[Scope]]="Changed",7.52*(Table4[[#This Row],[ISC Base]] - 0.029) - 3.25 * POWER(Table4[[#This Row],[ISC Base]] - 0.02,15),NA()))</f>
        <v>3.3733761599999994</v>
      </c>
      <c r="U3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182" t="s">
        <v>56</v>
      </c>
      <c r="W34" s="198">
        <f>VLOOKUP(Table4[[#This Row],[Threat Event Initiation]],NIST_Scale_LOAI[],2,FALSE)</f>
        <v>0.2</v>
      </c>
      <c r="X3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49" t="s">
        <v>322</v>
      </c>
      <c r="AA34" s="188"/>
      <c r="AB34" s="200"/>
      <c r="AC34" s="187"/>
      <c r="AD34" s="187"/>
      <c r="AE34" s="187"/>
      <c r="AF34" s="196"/>
      <c r="AG34" s="196"/>
      <c r="AH34" s="196"/>
      <c r="AI34" s="196"/>
      <c r="AJ34" s="201"/>
      <c r="AK3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4" s="198" t="e">
        <f>(1 - ((1 - VLOOKUP(Table4[[#This Row],[ConfidentialityP]],'Reference - CVSSv3.0'!$B$15:$C$17,2,FALSE)) * (1 - VLOOKUP(Table4[[#This Row],[IntegrityP]],'Reference - CVSSv3.0'!$B$15:$C$17,2,FALSE)) *  (1 - VLOOKUP(Table4[[#This Row],[AvailabilityP]],'Reference - CVSSv3.0'!$B$15:$C$17,2,FALSE))))</f>
        <v>#N/A</v>
      </c>
      <c r="AM34" s="198" t="e">
        <f>IF(Table4[[#This Row],[ScopeP]]="Unchanged",6.42*Table4[[#This Row],[ISC BaseP]],IF(Table4[[#This Row],[ScopeP]]="Changed",7.52*(Table4[[#This Row],[ISC BaseP]] - 0.029) - 3.25 * POWER(Table4[[#This Row],[ISC BaseP]] - 0.02,15),NA()))</f>
        <v>#N/A</v>
      </c>
      <c r="AN3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187"/>
    </row>
    <row r="35" spans="1:43" s="53" customFormat="1" ht="75" customHeight="1" x14ac:dyDescent="0.25">
      <c r="A35" s="70">
        <v>31</v>
      </c>
      <c r="B35" s="182" t="s">
        <v>126</v>
      </c>
      <c r="C35" s="195" t="str">
        <f>IF(VLOOKUP(Table4[[#This Row],[T ID]],Table5[#All],5,FALSE)="No","Not in scope",VLOOKUP(Table4[[#This Row],[T ID]],Table5[#All],2,FALSE))</f>
        <v>CAPEC-185</v>
      </c>
      <c r="D35" s="212" t="s">
        <v>248</v>
      </c>
      <c r="E35" s="195" t="str">
        <f>IF(VLOOKUP(Table4[[#This Row],[V ID]],Vulnerabilities[#All],3,FALSE)="No","Not in scope",VLOOKUP(Table4[[#This Row],[V ID]],Vulnerabilities[#All],2,FALSE))</f>
        <v>Assest counting system for all instances of product implementation</v>
      </c>
      <c r="F35" s="216" t="s">
        <v>113</v>
      </c>
      <c r="G35" s="195" t="str">
        <f>VLOOKUP(Table4[[#This Row],[A ID]],Assets[#All],3,FALSE)</f>
        <v>Smart medic (Stryker device) System Component</v>
      </c>
      <c r="H35" s="49" t="s">
        <v>293</v>
      </c>
      <c r="I35" s="49"/>
      <c r="J35" s="87" t="s">
        <v>65</v>
      </c>
      <c r="K35" s="87" t="s">
        <v>65</v>
      </c>
      <c r="L35" s="87" t="s">
        <v>56</v>
      </c>
      <c r="M35" s="196" t="s">
        <v>78</v>
      </c>
      <c r="N35" s="157" t="s">
        <v>56</v>
      </c>
      <c r="O35" s="157" t="s">
        <v>56</v>
      </c>
      <c r="P35" s="196" t="s">
        <v>77</v>
      </c>
      <c r="Q35" s="196" t="s">
        <v>74</v>
      </c>
      <c r="R3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35" s="198">
        <f>(1 - ((1 - VLOOKUP(Table4[[#This Row],[Confidentiality]],'Reference - CVSSv3.0'!$B$15:$C$17,2,FALSE)) * (1 - VLOOKUP(Table4[[#This Row],[Integrity]],'Reference - CVSSv3.0'!$B$15:$C$17,2,FALSE)) *  (1 - VLOOKUP(Table4[[#This Row],[Availability]],'Reference - CVSSv3.0'!$B$15:$C$17,2,FALSE))))</f>
        <v>0.84899199999999997</v>
      </c>
      <c r="T35" s="198">
        <f>IF(Table4[[#This Row],[Scope]]="Unchanged",6.42*Table4[[#This Row],[ISC Base]],IF(Table4[[#This Row],[Scope]]="Changed",7.52*(Table4[[#This Row],[ISC Base]] - 0.029) - 3.25 * POWER(Table4[[#This Row],[ISC Base]] - 0.02,15),NA()))</f>
        <v>5.4505286399999999</v>
      </c>
      <c r="U35" s="198">
        <f>IF(Table4[[#This Row],[Impact Sub Score]]&lt;=0,0,IF(Table4[[#This Row],[Scope]]="Unchanged",ROUNDUP(MIN((Table4[[#This Row],[Impact Sub Score]]+Table4[[#This Row],[Exploitability Sub Score]]),10),1),IF(Table4[[#This Row],[Scope]]="Changed",ROUNDUP(MIN((1.08*(Table4[[#This Row],[Impact Sub Score]]+Table4[[#This Row],[Exploitability Sub Score]])),10),1),NA())))</f>
        <v>8.2999999999999989</v>
      </c>
      <c r="V35" s="182" t="s">
        <v>55</v>
      </c>
      <c r="W35" s="198">
        <f>VLOOKUP(Table4[[#This Row],[Threat Event Initiation]],NIST_Scale_LOAI[],2,FALSE)</f>
        <v>0.5</v>
      </c>
      <c r="X3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6.8999999999999995</v>
      </c>
      <c r="Y3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49" t="s">
        <v>322</v>
      </c>
      <c r="AA35" s="188"/>
      <c r="AB35" s="200"/>
      <c r="AC35" s="187"/>
      <c r="AD35" s="187"/>
      <c r="AE35" s="187"/>
      <c r="AF35" s="196"/>
      <c r="AG35" s="196"/>
      <c r="AH35" s="196"/>
      <c r="AI35" s="196"/>
      <c r="AJ35" s="201"/>
      <c r="AK3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5" s="198" t="e">
        <f>(1 - ((1 - VLOOKUP(Table4[[#This Row],[ConfidentialityP]],'Reference - CVSSv3.0'!$B$15:$C$17,2,FALSE)) * (1 - VLOOKUP(Table4[[#This Row],[IntegrityP]],'Reference - CVSSv3.0'!$B$15:$C$17,2,FALSE)) *  (1 - VLOOKUP(Table4[[#This Row],[AvailabilityP]],'Reference - CVSSv3.0'!$B$15:$C$17,2,FALSE))))</f>
        <v>#N/A</v>
      </c>
      <c r="AM35" s="198" t="e">
        <f>IF(Table4[[#This Row],[ScopeP]]="Unchanged",6.42*Table4[[#This Row],[ISC BaseP]],IF(Table4[[#This Row],[ScopeP]]="Changed",7.52*(Table4[[#This Row],[ISC BaseP]] - 0.029) - 3.25 * POWER(Table4[[#This Row],[ISC BaseP]] - 0.02,15),NA()))</f>
        <v>#N/A</v>
      </c>
      <c r="AN3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187"/>
    </row>
    <row r="36" spans="1:43" s="53" customFormat="1" ht="409.5" x14ac:dyDescent="0.25">
      <c r="A36" s="70">
        <v>32</v>
      </c>
      <c r="B36" s="182" t="s">
        <v>126</v>
      </c>
      <c r="C36" s="195" t="str">
        <f>IF(VLOOKUP(Table4[[#This Row],[T ID]],Table5[#All],5,FALSE)="No","Not in scope",VLOOKUP(Table4[[#This Row],[T ID]],Table5[#All],2,FALSE))</f>
        <v>CAPEC-185</v>
      </c>
      <c r="D36" s="212" t="s">
        <v>248</v>
      </c>
      <c r="E36" s="195" t="str">
        <f>IF(VLOOKUP(Table4[[#This Row],[V ID]],Vulnerabilities[#All],3,FALSE)="No","Not in scope",VLOOKUP(Table4[[#This Row],[V ID]],Vulnerabilities[#All],2,FALSE))</f>
        <v>Assest counting system for all instances of product implementation</v>
      </c>
      <c r="F36" s="216" t="s">
        <v>111</v>
      </c>
      <c r="G36" s="195" t="str">
        <f>VLOOKUP(Table4[[#This Row],[A ID]],Assets[#All],3,FALSE)</f>
        <v>Tablet Resources - web cam, microphone, OTG devices, Removable USB, Tablet Application,</v>
      </c>
      <c r="H36" s="49" t="s">
        <v>293</v>
      </c>
      <c r="I36" s="49"/>
      <c r="J36" s="87" t="s">
        <v>65</v>
      </c>
      <c r="K36" s="87" t="s">
        <v>65</v>
      </c>
      <c r="L36" s="87" t="s">
        <v>56</v>
      </c>
      <c r="M36" s="196" t="s">
        <v>78</v>
      </c>
      <c r="N36" s="157" t="s">
        <v>56</v>
      </c>
      <c r="O36" s="157" t="s">
        <v>56</v>
      </c>
      <c r="P36" s="196" t="s">
        <v>77</v>
      </c>
      <c r="Q36" s="196" t="s">
        <v>74</v>
      </c>
      <c r="R3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36" s="198">
        <f>(1 - ((1 - VLOOKUP(Table4[[#This Row],[Confidentiality]],'Reference - CVSSv3.0'!$B$15:$C$17,2,FALSE)) * (1 - VLOOKUP(Table4[[#This Row],[Integrity]],'Reference - CVSSv3.0'!$B$15:$C$17,2,FALSE)) *  (1 - VLOOKUP(Table4[[#This Row],[Availability]],'Reference - CVSSv3.0'!$B$15:$C$17,2,FALSE))))</f>
        <v>0.84899199999999997</v>
      </c>
      <c r="T36" s="198">
        <f>IF(Table4[[#This Row],[Scope]]="Unchanged",6.42*Table4[[#This Row],[ISC Base]],IF(Table4[[#This Row],[Scope]]="Changed",7.52*(Table4[[#This Row],[ISC Base]] - 0.029) - 3.25 * POWER(Table4[[#This Row],[ISC Base]] - 0.02,15),NA()))</f>
        <v>5.4505286399999999</v>
      </c>
      <c r="U36" s="198">
        <f>IF(Table4[[#This Row],[Impact Sub Score]]&lt;=0,0,IF(Table4[[#This Row],[Scope]]="Unchanged",ROUNDUP(MIN((Table4[[#This Row],[Impact Sub Score]]+Table4[[#This Row],[Exploitability Sub Score]]),10),1),IF(Table4[[#This Row],[Scope]]="Changed",ROUNDUP(MIN((1.08*(Table4[[#This Row],[Impact Sub Score]]+Table4[[#This Row],[Exploitability Sub Score]])),10),1),NA())))</f>
        <v>8.2999999999999989</v>
      </c>
      <c r="V36" s="182" t="s">
        <v>56</v>
      </c>
      <c r="W36" s="198">
        <f>VLOOKUP(Table4[[#This Row],[Threat Event Initiation]],NIST_Scale_LOAI[],2,FALSE)</f>
        <v>0.2</v>
      </c>
      <c r="X3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3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49" t="s">
        <v>322</v>
      </c>
      <c r="AA36" s="188"/>
      <c r="AB36" s="200"/>
      <c r="AC36" s="187"/>
      <c r="AD36" s="187"/>
      <c r="AE36" s="187"/>
      <c r="AF36" s="196"/>
      <c r="AG36" s="196"/>
      <c r="AH36" s="196"/>
      <c r="AI36" s="196"/>
      <c r="AJ36" s="201"/>
      <c r="AK3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6" s="198" t="e">
        <f>(1 - ((1 - VLOOKUP(Table4[[#This Row],[ConfidentialityP]],'Reference - CVSSv3.0'!$B$15:$C$17,2,FALSE)) * (1 - VLOOKUP(Table4[[#This Row],[IntegrityP]],'Reference - CVSSv3.0'!$B$15:$C$17,2,FALSE)) *  (1 - VLOOKUP(Table4[[#This Row],[AvailabilityP]],'Reference - CVSSv3.0'!$B$15:$C$17,2,FALSE))))</f>
        <v>#N/A</v>
      </c>
      <c r="AM36" s="198" t="e">
        <f>IF(Table4[[#This Row],[ScopeP]]="Unchanged",6.42*Table4[[#This Row],[ISC BaseP]],IF(Table4[[#This Row],[ScopeP]]="Changed",7.52*(Table4[[#This Row],[ISC BaseP]] - 0.029) - 3.25 * POWER(Table4[[#This Row],[ISC BaseP]] - 0.02,15),NA()))</f>
        <v>#N/A</v>
      </c>
      <c r="AN3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187"/>
    </row>
    <row r="37" spans="1:43" s="53" customFormat="1" ht="409.5" x14ac:dyDescent="0.25">
      <c r="A37" s="70">
        <v>33</v>
      </c>
      <c r="B37" s="182" t="s">
        <v>126</v>
      </c>
      <c r="C37" s="195" t="str">
        <f>IF(VLOOKUP(Table4[[#This Row],[T ID]],Table5[#All],5,FALSE)="No","Not in scope",VLOOKUP(Table4[[#This Row],[T ID]],Table5[#All],2,FALSE))</f>
        <v>CAPEC-185</v>
      </c>
      <c r="D37" s="212" t="s">
        <v>248</v>
      </c>
      <c r="E37" s="195" t="str">
        <f>IF(VLOOKUP(Table4[[#This Row],[V ID]],Vulnerabilities[#All],3,FALSE)="No","Not in scope",VLOOKUP(Table4[[#This Row],[V ID]],Vulnerabilities[#All],2,FALSE))</f>
        <v>Assest counting system for all instances of product implementation</v>
      </c>
      <c r="F37" s="216" t="s">
        <v>118</v>
      </c>
      <c r="G37" s="195" t="str">
        <f>VLOOKUP(Table4[[#This Row],[A ID]],Assets[#All],3,FALSE)</f>
        <v>Wireless Network device</v>
      </c>
      <c r="H37" s="49" t="s">
        <v>293</v>
      </c>
      <c r="I37" s="49"/>
      <c r="J37" s="87" t="s">
        <v>65</v>
      </c>
      <c r="K37" s="87" t="s">
        <v>65</v>
      </c>
      <c r="L37" s="87" t="s">
        <v>56</v>
      </c>
      <c r="M37" s="196" t="s">
        <v>78</v>
      </c>
      <c r="N37" s="157" t="s">
        <v>56</v>
      </c>
      <c r="O37" s="157" t="s">
        <v>56</v>
      </c>
      <c r="P37" s="196" t="s">
        <v>77</v>
      </c>
      <c r="Q37" s="196" t="s">
        <v>74</v>
      </c>
      <c r="R3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37" s="198">
        <f>(1 - ((1 - VLOOKUP(Table4[[#This Row],[Confidentiality]],'Reference - CVSSv3.0'!$B$15:$C$17,2,FALSE)) * (1 - VLOOKUP(Table4[[#This Row],[Integrity]],'Reference - CVSSv3.0'!$B$15:$C$17,2,FALSE)) *  (1 - VLOOKUP(Table4[[#This Row],[Availability]],'Reference - CVSSv3.0'!$B$15:$C$17,2,FALSE))))</f>
        <v>0.84899199999999997</v>
      </c>
      <c r="T37" s="198">
        <f>IF(Table4[[#This Row],[Scope]]="Unchanged",6.42*Table4[[#This Row],[ISC Base]],IF(Table4[[#This Row],[Scope]]="Changed",7.52*(Table4[[#This Row],[ISC Base]] - 0.029) - 3.25 * POWER(Table4[[#This Row],[ISC Base]] - 0.02,15),NA()))</f>
        <v>5.4505286399999999</v>
      </c>
      <c r="U37" s="198">
        <f>IF(Table4[[#This Row],[Impact Sub Score]]&lt;=0,0,IF(Table4[[#This Row],[Scope]]="Unchanged",ROUNDUP(MIN((Table4[[#This Row],[Impact Sub Score]]+Table4[[#This Row],[Exploitability Sub Score]]),10),1),IF(Table4[[#This Row],[Scope]]="Changed",ROUNDUP(MIN((1.08*(Table4[[#This Row],[Impact Sub Score]]+Table4[[#This Row],[Exploitability Sub Score]])),10),1),NA())))</f>
        <v>8.2999999999999989</v>
      </c>
      <c r="V37" s="182" t="s">
        <v>56</v>
      </c>
      <c r="W37" s="198">
        <f>VLOOKUP(Table4[[#This Row],[Threat Event Initiation]],NIST_Scale_LOAI[],2,FALSE)</f>
        <v>0.2</v>
      </c>
      <c r="X3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3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49" t="s">
        <v>310</v>
      </c>
      <c r="AA37" s="188"/>
      <c r="AB37" s="200"/>
      <c r="AC37" s="187"/>
      <c r="AD37" s="187"/>
      <c r="AE37" s="187"/>
      <c r="AF37" s="196"/>
      <c r="AG37" s="196"/>
      <c r="AH37" s="196"/>
      <c r="AI37" s="196"/>
      <c r="AJ37" s="201"/>
      <c r="AK3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7" s="198" t="e">
        <f>(1 - ((1 - VLOOKUP(Table4[[#This Row],[ConfidentialityP]],'Reference - CVSSv3.0'!$B$15:$C$17,2,FALSE)) * (1 - VLOOKUP(Table4[[#This Row],[IntegrityP]],'Reference - CVSSv3.0'!$B$15:$C$17,2,FALSE)) *  (1 - VLOOKUP(Table4[[#This Row],[AvailabilityP]],'Reference - CVSSv3.0'!$B$15:$C$17,2,FALSE))))</f>
        <v>#N/A</v>
      </c>
      <c r="AM37" s="198" t="e">
        <f>IF(Table4[[#This Row],[ScopeP]]="Unchanged",6.42*Table4[[#This Row],[ISC BaseP]],IF(Table4[[#This Row],[ScopeP]]="Changed",7.52*(Table4[[#This Row],[ISC BaseP]] - 0.029) - 3.25 * POWER(Table4[[#This Row],[ISC BaseP]] - 0.02,15),NA()))</f>
        <v>#N/A</v>
      </c>
      <c r="AN3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187"/>
    </row>
    <row r="38" spans="1:43" s="53" customFormat="1" ht="409.5" x14ac:dyDescent="0.25">
      <c r="A38" s="70">
        <v>34</v>
      </c>
      <c r="B38" s="182" t="s">
        <v>126</v>
      </c>
      <c r="C38" s="195" t="str">
        <f>IF(VLOOKUP(Table4[[#This Row],[T ID]],Table5[#All],5,FALSE)="No","Not in scope",VLOOKUP(Table4[[#This Row],[T ID]],Table5[#All],2,FALSE))</f>
        <v>CAPEC-185</v>
      </c>
      <c r="D38" s="212" t="s">
        <v>144</v>
      </c>
      <c r="E38" s="195" t="str">
        <f>IF(VLOOKUP(Table4[[#This Row],[V ID]],Vulnerabilities[#All],3,FALSE)="No","Not in scope",VLOOKUP(Table4[[#This Row],[V ID]],Vulnerabilities[#All],2,FALSE))</f>
        <v>Weak Algorthim implementation with respect cipher key size</v>
      </c>
      <c r="F38" s="216" t="s">
        <v>107</v>
      </c>
      <c r="G38" s="195" t="str">
        <f>VLOOKUP(Table4[[#This Row],[A ID]],Assets[#All],3,FALSE)</f>
        <v>Smart medic app (Stryker Azure Cloud Web Application)</v>
      </c>
      <c r="H38" s="49" t="s">
        <v>293</v>
      </c>
      <c r="I38" s="49"/>
      <c r="J38" s="87" t="s">
        <v>65</v>
      </c>
      <c r="K38" s="87" t="s">
        <v>56</v>
      </c>
      <c r="L38" s="87" t="s">
        <v>56</v>
      </c>
      <c r="M38" s="196" t="s">
        <v>79</v>
      </c>
      <c r="N38" s="157" t="s">
        <v>65</v>
      </c>
      <c r="O38" s="157" t="s">
        <v>56</v>
      </c>
      <c r="P38" s="196" t="s">
        <v>76</v>
      </c>
      <c r="Q38" s="196" t="s">
        <v>74</v>
      </c>
      <c r="R3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0.76466385600000009</v>
      </c>
      <c r="S38" s="198">
        <f>(1 - ((1 - VLOOKUP(Table4[[#This Row],[Confidentiality]],'Reference - CVSSv3.0'!$B$15:$C$17,2,FALSE)) * (1 - VLOOKUP(Table4[[#This Row],[Integrity]],'Reference - CVSSv3.0'!$B$15:$C$17,2,FALSE)) *  (1 - VLOOKUP(Table4[[#This Row],[Availability]],'Reference - CVSSv3.0'!$B$15:$C$17,2,FALSE))))</f>
        <v>0.73230400000000007</v>
      </c>
      <c r="T38" s="198">
        <f>IF(Table4[[#This Row],[Scope]]="Unchanged",6.42*Table4[[#This Row],[ISC Base]],IF(Table4[[#This Row],[Scope]]="Changed",7.52*(Table4[[#This Row],[ISC Base]] - 0.029) - 3.25 * POWER(Table4[[#This Row],[ISC Base]] - 0.02,15),NA()))</f>
        <v>4.7013916800000004</v>
      </c>
      <c r="U3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38" s="182" t="s">
        <v>65</v>
      </c>
      <c r="W38" s="198">
        <f>VLOOKUP(Table4[[#This Row],[Threat Event Initiation]],NIST_Scale_LOAI[],2,FALSE)</f>
        <v>0.8</v>
      </c>
      <c r="X3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3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49" t="s">
        <v>323</v>
      </c>
      <c r="AA38" s="188"/>
      <c r="AB38" s="200"/>
      <c r="AC38" s="187"/>
      <c r="AD38" s="187"/>
      <c r="AE38" s="187"/>
      <c r="AF38" s="196"/>
      <c r="AG38" s="196"/>
      <c r="AH38" s="196"/>
      <c r="AI38" s="196"/>
      <c r="AJ38" s="201"/>
      <c r="AK3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8" s="198" t="e">
        <f>(1 - ((1 - VLOOKUP(Table4[[#This Row],[ConfidentialityP]],'Reference - CVSSv3.0'!$B$15:$C$17,2,FALSE)) * (1 - VLOOKUP(Table4[[#This Row],[IntegrityP]],'Reference - CVSSv3.0'!$B$15:$C$17,2,FALSE)) *  (1 - VLOOKUP(Table4[[#This Row],[AvailabilityP]],'Reference - CVSSv3.0'!$B$15:$C$17,2,FALSE))))</f>
        <v>#N/A</v>
      </c>
      <c r="AM38" s="198" t="e">
        <f>IF(Table4[[#This Row],[ScopeP]]="Unchanged",6.42*Table4[[#This Row],[ISC BaseP]],IF(Table4[[#This Row],[ScopeP]]="Changed",7.52*(Table4[[#This Row],[ISC BaseP]] - 0.029) - 3.25 * POWER(Table4[[#This Row],[ISC BaseP]] - 0.02,15),NA()))</f>
        <v>#N/A</v>
      </c>
      <c r="AN3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187"/>
    </row>
    <row r="39" spans="1:43" s="53" customFormat="1" ht="409.5" x14ac:dyDescent="0.25">
      <c r="A39" s="70">
        <v>35</v>
      </c>
      <c r="B39" s="182" t="s">
        <v>126</v>
      </c>
      <c r="C39" s="195" t="str">
        <f>IF(VLOOKUP(Table4[[#This Row],[T ID]],Table5[#All],5,FALSE)="No","Not in scope",VLOOKUP(Table4[[#This Row],[T ID]],Table5[#All],2,FALSE))</f>
        <v>CAPEC-185</v>
      </c>
      <c r="D39" s="212" t="s">
        <v>144</v>
      </c>
      <c r="E39" s="195" t="str">
        <f>IF(VLOOKUP(Table4[[#This Row],[V ID]],Vulnerabilities[#All],3,FALSE)="No","Not in scope",VLOOKUP(Table4[[#This Row],[V ID]],Vulnerabilities[#All],2,FALSE))</f>
        <v>Weak Algorthim implementation with respect cipher key size</v>
      </c>
      <c r="F39" s="216" t="s">
        <v>111</v>
      </c>
      <c r="G39" s="195" t="str">
        <f>VLOOKUP(Table4[[#This Row],[A ID]],Assets[#All],3,FALSE)</f>
        <v>Tablet Resources - web cam, microphone, OTG devices, Removable USB, Tablet Application,</v>
      </c>
      <c r="H39" s="49" t="s">
        <v>293</v>
      </c>
      <c r="I39" s="49"/>
      <c r="J39" s="87" t="s">
        <v>56</v>
      </c>
      <c r="K39" s="87" t="s">
        <v>56</v>
      </c>
      <c r="L39" s="87" t="s">
        <v>56</v>
      </c>
      <c r="M39" s="196" t="s">
        <v>79</v>
      </c>
      <c r="N39" s="157" t="s">
        <v>56</v>
      </c>
      <c r="O39" s="157" t="s">
        <v>56</v>
      </c>
      <c r="P39" s="196" t="s">
        <v>76</v>
      </c>
      <c r="Q39" s="196" t="s">
        <v>74</v>
      </c>
      <c r="R3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39" s="198">
        <f>(1 - ((1 - VLOOKUP(Table4[[#This Row],[Confidentiality]],'Reference - CVSSv3.0'!$B$15:$C$17,2,FALSE)) * (1 - VLOOKUP(Table4[[#This Row],[Integrity]],'Reference - CVSSv3.0'!$B$15:$C$17,2,FALSE)) *  (1 - VLOOKUP(Table4[[#This Row],[Availability]],'Reference - CVSSv3.0'!$B$15:$C$17,2,FALSE))))</f>
        <v>0.52544799999999992</v>
      </c>
      <c r="T39" s="198">
        <f>IF(Table4[[#This Row],[Scope]]="Unchanged",6.42*Table4[[#This Row],[ISC Base]],IF(Table4[[#This Row],[Scope]]="Changed",7.52*(Table4[[#This Row],[ISC Base]] - 0.029) - 3.25 * POWER(Table4[[#This Row],[ISC Base]] - 0.02,15),NA()))</f>
        <v>3.3733761599999994</v>
      </c>
      <c r="U39"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39" s="182" t="s">
        <v>56</v>
      </c>
      <c r="W39" s="198">
        <f>VLOOKUP(Table4[[#This Row],[Threat Event Initiation]],NIST_Scale_LOAI[],2,FALSE)</f>
        <v>0.2</v>
      </c>
      <c r="X3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49" t="s">
        <v>322</v>
      </c>
      <c r="AA39" s="188"/>
      <c r="AB39" s="200"/>
      <c r="AC39" s="187"/>
      <c r="AD39" s="187"/>
      <c r="AE39" s="187"/>
      <c r="AF39" s="196"/>
      <c r="AG39" s="196"/>
      <c r="AH39" s="196"/>
      <c r="AI39" s="196"/>
      <c r="AJ39" s="201"/>
      <c r="AK3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9" s="198" t="e">
        <f>(1 - ((1 - VLOOKUP(Table4[[#This Row],[ConfidentialityP]],'Reference - CVSSv3.0'!$B$15:$C$17,2,FALSE)) * (1 - VLOOKUP(Table4[[#This Row],[IntegrityP]],'Reference - CVSSv3.0'!$B$15:$C$17,2,FALSE)) *  (1 - VLOOKUP(Table4[[#This Row],[AvailabilityP]],'Reference - CVSSv3.0'!$B$15:$C$17,2,FALSE))))</f>
        <v>#N/A</v>
      </c>
      <c r="AM39" s="198" t="e">
        <f>IF(Table4[[#This Row],[ScopeP]]="Unchanged",6.42*Table4[[#This Row],[ISC BaseP]],IF(Table4[[#This Row],[ScopeP]]="Changed",7.52*(Table4[[#This Row],[ISC BaseP]] - 0.029) - 3.25 * POWER(Table4[[#This Row],[ISC BaseP]] - 0.02,15),NA()))</f>
        <v>#N/A</v>
      </c>
      <c r="AN3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187"/>
    </row>
    <row r="40" spans="1:43" s="53" customFormat="1" ht="79.5" customHeight="1" x14ac:dyDescent="0.25">
      <c r="A40" s="70">
        <v>36</v>
      </c>
      <c r="B40" s="182" t="s">
        <v>126</v>
      </c>
      <c r="C40" s="85" t="str">
        <f>IF(VLOOKUP(Table4[[#This Row],[T ID]],Table5[#All],5,FALSE)="No","Not in scope",VLOOKUP(Table4[[#This Row],[T ID]],Table5[#All],2,FALSE))</f>
        <v>CAPEC-185</v>
      </c>
      <c r="D40" s="212" t="s">
        <v>252</v>
      </c>
      <c r="E40" s="85" t="str">
        <f>IF(VLOOKUP(Table4[[#This Row],[V ID]],Vulnerabilities[#All],3,FALSE)="No","Not in scope",VLOOKUP(Table4[[#This Row],[V ID]],Vulnerabilities[#All],2,FALSE))</f>
        <v>Controlled Use of Administrative Privileges over the network</v>
      </c>
      <c r="F40" s="215" t="s">
        <v>111</v>
      </c>
      <c r="G40" s="86" t="str">
        <f>VLOOKUP(Table4[[#This Row],[A ID]],Assets[#All],3,FALSE)</f>
        <v>Tablet Resources - web cam, microphone, OTG devices, Removable USB, Tablet Application,</v>
      </c>
      <c r="H40" s="49" t="s">
        <v>293</v>
      </c>
      <c r="I40" s="49"/>
      <c r="J40" s="87" t="s">
        <v>56</v>
      </c>
      <c r="K40" s="87" t="s">
        <v>56</v>
      </c>
      <c r="L40" s="87" t="s">
        <v>56</v>
      </c>
      <c r="M40" s="196" t="s">
        <v>79</v>
      </c>
      <c r="N40" s="157" t="s">
        <v>56</v>
      </c>
      <c r="O40" s="157" t="s">
        <v>56</v>
      </c>
      <c r="P40" s="196" t="s">
        <v>77</v>
      </c>
      <c r="Q40" s="196" t="s">
        <v>74</v>
      </c>
      <c r="R40"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40" s="161">
        <f>(1 - ((1 - VLOOKUP(Table4[[#This Row],[Confidentiality]],'Reference - CVSSv3.0'!$B$15:$C$17,2,FALSE)) * (1 - VLOOKUP(Table4[[#This Row],[Integrity]],'Reference - CVSSv3.0'!$B$15:$C$17,2,FALSE)) *  (1 - VLOOKUP(Table4[[#This Row],[Availability]],'Reference - CVSSv3.0'!$B$15:$C$17,2,FALSE))))</f>
        <v>0.52544799999999992</v>
      </c>
      <c r="T40" s="161">
        <f>IF(Table4[[#This Row],[Scope]]="Unchanged",6.42*Table4[[#This Row],[ISC Base]],IF(Table4[[#This Row],[Scope]]="Changed",7.52*(Table4[[#This Row],[ISC Base]] - 0.029) - 3.25 * POWER(Table4[[#This Row],[ISC Base]] - 0.02,15),NA()))</f>
        <v>3.3733761599999994</v>
      </c>
      <c r="U40" s="16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182" t="s">
        <v>56</v>
      </c>
      <c r="W40" s="183">
        <f>VLOOKUP(Table4[[#This Row],[Threat Event Initiation]],NIST_Scale_LOAI[],2,FALSE)</f>
        <v>0.2</v>
      </c>
      <c r="X40"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49" t="s">
        <v>322</v>
      </c>
      <c r="AA40" s="49"/>
      <c r="AB40" s="88"/>
      <c r="AC40" s="87" t="s">
        <v>56</v>
      </c>
      <c r="AD40" s="87" t="s">
        <v>77</v>
      </c>
      <c r="AE40" s="87" t="s">
        <v>56</v>
      </c>
      <c r="AF40" s="157" t="s">
        <v>75</v>
      </c>
      <c r="AG40" s="157" t="s">
        <v>56</v>
      </c>
      <c r="AH40" s="157" t="s">
        <v>56</v>
      </c>
      <c r="AI40" s="157" t="s">
        <v>77</v>
      </c>
      <c r="AJ40" s="157" t="s">
        <v>74</v>
      </c>
      <c r="AK40" s="161">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0.66711876000000003</v>
      </c>
      <c r="AL40" s="161">
        <f>(1 - ((1 - VLOOKUP(Table4[[#This Row],[ConfidentialityP]],'Reference - CVSSv3.0'!$B$15:$C$17,2,FALSE)) * (1 - VLOOKUP(Table4[[#This Row],[IntegrityP]],'Reference - CVSSv3.0'!$B$15:$C$17,2,FALSE)) *  (1 - VLOOKUP(Table4[[#This Row],[AvailabilityP]],'Reference - CVSSv3.0'!$B$15:$C$17,2,FALSE))))</f>
        <v>0.39159999999999995</v>
      </c>
      <c r="AM40" s="161">
        <f>IF(Table4[[#This Row],[ScopeP]]="Unchanged",6.42*Table4[[#This Row],[ISC BaseP]],IF(Table4[[#This Row],[ScopeP]]="Changed",7.52*(Table4[[#This Row],[ISC BaseP]] - 0.029) - 3.25 * POWER(Table4[[#This Row],[ISC BaseP]] - 0.02,15),NA()))</f>
        <v>2.5140719999999996</v>
      </c>
      <c r="AN40" s="161">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40"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40"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0" s="59"/>
    </row>
    <row r="41" spans="1:43" s="53" customFormat="1" ht="409.5" x14ac:dyDescent="0.25">
      <c r="A41" s="70">
        <v>37</v>
      </c>
      <c r="B41" s="182" t="s">
        <v>126</v>
      </c>
      <c r="C41" s="195" t="str">
        <f>IF(VLOOKUP(Table4[[#This Row],[T ID]],Table5[#All],5,FALSE)="No","Not in scope",VLOOKUP(Table4[[#This Row],[T ID]],Table5[#All],2,FALSE))</f>
        <v>CAPEC-185</v>
      </c>
      <c r="D41" s="212" t="s">
        <v>252</v>
      </c>
      <c r="E41" s="195" t="str">
        <f>IF(VLOOKUP(Table4[[#This Row],[V ID]],Vulnerabilities[#All],3,FALSE)="No","Not in scope",VLOOKUP(Table4[[#This Row],[V ID]],Vulnerabilities[#All],2,FALSE))</f>
        <v>Controlled Use of Administrative Privileges over the network</v>
      </c>
      <c r="F41" s="213" t="s">
        <v>112</v>
      </c>
      <c r="G41" s="195" t="str">
        <f>VLOOKUP(Table4[[#This Row],[A ID]],Assets[#All],3,FALSE)</f>
        <v>Tablet OS/network details &amp; Tablet Application</v>
      </c>
      <c r="H41" s="49" t="s">
        <v>293</v>
      </c>
      <c r="I41" s="49"/>
      <c r="J41" s="87" t="s">
        <v>56</v>
      </c>
      <c r="K41" s="87" t="s">
        <v>56</v>
      </c>
      <c r="L41" s="87" t="s">
        <v>56</v>
      </c>
      <c r="M41" s="196" t="s">
        <v>79</v>
      </c>
      <c r="N41" s="157" t="s">
        <v>56</v>
      </c>
      <c r="O41" s="157" t="s">
        <v>56</v>
      </c>
      <c r="P41" s="196" t="s">
        <v>77</v>
      </c>
      <c r="Q41" s="196" t="s">
        <v>74</v>
      </c>
      <c r="R4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41" s="198">
        <f>(1 - ((1 - VLOOKUP(Table4[[#This Row],[Confidentiality]],'Reference - CVSSv3.0'!$B$15:$C$17,2,FALSE)) * (1 - VLOOKUP(Table4[[#This Row],[Integrity]],'Reference - CVSSv3.0'!$B$15:$C$17,2,FALSE)) *  (1 - VLOOKUP(Table4[[#This Row],[Availability]],'Reference - CVSSv3.0'!$B$15:$C$17,2,FALSE))))</f>
        <v>0.52544799999999992</v>
      </c>
      <c r="T41" s="198">
        <f>IF(Table4[[#This Row],[Scope]]="Unchanged",6.42*Table4[[#This Row],[ISC Base]],IF(Table4[[#This Row],[Scope]]="Changed",7.52*(Table4[[#This Row],[ISC Base]] - 0.029) - 3.25 * POWER(Table4[[#This Row],[ISC Base]] - 0.02,15),NA()))</f>
        <v>3.3733761599999994</v>
      </c>
      <c r="U41"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182" t="s">
        <v>56</v>
      </c>
      <c r="W41" s="198">
        <f>VLOOKUP(Table4[[#This Row],[Threat Event Initiation]],NIST_Scale_LOAI[],2,FALSE)</f>
        <v>0.2</v>
      </c>
      <c r="X4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49" t="s">
        <v>322</v>
      </c>
      <c r="AA41" s="188"/>
      <c r="AB41" s="200"/>
      <c r="AC41" s="187"/>
      <c r="AD41" s="187"/>
      <c r="AE41" s="187"/>
      <c r="AF41" s="196"/>
      <c r="AG41" s="196"/>
      <c r="AH41" s="196"/>
      <c r="AI41" s="196"/>
      <c r="AJ41" s="201"/>
      <c r="AK4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1" s="198" t="e">
        <f>(1 - ((1 - VLOOKUP(Table4[[#This Row],[ConfidentialityP]],'Reference - CVSSv3.0'!$B$15:$C$17,2,FALSE)) * (1 - VLOOKUP(Table4[[#This Row],[IntegrityP]],'Reference - CVSSv3.0'!$B$15:$C$17,2,FALSE)) *  (1 - VLOOKUP(Table4[[#This Row],[AvailabilityP]],'Reference - CVSSv3.0'!$B$15:$C$17,2,FALSE))))</f>
        <v>#N/A</v>
      </c>
      <c r="AM41" s="198" t="e">
        <f>IF(Table4[[#This Row],[ScopeP]]="Unchanged",6.42*Table4[[#This Row],[ISC BaseP]],IF(Table4[[#This Row],[ScopeP]]="Changed",7.52*(Table4[[#This Row],[ISC BaseP]] - 0.029) - 3.25 * POWER(Table4[[#This Row],[ISC BaseP]] - 0.02,15),NA()))</f>
        <v>#N/A</v>
      </c>
      <c r="AN4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187"/>
    </row>
    <row r="42" spans="1:43" s="53" customFormat="1" ht="409.5" x14ac:dyDescent="0.25">
      <c r="A42" s="70">
        <v>38</v>
      </c>
      <c r="B42" s="182" t="s">
        <v>126</v>
      </c>
      <c r="C42" s="195" t="str">
        <f>IF(VLOOKUP(Table4[[#This Row],[T ID]],Table5[#All],5,FALSE)="No","Not in scope",VLOOKUP(Table4[[#This Row],[T ID]],Table5[#All],2,FALSE))</f>
        <v>CAPEC-185</v>
      </c>
      <c r="D42" s="212" t="s">
        <v>252</v>
      </c>
      <c r="E42" s="195" t="str">
        <f>IF(VLOOKUP(Table4[[#This Row],[V ID]],Vulnerabilities[#All],3,FALSE)="No","Not in scope",VLOOKUP(Table4[[#This Row],[V ID]],Vulnerabilities[#All],2,FALSE))</f>
        <v>Controlled Use of Administrative Privileges over the network</v>
      </c>
      <c r="F42" s="216" t="s">
        <v>107</v>
      </c>
      <c r="G42" s="195" t="str">
        <f>VLOOKUP(Table4[[#This Row],[A ID]],Assets[#All],3,FALSE)</f>
        <v>Smart medic app (Stryker Azure Cloud Web Application)</v>
      </c>
      <c r="H42" s="49" t="s">
        <v>293</v>
      </c>
      <c r="I42" s="49"/>
      <c r="J42" s="87" t="s">
        <v>56</v>
      </c>
      <c r="K42" s="87" t="s">
        <v>56</v>
      </c>
      <c r="L42" s="87" t="s">
        <v>56</v>
      </c>
      <c r="M42" s="196" t="s">
        <v>79</v>
      </c>
      <c r="N42" s="157" t="s">
        <v>56</v>
      </c>
      <c r="O42" s="157" t="s">
        <v>56</v>
      </c>
      <c r="P42" s="196" t="s">
        <v>77</v>
      </c>
      <c r="Q42" s="196" t="s">
        <v>74</v>
      </c>
      <c r="R4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42" s="198">
        <f>(1 - ((1 - VLOOKUP(Table4[[#This Row],[Confidentiality]],'Reference - CVSSv3.0'!$B$15:$C$17,2,FALSE)) * (1 - VLOOKUP(Table4[[#This Row],[Integrity]],'Reference - CVSSv3.0'!$B$15:$C$17,2,FALSE)) *  (1 - VLOOKUP(Table4[[#This Row],[Availability]],'Reference - CVSSv3.0'!$B$15:$C$17,2,FALSE))))</f>
        <v>0.52544799999999992</v>
      </c>
      <c r="T42" s="198">
        <f>IF(Table4[[#This Row],[Scope]]="Unchanged",6.42*Table4[[#This Row],[ISC Base]],IF(Table4[[#This Row],[Scope]]="Changed",7.52*(Table4[[#This Row],[ISC Base]] - 0.029) - 3.25 * POWER(Table4[[#This Row],[ISC Base]] - 0.02,15),NA()))</f>
        <v>3.3733761599999994</v>
      </c>
      <c r="U4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42" s="182" t="s">
        <v>56</v>
      </c>
      <c r="W42" s="198">
        <f>VLOOKUP(Table4[[#This Row],[Threat Event Initiation]],NIST_Scale_LOAI[],2,FALSE)</f>
        <v>0.2</v>
      </c>
      <c r="X4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49" t="s">
        <v>324</v>
      </c>
      <c r="AA42" s="188"/>
      <c r="AB42" s="200"/>
      <c r="AC42" s="187"/>
      <c r="AD42" s="187"/>
      <c r="AE42" s="187"/>
      <c r="AF42" s="196"/>
      <c r="AG42" s="196"/>
      <c r="AH42" s="196"/>
      <c r="AI42" s="196"/>
      <c r="AJ42" s="201"/>
      <c r="AK4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2" s="198" t="e">
        <f>(1 - ((1 - VLOOKUP(Table4[[#This Row],[ConfidentialityP]],'Reference - CVSSv3.0'!$B$15:$C$17,2,FALSE)) * (1 - VLOOKUP(Table4[[#This Row],[IntegrityP]],'Reference - CVSSv3.0'!$B$15:$C$17,2,FALSE)) *  (1 - VLOOKUP(Table4[[#This Row],[AvailabilityP]],'Reference - CVSSv3.0'!$B$15:$C$17,2,FALSE))))</f>
        <v>#N/A</v>
      </c>
      <c r="AM42" s="198" t="e">
        <f>IF(Table4[[#This Row],[ScopeP]]="Unchanged",6.42*Table4[[#This Row],[ISC BaseP]],IF(Table4[[#This Row],[ScopeP]]="Changed",7.52*(Table4[[#This Row],[ISC BaseP]] - 0.029) - 3.25 * POWER(Table4[[#This Row],[ISC BaseP]] - 0.02,15),NA()))</f>
        <v>#N/A</v>
      </c>
      <c r="AN4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187"/>
    </row>
    <row r="43" spans="1:43" s="53" customFormat="1" ht="409.5" x14ac:dyDescent="0.25">
      <c r="A43" s="70">
        <v>39</v>
      </c>
      <c r="B43" s="182" t="s">
        <v>127</v>
      </c>
      <c r="C43" s="195" t="str">
        <f>IF(VLOOKUP(Table4[[#This Row],[T ID]],Table5[#All],5,FALSE)="No","Not in scope",VLOOKUP(Table4[[#This Row],[T ID]],Table5[#All],2,FALSE))</f>
        <v>[S]TRID[E]</v>
      </c>
      <c r="D43" s="212" t="s">
        <v>248</v>
      </c>
      <c r="E43" s="195" t="str">
        <f>IF(VLOOKUP(Table4[[#This Row],[V ID]],Vulnerabilities[#All],3,FALSE)="No","Not in scope",VLOOKUP(Table4[[#This Row],[V ID]],Vulnerabilities[#All],2,FALSE))</f>
        <v>Assest counting system for all instances of product implementation</v>
      </c>
      <c r="F43" s="213" t="s">
        <v>112</v>
      </c>
      <c r="G43" s="195" t="str">
        <f>VLOOKUP(Table4[[#This Row],[A ID]],Assets[#All],3,FALSE)</f>
        <v>Tablet OS/network details &amp; Tablet Application</v>
      </c>
      <c r="H43" s="49" t="s">
        <v>294</v>
      </c>
      <c r="I43" s="49"/>
      <c r="J43" s="87" t="s">
        <v>65</v>
      </c>
      <c r="K43" s="87" t="s">
        <v>56</v>
      </c>
      <c r="L43" s="87" t="s">
        <v>56</v>
      </c>
      <c r="M43" s="196" t="s">
        <v>78</v>
      </c>
      <c r="N43" s="157" t="s">
        <v>56</v>
      </c>
      <c r="O43" s="157" t="s">
        <v>56</v>
      </c>
      <c r="P43" s="196" t="s">
        <v>77</v>
      </c>
      <c r="Q43" s="196" t="s">
        <v>74</v>
      </c>
      <c r="R4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43" s="198">
        <f>(1 - ((1 - VLOOKUP(Table4[[#This Row],[Confidentiality]],'Reference - CVSSv3.0'!$B$15:$C$17,2,FALSE)) * (1 - VLOOKUP(Table4[[#This Row],[Integrity]],'Reference - CVSSv3.0'!$B$15:$C$17,2,FALSE)) *  (1 - VLOOKUP(Table4[[#This Row],[Availability]],'Reference - CVSSv3.0'!$B$15:$C$17,2,FALSE))))</f>
        <v>0.73230400000000007</v>
      </c>
      <c r="T43" s="198">
        <f>IF(Table4[[#This Row],[Scope]]="Unchanged",6.42*Table4[[#This Row],[ISC Base]],IF(Table4[[#This Row],[Scope]]="Changed",7.52*(Table4[[#This Row],[ISC Base]] - 0.029) - 3.25 * POWER(Table4[[#This Row],[ISC Base]] - 0.02,15),NA()))</f>
        <v>4.7013916800000004</v>
      </c>
      <c r="U43"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43" s="182" t="s">
        <v>56</v>
      </c>
      <c r="W43" s="198">
        <f>VLOOKUP(Table4[[#This Row],[Threat Event Initiation]],NIST_Scale_LOAI[],2,FALSE)</f>
        <v>0.2</v>
      </c>
      <c r="X4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4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49" t="s">
        <v>322</v>
      </c>
      <c r="AA43" s="188"/>
      <c r="AB43" s="200"/>
      <c r="AC43" s="187"/>
      <c r="AD43" s="187"/>
      <c r="AE43" s="187"/>
      <c r="AF43" s="196"/>
      <c r="AG43" s="196"/>
      <c r="AH43" s="196"/>
      <c r="AI43" s="196"/>
      <c r="AJ43" s="201"/>
      <c r="AK4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3" s="198" t="e">
        <f>(1 - ((1 - VLOOKUP(Table4[[#This Row],[ConfidentialityP]],'Reference - CVSSv3.0'!$B$15:$C$17,2,FALSE)) * (1 - VLOOKUP(Table4[[#This Row],[IntegrityP]],'Reference - CVSSv3.0'!$B$15:$C$17,2,FALSE)) *  (1 - VLOOKUP(Table4[[#This Row],[AvailabilityP]],'Reference - CVSSv3.0'!$B$15:$C$17,2,FALSE))))</f>
        <v>#N/A</v>
      </c>
      <c r="AM43" s="198" t="e">
        <f>IF(Table4[[#This Row],[ScopeP]]="Unchanged",6.42*Table4[[#This Row],[ISC BaseP]],IF(Table4[[#This Row],[ScopeP]]="Changed",7.52*(Table4[[#This Row],[ISC BaseP]] - 0.029) - 3.25 * POWER(Table4[[#This Row],[ISC BaseP]] - 0.02,15),NA()))</f>
        <v>#N/A</v>
      </c>
      <c r="AN4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187"/>
    </row>
    <row r="44" spans="1:43" s="53" customFormat="1" ht="409.5" x14ac:dyDescent="0.25">
      <c r="A44" s="70">
        <v>40</v>
      </c>
      <c r="B44" s="182" t="s">
        <v>127</v>
      </c>
      <c r="C44" s="195" t="str">
        <f>IF(VLOOKUP(Table4[[#This Row],[T ID]],Table5[#All],5,FALSE)="No","Not in scope",VLOOKUP(Table4[[#This Row],[T ID]],Table5[#All],2,FALSE))</f>
        <v>[S]TRID[E]</v>
      </c>
      <c r="D44" s="212" t="s">
        <v>248</v>
      </c>
      <c r="E44" s="195" t="str">
        <f>IF(VLOOKUP(Table4[[#This Row],[V ID]],Vulnerabilities[#All],3,FALSE)="No","Not in scope",VLOOKUP(Table4[[#This Row],[V ID]],Vulnerabilities[#All],2,FALSE))</f>
        <v>Assest counting system for all instances of product implementation</v>
      </c>
      <c r="F44" s="216" t="s">
        <v>107</v>
      </c>
      <c r="G44" s="195" t="str">
        <f>VLOOKUP(Table4[[#This Row],[A ID]],Assets[#All],3,FALSE)</f>
        <v>Smart medic app (Stryker Azure Cloud Web Application)</v>
      </c>
      <c r="H44" s="49" t="s">
        <v>294</v>
      </c>
      <c r="I44" s="49"/>
      <c r="J44" s="87" t="s">
        <v>65</v>
      </c>
      <c r="K44" s="87" t="s">
        <v>56</v>
      </c>
      <c r="L44" s="87" t="s">
        <v>56</v>
      </c>
      <c r="M44" s="196" t="s">
        <v>78</v>
      </c>
      <c r="N44" s="157" t="s">
        <v>56</v>
      </c>
      <c r="O44" s="157" t="s">
        <v>56</v>
      </c>
      <c r="P44" s="196" t="s">
        <v>77</v>
      </c>
      <c r="Q44" s="196" t="s">
        <v>74</v>
      </c>
      <c r="R4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44" s="198">
        <f>(1 - ((1 - VLOOKUP(Table4[[#This Row],[Confidentiality]],'Reference - CVSSv3.0'!$B$15:$C$17,2,FALSE)) * (1 - VLOOKUP(Table4[[#This Row],[Integrity]],'Reference - CVSSv3.0'!$B$15:$C$17,2,FALSE)) *  (1 - VLOOKUP(Table4[[#This Row],[Availability]],'Reference - CVSSv3.0'!$B$15:$C$17,2,FALSE))))</f>
        <v>0.73230400000000007</v>
      </c>
      <c r="T44" s="198">
        <f>IF(Table4[[#This Row],[Scope]]="Unchanged",6.42*Table4[[#This Row],[ISC Base]],IF(Table4[[#This Row],[Scope]]="Changed",7.52*(Table4[[#This Row],[ISC Base]] - 0.029) - 3.25 * POWER(Table4[[#This Row],[ISC Base]] - 0.02,15),NA()))</f>
        <v>4.7013916800000004</v>
      </c>
      <c r="U44"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44" s="182" t="s">
        <v>65</v>
      </c>
      <c r="W44" s="198">
        <f>VLOOKUP(Table4[[#This Row],[Threat Event Initiation]],NIST_Scale_LOAI[],2,FALSE)</f>
        <v>0.8</v>
      </c>
      <c r="X4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v>
      </c>
      <c r="Y4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44" s="49" t="s">
        <v>311</v>
      </c>
      <c r="AA44" s="188"/>
      <c r="AB44" s="200"/>
      <c r="AC44" s="187"/>
      <c r="AD44" s="187"/>
      <c r="AE44" s="187"/>
      <c r="AF44" s="196"/>
      <c r="AG44" s="196"/>
      <c r="AH44" s="196"/>
      <c r="AI44" s="196"/>
      <c r="AJ44" s="201"/>
      <c r="AK4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4" s="198" t="e">
        <f>(1 - ((1 - VLOOKUP(Table4[[#This Row],[ConfidentialityP]],'Reference - CVSSv3.0'!$B$15:$C$17,2,FALSE)) * (1 - VLOOKUP(Table4[[#This Row],[IntegrityP]],'Reference - CVSSv3.0'!$B$15:$C$17,2,FALSE)) *  (1 - VLOOKUP(Table4[[#This Row],[AvailabilityP]],'Reference - CVSSv3.0'!$B$15:$C$17,2,FALSE))))</f>
        <v>#N/A</v>
      </c>
      <c r="AM44" s="198" t="e">
        <f>IF(Table4[[#This Row],[ScopeP]]="Unchanged",6.42*Table4[[#This Row],[ISC BaseP]],IF(Table4[[#This Row],[ScopeP]]="Changed",7.52*(Table4[[#This Row],[ISC BaseP]] - 0.029) - 3.25 * POWER(Table4[[#This Row],[ISC BaseP]] - 0.02,15),NA()))</f>
        <v>#N/A</v>
      </c>
      <c r="AN4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187"/>
    </row>
    <row r="45" spans="1:43" s="53" customFormat="1" ht="409.5" x14ac:dyDescent="0.25">
      <c r="A45" s="70">
        <v>41</v>
      </c>
      <c r="B45" s="182" t="s">
        <v>127</v>
      </c>
      <c r="C45" s="85" t="str">
        <f>IF(VLOOKUP(Table4[[#This Row],[T ID]],Table5[#All],5,FALSE)="No","Not in scope",VLOOKUP(Table4[[#This Row],[T ID]],Table5[#All],2,FALSE))</f>
        <v>[S]TRID[E]</v>
      </c>
      <c r="D45" s="212" t="s">
        <v>248</v>
      </c>
      <c r="E45" s="85" t="str">
        <f>IF(VLOOKUP(Table4[[#This Row],[V ID]],Vulnerabilities[#All],3,FALSE)="No","Not in scope",VLOOKUP(Table4[[#This Row],[V ID]],Vulnerabilities[#All],2,FALSE))</f>
        <v>Assest counting system for all instances of product implementation</v>
      </c>
      <c r="F45" s="215" t="s">
        <v>111</v>
      </c>
      <c r="G45" s="86" t="str">
        <f>VLOOKUP(Table4[[#This Row],[A ID]],Assets[#All],3,FALSE)</f>
        <v>Tablet Resources - web cam, microphone, OTG devices, Removable USB, Tablet Application,</v>
      </c>
      <c r="H45" s="49" t="s">
        <v>294</v>
      </c>
      <c r="I45" s="49"/>
      <c r="J45" s="87" t="s">
        <v>65</v>
      </c>
      <c r="K45" s="87" t="s">
        <v>56</v>
      </c>
      <c r="L45" s="87" t="s">
        <v>56</v>
      </c>
      <c r="M45" s="196" t="s">
        <v>78</v>
      </c>
      <c r="N45" s="157" t="s">
        <v>56</v>
      </c>
      <c r="O45" s="157" t="s">
        <v>56</v>
      </c>
      <c r="P45" s="196" t="s">
        <v>77</v>
      </c>
      <c r="Q45" s="196" t="s">
        <v>74</v>
      </c>
      <c r="R45"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45" s="161">
        <f>(1 - ((1 - VLOOKUP(Table4[[#This Row],[Confidentiality]],'Reference - CVSSv3.0'!$B$15:$C$17,2,FALSE)) * (1 - VLOOKUP(Table4[[#This Row],[Integrity]],'Reference - CVSSv3.0'!$B$15:$C$17,2,FALSE)) *  (1 - VLOOKUP(Table4[[#This Row],[Availability]],'Reference - CVSSv3.0'!$B$15:$C$17,2,FALSE))))</f>
        <v>0.73230400000000007</v>
      </c>
      <c r="T45" s="161">
        <f>IF(Table4[[#This Row],[Scope]]="Unchanged",6.42*Table4[[#This Row],[ISC Base]],IF(Table4[[#This Row],[Scope]]="Changed",7.52*(Table4[[#This Row],[ISC Base]] - 0.029) - 3.25 * POWER(Table4[[#This Row],[ISC Base]] - 0.02,15),NA()))</f>
        <v>4.7013916800000004</v>
      </c>
      <c r="U45" s="161">
        <f>IF(Table4[[#This Row],[Impact Sub Score]]&lt;=0,0,IF(Table4[[#This Row],[Scope]]="Unchanged",ROUNDUP(MIN((Table4[[#This Row],[Impact Sub Score]]+Table4[[#This Row],[Exploitability Sub Score]]),10),1),IF(Table4[[#This Row],[Scope]]="Changed",ROUNDUP(MIN((1.08*(Table4[[#This Row],[Impact Sub Score]]+Table4[[#This Row],[Exploitability Sub Score]])),10),1),NA())))</f>
        <v>7.6</v>
      </c>
      <c r="V45" s="182" t="s">
        <v>56</v>
      </c>
      <c r="W45" s="183">
        <f>VLOOKUP(Table4[[#This Row],[Threat Event Initiation]],NIST_Scale_LOAI[],2,FALSE)</f>
        <v>0.2</v>
      </c>
      <c r="X4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4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49" t="s">
        <v>322</v>
      </c>
      <c r="AA45" s="49"/>
      <c r="AB45" s="88"/>
      <c r="AC45" s="87" t="s">
        <v>56</v>
      </c>
      <c r="AD45" s="87" t="s">
        <v>77</v>
      </c>
      <c r="AE45" s="87" t="s">
        <v>77</v>
      </c>
      <c r="AF45" s="157" t="s">
        <v>78</v>
      </c>
      <c r="AG45" s="157" t="s">
        <v>65</v>
      </c>
      <c r="AH45" s="157" t="s">
        <v>77</v>
      </c>
      <c r="AI45" s="157" t="s">
        <v>77</v>
      </c>
      <c r="AJ45" s="157" t="s">
        <v>74</v>
      </c>
      <c r="AK45" s="161">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2.2211672999999998</v>
      </c>
      <c r="AL45" s="161">
        <f>(1 - ((1 - VLOOKUP(Table4[[#This Row],[ConfidentialityP]],'Reference - CVSSv3.0'!$B$15:$C$17,2,FALSE)) * (1 - VLOOKUP(Table4[[#This Row],[IntegrityP]],'Reference - CVSSv3.0'!$B$15:$C$17,2,FALSE)) *  (1 - VLOOKUP(Table4[[#This Row],[AvailabilityP]],'Reference - CVSSv3.0'!$B$15:$C$17,2,FALSE))))</f>
        <v>0.21999999999999997</v>
      </c>
      <c r="AM45" s="161">
        <f>IF(Table4[[#This Row],[ScopeP]]="Unchanged",6.42*Table4[[#This Row],[ISC BaseP]],IF(Table4[[#This Row],[ScopeP]]="Changed",7.52*(Table4[[#This Row],[ISC BaseP]] - 0.029) - 3.25 * POWER(Table4[[#This Row],[ISC BaseP]] - 0.02,15),NA()))</f>
        <v>1.4123999999999999</v>
      </c>
      <c r="AN45" s="161">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4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4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5" s="59"/>
    </row>
    <row r="46" spans="1:43" s="53" customFormat="1" ht="409.5" x14ac:dyDescent="0.25">
      <c r="A46" s="70">
        <v>42</v>
      </c>
      <c r="B46" s="182" t="s">
        <v>127</v>
      </c>
      <c r="C46" s="85" t="str">
        <f>IF(VLOOKUP(Table4[[#This Row],[T ID]],Table5[#All],5,FALSE)="No","Not in scope",VLOOKUP(Table4[[#This Row],[T ID]],Table5[#All],2,FALSE))</f>
        <v>[S]TRID[E]</v>
      </c>
      <c r="D46" s="212" t="s">
        <v>120</v>
      </c>
      <c r="E46" s="85" t="str">
        <f>IF(VLOOKUP(Table4[[#This Row],[V ID]],Vulnerabilities[#All],3,FALSE)="No","Not in scope",VLOOKUP(Table4[[#This Row],[V ID]],Vulnerabilities[#All],2,FALSE))</f>
        <v>Devices with default passwords needs to be checked for bruteforce attacks</v>
      </c>
      <c r="F46" s="213" t="s">
        <v>114</v>
      </c>
      <c r="G46" s="86" t="str">
        <f>VLOOKUP(Table4[[#This Row],[A ID]],Assets[#All],3,FALSE)</f>
        <v xml:space="preserve">Authenication/Authorisation data </v>
      </c>
      <c r="H46" s="49" t="s">
        <v>294</v>
      </c>
      <c r="I46" s="49"/>
      <c r="J46" s="87" t="s">
        <v>56</v>
      </c>
      <c r="K46" s="87" t="s">
        <v>56</v>
      </c>
      <c r="L46" s="87" t="s">
        <v>56</v>
      </c>
      <c r="M46" s="196" t="s">
        <v>75</v>
      </c>
      <c r="N46" s="157" t="s">
        <v>56</v>
      </c>
      <c r="O46" s="157" t="s">
        <v>56</v>
      </c>
      <c r="P46" s="196" t="s">
        <v>77</v>
      </c>
      <c r="Q46" s="196" t="s">
        <v>74</v>
      </c>
      <c r="R46"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46" s="161">
        <f>(1 - ((1 - VLOOKUP(Table4[[#This Row],[Confidentiality]],'Reference - CVSSv3.0'!$B$15:$C$17,2,FALSE)) * (1 - VLOOKUP(Table4[[#This Row],[Integrity]],'Reference - CVSSv3.0'!$B$15:$C$17,2,FALSE)) *  (1 - VLOOKUP(Table4[[#This Row],[Availability]],'Reference - CVSSv3.0'!$B$15:$C$17,2,FALSE))))</f>
        <v>0.52544799999999992</v>
      </c>
      <c r="T46" s="161">
        <f>IF(Table4[[#This Row],[Scope]]="Unchanged",6.42*Table4[[#This Row],[ISC Base]],IF(Table4[[#This Row],[Scope]]="Changed",7.52*(Table4[[#This Row],[ISC Base]] - 0.029) - 3.25 * POWER(Table4[[#This Row],[ISC Base]] - 0.02,15),NA()))</f>
        <v>3.3733761599999994</v>
      </c>
      <c r="U46" s="16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6" s="182" t="s">
        <v>55</v>
      </c>
      <c r="W46" s="183">
        <f>VLOOKUP(Table4[[#This Row],[Threat Event Initiation]],NIST_Scale_LOAI[],2,FALSE)</f>
        <v>0.5</v>
      </c>
      <c r="X46"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6"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49" t="s">
        <v>332</v>
      </c>
      <c r="AA46" s="59"/>
      <c r="AB46" s="89"/>
      <c r="AC46" s="87"/>
      <c r="AD46" s="87"/>
      <c r="AE46" s="87"/>
      <c r="AF46" s="157"/>
      <c r="AG46" s="157"/>
      <c r="AH46" s="157"/>
      <c r="AI46" s="157"/>
      <c r="AJ46" s="157"/>
      <c r="AK46" s="161"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6" s="161" t="e">
        <f>(1 - ((1 - VLOOKUP(Table4[[#This Row],[ConfidentialityP]],'Reference - CVSSv3.0'!$B$15:$C$17,2,FALSE)) * (1 - VLOOKUP(Table4[[#This Row],[IntegrityP]],'Reference - CVSSv3.0'!$B$15:$C$17,2,FALSE)) *  (1 - VLOOKUP(Table4[[#This Row],[AvailabilityP]],'Reference - CVSSv3.0'!$B$15:$C$17,2,FALSE))))</f>
        <v>#N/A</v>
      </c>
      <c r="AM46" s="161" t="e">
        <f>IF(Table4[[#This Row],[ScopeP]]="Unchanged",6.42*Table4[[#This Row],[ISC BaseP]],IF(Table4[[#This Row],[ScopeP]]="Changed",7.52*(Table4[[#This Row],[ISC BaseP]] - 0.029) - 3.25 * POWER(Table4[[#This Row],[ISC BaseP]] - 0.02,15),NA()))</f>
        <v>#N/A</v>
      </c>
      <c r="AN46" s="1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1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59"/>
    </row>
    <row r="47" spans="1:43" s="53" customFormat="1" ht="409.5" x14ac:dyDescent="0.25">
      <c r="A47" s="70">
        <v>43</v>
      </c>
      <c r="B47" s="182" t="s">
        <v>127</v>
      </c>
      <c r="C47" s="195" t="str">
        <f>IF(VLOOKUP(Table4[[#This Row],[T ID]],Table5[#All],5,FALSE)="No","Not in scope",VLOOKUP(Table4[[#This Row],[T ID]],Table5[#All],2,FALSE))</f>
        <v>[S]TRID[E]</v>
      </c>
      <c r="D47" s="212" t="s">
        <v>120</v>
      </c>
      <c r="E47" s="195" t="str">
        <f>IF(VLOOKUP(Table4[[#This Row],[V ID]],Vulnerabilities[#All],3,FALSE)="No","Not in scope",VLOOKUP(Table4[[#This Row],[V ID]],Vulnerabilities[#All],2,FALSE))</f>
        <v>Devices with default passwords needs to be checked for bruteforce attacks</v>
      </c>
      <c r="F47" s="216" t="s">
        <v>107</v>
      </c>
      <c r="G47" s="195" t="str">
        <f>VLOOKUP(Table4[[#This Row],[A ID]],Assets[#All],3,FALSE)</f>
        <v>Smart medic app (Stryker Azure Cloud Web Application)</v>
      </c>
      <c r="H47" s="49" t="s">
        <v>294</v>
      </c>
      <c r="I47" s="49"/>
      <c r="J47" s="87" t="s">
        <v>65</v>
      </c>
      <c r="K47" s="87" t="s">
        <v>56</v>
      </c>
      <c r="L47" s="87" t="s">
        <v>56</v>
      </c>
      <c r="M47" s="196" t="s">
        <v>75</v>
      </c>
      <c r="N47" s="157" t="s">
        <v>56</v>
      </c>
      <c r="O47" s="157" t="s">
        <v>56</v>
      </c>
      <c r="P47" s="196" t="s">
        <v>77</v>
      </c>
      <c r="Q47" s="196" t="s">
        <v>74</v>
      </c>
      <c r="R4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47" s="198">
        <f>(1 - ((1 - VLOOKUP(Table4[[#This Row],[Confidentiality]],'Reference - CVSSv3.0'!$B$15:$C$17,2,FALSE)) * (1 - VLOOKUP(Table4[[#This Row],[Integrity]],'Reference - CVSSv3.0'!$B$15:$C$17,2,FALSE)) *  (1 - VLOOKUP(Table4[[#This Row],[Availability]],'Reference - CVSSv3.0'!$B$15:$C$17,2,FALSE))))</f>
        <v>0.73230400000000007</v>
      </c>
      <c r="T47" s="198">
        <f>IF(Table4[[#This Row],[Scope]]="Unchanged",6.42*Table4[[#This Row],[ISC Base]],IF(Table4[[#This Row],[Scope]]="Changed",7.52*(Table4[[#This Row],[ISC Base]] - 0.029) - 3.25 * POWER(Table4[[#This Row],[ISC Base]] - 0.02,15),NA()))</f>
        <v>4.7013916800000004</v>
      </c>
      <c r="U47" s="198">
        <f>IF(Table4[[#This Row],[Impact Sub Score]]&lt;=0,0,IF(Table4[[#This Row],[Scope]]="Unchanged",ROUNDUP(MIN((Table4[[#This Row],[Impact Sub Score]]+Table4[[#This Row],[Exploitability Sub Score]]),10),1),IF(Table4[[#This Row],[Scope]]="Changed",ROUNDUP(MIN((1.08*(Table4[[#This Row],[Impact Sub Score]]+Table4[[#This Row],[Exploitability Sub Score]])),10),1),NA())))</f>
        <v>5.3999999999999995</v>
      </c>
      <c r="V47" s="182" t="s">
        <v>65</v>
      </c>
      <c r="W47" s="198">
        <f>VLOOKUP(Table4[[#This Row],[Threat Event Initiation]],NIST_Scale_LOAI[],2,FALSE)</f>
        <v>0.8</v>
      </c>
      <c r="X4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4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49" t="s">
        <v>330</v>
      </c>
      <c r="AA47" s="187"/>
      <c r="AB47" s="206"/>
      <c r="AC47" s="187"/>
      <c r="AD47" s="187"/>
      <c r="AE47" s="187"/>
      <c r="AF47" s="196"/>
      <c r="AG47" s="196"/>
      <c r="AH47" s="196"/>
      <c r="AI47" s="196"/>
      <c r="AJ47" s="201"/>
      <c r="AK4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7" s="198" t="e">
        <f>(1 - ((1 - VLOOKUP(Table4[[#This Row],[ConfidentialityP]],'Reference - CVSSv3.0'!$B$15:$C$17,2,FALSE)) * (1 - VLOOKUP(Table4[[#This Row],[IntegrityP]],'Reference - CVSSv3.0'!$B$15:$C$17,2,FALSE)) *  (1 - VLOOKUP(Table4[[#This Row],[AvailabilityP]],'Reference - CVSSv3.0'!$B$15:$C$17,2,FALSE))))</f>
        <v>#N/A</v>
      </c>
      <c r="AM47" s="198" t="e">
        <f>IF(Table4[[#This Row],[ScopeP]]="Unchanged",6.42*Table4[[#This Row],[ISC BaseP]],IF(Table4[[#This Row],[ScopeP]]="Changed",7.52*(Table4[[#This Row],[ISC BaseP]] - 0.029) - 3.25 * POWER(Table4[[#This Row],[ISC BaseP]] - 0.02,15),NA()))</f>
        <v>#N/A</v>
      </c>
      <c r="AN4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187"/>
    </row>
    <row r="48" spans="1:43" s="53" customFormat="1" ht="409.5" x14ac:dyDescent="0.25">
      <c r="A48" s="70">
        <v>44</v>
      </c>
      <c r="B48" s="182" t="s">
        <v>127</v>
      </c>
      <c r="C48" s="195" t="str">
        <f>IF(VLOOKUP(Table4[[#This Row],[T ID]],Table5[#All],5,FALSE)="No","Not in scope",VLOOKUP(Table4[[#This Row],[T ID]],Table5[#All],2,FALSE))</f>
        <v>[S]TRID[E]</v>
      </c>
      <c r="D48" s="212" t="s">
        <v>120</v>
      </c>
      <c r="E48" s="195" t="str">
        <f>IF(VLOOKUP(Table4[[#This Row],[V ID]],Vulnerabilities[#All],3,FALSE)="No","Not in scope",VLOOKUP(Table4[[#This Row],[V ID]],Vulnerabilities[#All],2,FALSE))</f>
        <v>Devices with default passwords needs to be checked for bruteforce attacks</v>
      </c>
      <c r="F48" s="216" t="s">
        <v>117</v>
      </c>
      <c r="G48" s="195" t="str">
        <f>VLOOKUP(Table4[[#This Row],[A ID]],Assets[#All],3,FALSE)</f>
        <v>Interface/API Communication</v>
      </c>
      <c r="H48" s="49" t="s">
        <v>294</v>
      </c>
      <c r="I48" s="49"/>
      <c r="J48" s="87" t="s">
        <v>56</v>
      </c>
      <c r="K48" s="87" t="s">
        <v>56</v>
      </c>
      <c r="L48" s="87" t="s">
        <v>56</v>
      </c>
      <c r="M48" s="196" t="s">
        <v>75</v>
      </c>
      <c r="N48" s="157" t="s">
        <v>56</v>
      </c>
      <c r="O48" s="157" t="s">
        <v>56</v>
      </c>
      <c r="P48" s="196" t="s">
        <v>77</v>
      </c>
      <c r="Q48" s="196" t="s">
        <v>74</v>
      </c>
      <c r="R4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48" s="198">
        <f>(1 - ((1 - VLOOKUP(Table4[[#This Row],[Confidentiality]],'Reference - CVSSv3.0'!$B$15:$C$17,2,FALSE)) * (1 - VLOOKUP(Table4[[#This Row],[Integrity]],'Reference - CVSSv3.0'!$B$15:$C$17,2,FALSE)) *  (1 - VLOOKUP(Table4[[#This Row],[Availability]],'Reference - CVSSv3.0'!$B$15:$C$17,2,FALSE))))</f>
        <v>0.52544799999999992</v>
      </c>
      <c r="T48" s="198">
        <f>IF(Table4[[#This Row],[Scope]]="Unchanged",6.42*Table4[[#This Row],[ISC Base]],IF(Table4[[#This Row],[Scope]]="Changed",7.52*(Table4[[#This Row],[ISC Base]] - 0.029) - 3.25 * POWER(Table4[[#This Row],[ISC Base]] - 0.02,15),NA()))</f>
        <v>3.3733761599999994</v>
      </c>
      <c r="U48"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182" t="s">
        <v>56</v>
      </c>
      <c r="W48" s="198">
        <f>VLOOKUP(Table4[[#This Row],[Threat Event Initiation]],NIST_Scale_LOAI[],2,FALSE)</f>
        <v>0.2</v>
      </c>
      <c r="X4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49" t="s">
        <v>329</v>
      </c>
      <c r="AA48" s="187"/>
      <c r="AB48" s="206"/>
      <c r="AC48" s="187"/>
      <c r="AD48" s="187"/>
      <c r="AE48" s="187"/>
      <c r="AF48" s="196"/>
      <c r="AG48" s="196"/>
      <c r="AH48" s="196"/>
      <c r="AI48" s="196"/>
      <c r="AJ48" s="201"/>
      <c r="AK4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8" s="198" t="e">
        <f>(1 - ((1 - VLOOKUP(Table4[[#This Row],[ConfidentialityP]],'Reference - CVSSv3.0'!$B$15:$C$17,2,FALSE)) * (1 - VLOOKUP(Table4[[#This Row],[IntegrityP]],'Reference - CVSSv3.0'!$B$15:$C$17,2,FALSE)) *  (1 - VLOOKUP(Table4[[#This Row],[AvailabilityP]],'Reference - CVSSv3.0'!$B$15:$C$17,2,FALSE))))</f>
        <v>#N/A</v>
      </c>
      <c r="AM48" s="198" t="e">
        <f>IF(Table4[[#This Row],[ScopeP]]="Unchanged",6.42*Table4[[#This Row],[ISC BaseP]],IF(Table4[[#This Row],[ScopeP]]="Changed",7.52*(Table4[[#This Row],[ISC BaseP]] - 0.029) - 3.25 * POWER(Table4[[#This Row],[ISC BaseP]] - 0.02,15),NA()))</f>
        <v>#N/A</v>
      </c>
      <c r="AN4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187"/>
    </row>
    <row r="49" spans="1:43" ht="409.5" x14ac:dyDescent="0.25">
      <c r="A49" s="70">
        <v>45</v>
      </c>
      <c r="B49" s="182" t="s">
        <v>127</v>
      </c>
      <c r="C49" s="195" t="str">
        <f>IF(VLOOKUP(Table4[[#This Row],[T ID]],Table5[#All],5,FALSE)="No","Not in scope",VLOOKUP(Table4[[#This Row],[T ID]],Table5[#All],2,FALSE))</f>
        <v>[S]TRID[E]</v>
      </c>
      <c r="D49" s="212" t="s">
        <v>226</v>
      </c>
      <c r="E49" s="195" t="str">
        <f>IF(VLOOKUP(Table4[[#This Row],[V ID]],Vulnerabilities[#All],3,FALSE)="No","Not in scope",VLOOKUP(Table4[[#This Row],[V ID]],Vulnerabilities[#All],2,FALSE))</f>
        <v>Error Info containing sensitive data for Failed Authentication attempts</v>
      </c>
      <c r="F49" s="213" t="s">
        <v>114</v>
      </c>
      <c r="G49" s="195" t="str">
        <f>VLOOKUP(Table4[[#This Row],[A ID]],Assets[#All],3,FALSE)</f>
        <v xml:space="preserve">Authenication/Authorisation data </v>
      </c>
      <c r="H49" s="49" t="s">
        <v>294</v>
      </c>
      <c r="I49" s="49"/>
      <c r="J49" s="87" t="s">
        <v>56</v>
      </c>
      <c r="K49" s="87" t="s">
        <v>56</v>
      </c>
      <c r="L49" s="87" t="s">
        <v>56</v>
      </c>
      <c r="M49" s="196" t="s">
        <v>79</v>
      </c>
      <c r="N49" s="157" t="s">
        <v>56</v>
      </c>
      <c r="O49" s="157" t="s">
        <v>56</v>
      </c>
      <c r="P49" s="196" t="s">
        <v>76</v>
      </c>
      <c r="Q49" s="196" t="s">
        <v>74</v>
      </c>
      <c r="R4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49" s="198">
        <f>(1 - ((1 - VLOOKUP(Table4[[#This Row],[Confidentiality]],'Reference - CVSSv3.0'!$B$15:$C$17,2,FALSE)) * (1 - VLOOKUP(Table4[[#This Row],[Integrity]],'Reference - CVSSv3.0'!$B$15:$C$17,2,FALSE)) *  (1 - VLOOKUP(Table4[[#This Row],[Availability]],'Reference - CVSSv3.0'!$B$15:$C$17,2,FALSE))))</f>
        <v>0.52544799999999992</v>
      </c>
      <c r="T49" s="198">
        <f>IF(Table4[[#This Row],[Scope]]="Unchanged",6.42*Table4[[#This Row],[ISC Base]],IF(Table4[[#This Row],[Scope]]="Changed",7.52*(Table4[[#This Row],[ISC Base]] - 0.029) - 3.25 * POWER(Table4[[#This Row],[ISC Base]] - 0.02,15),NA()))</f>
        <v>3.3733761599999994</v>
      </c>
      <c r="U49"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49" s="182" t="s">
        <v>56</v>
      </c>
      <c r="W49" s="198">
        <f>VLOOKUP(Table4[[#This Row],[Threat Event Initiation]],NIST_Scale_LOAI[],2,FALSE)</f>
        <v>0.2</v>
      </c>
      <c r="X4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4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49" t="s">
        <v>330</v>
      </c>
      <c r="AA49" s="187"/>
      <c r="AB49" s="206"/>
      <c r="AC49" s="187"/>
      <c r="AD49" s="187"/>
      <c r="AE49" s="187"/>
      <c r="AF49" s="196"/>
      <c r="AG49" s="196"/>
      <c r="AH49" s="196"/>
      <c r="AI49" s="196"/>
      <c r="AJ49" s="201"/>
      <c r="AK4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9" s="198" t="e">
        <f>(1 - ((1 - VLOOKUP(Table4[[#This Row],[ConfidentialityP]],'Reference - CVSSv3.0'!$B$15:$C$17,2,FALSE)) * (1 - VLOOKUP(Table4[[#This Row],[IntegrityP]],'Reference - CVSSv3.0'!$B$15:$C$17,2,FALSE)) *  (1 - VLOOKUP(Table4[[#This Row],[AvailabilityP]],'Reference - CVSSv3.0'!$B$15:$C$17,2,FALSE))))</f>
        <v>#N/A</v>
      </c>
      <c r="AM49" s="198" t="e">
        <f>IF(Table4[[#This Row],[ScopeP]]="Unchanged",6.42*Table4[[#This Row],[ISC BaseP]],IF(Table4[[#This Row],[ScopeP]]="Changed",7.52*(Table4[[#This Row],[ISC BaseP]] - 0.029) - 3.25 * POWER(Table4[[#This Row],[ISC BaseP]] - 0.02,15),NA()))</f>
        <v>#N/A</v>
      </c>
      <c r="AN4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187"/>
    </row>
    <row r="50" spans="1:43" ht="409.5" x14ac:dyDescent="0.25">
      <c r="A50" s="70">
        <v>46</v>
      </c>
      <c r="B50" s="182" t="s">
        <v>127</v>
      </c>
      <c r="C50" s="195" t="str">
        <f>IF(VLOOKUP(Table4[[#This Row],[T ID]],Table5[#All],5,FALSE)="No","Not in scope",VLOOKUP(Table4[[#This Row],[T ID]],Table5[#All],2,FALSE))</f>
        <v>[S]TRID[E]</v>
      </c>
      <c r="D50" s="212" t="s">
        <v>226</v>
      </c>
      <c r="E50" s="195" t="str">
        <f>IF(VLOOKUP(Table4[[#This Row],[V ID]],Vulnerabilities[#All],3,FALSE)="No","Not in scope",VLOOKUP(Table4[[#This Row],[V ID]],Vulnerabilities[#All],2,FALSE))</f>
        <v>Error Info containing sensitive data for Failed Authentication attempts</v>
      </c>
      <c r="F50" s="216" t="s">
        <v>107</v>
      </c>
      <c r="G50" s="195" t="str">
        <f>VLOOKUP(Table4[[#This Row],[A ID]],Assets[#All],3,FALSE)</f>
        <v>Smart medic app (Stryker Azure Cloud Web Application)</v>
      </c>
      <c r="H50" s="49" t="s">
        <v>294</v>
      </c>
      <c r="I50" s="49"/>
      <c r="J50" s="87" t="s">
        <v>65</v>
      </c>
      <c r="K50" s="87" t="s">
        <v>56</v>
      </c>
      <c r="L50" s="87" t="s">
        <v>56</v>
      </c>
      <c r="M50" s="196" t="s">
        <v>79</v>
      </c>
      <c r="N50" s="157" t="s">
        <v>56</v>
      </c>
      <c r="O50" s="157" t="s">
        <v>56</v>
      </c>
      <c r="P50" s="196" t="s">
        <v>76</v>
      </c>
      <c r="Q50" s="196" t="s">
        <v>74</v>
      </c>
      <c r="R5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50" s="198">
        <f>(1 - ((1 - VLOOKUP(Table4[[#This Row],[Confidentiality]],'Reference - CVSSv3.0'!$B$15:$C$17,2,FALSE)) * (1 - VLOOKUP(Table4[[#This Row],[Integrity]],'Reference - CVSSv3.0'!$B$15:$C$17,2,FALSE)) *  (1 - VLOOKUP(Table4[[#This Row],[Availability]],'Reference - CVSSv3.0'!$B$15:$C$17,2,FALSE))))</f>
        <v>0.73230400000000007</v>
      </c>
      <c r="T50" s="198">
        <f>IF(Table4[[#This Row],[Scope]]="Unchanged",6.42*Table4[[#This Row],[ISC Base]],IF(Table4[[#This Row],[Scope]]="Changed",7.52*(Table4[[#This Row],[ISC Base]] - 0.029) - 3.25 * POWER(Table4[[#This Row],[ISC Base]] - 0.02,15),NA()))</f>
        <v>4.7013916800000004</v>
      </c>
      <c r="U50" s="198">
        <f>IF(Table4[[#This Row],[Impact Sub Score]]&lt;=0,0,IF(Table4[[#This Row],[Scope]]="Unchanged",ROUNDUP(MIN((Table4[[#This Row],[Impact Sub Score]]+Table4[[#This Row],[Exploitability Sub Score]]),10),1),IF(Table4[[#This Row],[Scope]]="Changed",ROUNDUP(MIN((1.08*(Table4[[#This Row],[Impact Sub Score]]+Table4[[#This Row],[Exploitability Sub Score]])),10),1),NA())))</f>
        <v>6.1</v>
      </c>
      <c r="V50" s="182" t="s">
        <v>65</v>
      </c>
      <c r="W50" s="198">
        <f>VLOOKUP(Table4[[#This Row],[Threat Event Initiation]],NIST_Scale_LOAI[],2,FALSE)</f>
        <v>0.8</v>
      </c>
      <c r="X5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v>
      </c>
      <c r="Y5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49" t="s">
        <v>331</v>
      </c>
      <c r="AA50" s="187"/>
      <c r="AB50" s="206"/>
      <c r="AC50" s="187"/>
      <c r="AD50" s="187"/>
      <c r="AE50" s="187"/>
      <c r="AF50" s="196"/>
      <c r="AG50" s="196"/>
      <c r="AH50" s="196"/>
      <c r="AI50" s="196"/>
      <c r="AJ50" s="201"/>
      <c r="AK5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0" s="198" t="e">
        <f>(1 - ((1 - VLOOKUP(Table4[[#This Row],[ConfidentialityP]],'Reference - CVSSv3.0'!$B$15:$C$17,2,FALSE)) * (1 - VLOOKUP(Table4[[#This Row],[IntegrityP]],'Reference - CVSSv3.0'!$B$15:$C$17,2,FALSE)) *  (1 - VLOOKUP(Table4[[#This Row],[AvailabilityP]],'Reference - CVSSv3.0'!$B$15:$C$17,2,FALSE))))</f>
        <v>#N/A</v>
      </c>
      <c r="AM50" s="198" t="e">
        <f>IF(Table4[[#This Row],[ScopeP]]="Unchanged",6.42*Table4[[#This Row],[ISC BaseP]],IF(Table4[[#This Row],[ScopeP]]="Changed",7.52*(Table4[[#This Row],[ISC BaseP]] - 0.029) - 3.25 * POWER(Table4[[#This Row],[ISC BaseP]] - 0.02,15),NA()))</f>
        <v>#N/A</v>
      </c>
      <c r="AN5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187"/>
    </row>
    <row r="51" spans="1:43" ht="409.5" x14ac:dyDescent="0.25">
      <c r="A51" s="70">
        <v>47</v>
      </c>
      <c r="B51" s="182" t="s">
        <v>127</v>
      </c>
      <c r="C51" s="195" t="str">
        <f>IF(VLOOKUP(Table4[[#This Row],[T ID]],Table5[#All],5,FALSE)="No","Not in scope",VLOOKUP(Table4[[#This Row],[T ID]],Table5[#All],2,FALSE))</f>
        <v>[S]TRID[E]</v>
      </c>
      <c r="D51" s="212" t="s">
        <v>226</v>
      </c>
      <c r="E51" s="195" t="str">
        <f>IF(VLOOKUP(Table4[[#This Row],[V ID]],Vulnerabilities[#All],3,FALSE)="No","Not in scope",VLOOKUP(Table4[[#This Row],[V ID]],Vulnerabilities[#All],2,FALSE))</f>
        <v>Error Info containing sensitive data for Failed Authentication attempts</v>
      </c>
      <c r="F51" s="216" t="s">
        <v>108</v>
      </c>
      <c r="G51" s="195" t="str">
        <f>VLOOKUP(Table4[[#This Row],[A ID]],Assets[#All],3,FALSE)</f>
        <v>Smart medic app (Azure Portal Administrator)</v>
      </c>
      <c r="H51" s="49" t="s">
        <v>294</v>
      </c>
      <c r="I51" s="49"/>
      <c r="J51" s="87" t="s">
        <v>65</v>
      </c>
      <c r="K51" s="87" t="s">
        <v>56</v>
      </c>
      <c r="L51" s="87" t="s">
        <v>56</v>
      </c>
      <c r="M51" s="196" t="s">
        <v>79</v>
      </c>
      <c r="N51" s="157" t="s">
        <v>56</v>
      </c>
      <c r="O51" s="157" t="s">
        <v>56</v>
      </c>
      <c r="P51" s="196" t="s">
        <v>76</v>
      </c>
      <c r="Q51" s="196" t="s">
        <v>74</v>
      </c>
      <c r="R5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51" s="198">
        <f>(1 - ((1 - VLOOKUP(Table4[[#This Row],[Confidentiality]],'Reference - CVSSv3.0'!$B$15:$C$17,2,FALSE)) * (1 - VLOOKUP(Table4[[#This Row],[Integrity]],'Reference - CVSSv3.0'!$B$15:$C$17,2,FALSE)) *  (1 - VLOOKUP(Table4[[#This Row],[Availability]],'Reference - CVSSv3.0'!$B$15:$C$17,2,FALSE))))</f>
        <v>0.73230400000000007</v>
      </c>
      <c r="T51" s="198">
        <f>IF(Table4[[#This Row],[Scope]]="Unchanged",6.42*Table4[[#This Row],[ISC Base]],IF(Table4[[#This Row],[Scope]]="Changed",7.52*(Table4[[#This Row],[ISC Base]] - 0.029) - 3.25 * POWER(Table4[[#This Row],[ISC Base]] - 0.02,15),NA()))</f>
        <v>4.7013916800000004</v>
      </c>
      <c r="U51" s="198">
        <f>IF(Table4[[#This Row],[Impact Sub Score]]&lt;=0,0,IF(Table4[[#This Row],[Scope]]="Unchanged",ROUNDUP(MIN((Table4[[#This Row],[Impact Sub Score]]+Table4[[#This Row],[Exploitability Sub Score]]),10),1),IF(Table4[[#This Row],[Scope]]="Changed",ROUNDUP(MIN((1.08*(Table4[[#This Row],[Impact Sub Score]]+Table4[[#This Row],[Exploitability Sub Score]])),10),1),NA())))</f>
        <v>6.1</v>
      </c>
      <c r="V51" s="182" t="s">
        <v>65</v>
      </c>
      <c r="W51" s="198">
        <f>VLOOKUP(Table4[[#This Row],[Threat Event Initiation]],NIST_Scale_LOAI[],2,FALSE)</f>
        <v>0.8</v>
      </c>
      <c r="X5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v>
      </c>
      <c r="Y5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49" t="s">
        <v>331</v>
      </c>
      <c r="AA51" s="187"/>
      <c r="AB51" s="206"/>
      <c r="AC51" s="187"/>
      <c r="AD51" s="187"/>
      <c r="AE51" s="187"/>
      <c r="AF51" s="196"/>
      <c r="AG51" s="196"/>
      <c r="AH51" s="196"/>
      <c r="AI51" s="196"/>
      <c r="AJ51" s="201"/>
      <c r="AK5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1" s="198" t="e">
        <f>(1 - ((1 - VLOOKUP(Table4[[#This Row],[ConfidentialityP]],'Reference - CVSSv3.0'!$B$15:$C$17,2,FALSE)) * (1 - VLOOKUP(Table4[[#This Row],[IntegrityP]],'Reference - CVSSv3.0'!$B$15:$C$17,2,FALSE)) *  (1 - VLOOKUP(Table4[[#This Row],[AvailabilityP]],'Reference - CVSSv3.0'!$B$15:$C$17,2,FALSE))))</f>
        <v>#N/A</v>
      </c>
      <c r="AM51" s="198" t="e">
        <f>IF(Table4[[#This Row],[ScopeP]]="Unchanged",6.42*Table4[[#This Row],[ISC BaseP]],IF(Table4[[#This Row],[ScopeP]]="Changed",7.52*(Table4[[#This Row],[ISC BaseP]] - 0.029) - 3.25 * POWER(Table4[[#This Row],[ISC BaseP]] - 0.02,15),NA()))</f>
        <v>#N/A</v>
      </c>
      <c r="AN5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187"/>
    </row>
    <row r="52" spans="1:43" ht="409.5" x14ac:dyDescent="0.25">
      <c r="A52" s="70">
        <v>48</v>
      </c>
      <c r="B52" s="182" t="s">
        <v>127</v>
      </c>
      <c r="C52" s="195" t="str">
        <f>IF(VLOOKUP(Table4[[#This Row],[T ID]],Table5[#All],5,FALSE)="No","Not in scope",VLOOKUP(Table4[[#This Row],[T ID]],Table5[#All],2,FALSE))</f>
        <v>[S]TRID[E]</v>
      </c>
      <c r="D52" s="212" t="s">
        <v>227</v>
      </c>
      <c r="E52" s="195" t="str">
        <f>IF(VLOOKUP(Table4[[#This Row],[V ID]],Vulnerabilities[#All],3,FALSE)="No","Not in scope",VLOOKUP(Table4[[#This Row],[V ID]],Vulnerabilities[#All],2,FALSE))</f>
        <v>The password complexity or location vulnerability. Like weak passwords and hardcoded passwords.</v>
      </c>
      <c r="F52" s="213" t="s">
        <v>114</v>
      </c>
      <c r="G52" s="195" t="str">
        <f>VLOOKUP(Table4[[#This Row],[A ID]],Assets[#All],3,FALSE)</f>
        <v xml:space="preserve">Authenication/Authorisation data </v>
      </c>
      <c r="H52" s="49" t="s">
        <v>294</v>
      </c>
      <c r="I52" s="49"/>
      <c r="J52" s="87" t="s">
        <v>56</v>
      </c>
      <c r="K52" s="87" t="s">
        <v>56</v>
      </c>
      <c r="L52" s="87" t="s">
        <v>56</v>
      </c>
      <c r="M52" s="196" t="s">
        <v>75</v>
      </c>
      <c r="N52" s="157" t="s">
        <v>56</v>
      </c>
      <c r="O52" s="157" t="s">
        <v>56</v>
      </c>
      <c r="P52" s="196" t="s">
        <v>77</v>
      </c>
      <c r="Q52" s="196" t="s">
        <v>74</v>
      </c>
      <c r="R5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2" s="198">
        <f>(1 - ((1 - VLOOKUP(Table4[[#This Row],[Confidentiality]],'Reference - CVSSv3.0'!$B$15:$C$17,2,FALSE)) * (1 - VLOOKUP(Table4[[#This Row],[Integrity]],'Reference - CVSSv3.0'!$B$15:$C$17,2,FALSE)) *  (1 - VLOOKUP(Table4[[#This Row],[Availability]],'Reference - CVSSv3.0'!$B$15:$C$17,2,FALSE))))</f>
        <v>0.52544799999999992</v>
      </c>
      <c r="T52" s="198">
        <f>IF(Table4[[#This Row],[Scope]]="Unchanged",6.42*Table4[[#This Row],[ISC Base]],IF(Table4[[#This Row],[Scope]]="Changed",7.52*(Table4[[#This Row],[ISC Base]] - 0.029) - 3.25 * POWER(Table4[[#This Row],[ISC Base]] - 0.02,15),NA()))</f>
        <v>3.3733761599999994</v>
      </c>
      <c r="U52"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182" t="s">
        <v>56</v>
      </c>
      <c r="W52" s="198">
        <f>VLOOKUP(Table4[[#This Row],[Threat Event Initiation]],NIST_Scale_LOAI[],2,FALSE)</f>
        <v>0.2</v>
      </c>
      <c r="X5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49" t="s">
        <v>328</v>
      </c>
      <c r="AA52" s="187"/>
      <c r="AB52" s="206"/>
      <c r="AC52" s="187"/>
      <c r="AD52" s="187"/>
      <c r="AE52" s="187"/>
      <c r="AF52" s="196"/>
      <c r="AG52" s="196"/>
      <c r="AH52" s="196"/>
      <c r="AI52" s="196"/>
      <c r="AJ52" s="201"/>
      <c r="AK5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2" s="198" t="e">
        <f>(1 - ((1 - VLOOKUP(Table4[[#This Row],[ConfidentialityP]],'Reference - CVSSv3.0'!$B$15:$C$17,2,FALSE)) * (1 - VLOOKUP(Table4[[#This Row],[IntegrityP]],'Reference - CVSSv3.0'!$B$15:$C$17,2,FALSE)) *  (1 - VLOOKUP(Table4[[#This Row],[AvailabilityP]],'Reference - CVSSv3.0'!$B$15:$C$17,2,FALSE))))</f>
        <v>#N/A</v>
      </c>
      <c r="AM52" s="198" t="e">
        <f>IF(Table4[[#This Row],[ScopeP]]="Unchanged",6.42*Table4[[#This Row],[ISC BaseP]],IF(Table4[[#This Row],[ScopeP]]="Changed",7.52*(Table4[[#This Row],[ISC BaseP]] - 0.029) - 3.25 * POWER(Table4[[#This Row],[ISC BaseP]] - 0.02,15),NA()))</f>
        <v>#N/A</v>
      </c>
      <c r="AN5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187"/>
    </row>
    <row r="53" spans="1:43" ht="409.5" x14ac:dyDescent="0.25">
      <c r="A53" s="70">
        <v>49</v>
      </c>
      <c r="B53" s="182" t="s">
        <v>127</v>
      </c>
      <c r="C53" s="195" t="str">
        <f>IF(VLOOKUP(Table4[[#This Row],[T ID]],Table5[#All],5,FALSE)="No","Not in scope",VLOOKUP(Table4[[#This Row],[T ID]],Table5[#All],2,FALSE))</f>
        <v>[S]TRID[E]</v>
      </c>
      <c r="D53" s="212" t="s">
        <v>227</v>
      </c>
      <c r="E53" s="195" t="str">
        <f>IF(VLOOKUP(Table4[[#This Row],[V ID]],Vulnerabilities[#All],3,FALSE)="No","Not in scope",VLOOKUP(Table4[[#This Row],[V ID]],Vulnerabilities[#All],2,FALSE))</f>
        <v>The password complexity or location vulnerability. Like weak passwords and hardcoded passwords.</v>
      </c>
      <c r="F53" s="216" t="s">
        <v>107</v>
      </c>
      <c r="G53" s="195" t="str">
        <f>VLOOKUP(Table4[[#This Row],[A ID]],Assets[#All],3,FALSE)</f>
        <v>Smart medic app (Stryker Azure Cloud Web Application)</v>
      </c>
      <c r="H53" s="49" t="s">
        <v>294</v>
      </c>
      <c r="I53" s="49"/>
      <c r="J53" s="87" t="s">
        <v>56</v>
      </c>
      <c r="K53" s="87" t="s">
        <v>56</v>
      </c>
      <c r="L53" s="87" t="s">
        <v>56</v>
      </c>
      <c r="M53" s="196" t="s">
        <v>75</v>
      </c>
      <c r="N53" s="157" t="s">
        <v>56</v>
      </c>
      <c r="O53" s="157" t="s">
        <v>56</v>
      </c>
      <c r="P53" s="196" t="s">
        <v>77</v>
      </c>
      <c r="Q53" s="196" t="s">
        <v>74</v>
      </c>
      <c r="R5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3" s="198">
        <f>(1 - ((1 - VLOOKUP(Table4[[#This Row],[Confidentiality]],'Reference - CVSSv3.0'!$B$15:$C$17,2,FALSE)) * (1 - VLOOKUP(Table4[[#This Row],[Integrity]],'Reference - CVSSv3.0'!$B$15:$C$17,2,FALSE)) *  (1 - VLOOKUP(Table4[[#This Row],[Availability]],'Reference - CVSSv3.0'!$B$15:$C$17,2,FALSE))))</f>
        <v>0.52544799999999992</v>
      </c>
      <c r="T53" s="198">
        <f>IF(Table4[[#This Row],[Scope]]="Unchanged",6.42*Table4[[#This Row],[ISC Base]],IF(Table4[[#This Row],[Scope]]="Changed",7.52*(Table4[[#This Row],[ISC Base]] - 0.029) - 3.25 * POWER(Table4[[#This Row],[ISC Base]] - 0.02,15),NA()))</f>
        <v>3.3733761599999994</v>
      </c>
      <c r="U53"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3" s="182" t="s">
        <v>56</v>
      </c>
      <c r="W53" s="198">
        <f>VLOOKUP(Table4[[#This Row],[Threat Event Initiation]],NIST_Scale_LOAI[],2,FALSE)</f>
        <v>0.2</v>
      </c>
      <c r="X5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49" t="s">
        <v>328</v>
      </c>
      <c r="AA53" s="187"/>
      <c r="AB53" s="206"/>
      <c r="AC53" s="187"/>
      <c r="AD53" s="187"/>
      <c r="AE53" s="187"/>
      <c r="AF53" s="196"/>
      <c r="AG53" s="196"/>
      <c r="AH53" s="196"/>
      <c r="AI53" s="196"/>
      <c r="AJ53" s="201"/>
      <c r="AK5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3" s="198" t="e">
        <f>(1 - ((1 - VLOOKUP(Table4[[#This Row],[ConfidentialityP]],'Reference - CVSSv3.0'!$B$15:$C$17,2,FALSE)) * (1 - VLOOKUP(Table4[[#This Row],[IntegrityP]],'Reference - CVSSv3.0'!$B$15:$C$17,2,FALSE)) *  (1 - VLOOKUP(Table4[[#This Row],[AvailabilityP]],'Reference - CVSSv3.0'!$B$15:$C$17,2,FALSE))))</f>
        <v>#N/A</v>
      </c>
      <c r="AM53" s="198" t="e">
        <f>IF(Table4[[#This Row],[ScopeP]]="Unchanged",6.42*Table4[[#This Row],[ISC BaseP]],IF(Table4[[#This Row],[ScopeP]]="Changed",7.52*(Table4[[#This Row],[ISC BaseP]] - 0.029) - 3.25 * POWER(Table4[[#This Row],[ISC BaseP]] - 0.02,15),NA()))</f>
        <v>#N/A</v>
      </c>
      <c r="AN5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187"/>
    </row>
    <row r="54" spans="1:43" ht="409.5" x14ac:dyDescent="0.25">
      <c r="A54" s="70">
        <v>50</v>
      </c>
      <c r="B54" s="182" t="s">
        <v>127</v>
      </c>
      <c r="C54" s="195" t="str">
        <f>IF(VLOOKUP(Table4[[#This Row],[T ID]],Table5[#All],5,FALSE)="No","Not in scope",VLOOKUP(Table4[[#This Row],[T ID]],Table5[#All],2,FALSE))</f>
        <v>[S]TRID[E]</v>
      </c>
      <c r="D54" s="212" t="s">
        <v>227</v>
      </c>
      <c r="E54" s="195" t="str">
        <f>IF(VLOOKUP(Table4[[#This Row],[V ID]],Vulnerabilities[#All],3,FALSE)="No","Not in scope",VLOOKUP(Table4[[#This Row],[V ID]],Vulnerabilities[#All],2,FALSE))</f>
        <v>The password complexity or location vulnerability. Like weak passwords and hardcoded passwords.</v>
      </c>
      <c r="F54" s="216" t="s">
        <v>108</v>
      </c>
      <c r="G54" s="195" t="str">
        <f>VLOOKUP(Table4[[#This Row],[A ID]],Assets[#All],3,FALSE)</f>
        <v>Smart medic app (Azure Portal Administrator)</v>
      </c>
      <c r="H54" s="49" t="s">
        <v>294</v>
      </c>
      <c r="I54" s="49"/>
      <c r="J54" s="87" t="s">
        <v>56</v>
      </c>
      <c r="K54" s="87" t="s">
        <v>56</v>
      </c>
      <c r="L54" s="87" t="s">
        <v>56</v>
      </c>
      <c r="M54" s="196" t="s">
        <v>75</v>
      </c>
      <c r="N54" s="157" t="s">
        <v>56</v>
      </c>
      <c r="O54" s="157" t="s">
        <v>56</v>
      </c>
      <c r="P54" s="196" t="s">
        <v>77</v>
      </c>
      <c r="Q54" s="196" t="s">
        <v>74</v>
      </c>
      <c r="R5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4" s="198">
        <f>(1 - ((1 - VLOOKUP(Table4[[#This Row],[Confidentiality]],'Reference - CVSSv3.0'!$B$15:$C$17,2,FALSE)) * (1 - VLOOKUP(Table4[[#This Row],[Integrity]],'Reference - CVSSv3.0'!$B$15:$C$17,2,FALSE)) *  (1 - VLOOKUP(Table4[[#This Row],[Availability]],'Reference - CVSSv3.0'!$B$15:$C$17,2,FALSE))))</f>
        <v>0.52544799999999992</v>
      </c>
      <c r="T54" s="198">
        <f>IF(Table4[[#This Row],[Scope]]="Unchanged",6.42*Table4[[#This Row],[ISC Base]],IF(Table4[[#This Row],[Scope]]="Changed",7.52*(Table4[[#This Row],[ISC Base]] - 0.029) - 3.25 * POWER(Table4[[#This Row],[ISC Base]] - 0.02,15),NA()))</f>
        <v>3.3733761599999994</v>
      </c>
      <c r="U5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4" s="182" t="s">
        <v>56</v>
      </c>
      <c r="W54" s="198">
        <f>VLOOKUP(Table4[[#This Row],[Threat Event Initiation]],NIST_Scale_LOAI[],2,FALSE)</f>
        <v>0.2</v>
      </c>
      <c r="X5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49" t="s">
        <v>328</v>
      </c>
      <c r="AA54" s="187"/>
      <c r="AB54" s="206"/>
      <c r="AC54" s="187"/>
      <c r="AD54" s="187"/>
      <c r="AE54" s="187"/>
      <c r="AF54" s="196"/>
      <c r="AG54" s="196"/>
      <c r="AH54" s="196"/>
      <c r="AI54" s="196"/>
      <c r="AJ54" s="201"/>
      <c r="AK5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4" s="198" t="e">
        <f>(1 - ((1 - VLOOKUP(Table4[[#This Row],[ConfidentialityP]],'Reference - CVSSv3.0'!$B$15:$C$17,2,FALSE)) * (1 - VLOOKUP(Table4[[#This Row],[IntegrityP]],'Reference - CVSSv3.0'!$B$15:$C$17,2,FALSE)) *  (1 - VLOOKUP(Table4[[#This Row],[AvailabilityP]],'Reference - CVSSv3.0'!$B$15:$C$17,2,FALSE))))</f>
        <v>#N/A</v>
      </c>
      <c r="AM54" s="198" t="e">
        <f>IF(Table4[[#This Row],[ScopeP]]="Unchanged",6.42*Table4[[#This Row],[ISC BaseP]],IF(Table4[[#This Row],[ScopeP]]="Changed",7.52*(Table4[[#This Row],[ISC BaseP]] - 0.029) - 3.25 * POWER(Table4[[#This Row],[ISC BaseP]] - 0.02,15),NA()))</f>
        <v>#N/A</v>
      </c>
      <c r="AN5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187"/>
    </row>
    <row r="55" spans="1:43" ht="409.5" x14ac:dyDescent="0.25">
      <c r="A55" s="70">
        <v>51</v>
      </c>
      <c r="B55" s="182" t="s">
        <v>127</v>
      </c>
      <c r="C55" s="195" t="str">
        <f>IF(VLOOKUP(Table4[[#This Row],[T ID]],Table5[#All],5,FALSE)="No","Not in scope",VLOOKUP(Table4[[#This Row],[T ID]],Table5[#All],2,FALSE))</f>
        <v>[S]TRID[E]</v>
      </c>
      <c r="D55" s="212" t="s">
        <v>251</v>
      </c>
      <c r="E55" s="195" t="str">
        <f>IF(VLOOKUP(Table4[[#This Row],[V ID]],Vulnerabilities[#All],3,FALSE)="No","Not in scope",VLOOKUP(Table4[[#This Row],[V ID]],Vulnerabilities[#All],2,FALSE))</f>
        <v>External communications and exposure for communciation channels from and to application and devices like tablet and smartmedic device.</v>
      </c>
      <c r="F55" s="213" t="s">
        <v>114</v>
      </c>
      <c r="G55" s="195" t="str">
        <f>VLOOKUP(Table4[[#This Row],[A ID]],Assets[#All],3,FALSE)</f>
        <v xml:space="preserve">Authenication/Authorisation data </v>
      </c>
      <c r="H55" s="49" t="s">
        <v>294</v>
      </c>
      <c r="I55" s="49"/>
      <c r="J55" s="87" t="s">
        <v>56</v>
      </c>
      <c r="K55" s="87" t="s">
        <v>56</v>
      </c>
      <c r="L55" s="87" t="s">
        <v>56</v>
      </c>
      <c r="M55" s="196" t="s">
        <v>78</v>
      </c>
      <c r="N55" s="157" t="s">
        <v>56</v>
      </c>
      <c r="O55" s="157" t="s">
        <v>56</v>
      </c>
      <c r="P55" s="196" t="s">
        <v>76</v>
      </c>
      <c r="Q55" s="196" t="s">
        <v>74</v>
      </c>
      <c r="R5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55" s="198">
        <f>(1 - ((1 - VLOOKUP(Table4[[#This Row],[Confidentiality]],'Reference - CVSSv3.0'!$B$15:$C$17,2,FALSE)) * (1 - VLOOKUP(Table4[[#This Row],[Integrity]],'Reference - CVSSv3.0'!$B$15:$C$17,2,FALSE)) *  (1 - VLOOKUP(Table4[[#This Row],[Availability]],'Reference - CVSSv3.0'!$B$15:$C$17,2,FALSE))))</f>
        <v>0.52544799999999992</v>
      </c>
      <c r="T55" s="198">
        <f>IF(Table4[[#This Row],[Scope]]="Unchanged",6.42*Table4[[#This Row],[ISC Base]],IF(Table4[[#This Row],[Scope]]="Changed",7.52*(Table4[[#This Row],[ISC Base]] - 0.029) - 3.25 * POWER(Table4[[#This Row],[ISC Base]] - 0.02,15),NA()))</f>
        <v>3.3733761599999994</v>
      </c>
      <c r="U55"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55" s="182" t="s">
        <v>56</v>
      </c>
      <c r="W55" s="198">
        <f>VLOOKUP(Table4[[#This Row],[Threat Event Initiation]],NIST_Scale_LOAI[],2,FALSE)</f>
        <v>0.2</v>
      </c>
      <c r="X5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49" t="s">
        <v>345</v>
      </c>
      <c r="AA55" s="187"/>
      <c r="AB55" s="206"/>
      <c r="AC55" s="187"/>
      <c r="AD55" s="187"/>
      <c r="AE55" s="187"/>
      <c r="AF55" s="196"/>
      <c r="AG55" s="196"/>
      <c r="AH55" s="196"/>
      <c r="AI55" s="196"/>
      <c r="AJ55" s="201"/>
      <c r="AK5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5" s="198" t="e">
        <f>(1 - ((1 - VLOOKUP(Table4[[#This Row],[ConfidentialityP]],'Reference - CVSSv3.0'!$B$15:$C$17,2,FALSE)) * (1 - VLOOKUP(Table4[[#This Row],[IntegrityP]],'Reference - CVSSv3.0'!$B$15:$C$17,2,FALSE)) *  (1 - VLOOKUP(Table4[[#This Row],[AvailabilityP]],'Reference - CVSSv3.0'!$B$15:$C$17,2,FALSE))))</f>
        <v>#N/A</v>
      </c>
      <c r="AM55" s="198" t="e">
        <f>IF(Table4[[#This Row],[ScopeP]]="Unchanged",6.42*Table4[[#This Row],[ISC BaseP]],IF(Table4[[#This Row],[ScopeP]]="Changed",7.52*(Table4[[#This Row],[ISC BaseP]] - 0.029) - 3.25 * POWER(Table4[[#This Row],[ISC BaseP]] - 0.02,15),NA()))</f>
        <v>#N/A</v>
      </c>
      <c r="AN5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187"/>
    </row>
    <row r="56" spans="1:43" ht="409.5" x14ac:dyDescent="0.25">
      <c r="A56" s="70">
        <v>52</v>
      </c>
      <c r="B56" s="182" t="s">
        <v>127</v>
      </c>
      <c r="C56" s="195" t="str">
        <f>IF(VLOOKUP(Table4[[#This Row],[T ID]],Table5[#All],5,FALSE)="No","Not in scope",VLOOKUP(Table4[[#This Row],[T ID]],Table5[#All],2,FALSE))</f>
        <v>[S]TRID[E]</v>
      </c>
      <c r="D56" s="212" t="s">
        <v>251</v>
      </c>
      <c r="E56" s="195" t="str">
        <f>IF(VLOOKUP(Table4[[#This Row],[V ID]],Vulnerabilities[#All],3,FALSE)="No","Not in scope",VLOOKUP(Table4[[#This Row],[V ID]],Vulnerabilities[#All],2,FALSE))</f>
        <v>External communications and exposure for communciation channels from and to application and devices like tablet and smartmedic device.</v>
      </c>
      <c r="F56" s="216" t="s">
        <v>108</v>
      </c>
      <c r="G56" s="195" t="str">
        <f>VLOOKUP(Table4[[#This Row],[A ID]],Assets[#All],3,FALSE)</f>
        <v>Smart medic app (Azure Portal Administrator)</v>
      </c>
      <c r="H56" s="49" t="s">
        <v>294</v>
      </c>
      <c r="I56" s="49"/>
      <c r="J56" s="87" t="s">
        <v>56</v>
      </c>
      <c r="K56" s="87" t="s">
        <v>56</v>
      </c>
      <c r="L56" s="87" t="s">
        <v>56</v>
      </c>
      <c r="M56" s="196" t="s">
        <v>78</v>
      </c>
      <c r="N56" s="157" t="s">
        <v>56</v>
      </c>
      <c r="O56" s="157" t="s">
        <v>56</v>
      </c>
      <c r="P56" s="196" t="s">
        <v>76</v>
      </c>
      <c r="Q56" s="196" t="s">
        <v>74</v>
      </c>
      <c r="R5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56" s="198">
        <f>(1 - ((1 - VLOOKUP(Table4[[#This Row],[Confidentiality]],'Reference - CVSSv3.0'!$B$15:$C$17,2,FALSE)) * (1 - VLOOKUP(Table4[[#This Row],[Integrity]],'Reference - CVSSv3.0'!$B$15:$C$17,2,FALSE)) *  (1 - VLOOKUP(Table4[[#This Row],[Availability]],'Reference - CVSSv3.0'!$B$15:$C$17,2,FALSE))))</f>
        <v>0.52544799999999992</v>
      </c>
      <c r="T56" s="198">
        <f>IF(Table4[[#This Row],[Scope]]="Unchanged",6.42*Table4[[#This Row],[ISC Base]],IF(Table4[[#This Row],[Scope]]="Changed",7.52*(Table4[[#This Row],[ISC Base]] - 0.029) - 3.25 * POWER(Table4[[#This Row],[ISC Base]] - 0.02,15),NA()))</f>
        <v>3.3733761599999994</v>
      </c>
      <c r="U56"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56" s="182" t="s">
        <v>56</v>
      </c>
      <c r="W56" s="198">
        <f>VLOOKUP(Table4[[#This Row],[Threat Event Initiation]],NIST_Scale_LOAI[],2,FALSE)</f>
        <v>0.2</v>
      </c>
      <c r="X5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49" t="s">
        <v>346</v>
      </c>
      <c r="AA56" s="187"/>
      <c r="AB56" s="206"/>
      <c r="AC56" s="187"/>
      <c r="AD56" s="187"/>
      <c r="AE56" s="187"/>
      <c r="AF56" s="196"/>
      <c r="AG56" s="196"/>
      <c r="AH56" s="196"/>
      <c r="AI56" s="196"/>
      <c r="AJ56" s="201"/>
      <c r="AK5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6" s="198" t="e">
        <f>(1 - ((1 - VLOOKUP(Table4[[#This Row],[ConfidentialityP]],'Reference - CVSSv3.0'!$B$15:$C$17,2,FALSE)) * (1 - VLOOKUP(Table4[[#This Row],[IntegrityP]],'Reference - CVSSv3.0'!$B$15:$C$17,2,FALSE)) *  (1 - VLOOKUP(Table4[[#This Row],[AvailabilityP]],'Reference - CVSSv3.0'!$B$15:$C$17,2,FALSE))))</f>
        <v>#N/A</v>
      </c>
      <c r="AM56" s="198" t="e">
        <f>IF(Table4[[#This Row],[ScopeP]]="Unchanged",6.42*Table4[[#This Row],[ISC BaseP]],IF(Table4[[#This Row],[ScopeP]]="Changed",7.52*(Table4[[#This Row],[ISC BaseP]] - 0.029) - 3.25 * POWER(Table4[[#This Row],[ISC BaseP]] - 0.02,15),NA()))</f>
        <v>#N/A</v>
      </c>
      <c r="AN5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187"/>
    </row>
    <row r="57" spans="1:43" ht="409.5" x14ac:dyDescent="0.25">
      <c r="A57" s="70">
        <v>53</v>
      </c>
      <c r="B57" s="182" t="s">
        <v>127</v>
      </c>
      <c r="C57" s="195" t="str">
        <f>IF(VLOOKUP(Table4[[#This Row],[T ID]],Table5[#All],5,FALSE)="No","Not in scope",VLOOKUP(Table4[[#This Row],[T ID]],Table5[#All],2,FALSE))</f>
        <v>[S]TRID[E]</v>
      </c>
      <c r="D57" s="212" t="s">
        <v>249</v>
      </c>
      <c r="E57" s="195" t="str">
        <f>IF(VLOOKUP(Table4[[#This Row],[V ID]],Vulnerabilities[#All],3,FALSE)="No","Not in scope",VLOOKUP(Table4[[#This Row],[V ID]],Vulnerabilities[#All],2,FALSE))</f>
        <v>Unprotected external USB Port on the tablet/devices.</v>
      </c>
      <c r="F57" s="216" t="s">
        <v>111</v>
      </c>
      <c r="G57" s="195" t="str">
        <f>VLOOKUP(Table4[[#This Row],[A ID]],Assets[#All],3,FALSE)</f>
        <v>Tablet Resources - web cam, microphone, OTG devices, Removable USB, Tablet Application,</v>
      </c>
      <c r="H57" s="49" t="s">
        <v>294</v>
      </c>
      <c r="I57" s="49"/>
      <c r="J57" s="87" t="s">
        <v>56</v>
      </c>
      <c r="K57" s="87" t="s">
        <v>56</v>
      </c>
      <c r="L57" s="87" t="s">
        <v>56</v>
      </c>
      <c r="M57" s="157" t="s">
        <v>75</v>
      </c>
      <c r="N57" s="157" t="s">
        <v>56</v>
      </c>
      <c r="O57" s="157" t="s">
        <v>56</v>
      </c>
      <c r="P57" s="196" t="s">
        <v>76</v>
      </c>
      <c r="Q57" s="196" t="s">
        <v>74</v>
      </c>
      <c r="R5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57" s="198">
        <f>(1 - ((1 - VLOOKUP(Table4[[#This Row],[Confidentiality]],'Reference - CVSSv3.0'!$B$15:$C$17,2,FALSE)) * (1 - VLOOKUP(Table4[[#This Row],[Integrity]],'Reference - CVSSv3.0'!$B$15:$C$17,2,FALSE)) *  (1 - VLOOKUP(Table4[[#This Row],[Availability]],'Reference - CVSSv3.0'!$B$15:$C$17,2,FALSE))))</f>
        <v>0.52544799999999992</v>
      </c>
      <c r="T57" s="198">
        <f>IF(Table4[[#This Row],[Scope]]="Unchanged",6.42*Table4[[#This Row],[ISC Base]],IF(Table4[[#This Row],[Scope]]="Changed",7.52*(Table4[[#This Row],[ISC Base]] - 0.029) - 3.25 * POWER(Table4[[#This Row],[ISC Base]] - 0.02,15),NA()))</f>
        <v>3.3733761599999994</v>
      </c>
      <c r="U57"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57" s="182" t="s">
        <v>56</v>
      </c>
      <c r="W57" s="198">
        <f>VLOOKUP(Table4[[#This Row],[Threat Event Initiation]],NIST_Scale_LOAI[],2,FALSE)</f>
        <v>0.2</v>
      </c>
      <c r="X5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49" t="s">
        <v>322</v>
      </c>
      <c r="AA57" s="187"/>
      <c r="AB57" s="206"/>
      <c r="AC57" s="187"/>
      <c r="AD57" s="187"/>
      <c r="AE57" s="187"/>
      <c r="AF57" s="196"/>
      <c r="AG57" s="196"/>
      <c r="AH57" s="196"/>
      <c r="AI57" s="196"/>
      <c r="AJ57" s="201"/>
      <c r="AK5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7" s="198" t="e">
        <f>(1 - ((1 - VLOOKUP(Table4[[#This Row],[ConfidentialityP]],'Reference - CVSSv3.0'!$B$15:$C$17,2,FALSE)) * (1 - VLOOKUP(Table4[[#This Row],[IntegrityP]],'Reference - CVSSv3.0'!$B$15:$C$17,2,FALSE)) *  (1 - VLOOKUP(Table4[[#This Row],[AvailabilityP]],'Reference - CVSSv3.0'!$B$15:$C$17,2,FALSE))))</f>
        <v>#N/A</v>
      </c>
      <c r="AM57" s="198" t="e">
        <f>IF(Table4[[#This Row],[ScopeP]]="Unchanged",6.42*Table4[[#This Row],[ISC BaseP]],IF(Table4[[#This Row],[ScopeP]]="Changed",7.52*(Table4[[#This Row],[ISC BaseP]] - 0.029) - 3.25 * POWER(Table4[[#This Row],[ISC BaseP]] - 0.02,15),NA()))</f>
        <v>#N/A</v>
      </c>
      <c r="AN5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187"/>
    </row>
    <row r="58" spans="1:43" ht="409.5" x14ac:dyDescent="0.25">
      <c r="A58" s="70">
        <v>54</v>
      </c>
      <c r="B58" s="182" t="s">
        <v>128</v>
      </c>
      <c r="C58" s="195" t="str">
        <f>IF(VLOOKUP(Table4[[#This Row],[T ID]],Table5[#All],5,FALSE)="No","Not in scope",VLOOKUP(Table4[[#This Row],[T ID]],Table5[#All],2,FALSE))</f>
        <v>TTP</v>
      </c>
      <c r="D58" s="212" t="s">
        <v>120</v>
      </c>
      <c r="E58" s="195" t="str">
        <f>IF(VLOOKUP(Table4[[#This Row],[V ID]],Vulnerabilities[#All],3,FALSE)="No","Not in scope",VLOOKUP(Table4[[#This Row],[V ID]],Vulnerabilities[#All],2,FALSE))</f>
        <v>Devices with default passwords needs to be checked for bruteforce attacks</v>
      </c>
      <c r="F58" s="216" t="s">
        <v>107</v>
      </c>
      <c r="G58" s="195" t="str">
        <f>VLOOKUP(Table4[[#This Row],[A ID]],Assets[#All],3,FALSE)</f>
        <v>Smart medic app (Stryker Azure Cloud Web Application)</v>
      </c>
      <c r="H58" s="49" t="s">
        <v>294</v>
      </c>
      <c r="I58" s="49"/>
      <c r="J58" s="87" t="s">
        <v>65</v>
      </c>
      <c r="K58" s="87" t="s">
        <v>56</v>
      </c>
      <c r="L58" s="87" t="s">
        <v>56</v>
      </c>
      <c r="M58" s="196" t="s">
        <v>75</v>
      </c>
      <c r="N58" s="157" t="s">
        <v>56</v>
      </c>
      <c r="O58" s="157" t="s">
        <v>56</v>
      </c>
      <c r="P58" s="196" t="s">
        <v>77</v>
      </c>
      <c r="Q58" s="196" t="s">
        <v>74</v>
      </c>
      <c r="R5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8" s="198">
        <f>(1 - ((1 - VLOOKUP(Table4[[#This Row],[Confidentiality]],'Reference - CVSSv3.0'!$B$15:$C$17,2,FALSE)) * (1 - VLOOKUP(Table4[[#This Row],[Integrity]],'Reference - CVSSv3.0'!$B$15:$C$17,2,FALSE)) *  (1 - VLOOKUP(Table4[[#This Row],[Availability]],'Reference - CVSSv3.0'!$B$15:$C$17,2,FALSE))))</f>
        <v>0.73230400000000007</v>
      </c>
      <c r="T58" s="198">
        <f>IF(Table4[[#This Row],[Scope]]="Unchanged",6.42*Table4[[#This Row],[ISC Base]],IF(Table4[[#This Row],[Scope]]="Changed",7.52*(Table4[[#This Row],[ISC Base]] - 0.029) - 3.25 * POWER(Table4[[#This Row],[ISC Base]] - 0.02,15),NA()))</f>
        <v>4.7013916800000004</v>
      </c>
      <c r="U58" s="198">
        <f>IF(Table4[[#This Row],[Impact Sub Score]]&lt;=0,0,IF(Table4[[#This Row],[Scope]]="Unchanged",ROUNDUP(MIN((Table4[[#This Row],[Impact Sub Score]]+Table4[[#This Row],[Exploitability Sub Score]]),10),1),IF(Table4[[#This Row],[Scope]]="Changed",ROUNDUP(MIN((1.08*(Table4[[#This Row],[Impact Sub Score]]+Table4[[#This Row],[Exploitability Sub Score]])),10),1),NA())))</f>
        <v>5.3999999999999995</v>
      </c>
      <c r="V58" s="182" t="s">
        <v>65</v>
      </c>
      <c r="W58" s="198">
        <f>VLOOKUP(Table4[[#This Row],[Threat Event Initiation]],NIST_Scale_LOAI[],2,FALSE)</f>
        <v>0.8</v>
      </c>
      <c r="X5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5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49" t="s">
        <v>330</v>
      </c>
      <c r="AA58" s="187"/>
      <c r="AB58" s="206"/>
      <c r="AC58" s="187"/>
      <c r="AD58" s="187"/>
      <c r="AE58" s="187"/>
      <c r="AF58" s="196"/>
      <c r="AG58" s="196"/>
      <c r="AH58" s="196"/>
      <c r="AI58" s="196"/>
      <c r="AJ58" s="201"/>
      <c r="AK5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8" s="198" t="e">
        <f>(1 - ((1 - VLOOKUP(Table4[[#This Row],[ConfidentialityP]],'Reference - CVSSv3.0'!$B$15:$C$17,2,FALSE)) * (1 - VLOOKUP(Table4[[#This Row],[IntegrityP]],'Reference - CVSSv3.0'!$B$15:$C$17,2,FALSE)) *  (1 - VLOOKUP(Table4[[#This Row],[AvailabilityP]],'Reference - CVSSv3.0'!$B$15:$C$17,2,FALSE))))</f>
        <v>#N/A</v>
      </c>
      <c r="AM58" s="198" t="e">
        <f>IF(Table4[[#This Row],[ScopeP]]="Unchanged",6.42*Table4[[#This Row],[ISC BaseP]],IF(Table4[[#This Row],[ScopeP]]="Changed",7.52*(Table4[[#This Row],[ISC BaseP]] - 0.029) - 3.25 * POWER(Table4[[#This Row],[ISC BaseP]] - 0.02,15),NA()))</f>
        <v>#N/A</v>
      </c>
      <c r="AN5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187"/>
    </row>
    <row r="59" spans="1:43" ht="409.5" x14ac:dyDescent="0.25">
      <c r="A59" s="70">
        <v>55</v>
      </c>
      <c r="B59" s="182" t="s">
        <v>128</v>
      </c>
      <c r="C59" s="195" t="str">
        <f>IF(VLOOKUP(Table4[[#This Row],[T ID]],Table5[#All],5,FALSE)="No","Not in scope",VLOOKUP(Table4[[#This Row],[T ID]],Table5[#All],2,FALSE))</f>
        <v>TTP</v>
      </c>
      <c r="D59" s="212" t="s">
        <v>120</v>
      </c>
      <c r="E59" s="195" t="str">
        <f>IF(VLOOKUP(Table4[[#This Row],[V ID]],Vulnerabilities[#All],3,FALSE)="No","Not in scope",VLOOKUP(Table4[[#This Row],[V ID]],Vulnerabilities[#All],2,FALSE))</f>
        <v>Devices with default passwords needs to be checked for bruteforce attacks</v>
      </c>
      <c r="F59" s="216" t="s">
        <v>108</v>
      </c>
      <c r="G59" s="195" t="str">
        <f>VLOOKUP(Table4[[#This Row],[A ID]],Assets[#All],3,FALSE)</f>
        <v>Smart medic app (Azure Portal Administrator)</v>
      </c>
      <c r="H59" s="49" t="s">
        <v>294</v>
      </c>
      <c r="I59" s="49"/>
      <c r="J59" s="87" t="s">
        <v>65</v>
      </c>
      <c r="K59" s="87" t="s">
        <v>56</v>
      </c>
      <c r="L59" s="87" t="s">
        <v>56</v>
      </c>
      <c r="M59" s="196" t="s">
        <v>75</v>
      </c>
      <c r="N59" s="157" t="s">
        <v>56</v>
      </c>
      <c r="O59" s="157" t="s">
        <v>56</v>
      </c>
      <c r="P59" s="196" t="s">
        <v>77</v>
      </c>
      <c r="Q59" s="196" t="s">
        <v>74</v>
      </c>
      <c r="R5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9" s="198">
        <f>(1 - ((1 - VLOOKUP(Table4[[#This Row],[Confidentiality]],'Reference - CVSSv3.0'!$B$15:$C$17,2,FALSE)) * (1 - VLOOKUP(Table4[[#This Row],[Integrity]],'Reference - CVSSv3.0'!$B$15:$C$17,2,FALSE)) *  (1 - VLOOKUP(Table4[[#This Row],[Availability]],'Reference - CVSSv3.0'!$B$15:$C$17,2,FALSE))))</f>
        <v>0.73230400000000007</v>
      </c>
      <c r="T59" s="198">
        <f>IF(Table4[[#This Row],[Scope]]="Unchanged",6.42*Table4[[#This Row],[ISC Base]],IF(Table4[[#This Row],[Scope]]="Changed",7.52*(Table4[[#This Row],[ISC Base]] - 0.029) - 3.25 * POWER(Table4[[#This Row],[ISC Base]] - 0.02,15),NA()))</f>
        <v>4.7013916800000004</v>
      </c>
      <c r="U59" s="198">
        <f>IF(Table4[[#This Row],[Impact Sub Score]]&lt;=0,0,IF(Table4[[#This Row],[Scope]]="Unchanged",ROUNDUP(MIN((Table4[[#This Row],[Impact Sub Score]]+Table4[[#This Row],[Exploitability Sub Score]]),10),1),IF(Table4[[#This Row],[Scope]]="Changed",ROUNDUP(MIN((1.08*(Table4[[#This Row],[Impact Sub Score]]+Table4[[#This Row],[Exploitability Sub Score]])),10),1),NA())))</f>
        <v>5.3999999999999995</v>
      </c>
      <c r="V59" s="182" t="s">
        <v>65</v>
      </c>
      <c r="W59" s="198">
        <f>VLOOKUP(Table4[[#This Row],[Threat Event Initiation]],NIST_Scale_LOAI[],2,FALSE)</f>
        <v>0.8</v>
      </c>
      <c r="X5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5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49" t="s">
        <v>330</v>
      </c>
      <c r="AA59" s="187"/>
      <c r="AB59" s="206"/>
      <c r="AC59" s="187"/>
      <c r="AD59" s="187"/>
      <c r="AE59" s="187"/>
      <c r="AF59" s="196"/>
      <c r="AG59" s="196"/>
      <c r="AH59" s="196"/>
      <c r="AI59" s="196"/>
      <c r="AJ59" s="201"/>
      <c r="AK5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9" s="198" t="e">
        <f>(1 - ((1 - VLOOKUP(Table4[[#This Row],[ConfidentialityP]],'Reference - CVSSv3.0'!$B$15:$C$17,2,FALSE)) * (1 - VLOOKUP(Table4[[#This Row],[IntegrityP]],'Reference - CVSSv3.0'!$B$15:$C$17,2,FALSE)) *  (1 - VLOOKUP(Table4[[#This Row],[AvailabilityP]],'Reference - CVSSv3.0'!$B$15:$C$17,2,FALSE))))</f>
        <v>#N/A</v>
      </c>
      <c r="AM59" s="198" t="e">
        <f>IF(Table4[[#This Row],[ScopeP]]="Unchanged",6.42*Table4[[#This Row],[ISC BaseP]],IF(Table4[[#This Row],[ScopeP]]="Changed",7.52*(Table4[[#This Row],[ISC BaseP]] - 0.029) - 3.25 * POWER(Table4[[#This Row],[ISC BaseP]] - 0.02,15),NA()))</f>
        <v>#N/A</v>
      </c>
      <c r="AN5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187"/>
    </row>
    <row r="60" spans="1:43" ht="409.5" x14ac:dyDescent="0.25">
      <c r="A60" s="70">
        <v>56</v>
      </c>
      <c r="B60" s="182" t="s">
        <v>128</v>
      </c>
      <c r="C60" s="195" t="str">
        <f>IF(VLOOKUP(Table4[[#This Row],[T ID]],Table5[#All],5,FALSE)="No","Not in scope",VLOOKUP(Table4[[#This Row],[T ID]],Table5[#All],2,FALSE))</f>
        <v>TTP</v>
      </c>
      <c r="D60" s="212" t="s">
        <v>120</v>
      </c>
      <c r="E60" s="195" t="str">
        <f>IF(VLOOKUP(Table4[[#This Row],[V ID]],Vulnerabilities[#All],3,FALSE)="No","Not in scope",VLOOKUP(Table4[[#This Row],[V ID]],Vulnerabilities[#All],2,FALSE))</f>
        <v>Devices with default passwords needs to be checked for bruteforce attacks</v>
      </c>
      <c r="F60" s="213" t="s">
        <v>114</v>
      </c>
      <c r="G60" s="195" t="str">
        <f>VLOOKUP(Table4[[#This Row],[A ID]],Assets[#All],3,FALSE)</f>
        <v xml:space="preserve">Authenication/Authorisation data </v>
      </c>
      <c r="H60" s="49" t="s">
        <v>294</v>
      </c>
      <c r="I60" s="49"/>
      <c r="J60" s="87" t="s">
        <v>56</v>
      </c>
      <c r="K60" s="87" t="s">
        <v>56</v>
      </c>
      <c r="L60" s="87" t="s">
        <v>56</v>
      </c>
      <c r="M60" s="196" t="s">
        <v>75</v>
      </c>
      <c r="N60" s="157" t="s">
        <v>56</v>
      </c>
      <c r="O60" s="157" t="s">
        <v>56</v>
      </c>
      <c r="P60" s="196" t="s">
        <v>77</v>
      </c>
      <c r="Q60" s="196" t="s">
        <v>74</v>
      </c>
      <c r="R6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60" s="198">
        <f>(1 - ((1 - VLOOKUP(Table4[[#This Row],[Confidentiality]],'Reference - CVSSv3.0'!$B$15:$C$17,2,FALSE)) * (1 - VLOOKUP(Table4[[#This Row],[Integrity]],'Reference - CVSSv3.0'!$B$15:$C$17,2,FALSE)) *  (1 - VLOOKUP(Table4[[#This Row],[Availability]],'Reference - CVSSv3.0'!$B$15:$C$17,2,FALSE))))</f>
        <v>0.52544799999999992</v>
      </c>
      <c r="T60" s="198">
        <f>IF(Table4[[#This Row],[Scope]]="Unchanged",6.42*Table4[[#This Row],[ISC Base]],IF(Table4[[#This Row],[Scope]]="Changed",7.52*(Table4[[#This Row],[ISC Base]] - 0.029) - 3.25 * POWER(Table4[[#This Row],[ISC Base]] - 0.02,15),NA()))</f>
        <v>3.3733761599999994</v>
      </c>
      <c r="U6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60" s="182" t="s">
        <v>55</v>
      </c>
      <c r="W60" s="198">
        <f>VLOOKUP(Table4[[#This Row],[Threat Event Initiation]],NIST_Scale_LOAI[],2,FALSE)</f>
        <v>0.5</v>
      </c>
      <c r="X6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49" t="s">
        <v>330</v>
      </c>
      <c r="AA60" s="187"/>
      <c r="AB60" s="206"/>
      <c r="AC60" s="187"/>
      <c r="AD60" s="187"/>
      <c r="AE60" s="187"/>
      <c r="AF60" s="196"/>
      <c r="AG60" s="196"/>
      <c r="AH60" s="196"/>
      <c r="AI60" s="196"/>
      <c r="AJ60" s="201"/>
      <c r="AK6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0" s="198" t="e">
        <f>(1 - ((1 - VLOOKUP(Table4[[#This Row],[ConfidentialityP]],'Reference - CVSSv3.0'!$B$15:$C$17,2,FALSE)) * (1 - VLOOKUP(Table4[[#This Row],[IntegrityP]],'Reference - CVSSv3.0'!$B$15:$C$17,2,FALSE)) *  (1 - VLOOKUP(Table4[[#This Row],[AvailabilityP]],'Reference - CVSSv3.0'!$B$15:$C$17,2,FALSE))))</f>
        <v>#N/A</v>
      </c>
      <c r="AM60" s="198" t="e">
        <f>IF(Table4[[#This Row],[ScopeP]]="Unchanged",6.42*Table4[[#This Row],[ISC BaseP]],IF(Table4[[#This Row],[ScopeP]]="Changed",7.52*(Table4[[#This Row],[ISC BaseP]] - 0.029) - 3.25 * POWER(Table4[[#This Row],[ISC BaseP]] - 0.02,15),NA()))</f>
        <v>#N/A</v>
      </c>
      <c r="AN6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187"/>
    </row>
    <row r="61" spans="1:43" ht="409.5" x14ac:dyDescent="0.25">
      <c r="A61" s="70">
        <v>57</v>
      </c>
      <c r="B61" s="182" t="s">
        <v>128</v>
      </c>
      <c r="C61" s="195" t="str">
        <f>IF(VLOOKUP(Table4[[#This Row],[T ID]],Table5[#All],5,FALSE)="No","Not in scope",VLOOKUP(Table4[[#This Row],[T ID]],Table5[#All],2,FALSE))</f>
        <v>TTP</v>
      </c>
      <c r="D61" s="212" t="s">
        <v>226</v>
      </c>
      <c r="E61" s="195" t="str">
        <f>IF(VLOOKUP(Table4[[#This Row],[V ID]],Vulnerabilities[#All],3,FALSE)="No","Not in scope",VLOOKUP(Table4[[#This Row],[V ID]],Vulnerabilities[#All],2,FALSE))</f>
        <v>Error Info containing sensitive data for Failed Authentication attempts</v>
      </c>
      <c r="F61" s="216" t="s">
        <v>107</v>
      </c>
      <c r="G61" s="195" t="str">
        <f>VLOOKUP(Table4[[#This Row],[A ID]],Assets[#All],3,FALSE)</f>
        <v>Smart medic app (Stryker Azure Cloud Web Application)</v>
      </c>
      <c r="H61" s="49" t="s">
        <v>294</v>
      </c>
      <c r="I61" s="49"/>
      <c r="J61" s="87" t="s">
        <v>56</v>
      </c>
      <c r="K61" s="87" t="s">
        <v>56</v>
      </c>
      <c r="L61" s="87" t="s">
        <v>56</v>
      </c>
      <c r="M61" s="196" t="s">
        <v>79</v>
      </c>
      <c r="N61" s="157" t="s">
        <v>56</v>
      </c>
      <c r="O61" s="157" t="s">
        <v>56</v>
      </c>
      <c r="P61" s="196" t="s">
        <v>76</v>
      </c>
      <c r="Q61" s="196" t="s">
        <v>74</v>
      </c>
      <c r="R6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61" s="198">
        <f>(1 - ((1 - VLOOKUP(Table4[[#This Row],[Confidentiality]],'Reference - CVSSv3.0'!$B$15:$C$17,2,FALSE)) * (1 - VLOOKUP(Table4[[#This Row],[Integrity]],'Reference - CVSSv3.0'!$B$15:$C$17,2,FALSE)) *  (1 - VLOOKUP(Table4[[#This Row],[Availability]],'Reference - CVSSv3.0'!$B$15:$C$17,2,FALSE))))</f>
        <v>0.52544799999999992</v>
      </c>
      <c r="T61" s="198">
        <f>IF(Table4[[#This Row],[Scope]]="Unchanged",6.42*Table4[[#This Row],[ISC Base]],IF(Table4[[#This Row],[Scope]]="Changed",7.52*(Table4[[#This Row],[ISC Base]] - 0.029) - 3.25 * POWER(Table4[[#This Row],[ISC Base]] - 0.02,15),NA()))</f>
        <v>3.3733761599999994</v>
      </c>
      <c r="U61"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1" s="182" t="s">
        <v>56</v>
      </c>
      <c r="W61" s="198">
        <f>VLOOKUP(Table4[[#This Row],[Threat Event Initiation]],NIST_Scale_LOAI[],2,FALSE)</f>
        <v>0.2</v>
      </c>
      <c r="X6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49" t="s">
        <v>331</v>
      </c>
      <c r="AA61" s="187"/>
      <c r="AB61" s="206"/>
      <c r="AC61" s="187"/>
      <c r="AD61" s="187"/>
      <c r="AE61" s="187"/>
      <c r="AF61" s="196"/>
      <c r="AG61" s="196"/>
      <c r="AH61" s="196"/>
      <c r="AI61" s="196"/>
      <c r="AJ61" s="201"/>
      <c r="AK6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1" s="198" t="e">
        <f>(1 - ((1 - VLOOKUP(Table4[[#This Row],[ConfidentialityP]],'Reference - CVSSv3.0'!$B$15:$C$17,2,FALSE)) * (1 - VLOOKUP(Table4[[#This Row],[IntegrityP]],'Reference - CVSSv3.0'!$B$15:$C$17,2,FALSE)) *  (1 - VLOOKUP(Table4[[#This Row],[AvailabilityP]],'Reference - CVSSv3.0'!$B$15:$C$17,2,FALSE))))</f>
        <v>#N/A</v>
      </c>
      <c r="AM61" s="198" t="e">
        <f>IF(Table4[[#This Row],[ScopeP]]="Unchanged",6.42*Table4[[#This Row],[ISC BaseP]],IF(Table4[[#This Row],[ScopeP]]="Changed",7.52*(Table4[[#This Row],[ISC BaseP]] - 0.029) - 3.25 * POWER(Table4[[#This Row],[ISC BaseP]] - 0.02,15),NA()))</f>
        <v>#N/A</v>
      </c>
      <c r="AN6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187"/>
    </row>
    <row r="62" spans="1:43" ht="409.5" x14ac:dyDescent="0.25">
      <c r="A62" s="70">
        <v>58</v>
      </c>
      <c r="B62" s="182" t="s">
        <v>128</v>
      </c>
      <c r="C62" s="195" t="str">
        <f>IF(VLOOKUP(Table4[[#This Row],[T ID]],Table5[#All],5,FALSE)="No","Not in scope",VLOOKUP(Table4[[#This Row],[T ID]],Table5[#All],2,FALSE))</f>
        <v>TTP</v>
      </c>
      <c r="D62" s="212" t="s">
        <v>226</v>
      </c>
      <c r="E62" s="195" t="str">
        <f>IF(VLOOKUP(Table4[[#This Row],[V ID]],Vulnerabilities[#All],3,FALSE)="No","Not in scope",VLOOKUP(Table4[[#This Row],[V ID]],Vulnerabilities[#All],2,FALSE))</f>
        <v>Error Info containing sensitive data for Failed Authentication attempts</v>
      </c>
      <c r="F62" s="216" t="s">
        <v>108</v>
      </c>
      <c r="G62" s="195" t="str">
        <f>VLOOKUP(Table4[[#This Row],[A ID]],Assets[#All],3,FALSE)</f>
        <v>Smart medic app (Azure Portal Administrator)</v>
      </c>
      <c r="H62" s="49" t="s">
        <v>294</v>
      </c>
      <c r="I62" s="49"/>
      <c r="J62" s="87" t="s">
        <v>56</v>
      </c>
      <c r="K62" s="87" t="s">
        <v>56</v>
      </c>
      <c r="L62" s="87" t="s">
        <v>56</v>
      </c>
      <c r="M62" s="196" t="s">
        <v>79</v>
      </c>
      <c r="N62" s="157" t="s">
        <v>56</v>
      </c>
      <c r="O62" s="157" t="s">
        <v>56</v>
      </c>
      <c r="P62" s="196" t="s">
        <v>76</v>
      </c>
      <c r="Q62" s="196" t="s">
        <v>74</v>
      </c>
      <c r="R6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62" s="198">
        <f>(1 - ((1 - VLOOKUP(Table4[[#This Row],[Confidentiality]],'Reference - CVSSv3.0'!$B$15:$C$17,2,FALSE)) * (1 - VLOOKUP(Table4[[#This Row],[Integrity]],'Reference - CVSSv3.0'!$B$15:$C$17,2,FALSE)) *  (1 - VLOOKUP(Table4[[#This Row],[Availability]],'Reference - CVSSv3.0'!$B$15:$C$17,2,FALSE))))</f>
        <v>0.52544799999999992</v>
      </c>
      <c r="T62" s="198">
        <f>IF(Table4[[#This Row],[Scope]]="Unchanged",6.42*Table4[[#This Row],[ISC Base]],IF(Table4[[#This Row],[Scope]]="Changed",7.52*(Table4[[#This Row],[ISC Base]] - 0.029) - 3.25 * POWER(Table4[[#This Row],[ISC Base]] - 0.02,15),NA()))</f>
        <v>3.3733761599999994</v>
      </c>
      <c r="U62"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2" s="182" t="s">
        <v>56</v>
      </c>
      <c r="W62" s="198">
        <f>VLOOKUP(Table4[[#This Row],[Threat Event Initiation]],NIST_Scale_LOAI[],2,FALSE)</f>
        <v>0.2</v>
      </c>
      <c r="X6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49" t="s">
        <v>330</v>
      </c>
      <c r="AA62" s="187"/>
      <c r="AB62" s="206"/>
      <c r="AC62" s="187"/>
      <c r="AD62" s="187"/>
      <c r="AE62" s="187"/>
      <c r="AF62" s="196"/>
      <c r="AG62" s="196"/>
      <c r="AH62" s="196"/>
      <c r="AI62" s="196"/>
      <c r="AJ62" s="201"/>
      <c r="AK6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2" s="198" t="e">
        <f>(1 - ((1 - VLOOKUP(Table4[[#This Row],[ConfidentialityP]],'Reference - CVSSv3.0'!$B$15:$C$17,2,FALSE)) * (1 - VLOOKUP(Table4[[#This Row],[IntegrityP]],'Reference - CVSSv3.0'!$B$15:$C$17,2,FALSE)) *  (1 - VLOOKUP(Table4[[#This Row],[AvailabilityP]],'Reference - CVSSv3.0'!$B$15:$C$17,2,FALSE))))</f>
        <v>#N/A</v>
      </c>
      <c r="AM62" s="198" t="e">
        <f>IF(Table4[[#This Row],[ScopeP]]="Unchanged",6.42*Table4[[#This Row],[ISC BaseP]],IF(Table4[[#This Row],[ScopeP]]="Changed",7.52*(Table4[[#This Row],[ISC BaseP]] - 0.029) - 3.25 * POWER(Table4[[#This Row],[ISC BaseP]] - 0.02,15),NA()))</f>
        <v>#N/A</v>
      </c>
      <c r="AN6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187"/>
    </row>
    <row r="63" spans="1:43" ht="409.5" x14ac:dyDescent="0.25">
      <c r="A63" s="70">
        <v>59</v>
      </c>
      <c r="B63" s="182" t="s">
        <v>128</v>
      </c>
      <c r="C63" s="195" t="str">
        <f>IF(VLOOKUP(Table4[[#This Row],[T ID]],Table5[#All],5,FALSE)="No","Not in scope",VLOOKUP(Table4[[#This Row],[T ID]],Table5[#All],2,FALSE))</f>
        <v>TTP</v>
      </c>
      <c r="D63" s="212" t="s">
        <v>226</v>
      </c>
      <c r="E63" s="195" t="str">
        <f>IF(VLOOKUP(Table4[[#This Row],[V ID]],Vulnerabilities[#All],3,FALSE)="No","Not in scope",VLOOKUP(Table4[[#This Row],[V ID]],Vulnerabilities[#All],2,FALSE))</f>
        <v>Error Info containing sensitive data for Failed Authentication attempts</v>
      </c>
      <c r="F63" s="213" t="s">
        <v>114</v>
      </c>
      <c r="G63" s="195" t="str">
        <f>VLOOKUP(Table4[[#This Row],[A ID]],Assets[#All],3,FALSE)</f>
        <v xml:space="preserve">Authenication/Authorisation data </v>
      </c>
      <c r="H63" s="49" t="s">
        <v>294</v>
      </c>
      <c r="I63" s="49"/>
      <c r="J63" s="87" t="s">
        <v>56</v>
      </c>
      <c r="K63" s="87" t="s">
        <v>56</v>
      </c>
      <c r="L63" s="87" t="s">
        <v>56</v>
      </c>
      <c r="M63" s="196" t="s">
        <v>79</v>
      </c>
      <c r="N63" s="157" t="s">
        <v>56</v>
      </c>
      <c r="O63" s="157" t="s">
        <v>56</v>
      </c>
      <c r="P63" s="196" t="s">
        <v>76</v>
      </c>
      <c r="Q63" s="196" t="s">
        <v>74</v>
      </c>
      <c r="R6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63" s="198">
        <f>(1 - ((1 - VLOOKUP(Table4[[#This Row],[Confidentiality]],'Reference - CVSSv3.0'!$B$15:$C$17,2,FALSE)) * (1 - VLOOKUP(Table4[[#This Row],[Integrity]],'Reference - CVSSv3.0'!$B$15:$C$17,2,FALSE)) *  (1 - VLOOKUP(Table4[[#This Row],[Availability]],'Reference - CVSSv3.0'!$B$15:$C$17,2,FALSE))))</f>
        <v>0.52544799999999992</v>
      </c>
      <c r="T63" s="198">
        <f>IF(Table4[[#This Row],[Scope]]="Unchanged",6.42*Table4[[#This Row],[ISC Base]],IF(Table4[[#This Row],[Scope]]="Changed",7.52*(Table4[[#This Row],[ISC Base]] - 0.029) - 3.25 * POWER(Table4[[#This Row],[ISC Base]] - 0.02,15),NA()))</f>
        <v>3.3733761599999994</v>
      </c>
      <c r="U63"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3" s="182" t="s">
        <v>56</v>
      </c>
      <c r="W63" s="198">
        <f>VLOOKUP(Table4[[#This Row],[Threat Event Initiation]],NIST_Scale_LOAI[],2,FALSE)</f>
        <v>0.2</v>
      </c>
      <c r="X6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49" t="s">
        <v>330</v>
      </c>
      <c r="AA63" s="187"/>
      <c r="AB63" s="206"/>
      <c r="AC63" s="187"/>
      <c r="AD63" s="187"/>
      <c r="AE63" s="187"/>
      <c r="AF63" s="196"/>
      <c r="AG63" s="196"/>
      <c r="AH63" s="196"/>
      <c r="AI63" s="196"/>
      <c r="AJ63" s="201"/>
      <c r="AK6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3" s="198" t="e">
        <f>(1 - ((1 - VLOOKUP(Table4[[#This Row],[ConfidentialityP]],'Reference - CVSSv3.0'!$B$15:$C$17,2,FALSE)) * (1 - VLOOKUP(Table4[[#This Row],[IntegrityP]],'Reference - CVSSv3.0'!$B$15:$C$17,2,FALSE)) *  (1 - VLOOKUP(Table4[[#This Row],[AvailabilityP]],'Reference - CVSSv3.0'!$B$15:$C$17,2,FALSE))))</f>
        <v>#N/A</v>
      </c>
      <c r="AM63" s="198" t="e">
        <f>IF(Table4[[#This Row],[ScopeP]]="Unchanged",6.42*Table4[[#This Row],[ISC BaseP]],IF(Table4[[#This Row],[ScopeP]]="Changed",7.52*(Table4[[#This Row],[ISC BaseP]] - 0.029) - 3.25 * POWER(Table4[[#This Row],[ISC BaseP]] - 0.02,15),NA()))</f>
        <v>#N/A</v>
      </c>
      <c r="AN6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187"/>
    </row>
    <row r="64" spans="1:43" ht="409.5" x14ac:dyDescent="0.25">
      <c r="A64" s="70">
        <v>60</v>
      </c>
      <c r="B64" s="182" t="s">
        <v>128</v>
      </c>
      <c r="C64" s="195" t="str">
        <f>IF(VLOOKUP(Table4[[#This Row],[T ID]],Table5[#All],5,FALSE)="No","Not in scope",VLOOKUP(Table4[[#This Row],[T ID]],Table5[#All],2,FALSE))</f>
        <v>TTP</v>
      </c>
      <c r="D64" s="212" t="s">
        <v>227</v>
      </c>
      <c r="E64" s="195" t="str">
        <f>IF(VLOOKUP(Table4[[#This Row],[V ID]],Vulnerabilities[#All],3,FALSE)="No","Not in scope",VLOOKUP(Table4[[#This Row],[V ID]],Vulnerabilities[#All],2,FALSE))</f>
        <v>The password complexity or location vulnerability. Like weak passwords and hardcoded passwords.</v>
      </c>
      <c r="F64" s="216" t="s">
        <v>107</v>
      </c>
      <c r="G64" s="195" t="str">
        <f>VLOOKUP(Table4[[#This Row],[A ID]],Assets[#All],3,FALSE)</f>
        <v>Smart medic app (Stryker Azure Cloud Web Application)</v>
      </c>
      <c r="H64" s="49" t="s">
        <v>294</v>
      </c>
      <c r="I64" s="49"/>
      <c r="J64" s="87" t="s">
        <v>56</v>
      </c>
      <c r="K64" s="87" t="s">
        <v>56</v>
      </c>
      <c r="L64" s="87" t="s">
        <v>56</v>
      </c>
      <c r="M64" s="196" t="s">
        <v>75</v>
      </c>
      <c r="N64" s="157" t="s">
        <v>56</v>
      </c>
      <c r="O64" s="157" t="s">
        <v>56</v>
      </c>
      <c r="P64" s="196" t="s">
        <v>77</v>
      </c>
      <c r="Q64" s="196" t="s">
        <v>74</v>
      </c>
      <c r="R6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64" s="198">
        <f>(1 - ((1 - VLOOKUP(Table4[[#This Row],[Confidentiality]],'Reference - CVSSv3.0'!$B$15:$C$17,2,FALSE)) * (1 - VLOOKUP(Table4[[#This Row],[Integrity]],'Reference - CVSSv3.0'!$B$15:$C$17,2,FALSE)) *  (1 - VLOOKUP(Table4[[#This Row],[Availability]],'Reference - CVSSv3.0'!$B$15:$C$17,2,FALSE))))</f>
        <v>0.52544799999999992</v>
      </c>
      <c r="T64" s="198">
        <f>IF(Table4[[#This Row],[Scope]]="Unchanged",6.42*Table4[[#This Row],[ISC Base]],IF(Table4[[#This Row],[Scope]]="Changed",7.52*(Table4[[#This Row],[ISC Base]] - 0.029) - 3.25 * POWER(Table4[[#This Row],[ISC Base]] - 0.02,15),NA()))</f>
        <v>3.3733761599999994</v>
      </c>
      <c r="U6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64" s="182" t="s">
        <v>55</v>
      </c>
      <c r="W64" s="198">
        <f>VLOOKUP(Table4[[#This Row],[Threat Event Initiation]],NIST_Scale_LOAI[],2,FALSE)</f>
        <v>0.5</v>
      </c>
      <c r="X6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4" s="49" t="s">
        <v>347</v>
      </c>
      <c r="AA64" s="187"/>
      <c r="AB64" s="206"/>
      <c r="AC64" s="187"/>
      <c r="AD64" s="187"/>
      <c r="AE64" s="187"/>
      <c r="AF64" s="196"/>
      <c r="AG64" s="196"/>
      <c r="AH64" s="196"/>
      <c r="AI64" s="196"/>
      <c r="AJ64" s="201"/>
      <c r="AK6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4" s="198" t="e">
        <f>(1 - ((1 - VLOOKUP(Table4[[#This Row],[ConfidentialityP]],'Reference - CVSSv3.0'!$B$15:$C$17,2,FALSE)) * (1 - VLOOKUP(Table4[[#This Row],[IntegrityP]],'Reference - CVSSv3.0'!$B$15:$C$17,2,FALSE)) *  (1 - VLOOKUP(Table4[[#This Row],[AvailabilityP]],'Reference - CVSSv3.0'!$B$15:$C$17,2,FALSE))))</f>
        <v>#N/A</v>
      </c>
      <c r="AM64" s="198" t="e">
        <f>IF(Table4[[#This Row],[ScopeP]]="Unchanged",6.42*Table4[[#This Row],[ISC BaseP]],IF(Table4[[#This Row],[ScopeP]]="Changed",7.52*(Table4[[#This Row],[ISC BaseP]] - 0.029) - 3.25 * POWER(Table4[[#This Row],[ISC BaseP]] - 0.02,15),NA()))</f>
        <v>#N/A</v>
      </c>
      <c r="AN6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187"/>
    </row>
    <row r="65" spans="1:43" ht="409.5" x14ac:dyDescent="0.25">
      <c r="A65" s="70">
        <v>61</v>
      </c>
      <c r="B65" s="182" t="s">
        <v>128</v>
      </c>
      <c r="C65" s="195" t="str">
        <f>IF(VLOOKUP(Table4[[#This Row],[T ID]],Table5[#All],5,FALSE)="No","Not in scope",VLOOKUP(Table4[[#This Row],[T ID]],Table5[#All],2,FALSE))</f>
        <v>TTP</v>
      </c>
      <c r="D65" s="212" t="s">
        <v>227</v>
      </c>
      <c r="E65" s="195" t="str">
        <f>IF(VLOOKUP(Table4[[#This Row],[V ID]],Vulnerabilities[#All],3,FALSE)="No","Not in scope",VLOOKUP(Table4[[#This Row],[V ID]],Vulnerabilities[#All],2,FALSE))</f>
        <v>The password complexity or location vulnerability. Like weak passwords and hardcoded passwords.</v>
      </c>
      <c r="F65" s="216" t="s">
        <v>108</v>
      </c>
      <c r="G65" s="195" t="str">
        <f>VLOOKUP(Table4[[#This Row],[A ID]],Assets[#All],3,FALSE)</f>
        <v>Smart medic app (Azure Portal Administrator)</v>
      </c>
      <c r="H65" s="49" t="s">
        <v>294</v>
      </c>
      <c r="I65" s="49"/>
      <c r="J65" s="87" t="s">
        <v>56</v>
      </c>
      <c r="K65" s="87" t="s">
        <v>56</v>
      </c>
      <c r="L65" s="87" t="s">
        <v>56</v>
      </c>
      <c r="M65" s="196" t="s">
        <v>75</v>
      </c>
      <c r="N65" s="157" t="s">
        <v>56</v>
      </c>
      <c r="O65" s="157" t="s">
        <v>56</v>
      </c>
      <c r="P65" s="196" t="s">
        <v>77</v>
      </c>
      <c r="Q65" s="196" t="s">
        <v>74</v>
      </c>
      <c r="R6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65" s="198">
        <f>(1 - ((1 - VLOOKUP(Table4[[#This Row],[Confidentiality]],'Reference - CVSSv3.0'!$B$15:$C$17,2,FALSE)) * (1 - VLOOKUP(Table4[[#This Row],[Integrity]],'Reference - CVSSv3.0'!$B$15:$C$17,2,FALSE)) *  (1 - VLOOKUP(Table4[[#This Row],[Availability]],'Reference - CVSSv3.0'!$B$15:$C$17,2,FALSE))))</f>
        <v>0.52544799999999992</v>
      </c>
      <c r="T65" s="198">
        <f>IF(Table4[[#This Row],[Scope]]="Unchanged",6.42*Table4[[#This Row],[ISC Base]],IF(Table4[[#This Row],[Scope]]="Changed",7.52*(Table4[[#This Row],[ISC Base]] - 0.029) - 3.25 * POWER(Table4[[#This Row],[ISC Base]] - 0.02,15),NA()))</f>
        <v>3.3733761599999994</v>
      </c>
      <c r="U65"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65" s="182" t="s">
        <v>55</v>
      </c>
      <c r="W65" s="198">
        <f>VLOOKUP(Table4[[#This Row],[Threat Event Initiation]],NIST_Scale_LOAI[],2,FALSE)</f>
        <v>0.5</v>
      </c>
      <c r="X6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5" s="49" t="s">
        <v>347</v>
      </c>
      <c r="AA65" s="187"/>
      <c r="AB65" s="206"/>
      <c r="AC65" s="187"/>
      <c r="AD65" s="187"/>
      <c r="AE65" s="187"/>
      <c r="AF65" s="196"/>
      <c r="AG65" s="196"/>
      <c r="AH65" s="196"/>
      <c r="AI65" s="196"/>
      <c r="AJ65" s="201"/>
      <c r="AK6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5" s="198" t="e">
        <f>(1 - ((1 - VLOOKUP(Table4[[#This Row],[ConfidentialityP]],'Reference - CVSSv3.0'!$B$15:$C$17,2,FALSE)) * (1 - VLOOKUP(Table4[[#This Row],[IntegrityP]],'Reference - CVSSv3.0'!$B$15:$C$17,2,FALSE)) *  (1 - VLOOKUP(Table4[[#This Row],[AvailabilityP]],'Reference - CVSSv3.0'!$B$15:$C$17,2,FALSE))))</f>
        <v>#N/A</v>
      </c>
      <c r="AM65" s="198" t="e">
        <f>IF(Table4[[#This Row],[ScopeP]]="Unchanged",6.42*Table4[[#This Row],[ISC BaseP]],IF(Table4[[#This Row],[ScopeP]]="Changed",7.52*(Table4[[#This Row],[ISC BaseP]] - 0.029) - 3.25 * POWER(Table4[[#This Row],[ISC BaseP]] - 0.02,15),NA()))</f>
        <v>#N/A</v>
      </c>
      <c r="AN6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187"/>
    </row>
    <row r="66" spans="1:43" ht="173.25" customHeight="1" x14ac:dyDescent="0.25">
      <c r="A66" s="70">
        <v>62</v>
      </c>
      <c r="B66" s="182" t="s">
        <v>128</v>
      </c>
      <c r="C66" s="195" t="str">
        <f>IF(VLOOKUP(Table4[[#This Row],[T ID]],Table5[#All],5,FALSE)="No","Not in scope",VLOOKUP(Table4[[#This Row],[T ID]],Table5[#All],2,FALSE))</f>
        <v>TTP</v>
      </c>
      <c r="D66" s="212" t="s">
        <v>251</v>
      </c>
      <c r="E66" s="195" t="str">
        <f>IF(VLOOKUP(Table4[[#This Row],[V ID]],Vulnerabilities[#All],3,FALSE)="No","Not in scope",VLOOKUP(Table4[[#This Row],[V ID]],Vulnerabilities[#All],2,FALSE))</f>
        <v>External communications and exposure for communciation channels from and to application and devices like tablet and smartmedic device.</v>
      </c>
      <c r="F66" s="216" t="s">
        <v>108</v>
      </c>
      <c r="G66" s="195" t="str">
        <f>VLOOKUP(Table4[[#This Row],[A ID]],Assets[#All],3,FALSE)</f>
        <v>Smart medic app (Azure Portal Administrator)</v>
      </c>
      <c r="H66" s="49" t="s">
        <v>294</v>
      </c>
      <c r="I66" s="49"/>
      <c r="J66" s="87" t="s">
        <v>65</v>
      </c>
      <c r="K66" s="87" t="s">
        <v>65</v>
      </c>
      <c r="L66" s="87" t="s">
        <v>56</v>
      </c>
      <c r="M66" s="196" t="s">
        <v>78</v>
      </c>
      <c r="N66" s="157" t="s">
        <v>56</v>
      </c>
      <c r="O66" s="157" t="s">
        <v>56</v>
      </c>
      <c r="P66" s="196" t="s">
        <v>76</v>
      </c>
      <c r="Q66" s="196" t="s">
        <v>74</v>
      </c>
      <c r="R6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66" s="198">
        <f>(1 - ((1 - VLOOKUP(Table4[[#This Row],[Confidentiality]],'Reference - CVSSv3.0'!$B$15:$C$17,2,FALSE)) * (1 - VLOOKUP(Table4[[#This Row],[Integrity]],'Reference - CVSSv3.0'!$B$15:$C$17,2,FALSE)) *  (1 - VLOOKUP(Table4[[#This Row],[Availability]],'Reference - CVSSv3.0'!$B$15:$C$17,2,FALSE))))</f>
        <v>0.84899199999999997</v>
      </c>
      <c r="T66" s="198">
        <f>IF(Table4[[#This Row],[Scope]]="Unchanged",6.42*Table4[[#This Row],[ISC Base]],IF(Table4[[#This Row],[Scope]]="Changed",7.52*(Table4[[#This Row],[ISC Base]] - 0.029) - 3.25 * POWER(Table4[[#This Row],[ISC Base]] - 0.02,15),NA()))</f>
        <v>5.4505286399999999</v>
      </c>
      <c r="U66"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66" s="182" t="s">
        <v>55</v>
      </c>
      <c r="W66" s="198">
        <f>VLOOKUP(Table4[[#This Row],[Threat Event Initiation]],NIST_Scale_LOAI[],2,FALSE)</f>
        <v>0.5</v>
      </c>
      <c r="X6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6.5</v>
      </c>
      <c r="Y6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49" t="s">
        <v>345</v>
      </c>
      <c r="AA66" s="187"/>
      <c r="AB66" s="206"/>
      <c r="AC66" s="187"/>
      <c r="AD66" s="187"/>
      <c r="AE66" s="187"/>
      <c r="AF66" s="196"/>
      <c r="AG66" s="196"/>
      <c r="AH66" s="196"/>
      <c r="AI66" s="196"/>
      <c r="AJ66" s="201"/>
      <c r="AK6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6" s="198" t="e">
        <f>(1 - ((1 - VLOOKUP(Table4[[#This Row],[ConfidentialityP]],'Reference - CVSSv3.0'!$B$15:$C$17,2,FALSE)) * (1 - VLOOKUP(Table4[[#This Row],[IntegrityP]],'Reference - CVSSv3.0'!$B$15:$C$17,2,FALSE)) *  (1 - VLOOKUP(Table4[[#This Row],[AvailabilityP]],'Reference - CVSSv3.0'!$B$15:$C$17,2,FALSE))))</f>
        <v>#N/A</v>
      </c>
      <c r="AM66" s="198" t="e">
        <f>IF(Table4[[#This Row],[ScopeP]]="Unchanged",6.42*Table4[[#This Row],[ISC BaseP]],IF(Table4[[#This Row],[ScopeP]]="Changed",7.52*(Table4[[#This Row],[ISC BaseP]] - 0.029) - 3.25 * POWER(Table4[[#This Row],[ISC BaseP]] - 0.02,15),NA()))</f>
        <v>#N/A</v>
      </c>
      <c r="AN6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187"/>
    </row>
    <row r="67" spans="1:43" ht="409.5" x14ac:dyDescent="0.25">
      <c r="A67" s="70">
        <v>63</v>
      </c>
      <c r="B67" s="182" t="s">
        <v>128</v>
      </c>
      <c r="C67" s="195" t="str">
        <f>IF(VLOOKUP(Table4[[#This Row],[T ID]],Table5[#All],5,FALSE)="No","Not in scope",VLOOKUP(Table4[[#This Row],[T ID]],Table5[#All],2,FALSE))</f>
        <v>TTP</v>
      </c>
      <c r="D67" s="212" t="s">
        <v>251</v>
      </c>
      <c r="E67" s="195" t="str">
        <f>IF(VLOOKUP(Table4[[#This Row],[V ID]],Vulnerabilities[#All],3,FALSE)="No","Not in scope",VLOOKUP(Table4[[#This Row],[V ID]],Vulnerabilities[#All],2,FALSE))</f>
        <v>External communications and exposure for communciation channels from and to application and devices like tablet and smartmedic device.</v>
      </c>
      <c r="F67" s="213" t="s">
        <v>114</v>
      </c>
      <c r="G67" s="195" t="str">
        <f>VLOOKUP(Table4[[#This Row],[A ID]],Assets[#All],3,FALSE)</f>
        <v xml:space="preserve">Authenication/Authorisation data </v>
      </c>
      <c r="H67" s="49" t="s">
        <v>294</v>
      </c>
      <c r="I67" s="49"/>
      <c r="J67" s="87" t="s">
        <v>56</v>
      </c>
      <c r="K67" s="87" t="s">
        <v>56</v>
      </c>
      <c r="L67" s="87" t="s">
        <v>56</v>
      </c>
      <c r="M67" s="196" t="s">
        <v>78</v>
      </c>
      <c r="N67" s="157" t="s">
        <v>56</v>
      </c>
      <c r="O67" s="157" t="s">
        <v>56</v>
      </c>
      <c r="P67" s="196" t="s">
        <v>76</v>
      </c>
      <c r="Q67" s="196" t="s">
        <v>74</v>
      </c>
      <c r="R6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67" s="198">
        <f>(1 - ((1 - VLOOKUP(Table4[[#This Row],[Confidentiality]],'Reference - CVSSv3.0'!$B$15:$C$17,2,FALSE)) * (1 - VLOOKUP(Table4[[#This Row],[Integrity]],'Reference - CVSSv3.0'!$B$15:$C$17,2,FALSE)) *  (1 - VLOOKUP(Table4[[#This Row],[Availability]],'Reference - CVSSv3.0'!$B$15:$C$17,2,FALSE))))</f>
        <v>0.52544799999999992</v>
      </c>
      <c r="T67" s="198">
        <f>IF(Table4[[#This Row],[Scope]]="Unchanged",6.42*Table4[[#This Row],[ISC Base]],IF(Table4[[#This Row],[Scope]]="Changed",7.52*(Table4[[#This Row],[ISC Base]] - 0.029) - 3.25 * POWER(Table4[[#This Row],[ISC Base]] - 0.02,15),NA()))</f>
        <v>3.3733761599999994</v>
      </c>
      <c r="U67"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67" s="182" t="s">
        <v>56</v>
      </c>
      <c r="W67" s="198">
        <f>VLOOKUP(Table4[[#This Row],[Threat Event Initiation]],NIST_Scale_LOAI[],2,FALSE)</f>
        <v>0.2</v>
      </c>
      <c r="X6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49" t="s">
        <v>345</v>
      </c>
      <c r="AA67" s="187"/>
      <c r="AB67" s="206"/>
      <c r="AC67" s="187"/>
      <c r="AD67" s="187"/>
      <c r="AE67" s="187"/>
      <c r="AF67" s="196"/>
      <c r="AG67" s="196"/>
      <c r="AH67" s="196"/>
      <c r="AI67" s="196"/>
      <c r="AJ67" s="201"/>
      <c r="AK6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7" s="198" t="e">
        <f>(1 - ((1 - VLOOKUP(Table4[[#This Row],[ConfidentialityP]],'Reference - CVSSv3.0'!$B$15:$C$17,2,FALSE)) * (1 - VLOOKUP(Table4[[#This Row],[IntegrityP]],'Reference - CVSSv3.0'!$B$15:$C$17,2,FALSE)) *  (1 - VLOOKUP(Table4[[#This Row],[AvailabilityP]],'Reference - CVSSv3.0'!$B$15:$C$17,2,FALSE))))</f>
        <v>#N/A</v>
      </c>
      <c r="AM67" s="198" t="e">
        <f>IF(Table4[[#This Row],[ScopeP]]="Unchanged",6.42*Table4[[#This Row],[ISC BaseP]],IF(Table4[[#This Row],[ScopeP]]="Changed",7.52*(Table4[[#This Row],[ISC BaseP]] - 0.029) - 3.25 * POWER(Table4[[#This Row],[ISC BaseP]] - 0.02,15),NA()))</f>
        <v>#N/A</v>
      </c>
      <c r="AN6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187"/>
    </row>
    <row r="68" spans="1:43" ht="409.5" x14ac:dyDescent="0.25">
      <c r="A68" s="70">
        <v>64</v>
      </c>
      <c r="B68" s="182" t="s">
        <v>129</v>
      </c>
      <c r="C68" s="195" t="str">
        <f>IF(VLOOKUP(Table4[[#This Row],[T ID]],Table5[#All],5,FALSE)="No","Not in scope",VLOOKUP(Table4[[#This Row],[T ID]],Table5[#All],2,FALSE))</f>
        <v>TTP</v>
      </c>
      <c r="D68" s="212" t="s">
        <v>144</v>
      </c>
      <c r="E68" s="195" t="str">
        <f>IF(VLOOKUP(Table4[[#This Row],[V ID]],Vulnerabilities[#All],3,FALSE)="No","Not in scope",VLOOKUP(Table4[[#This Row],[V ID]],Vulnerabilities[#All],2,FALSE))</f>
        <v>Weak Algorthim implementation with respect cipher key size</v>
      </c>
      <c r="F68" s="216" t="s">
        <v>111</v>
      </c>
      <c r="G68" s="195" t="str">
        <f>VLOOKUP(Table4[[#This Row],[A ID]],Assets[#All],3,FALSE)</f>
        <v>Tablet Resources - web cam, microphone, OTG devices, Removable USB, Tablet Application,</v>
      </c>
      <c r="H68" s="49" t="s">
        <v>295</v>
      </c>
      <c r="I68" s="49"/>
      <c r="J68" s="87" t="s">
        <v>56</v>
      </c>
      <c r="K68" s="87" t="s">
        <v>56</v>
      </c>
      <c r="L68" s="87" t="s">
        <v>56</v>
      </c>
      <c r="M68" s="196" t="s">
        <v>79</v>
      </c>
      <c r="N68" s="157" t="s">
        <v>56</v>
      </c>
      <c r="O68" s="157" t="s">
        <v>56</v>
      </c>
      <c r="P68" s="196" t="s">
        <v>76</v>
      </c>
      <c r="Q68" s="196" t="s">
        <v>74</v>
      </c>
      <c r="R6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68" s="198">
        <f>(1 - ((1 - VLOOKUP(Table4[[#This Row],[Confidentiality]],'Reference - CVSSv3.0'!$B$15:$C$17,2,FALSE)) * (1 - VLOOKUP(Table4[[#This Row],[Integrity]],'Reference - CVSSv3.0'!$B$15:$C$17,2,FALSE)) *  (1 - VLOOKUP(Table4[[#This Row],[Availability]],'Reference - CVSSv3.0'!$B$15:$C$17,2,FALSE))))</f>
        <v>0.52544799999999992</v>
      </c>
      <c r="T68" s="198">
        <f>IF(Table4[[#This Row],[Scope]]="Unchanged",6.42*Table4[[#This Row],[ISC Base]],IF(Table4[[#This Row],[Scope]]="Changed",7.52*(Table4[[#This Row],[ISC Base]] - 0.029) - 3.25 * POWER(Table4[[#This Row],[ISC Base]] - 0.02,15),NA()))</f>
        <v>3.3733761599999994</v>
      </c>
      <c r="U68"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8" s="182" t="s">
        <v>56</v>
      </c>
      <c r="W68" s="198">
        <f>VLOOKUP(Table4[[#This Row],[Threat Event Initiation]],NIST_Scale_LOAI[],2,FALSE)</f>
        <v>0.2</v>
      </c>
      <c r="X6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49" t="s">
        <v>322</v>
      </c>
      <c r="AA68" s="187"/>
      <c r="AB68" s="206"/>
      <c r="AC68" s="187"/>
      <c r="AD68" s="187"/>
      <c r="AE68" s="187"/>
      <c r="AF68" s="196"/>
      <c r="AG68" s="196"/>
      <c r="AH68" s="196"/>
      <c r="AI68" s="196"/>
      <c r="AJ68" s="201"/>
      <c r="AK6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8" s="198" t="e">
        <f>(1 - ((1 - VLOOKUP(Table4[[#This Row],[ConfidentialityP]],'Reference - CVSSv3.0'!$B$15:$C$17,2,FALSE)) * (1 - VLOOKUP(Table4[[#This Row],[IntegrityP]],'Reference - CVSSv3.0'!$B$15:$C$17,2,FALSE)) *  (1 - VLOOKUP(Table4[[#This Row],[AvailabilityP]],'Reference - CVSSv3.0'!$B$15:$C$17,2,FALSE))))</f>
        <v>#N/A</v>
      </c>
      <c r="AM68" s="198" t="e">
        <f>IF(Table4[[#This Row],[ScopeP]]="Unchanged",6.42*Table4[[#This Row],[ISC BaseP]],IF(Table4[[#This Row],[ScopeP]]="Changed",7.52*(Table4[[#This Row],[ISC BaseP]] - 0.029) - 3.25 * POWER(Table4[[#This Row],[ISC BaseP]] - 0.02,15),NA()))</f>
        <v>#N/A</v>
      </c>
      <c r="AN6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187"/>
    </row>
    <row r="69" spans="1:43" ht="235.5" customHeight="1" x14ac:dyDescent="0.25">
      <c r="A69" s="70">
        <v>65</v>
      </c>
      <c r="B69" s="182" t="s">
        <v>129</v>
      </c>
      <c r="C69" s="195" t="str">
        <f>IF(VLOOKUP(Table4[[#This Row],[T ID]],Table5[#All],5,FALSE)="No","Not in scope",VLOOKUP(Table4[[#This Row],[T ID]],Table5[#All],2,FALSE))</f>
        <v>TTP</v>
      </c>
      <c r="D69" s="212" t="s">
        <v>144</v>
      </c>
      <c r="E69" s="195" t="str">
        <f>IF(VLOOKUP(Table4[[#This Row],[V ID]],Vulnerabilities[#All],3,FALSE)="No","Not in scope",VLOOKUP(Table4[[#This Row],[V ID]],Vulnerabilities[#All],2,FALSE))</f>
        <v>Weak Algorthim implementation with respect cipher key size</v>
      </c>
      <c r="F69" s="216" t="s">
        <v>107</v>
      </c>
      <c r="G69" s="195" t="str">
        <f>VLOOKUP(Table4[[#This Row],[A ID]],Assets[#All],3,FALSE)</f>
        <v>Smart medic app (Stryker Azure Cloud Web Application)</v>
      </c>
      <c r="H69" s="49" t="s">
        <v>295</v>
      </c>
      <c r="I69" s="49"/>
      <c r="J69" s="87" t="s">
        <v>56</v>
      </c>
      <c r="K69" s="87" t="s">
        <v>56</v>
      </c>
      <c r="L69" s="87" t="s">
        <v>56</v>
      </c>
      <c r="M69" s="196" t="s">
        <v>79</v>
      </c>
      <c r="N69" s="157" t="s">
        <v>65</v>
      </c>
      <c r="O69" s="157" t="s">
        <v>56</v>
      </c>
      <c r="P69" s="196" t="s">
        <v>76</v>
      </c>
      <c r="Q69" s="196" t="s">
        <v>74</v>
      </c>
      <c r="R6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0.76466385600000009</v>
      </c>
      <c r="S69" s="198">
        <f>(1 - ((1 - VLOOKUP(Table4[[#This Row],[Confidentiality]],'Reference - CVSSv3.0'!$B$15:$C$17,2,FALSE)) * (1 - VLOOKUP(Table4[[#This Row],[Integrity]],'Reference - CVSSv3.0'!$B$15:$C$17,2,FALSE)) *  (1 - VLOOKUP(Table4[[#This Row],[Availability]],'Reference - CVSSv3.0'!$B$15:$C$17,2,FALSE))))</f>
        <v>0.52544799999999992</v>
      </c>
      <c r="T69" s="198">
        <f>IF(Table4[[#This Row],[Scope]]="Unchanged",6.42*Table4[[#This Row],[ISC Base]],IF(Table4[[#This Row],[Scope]]="Changed",7.52*(Table4[[#This Row],[ISC Base]] - 0.029) - 3.25 * POWER(Table4[[#This Row],[ISC Base]] - 0.02,15),NA()))</f>
        <v>3.3733761599999994</v>
      </c>
      <c r="U69"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182" t="s">
        <v>56</v>
      </c>
      <c r="W69" s="198">
        <f>VLOOKUP(Table4[[#This Row],[Threat Event Initiation]],NIST_Scale_LOAI[],2,FALSE)</f>
        <v>0.2</v>
      </c>
      <c r="X6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6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49" t="s">
        <v>348</v>
      </c>
      <c r="AA69" s="187"/>
      <c r="AB69" s="206"/>
      <c r="AC69" s="187"/>
      <c r="AD69" s="187"/>
      <c r="AE69" s="187"/>
      <c r="AF69" s="196"/>
      <c r="AG69" s="196"/>
      <c r="AH69" s="196"/>
      <c r="AI69" s="196"/>
      <c r="AJ69" s="201"/>
      <c r="AK6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9" s="198" t="e">
        <f>(1 - ((1 - VLOOKUP(Table4[[#This Row],[ConfidentialityP]],'Reference - CVSSv3.0'!$B$15:$C$17,2,FALSE)) * (1 - VLOOKUP(Table4[[#This Row],[IntegrityP]],'Reference - CVSSv3.0'!$B$15:$C$17,2,FALSE)) *  (1 - VLOOKUP(Table4[[#This Row],[AvailabilityP]],'Reference - CVSSv3.0'!$B$15:$C$17,2,FALSE))))</f>
        <v>#N/A</v>
      </c>
      <c r="AM69" s="198" t="e">
        <f>IF(Table4[[#This Row],[ScopeP]]="Unchanged",6.42*Table4[[#This Row],[ISC BaseP]],IF(Table4[[#This Row],[ScopeP]]="Changed",7.52*(Table4[[#This Row],[ISC BaseP]] - 0.029) - 3.25 * POWER(Table4[[#This Row],[ISC BaseP]] - 0.02,15),NA()))</f>
        <v>#N/A</v>
      </c>
      <c r="AN6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187"/>
    </row>
    <row r="70" spans="1:43" ht="99.75" customHeight="1" x14ac:dyDescent="0.25">
      <c r="A70" s="70">
        <v>66</v>
      </c>
      <c r="B70" s="182" t="s">
        <v>129</v>
      </c>
      <c r="C70" s="195" t="str">
        <f>IF(VLOOKUP(Table4[[#This Row],[T ID]],Table5[#All],5,FALSE)="No","Not in scope",VLOOKUP(Table4[[#This Row],[T ID]],Table5[#All],2,FALSE))</f>
        <v>TTP</v>
      </c>
      <c r="D70" s="212" t="s">
        <v>146</v>
      </c>
      <c r="E70" s="195" t="str">
        <f>IF(VLOOKUP(Table4[[#This Row],[V ID]],Vulnerabilities[#All],3,FALSE)="No","Not in scope",VLOOKUP(Table4[[#This Row],[V ID]],Vulnerabilities[#All],2,FALSE))</f>
        <v>Legacy system identification if any</v>
      </c>
      <c r="F70" s="216" t="s">
        <v>111</v>
      </c>
      <c r="G70" s="195" t="str">
        <f>VLOOKUP(Table4[[#This Row],[A ID]],Assets[#All],3,FALSE)</f>
        <v>Tablet Resources - web cam, microphone, OTG devices, Removable USB, Tablet Application,</v>
      </c>
      <c r="H70" s="49" t="s">
        <v>295</v>
      </c>
      <c r="I70" s="49"/>
      <c r="J70" s="87" t="s">
        <v>56</v>
      </c>
      <c r="K70" s="87" t="s">
        <v>56</v>
      </c>
      <c r="L70" s="87" t="s">
        <v>56</v>
      </c>
      <c r="M70" s="196" t="s">
        <v>75</v>
      </c>
      <c r="N70" s="157" t="s">
        <v>56</v>
      </c>
      <c r="O70" s="157" t="s">
        <v>56</v>
      </c>
      <c r="P70" s="196" t="s">
        <v>77</v>
      </c>
      <c r="Q70" s="196" t="s">
        <v>74</v>
      </c>
      <c r="R7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70" s="198">
        <f>(1 - ((1 - VLOOKUP(Table4[[#This Row],[Confidentiality]],'Reference - CVSSv3.0'!$B$15:$C$17,2,FALSE)) * (1 - VLOOKUP(Table4[[#This Row],[Integrity]],'Reference - CVSSv3.0'!$B$15:$C$17,2,FALSE)) *  (1 - VLOOKUP(Table4[[#This Row],[Availability]],'Reference - CVSSv3.0'!$B$15:$C$17,2,FALSE))))</f>
        <v>0.52544799999999992</v>
      </c>
      <c r="T70" s="198">
        <f>IF(Table4[[#This Row],[Scope]]="Unchanged",6.42*Table4[[#This Row],[ISC Base]],IF(Table4[[#This Row],[Scope]]="Changed",7.52*(Table4[[#This Row],[ISC Base]] - 0.029) - 3.25 * POWER(Table4[[#This Row],[ISC Base]] - 0.02,15),NA()))</f>
        <v>3.3733761599999994</v>
      </c>
      <c r="U7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0" s="182" t="s">
        <v>55</v>
      </c>
      <c r="W70" s="198">
        <f>VLOOKUP(Table4[[#This Row],[Threat Event Initiation]],NIST_Scale_LOAI[],2,FALSE)</f>
        <v>0.5</v>
      </c>
      <c r="X7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49" t="s">
        <v>322</v>
      </c>
      <c r="AA70" s="187"/>
      <c r="AB70" s="206"/>
      <c r="AC70" s="187"/>
      <c r="AD70" s="187"/>
      <c r="AE70" s="187"/>
      <c r="AF70" s="196"/>
      <c r="AG70" s="196"/>
      <c r="AH70" s="196"/>
      <c r="AI70" s="196"/>
      <c r="AJ70" s="201"/>
      <c r="AK7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0" s="198" t="e">
        <f>(1 - ((1 - VLOOKUP(Table4[[#This Row],[ConfidentialityP]],'Reference - CVSSv3.0'!$B$15:$C$17,2,FALSE)) * (1 - VLOOKUP(Table4[[#This Row],[IntegrityP]],'Reference - CVSSv3.0'!$B$15:$C$17,2,FALSE)) *  (1 - VLOOKUP(Table4[[#This Row],[AvailabilityP]],'Reference - CVSSv3.0'!$B$15:$C$17,2,FALSE))))</f>
        <v>#N/A</v>
      </c>
      <c r="AM70" s="198" t="e">
        <f>IF(Table4[[#This Row],[ScopeP]]="Unchanged",6.42*Table4[[#This Row],[ISC BaseP]],IF(Table4[[#This Row],[ScopeP]]="Changed",7.52*(Table4[[#This Row],[ISC BaseP]] - 0.029) - 3.25 * POWER(Table4[[#This Row],[ISC BaseP]] - 0.02,15),NA()))</f>
        <v>#N/A</v>
      </c>
      <c r="AN7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187"/>
    </row>
    <row r="71" spans="1:43" ht="99.75" customHeight="1" x14ac:dyDescent="0.25">
      <c r="A71" s="70">
        <v>67</v>
      </c>
      <c r="B71" s="182" t="s">
        <v>129</v>
      </c>
      <c r="C71" s="195" t="str">
        <f>IF(VLOOKUP(Table4[[#This Row],[T ID]],Table5[#All],5,FALSE)="No","Not in scope",VLOOKUP(Table4[[#This Row],[T ID]],Table5[#All],2,FALSE))</f>
        <v>TTP</v>
      </c>
      <c r="D71" s="212" t="s">
        <v>234</v>
      </c>
      <c r="E71" s="195" t="str">
        <f>IF(VLOOKUP(Table4[[#This Row],[V ID]],Vulnerabilities[#All],3,FALSE)="No","Not in scope",VLOOKUP(Table4[[#This Row],[V ID]],Vulnerabilities[#All],2,FALSE))</f>
        <v>Lack of Authorization policies &amp; Management</v>
      </c>
      <c r="F71" s="216" t="s">
        <v>111</v>
      </c>
      <c r="G71" s="195" t="str">
        <f>VLOOKUP(Table4[[#This Row],[A ID]],Assets[#All],3,FALSE)</f>
        <v>Tablet Resources - web cam, microphone, OTG devices, Removable USB, Tablet Application,</v>
      </c>
      <c r="H71" s="49" t="s">
        <v>295</v>
      </c>
      <c r="I71" s="49"/>
      <c r="J71" s="87" t="s">
        <v>56</v>
      </c>
      <c r="K71" s="87" t="s">
        <v>56</v>
      </c>
      <c r="L71" s="87" t="s">
        <v>56</v>
      </c>
      <c r="M71" s="196" t="s">
        <v>79</v>
      </c>
      <c r="N71" s="157" t="s">
        <v>56</v>
      </c>
      <c r="O71" s="157" t="s">
        <v>56</v>
      </c>
      <c r="P71" s="196" t="s">
        <v>76</v>
      </c>
      <c r="Q71" s="196" t="s">
        <v>74</v>
      </c>
      <c r="R7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71" s="198">
        <f>(1 - ((1 - VLOOKUP(Table4[[#This Row],[Confidentiality]],'Reference - CVSSv3.0'!$B$15:$C$17,2,FALSE)) * (1 - VLOOKUP(Table4[[#This Row],[Integrity]],'Reference - CVSSv3.0'!$B$15:$C$17,2,FALSE)) *  (1 - VLOOKUP(Table4[[#This Row],[Availability]],'Reference - CVSSv3.0'!$B$15:$C$17,2,FALSE))))</f>
        <v>0.52544799999999992</v>
      </c>
      <c r="T71" s="198">
        <f>IF(Table4[[#This Row],[Scope]]="Unchanged",6.42*Table4[[#This Row],[ISC Base]],IF(Table4[[#This Row],[Scope]]="Changed",7.52*(Table4[[#This Row],[ISC Base]] - 0.029) - 3.25 * POWER(Table4[[#This Row],[ISC Base]] - 0.02,15),NA()))</f>
        <v>3.3733761599999994</v>
      </c>
      <c r="U71"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71" s="182" t="s">
        <v>56</v>
      </c>
      <c r="W71" s="198">
        <f>VLOOKUP(Table4[[#This Row],[Threat Event Initiation]],NIST_Scale_LOAI[],2,FALSE)</f>
        <v>0.2</v>
      </c>
      <c r="X7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49" t="s">
        <v>322</v>
      </c>
      <c r="AA71" s="187"/>
      <c r="AB71" s="206"/>
      <c r="AC71" s="187"/>
      <c r="AD71" s="187"/>
      <c r="AE71" s="187"/>
      <c r="AF71" s="196"/>
      <c r="AG71" s="196"/>
      <c r="AH71" s="196"/>
      <c r="AI71" s="196"/>
      <c r="AJ71" s="201"/>
      <c r="AK7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1" s="198" t="e">
        <f>(1 - ((1 - VLOOKUP(Table4[[#This Row],[ConfidentialityP]],'Reference - CVSSv3.0'!$B$15:$C$17,2,FALSE)) * (1 - VLOOKUP(Table4[[#This Row],[IntegrityP]],'Reference - CVSSv3.0'!$B$15:$C$17,2,FALSE)) *  (1 - VLOOKUP(Table4[[#This Row],[AvailabilityP]],'Reference - CVSSv3.0'!$B$15:$C$17,2,FALSE))))</f>
        <v>#N/A</v>
      </c>
      <c r="AM71" s="198" t="e">
        <f>IF(Table4[[#This Row],[ScopeP]]="Unchanged",6.42*Table4[[#This Row],[ISC BaseP]],IF(Table4[[#This Row],[ScopeP]]="Changed",7.52*(Table4[[#This Row],[ISC BaseP]] - 0.029) - 3.25 * POWER(Table4[[#This Row],[ISC BaseP]] - 0.02,15),NA()))</f>
        <v>#N/A</v>
      </c>
      <c r="AN7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187"/>
    </row>
    <row r="72" spans="1:43" ht="409.5" x14ac:dyDescent="0.25">
      <c r="A72" s="70">
        <v>68</v>
      </c>
      <c r="B72" s="182" t="s">
        <v>129</v>
      </c>
      <c r="C72" s="195" t="str">
        <f>IF(VLOOKUP(Table4[[#This Row],[T ID]],Table5[#All],5,FALSE)="No","Not in scope",VLOOKUP(Table4[[#This Row],[T ID]],Table5[#All],2,FALSE))</f>
        <v>TTP</v>
      </c>
      <c r="D72" s="210" t="s">
        <v>234</v>
      </c>
      <c r="E72" s="195" t="str">
        <f>IF(VLOOKUP(Table4[[#This Row],[V ID]],Vulnerabilities[#All],3,FALSE)="No","Not in scope",VLOOKUP(Table4[[#This Row],[V ID]],Vulnerabilities[#All],2,FALSE))</f>
        <v>Lack of Authorization policies &amp; Management</v>
      </c>
      <c r="F72" s="216" t="s">
        <v>115</v>
      </c>
      <c r="G72" s="195" t="str">
        <f>VLOOKUP(Table4[[#This Row],[A ID]],Assets[#All],3,FALSE)</f>
        <v>Device Maintainence tool (Hardware/Software)</v>
      </c>
      <c r="H72" s="187"/>
      <c r="I72" s="49"/>
      <c r="J72" s="87" t="s">
        <v>56</v>
      </c>
      <c r="K72" s="87" t="s">
        <v>56</v>
      </c>
      <c r="L72" s="87" t="s">
        <v>56</v>
      </c>
      <c r="M72" s="196" t="s">
        <v>79</v>
      </c>
      <c r="N72" s="157" t="s">
        <v>56</v>
      </c>
      <c r="O72" s="157" t="s">
        <v>56</v>
      </c>
      <c r="P72" s="196" t="s">
        <v>76</v>
      </c>
      <c r="Q72" s="196" t="s">
        <v>74</v>
      </c>
      <c r="R7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72" s="198">
        <f>(1 - ((1 - VLOOKUP(Table4[[#This Row],[Confidentiality]],'Reference - CVSSv3.0'!$B$15:$C$17,2,FALSE)) * (1 - VLOOKUP(Table4[[#This Row],[Integrity]],'Reference - CVSSv3.0'!$B$15:$C$17,2,FALSE)) *  (1 - VLOOKUP(Table4[[#This Row],[Availability]],'Reference - CVSSv3.0'!$B$15:$C$17,2,FALSE))))</f>
        <v>0.52544799999999992</v>
      </c>
      <c r="T72" s="198">
        <f>IF(Table4[[#This Row],[Scope]]="Unchanged",6.42*Table4[[#This Row],[ISC Base]],IF(Table4[[#This Row],[Scope]]="Changed",7.52*(Table4[[#This Row],[ISC Base]] - 0.029) - 3.25 * POWER(Table4[[#This Row],[ISC Base]] - 0.02,15),NA()))</f>
        <v>3.3733761599999994</v>
      </c>
      <c r="U72"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72" s="182" t="s">
        <v>56</v>
      </c>
      <c r="W72" s="198">
        <f>VLOOKUP(Table4[[#This Row],[Threat Event Initiation]],NIST_Scale_LOAI[],2,FALSE)</f>
        <v>0.2</v>
      </c>
      <c r="X7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49" t="s">
        <v>322</v>
      </c>
      <c r="AA72" s="187"/>
      <c r="AB72" s="206"/>
      <c r="AC72" s="187"/>
      <c r="AD72" s="187"/>
      <c r="AE72" s="187"/>
      <c r="AF72" s="196"/>
      <c r="AG72" s="196"/>
      <c r="AH72" s="196"/>
      <c r="AI72" s="196"/>
      <c r="AJ72" s="201"/>
      <c r="AK7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2" s="198" t="e">
        <f>(1 - ((1 - VLOOKUP(Table4[[#This Row],[ConfidentialityP]],'Reference - CVSSv3.0'!$B$15:$C$17,2,FALSE)) * (1 - VLOOKUP(Table4[[#This Row],[IntegrityP]],'Reference - CVSSv3.0'!$B$15:$C$17,2,FALSE)) *  (1 - VLOOKUP(Table4[[#This Row],[AvailabilityP]],'Reference - CVSSv3.0'!$B$15:$C$17,2,FALSE))))</f>
        <v>#N/A</v>
      </c>
      <c r="AM72" s="198" t="e">
        <f>IF(Table4[[#This Row],[ScopeP]]="Unchanged",6.42*Table4[[#This Row],[ISC BaseP]],IF(Table4[[#This Row],[ScopeP]]="Changed",7.52*(Table4[[#This Row],[ISC BaseP]] - 0.029) - 3.25 * POWER(Table4[[#This Row],[ISC BaseP]] - 0.02,15),NA()))</f>
        <v>#N/A</v>
      </c>
      <c r="AN7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187"/>
    </row>
    <row r="73" spans="1:43" ht="99.75" customHeight="1" x14ac:dyDescent="0.25">
      <c r="A73" s="70">
        <v>69</v>
      </c>
      <c r="B73" s="182" t="s">
        <v>129</v>
      </c>
      <c r="C73" s="195" t="str">
        <f>IF(VLOOKUP(Table4[[#This Row],[T ID]],Table5[#All],5,FALSE)="No","Not in scope",VLOOKUP(Table4[[#This Row],[T ID]],Table5[#All],2,FALSE))</f>
        <v>TTP</v>
      </c>
      <c r="D73" s="212" t="s">
        <v>235</v>
      </c>
      <c r="E73" s="195" t="str">
        <f>IF(VLOOKUP(Table4[[#This Row],[V ID]],Vulnerabilities[#All],3,FALSE)="No","Not in scope",VLOOKUP(Table4[[#This Row],[V ID]],Vulnerabilities[#All],2,FALSE))</f>
        <v>Lack of configuration controls for IT assets in the informaion system plan</v>
      </c>
      <c r="F73" s="216" t="s">
        <v>111</v>
      </c>
      <c r="G73" s="195" t="str">
        <f>VLOOKUP(Table4[[#This Row],[A ID]],Assets[#All],3,FALSE)</f>
        <v>Tablet Resources - web cam, microphone, OTG devices, Removable USB, Tablet Application,</v>
      </c>
      <c r="H73" s="49" t="s">
        <v>295</v>
      </c>
      <c r="I73" s="49"/>
      <c r="J73" s="87" t="s">
        <v>56</v>
      </c>
      <c r="K73" s="87" t="s">
        <v>65</v>
      </c>
      <c r="L73" s="87" t="s">
        <v>56</v>
      </c>
      <c r="M73" s="196" t="s">
        <v>79</v>
      </c>
      <c r="N73" s="157" t="s">
        <v>56</v>
      </c>
      <c r="O73" s="157" t="s">
        <v>56</v>
      </c>
      <c r="P73" s="196" t="s">
        <v>77</v>
      </c>
      <c r="Q73" s="196" t="s">
        <v>74</v>
      </c>
      <c r="R7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3" s="198">
        <f>(1 - ((1 - VLOOKUP(Table4[[#This Row],[Confidentiality]],'Reference - CVSSv3.0'!$B$15:$C$17,2,FALSE)) * (1 - VLOOKUP(Table4[[#This Row],[Integrity]],'Reference - CVSSv3.0'!$B$15:$C$17,2,FALSE)) *  (1 - VLOOKUP(Table4[[#This Row],[Availability]],'Reference - CVSSv3.0'!$B$15:$C$17,2,FALSE))))</f>
        <v>0.73230400000000007</v>
      </c>
      <c r="T73" s="198">
        <f>IF(Table4[[#This Row],[Scope]]="Unchanged",6.42*Table4[[#This Row],[ISC Base]],IF(Table4[[#This Row],[Scope]]="Changed",7.52*(Table4[[#This Row],[ISC Base]] - 0.029) - 3.25 * POWER(Table4[[#This Row],[ISC Base]] - 0.02,15),NA()))</f>
        <v>4.7013916800000004</v>
      </c>
      <c r="U73" s="198">
        <f>IF(Table4[[#This Row],[Impact Sub Score]]&lt;=0,0,IF(Table4[[#This Row],[Scope]]="Unchanged",ROUNDUP(MIN((Table4[[#This Row],[Impact Sub Score]]+Table4[[#This Row],[Exploitability Sub Score]]),10),1),IF(Table4[[#This Row],[Scope]]="Changed",ROUNDUP(MIN((1.08*(Table4[[#This Row],[Impact Sub Score]]+Table4[[#This Row],[Exploitability Sub Score]])),10),1),NA())))</f>
        <v>6.6</v>
      </c>
      <c r="V73" s="182" t="s">
        <v>55</v>
      </c>
      <c r="W73" s="198">
        <f>VLOOKUP(Table4[[#This Row],[Threat Event Initiation]],NIST_Scale_LOAI[],2,FALSE)</f>
        <v>0.5</v>
      </c>
      <c r="X7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7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49" t="s">
        <v>322</v>
      </c>
      <c r="AA73" s="187"/>
      <c r="AB73" s="206"/>
      <c r="AC73" s="187"/>
      <c r="AD73" s="187"/>
      <c r="AE73" s="187"/>
      <c r="AF73" s="196"/>
      <c r="AG73" s="196"/>
      <c r="AH73" s="196"/>
      <c r="AI73" s="196"/>
      <c r="AJ73" s="201"/>
      <c r="AK7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3" s="198" t="e">
        <f>(1 - ((1 - VLOOKUP(Table4[[#This Row],[ConfidentialityP]],'Reference - CVSSv3.0'!$B$15:$C$17,2,FALSE)) * (1 - VLOOKUP(Table4[[#This Row],[IntegrityP]],'Reference - CVSSv3.0'!$B$15:$C$17,2,FALSE)) *  (1 - VLOOKUP(Table4[[#This Row],[AvailabilityP]],'Reference - CVSSv3.0'!$B$15:$C$17,2,FALSE))))</f>
        <v>#N/A</v>
      </c>
      <c r="AM73" s="198" t="e">
        <f>IF(Table4[[#This Row],[ScopeP]]="Unchanged",6.42*Table4[[#This Row],[ISC BaseP]],IF(Table4[[#This Row],[ScopeP]]="Changed",7.52*(Table4[[#This Row],[ISC BaseP]] - 0.029) - 3.25 * POWER(Table4[[#This Row],[ISC BaseP]] - 0.02,15),NA()))</f>
        <v>#N/A</v>
      </c>
      <c r="AN7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187"/>
    </row>
    <row r="74" spans="1:43" ht="409.5" x14ac:dyDescent="0.25">
      <c r="A74" s="70">
        <v>70</v>
      </c>
      <c r="B74" s="182" t="s">
        <v>129</v>
      </c>
      <c r="C74" s="195" t="str">
        <f>IF(VLOOKUP(Table4[[#This Row],[T ID]],Table5[#All],5,FALSE)="No","Not in scope",VLOOKUP(Table4[[#This Row],[T ID]],Table5[#All],2,FALSE))</f>
        <v>TTP</v>
      </c>
      <c r="D74" s="212" t="s">
        <v>235</v>
      </c>
      <c r="E74" s="195" t="str">
        <f>IF(VLOOKUP(Table4[[#This Row],[V ID]],Vulnerabilities[#All],3,FALSE)="No","Not in scope",VLOOKUP(Table4[[#This Row],[V ID]],Vulnerabilities[#All],2,FALSE))</f>
        <v>Lack of configuration controls for IT assets in the informaion system plan</v>
      </c>
      <c r="F74" s="216" t="s">
        <v>115</v>
      </c>
      <c r="G74" s="195" t="str">
        <f>VLOOKUP(Table4[[#This Row],[A ID]],Assets[#All],3,FALSE)</f>
        <v>Device Maintainence tool (Hardware/Software)</v>
      </c>
      <c r="H74" s="49" t="s">
        <v>295</v>
      </c>
      <c r="I74" s="49"/>
      <c r="J74" s="87" t="s">
        <v>56</v>
      </c>
      <c r="K74" s="87" t="s">
        <v>56</v>
      </c>
      <c r="L74" s="87" t="s">
        <v>56</v>
      </c>
      <c r="M74" s="196" t="s">
        <v>79</v>
      </c>
      <c r="N74" s="157" t="s">
        <v>56</v>
      </c>
      <c r="O74" s="157" t="s">
        <v>56</v>
      </c>
      <c r="P74" s="196" t="s">
        <v>77</v>
      </c>
      <c r="Q74" s="196" t="s">
        <v>74</v>
      </c>
      <c r="R7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4" s="198">
        <f>(1 - ((1 - VLOOKUP(Table4[[#This Row],[Confidentiality]],'Reference - CVSSv3.0'!$B$15:$C$17,2,FALSE)) * (1 - VLOOKUP(Table4[[#This Row],[Integrity]],'Reference - CVSSv3.0'!$B$15:$C$17,2,FALSE)) *  (1 - VLOOKUP(Table4[[#This Row],[Availability]],'Reference - CVSSv3.0'!$B$15:$C$17,2,FALSE))))</f>
        <v>0.52544799999999992</v>
      </c>
      <c r="T74" s="198">
        <f>IF(Table4[[#This Row],[Scope]]="Unchanged",6.42*Table4[[#This Row],[ISC Base]],IF(Table4[[#This Row],[Scope]]="Changed",7.52*(Table4[[#This Row],[ISC Base]] - 0.029) - 3.25 * POWER(Table4[[#This Row],[ISC Base]] - 0.02,15),NA()))</f>
        <v>3.3733761599999994</v>
      </c>
      <c r="U7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4" s="182" t="s">
        <v>56</v>
      </c>
      <c r="W74" s="198">
        <f>VLOOKUP(Table4[[#This Row],[Threat Event Initiation]],NIST_Scale_LOAI[],2,FALSE)</f>
        <v>0.2</v>
      </c>
      <c r="X7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49" t="s">
        <v>322</v>
      </c>
      <c r="AA74" s="187"/>
      <c r="AB74" s="206"/>
      <c r="AC74" s="187"/>
      <c r="AD74" s="187"/>
      <c r="AE74" s="187"/>
      <c r="AF74" s="196"/>
      <c r="AG74" s="196"/>
      <c r="AH74" s="196"/>
      <c r="AI74" s="196"/>
      <c r="AJ74" s="201"/>
      <c r="AK7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4" s="198" t="e">
        <f>(1 - ((1 - VLOOKUP(Table4[[#This Row],[ConfidentialityP]],'Reference - CVSSv3.0'!$B$15:$C$17,2,FALSE)) * (1 - VLOOKUP(Table4[[#This Row],[IntegrityP]],'Reference - CVSSv3.0'!$B$15:$C$17,2,FALSE)) *  (1 - VLOOKUP(Table4[[#This Row],[AvailabilityP]],'Reference - CVSSv3.0'!$B$15:$C$17,2,FALSE))))</f>
        <v>#N/A</v>
      </c>
      <c r="AM74" s="198" t="e">
        <f>IF(Table4[[#This Row],[ScopeP]]="Unchanged",6.42*Table4[[#This Row],[ISC BaseP]],IF(Table4[[#This Row],[ScopeP]]="Changed",7.52*(Table4[[#This Row],[ISC BaseP]] - 0.029) - 3.25 * POWER(Table4[[#This Row],[ISC BaseP]] - 0.02,15),NA()))</f>
        <v>#N/A</v>
      </c>
      <c r="AN7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187"/>
    </row>
    <row r="75" spans="1:43" ht="409.5" x14ac:dyDescent="0.25">
      <c r="A75" s="70">
        <v>71</v>
      </c>
      <c r="B75" s="182" t="s">
        <v>129</v>
      </c>
      <c r="C75" s="195" t="str">
        <f>IF(VLOOKUP(Table4[[#This Row],[T ID]],Table5[#All],5,FALSE)="No","Not in scope",VLOOKUP(Table4[[#This Row],[T ID]],Table5[#All],2,FALSE))</f>
        <v>TTP</v>
      </c>
      <c r="D75" s="212" t="s">
        <v>235</v>
      </c>
      <c r="E75" s="195" t="str">
        <f>IF(VLOOKUP(Table4[[#This Row],[V ID]],Vulnerabilities[#All],3,FALSE)="No","Not in scope",VLOOKUP(Table4[[#This Row],[V ID]],Vulnerabilities[#All],2,FALSE))</f>
        <v>Lack of configuration controls for IT assets in the informaion system plan</v>
      </c>
      <c r="F75" s="216" t="s">
        <v>112</v>
      </c>
      <c r="G75" s="195" t="str">
        <f>VLOOKUP(Table4[[#This Row],[A ID]],Assets[#All],3,FALSE)</f>
        <v>Tablet OS/network details &amp; Tablet Application</v>
      </c>
      <c r="H75" s="49" t="s">
        <v>295</v>
      </c>
      <c r="I75" s="49"/>
      <c r="J75" s="87" t="s">
        <v>56</v>
      </c>
      <c r="K75" s="87" t="s">
        <v>56</v>
      </c>
      <c r="L75" s="87" t="s">
        <v>56</v>
      </c>
      <c r="M75" s="196" t="s">
        <v>79</v>
      </c>
      <c r="N75" s="157" t="s">
        <v>56</v>
      </c>
      <c r="O75" s="157" t="s">
        <v>56</v>
      </c>
      <c r="P75" s="196" t="s">
        <v>77</v>
      </c>
      <c r="Q75" s="196" t="s">
        <v>74</v>
      </c>
      <c r="R7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5" s="198">
        <f>(1 - ((1 - VLOOKUP(Table4[[#This Row],[Confidentiality]],'Reference - CVSSv3.0'!$B$15:$C$17,2,FALSE)) * (1 - VLOOKUP(Table4[[#This Row],[Integrity]],'Reference - CVSSv3.0'!$B$15:$C$17,2,FALSE)) *  (1 - VLOOKUP(Table4[[#This Row],[Availability]],'Reference - CVSSv3.0'!$B$15:$C$17,2,FALSE))))</f>
        <v>0.52544799999999992</v>
      </c>
      <c r="T75" s="198">
        <f>IF(Table4[[#This Row],[Scope]]="Unchanged",6.42*Table4[[#This Row],[ISC Base]],IF(Table4[[#This Row],[Scope]]="Changed",7.52*(Table4[[#This Row],[ISC Base]] - 0.029) - 3.25 * POWER(Table4[[#This Row],[ISC Base]] - 0.02,15),NA()))</f>
        <v>3.3733761599999994</v>
      </c>
      <c r="U75"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5" s="182" t="s">
        <v>56</v>
      </c>
      <c r="W75" s="198">
        <f>VLOOKUP(Table4[[#This Row],[Threat Event Initiation]],NIST_Scale_LOAI[],2,FALSE)</f>
        <v>0.2</v>
      </c>
      <c r="X7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49" t="s">
        <v>322</v>
      </c>
      <c r="AA75" s="187"/>
      <c r="AB75" s="206"/>
      <c r="AC75" s="187"/>
      <c r="AD75" s="187"/>
      <c r="AE75" s="187"/>
      <c r="AF75" s="196"/>
      <c r="AG75" s="196"/>
      <c r="AH75" s="196"/>
      <c r="AI75" s="196"/>
      <c r="AJ75" s="201"/>
      <c r="AK7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5" s="198" t="e">
        <f>(1 - ((1 - VLOOKUP(Table4[[#This Row],[ConfidentialityP]],'Reference - CVSSv3.0'!$B$15:$C$17,2,FALSE)) * (1 - VLOOKUP(Table4[[#This Row],[IntegrityP]],'Reference - CVSSv3.0'!$B$15:$C$17,2,FALSE)) *  (1 - VLOOKUP(Table4[[#This Row],[AvailabilityP]],'Reference - CVSSv3.0'!$B$15:$C$17,2,FALSE))))</f>
        <v>#N/A</v>
      </c>
      <c r="AM75" s="198" t="e">
        <f>IF(Table4[[#This Row],[ScopeP]]="Unchanged",6.42*Table4[[#This Row],[ISC BaseP]],IF(Table4[[#This Row],[ScopeP]]="Changed",7.52*(Table4[[#This Row],[ISC BaseP]] - 0.029) - 3.25 * POWER(Table4[[#This Row],[ISC BaseP]] - 0.02,15),NA()))</f>
        <v>#N/A</v>
      </c>
      <c r="AN7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187"/>
    </row>
    <row r="76" spans="1:43" ht="409.5" x14ac:dyDescent="0.25">
      <c r="A76" s="70">
        <v>72</v>
      </c>
      <c r="B76" s="182" t="s">
        <v>129</v>
      </c>
      <c r="C76" s="195" t="str">
        <f>IF(VLOOKUP(Table4[[#This Row],[T ID]],Table5[#All],5,FALSE)="No","Not in scope",VLOOKUP(Table4[[#This Row],[T ID]],Table5[#All],2,FALSE))</f>
        <v>TTP</v>
      </c>
      <c r="D76" s="212" t="s">
        <v>237</v>
      </c>
      <c r="E76" s="195" t="str">
        <f>IF(VLOOKUP(Table4[[#This Row],[V ID]],Vulnerabilities[#All],3,FALSE)="No","Not in scope",VLOOKUP(Table4[[#This Row],[V ID]],Vulnerabilities[#All],2,FALSE))</f>
        <v xml:space="preserve">Lack of plan for periodic Software Vulnerability Management </v>
      </c>
      <c r="F76" s="216" t="s">
        <v>115</v>
      </c>
      <c r="G76" s="195" t="str">
        <f>VLOOKUP(Table4[[#This Row],[A ID]],Assets[#All],3,FALSE)</f>
        <v>Device Maintainence tool (Hardware/Software)</v>
      </c>
      <c r="H76" s="49" t="s">
        <v>295</v>
      </c>
      <c r="I76" s="49"/>
      <c r="J76" s="87" t="s">
        <v>56</v>
      </c>
      <c r="K76" s="87" t="s">
        <v>56</v>
      </c>
      <c r="L76" s="87" t="s">
        <v>56</v>
      </c>
      <c r="M76" s="196" t="s">
        <v>79</v>
      </c>
      <c r="N76" s="157" t="s">
        <v>56</v>
      </c>
      <c r="O76" s="157" t="s">
        <v>56</v>
      </c>
      <c r="P76" s="196" t="s">
        <v>77</v>
      </c>
      <c r="Q76" s="196" t="s">
        <v>74</v>
      </c>
      <c r="R7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6" s="198">
        <f>(1 - ((1 - VLOOKUP(Table4[[#This Row],[Confidentiality]],'Reference - CVSSv3.0'!$B$15:$C$17,2,FALSE)) * (1 - VLOOKUP(Table4[[#This Row],[Integrity]],'Reference - CVSSv3.0'!$B$15:$C$17,2,FALSE)) *  (1 - VLOOKUP(Table4[[#This Row],[Availability]],'Reference - CVSSv3.0'!$B$15:$C$17,2,FALSE))))</f>
        <v>0.52544799999999992</v>
      </c>
      <c r="T76" s="198">
        <f>IF(Table4[[#This Row],[Scope]]="Unchanged",6.42*Table4[[#This Row],[ISC Base]],IF(Table4[[#This Row],[Scope]]="Changed",7.52*(Table4[[#This Row],[ISC Base]] - 0.029) - 3.25 * POWER(Table4[[#This Row],[ISC Base]] - 0.02,15),NA()))</f>
        <v>3.3733761599999994</v>
      </c>
      <c r="U76"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6" s="182" t="s">
        <v>56</v>
      </c>
      <c r="W76" s="198">
        <f>VLOOKUP(Table4[[#This Row],[Threat Event Initiation]],NIST_Scale_LOAI[],2,FALSE)</f>
        <v>0.2</v>
      </c>
      <c r="X7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49" t="s">
        <v>322</v>
      </c>
      <c r="AA76" s="187"/>
      <c r="AB76" s="206"/>
      <c r="AC76" s="187"/>
      <c r="AD76" s="187"/>
      <c r="AE76" s="187"/>
      <c r="AF76" s="196"/>
      <c r="AG76" s="196"/>
      <c r="AH76" s="196"/>
      <c r="AI76" s="196"/>
      <c r="AJ76" s="201"/>
      <c r="AK7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6" s="198" t="e">
        <f>(1 - ((1 - VLOOKUP(Table4[[#This Row],[ConfidentialityP]],'Reference - CVSSv3.0'!$B$15:$C$17,2,FALSE)) * (1 - VLOOKUP(Table4[[#This Row],[IntegrityP]],'Reference - CVSSv3.0'!$B$15:$C$17,2,FALSE)) *  (1 - VLOOKUP(Table4[[#This Row],[AvailabilityP]],'Reference - CVSSv3.0'!$B$15:$C$17,2,FALSE))))</f>
        <v>#N/A</v>
      </c>
      <c r="AM76" s="198" t="e">
        <f>IF(Table4[[#This Row],[ScopeP]]="Unchanged",6.42*Table4[[#This Row],[ISC BaseP]],IF(Table4[[#This Row],[ScopeP]]="Changed",7.52*(Table4[[#This Row],[ISC BaseP]] - 0.029) - 3.25 * POWER(Table4[[#This Row],[ISC BaseP]] - 0.02,15),NA()))</f>
        <v>#N/A</v>
      </c>
      <c r="AN7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187"/>
    </row>
    <row r="77" spans="1:43" ht="409.5" x14ac:dyDescent="0.25">
      <c r="A77" s="70">
        <v>73</v>
      </c>
      <c r="B77" s="182" t="s">
        <v>129</v>
      </c>
      <c r="C77" s="195" t="str">
        <f>IF(VLOOKUP(Table4[[#This Row],[T ID]],Table5[#All],5,FALSE)="No","Not in scope",VLOOKUP(Table4[[#This Row],[T ID]],Table5[#All],2,FALSE))</f>
        <v>TTP</v>
      </c>
      <c r="D77" s="212" t="s">
        <v>237</v>
      </c>
      <c r="E77" s="195" t="str">
        <f>IF(VLOOKUP(Table4[[#This Row],[V ID]],Vulnerabilities[#All],3,FALSE)="No","Not in scope",VLOOKUP(Table4[[#This Row],[V ID]],Vulnerabilities[#All],2,FALSE))</f>
        <v xml:space="preserve">Lack of plan for periodic Software Vulnerability Management </v>
      </c>
      <c r="F77" s="216" t="s">
        <v>111</v>
      </c>
      <c r="G77" s="195" t="str">
        <f>VLOOKUP(Table4[[#This Row],[A ID]],Assets[#All],3,FALSE)</f>
        <v>Tablet Resources - web cam, microphone, OTG devices, Removable USB, Tablet Application,</v>
      </c>
      <c r="H77" s="49" t="s">
        <v>295</v>
      </c>
      <c r="I77" s="49"/>
      <c r="J77" s="87" t="s">
        <v>56</v>
      </c>
      <c r="K77" s="87" t="s">
        <v>56</v>
      </c>
      <c r="L77" s="87" t="s">
        <v>56</v>
      </c>
      <c r="M77" s="196" t="s">
        <v>79</v>
      </c>
      <c r="N77" s="157" t="s">
        <v>56</v>
      </c>
      <c r="O77" s="157" t="s">
        <v>56</v>
      </c>
      <c r="P77" s="196" t="s">
        <v>77</v>
      </c>
      <c r="Q77" s="196" t="s">
        <v>74</v>
      </c>
      <c r="R7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7" s="198">
        <f>(1 - ((1 - VLOOKUP(Table4[[#This Row],[Confidentiality]],'Reference - CVSSv3.0'!$B$15:$C$17,2,FALSE)) * (1 - VLOOKUP(Table4[[#This Row],[Integrity]],'Reference - CVSSv3.0'!$B$15:$C$17,2,FALSE)) *  (1 - VLOOKUP(Table4[[#This Row],[Availability]],'Reference - CVSSv3.0'!$B$15:$C$17,2,FALSE))))</f>
        <v>0.52544799999999992</v>
      </c>
      <c r="T77" s="198">
        <f>IF(Table4[[#This Row],[Scope]]="Unchanged",6.42*Table4[[#This Row],[ISC Base]],IF(Table4[[#This Row],[Scope]]="Changed",7.52*(Table4[[#This Row],[ISC Base]] - 0.029) - 3.25 * POWER(Table4[[#This Row],[ISC Base]] - 0.02,15),NA()))</f>
        <v>3.3733761599999994</v>
      </c>
      <c r="U77"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7" s="182" t="s">
        <v>56</v>
      </c>
      <c r="W77" s="198">
        <f>VLOOKUP(Table4[[#This Row],[Threat Event Initiation]],NIST_Scale_LOAI[],2,FALSE)</f>
        <v>0.2</v>
      </c>
      <c r="X7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49" t="s">
        <v>322</v>
      </c>
      <c r="AA77" s="187"/>
      <c r="AB77" s="206"/>
      <c r="AC77" s="187"/>
      <c r="AD77" s="187"/>
      <c r="AE77" s="187"/>
      <c r="AF77" s="196"/>
      <c r="AG77" s="196"/>
      <c r="AH77" s="196"/>
      <c r="AI77" s="196"/>
      <c r="AJ77" s="201"/>
      <c r="AK7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7" s="198" t="e">
        <f>(1 - ((1 - VLOOKUP(Table4[[#This Row],[ConfidentialityP]],'Reference - CVSSv3.0'!$B$15:$C$17,2,FALSE)) * (1 - VLOOKUP(Table4[[#This Row],[IntegrityP]],'Reference - CVSSv3.0'!$B$15:$C$17,2,FALSE)) *  (1 - VLOOKUP(Table4[[#This Row],[AvailabilityP]],'Reference - CVSSv3.0'!$B$15:$C$17,2,FALSE))))</f>
        <v>#N/A</v>
      </c>
      <c r="AM77" s="198" t="e">
        <f>IF(Table4[[#This Row],[ScopeP]]="Unchanged",6.42*Table4[[#This Row],[ISC BaseP]],IF(Table4[[#This Row],[ScopeP]]="Changed",7.52*(Table4[[#This Row],[ISC BaseP]] - 0.029) - 3.25 * POWER(Table4[[#This Row],[ISC BaseP]] - 0.02,15),NA()))</f>
        <v>#N/A</v>
      </c>
      <c r="AN7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187"/>
    </row>
    <row r="78" spans="1:43" ht="409.5" x14ac:dyDescent="0.25">
      <c r="A78" s="70">
        <v>74</v>
      </c>
      <c r="B78" s="182" t="s">
        <v>275</v>
      </c>
      <c r="C78" s="195" t="str">
        <f>IF(VLOOKUP(Table4[[#This Row],[T ID]],Table5[#All],5,FALSE)="No","Not in scope",VLOOKUP(Table4[[#This Row],[T ID]],Table5[#All],2,FALSE))</f>
        <v>STRID[E]</v>
      </c>
      <c r="D78" s="210" t="s">
        <v>251</v>
      </c>
      <c r="E78" s="195" t="str">
        <f>IF(VLOOKUP(Table4[[#This Row],[V ID]],Vulnerabilities[#All],3,FALSE)="No","Not in scope",VLOOKUP(Table4[[#This Row],[V ID]],Vulnerabilities[#All],2,FALSE))</f>
        <v>External communications and exposure for communciation channels from and to application and devices like tablet and smartmedic device.</v>
      </c>
      <c r="F78" s="213" t="s">
        <v>114</v>
      </c>
      <c r="G78" s="195" t="str">
        <f>VLOOKUP(Table4[[#This Row],[A ID]],Assets[#All],3,FALSE)</f>
        <v xml:space="preserve">Authenication/Authorisation data </v>
      </c>
      <c r="H78" s="49" t="s">
        <v>296</v>
      </c>
      <c r="I78" s="49"/>
      <c r="J78" s="87" t="s">
        <v>56</v>
      </c>
      <c r="K78" s="87" t="s">
        <v>56</v>
      </c>
      <c r="L78" s="87" t="s">
        <v>56</v>
      </c>
      <c r="M78" s="196" t="s">
        <v>78</v>
      </c>
      <c r="N78" s="157" t="s">
        <v>56</v>
      </c>
      <c r="O78" s="157" t="s">
        <v>56</v>
      </c>
      <c r="P78" s="196" t="s">
        <v>76</v>
      </c>
      <c r="Q78" s="196" t="s">
        <v>74</v>
      </c>
      <c r="R7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78" s="198">
        <f>(1 - ((1 - VLOOKUP(Table4[[#This Row],[Confidentiality]],'Reference - CVSSv3.0'!$B$15:$C$17,2,FALSE)) * (1 - VLOOKUP(Table4[[#This Row],[Integrity]],'Reference - CVSSv3.0'!$B$15:$C$17,2,FALSE)) *  (1 - VLOOKUP(Table4[[#This Row],[Availability]],'Reference - CVSSv3.0'!$B$15:$C$17,2,FALSE))))</f>
        <v>0.52544799999999992</v>
      </c>
      <c r="T78" s="198">
        <f>IF(Table4[[#This Row],[Scope]]="Unchanged",6.42*Table4[[#This Row],[ISC Base]],IF(Table4[[#This Row],[Scope]]="Changed",7.52*(Table4[[#This Row],[ISC Base]] - 0.029) - 3.25 * POWER(Table4[[#This Row],[ISC Base]] - 0.02,15),NA()))</f>
        <v>3.3733761599999994</v>
      </c>
      <c r="U7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78" s="182" t="s">
        <v>56</v>
      </c>
      <c r="W78" s="198">
        <f>VLOOKUP(Table4[[#This Row],[Threat Event Initiation]],NIST_Scale_LOAI[],2,FALSE)</f>
        <v>0.2</v>
      </c>
      <c r="X7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8" s="49" t="s">
        <v>345</v>
      </c>
      <c r="AA78" s="187"/>
      <c r="AB78" s="206"/>
      <c r="AC78" s="187"/>
      <c r="AD78" s="187"/>
      <c r="AE78" s="187"/>
      <c r="AF78" s="196"/>
      <c r="AG78" s="196"/>
      <c r="AH78" s="196"/>
      <c r="AI78" s="196"/>
      <c r="AJ78" s="201"/>
      <c r="AK7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8" s="198" t="e">
        <f>(1 - ((1 - VLOOKUP(Table4[[#This Row],[ConfidentialityP]],'Reference - CVSSv3.0'!$B$15:$C$17,2,FALSE)) * (1 - VLOOKUP(Table4[[#This Row],[IntegrityP]],'Reference - CVSSv3.0'!$B$15:$C$17,2,FALSE)) *  (1 - VLOOKUP(Table4[[#This Row],[AvailabilityP]],'Reference - CVSSv3.0'!$B$15:$C$17,2,FALSE))))</f>
        <v>#N/A</v>
      </c>
      <c r="AM78" s="198" t="e">
        <f>IF(Table4[[#This Row],[ScopeP]]="Unchanged",6.42*Table4[[#This Row],[ISC BaseP]],IF(Table4[[#This Row],[ScopeP]]="Changed",7.52*(Table4[[#This Row],[ISC BaseP]] - 0.029) - 3.25 * POWER(Table4[[#This Row],[ISC BaseP]] - 0.02,15),NA()))</f>
        <v>#N/A</v>
      </c>
      <c r="AN7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187"/>
    </row>
    <row r="79" spans="1:43" ht="409.5" x14ac:dyDescent="0.25">
      <c r="A79" s="70">
        <v>75</v>
      </c>
      <c r="B79" s="182" t="s">
        <v>275</v>
      </c>
      <c r="C79" s="195" t="str">
        <f>IF(VLOOKUP(Table4[[#This Row],[T ID]],Table5[#All],5,FALSE)="No","Not in scope",VLOOKUP(Table4[[#This Row],[T ID]],Table5[#All],2,FALSE))</f>
        <v>STRID[E]</v>
      </c>
      <c r="D79" s="210" t="s">
        <v>251</v>
      </c>
      <c r="E79" s="195" t="str">
        <f>IF(VLOOKUP(Table4[[#This Row],[V ID]],Vulnerabilities[#All],3,FALSE)="No","Not in scope",VLOOKUP(Table4[[#This Row],[V ID]],Vulnerabilities[#All],2,FALSE))</f>
        <v>External communications and exposure for communciation channels from and to application and devices like tablet and smartmedic device.</v>
      </c>
      <c r="F79" s="221" t="s">
        <v>108</v>
      </c>
      <c r="G79" s="195" t="str">
        <f>VLOOKUP(Table4[[#This Row],[A ID]],Assets[#All],3,FALSE)</f>
        <v>Smart medic app (Azure Portal Administrator)</v>
      </c>
      <c r="H79" s="49" t="s">
        <v>296</v>
      </c>
      <c r="I79" s="49"/>
      <c r="J79" s="87" t="s">
        <v>65</v>
      </c>
      <c r="K79" s="87" t="s">
        <v>65</v>
      </c>
      <c r="L79" s="87" t="s">
        <v>56</v>
      </c>
      <c r="M79" s="196" t="s">
        <v>78</v>
      </c>
      <c r="N79" s="157" t="s">
        <v>56</v>
      </c>
      <c r="O79" s="157" t="s">
        <v>56</v>
      </c>
      <c r="P79" s="196" t="s">
        <v>76</v>
      </c>
      <c r="Q79" s="196" t="s">
        <v>74</v>
      </c>
      <c r="R7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79" s="198">
        <f>(1 - ((1 - VLOOKUP(Table4[[#This Row],[Confidentiality]],'Reference - CVSSv3.0'!$B$15:$C$17,2,FALSE)) * (1 - VLOOKUP(Table4[[#This Row],[Integrity]],'Reference - CVSSv3.0'!$B$15:$C$17,2,FALSE)) *  (1 - VLOOKUP(Table4[[#This Row],[Availability]],'Reference - CVSSv3.0'!$B$15:$C$17,2,FALSE))))</f>
        <v>0.84899199999999997</v>
      </c>
      <c r="T79" s="198">
        <f>IF(Table4[[#This Row],[Scope]]="Unchanged",6.42*Table4[[#This Row],[ISC Base]],IF(Table4[[#This Row],[Scope]]="Changed",7.52*(Table4[[#This Row],[ISC Base]] - 0.029) - 3.25 * POWER(Table4[[#This Row],[ISC Base]] - 0.02,15),NA()))</f>
        <v>5.4505286399999999</v>
      </c>
      <c r="U79"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79" s="182" t="s">
        <v>65</v>
      </c>
      <c r="W79" s="198">
        <f>VLOOKUP(Table4[[#This Row],[Threat Event Initiation]],NIST_Scale_LOAI[],2,FALSE)</f>
        <v>0.8</v>
      </c>
      <c r="X7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7.1999999999999993</v>
      </c>
      <c r="Y7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79" s="49" t="s">
        <v>345</v>
      </c>
      <c r="AA79" s="187"/>
      <c r="AB79" s="206"/>
      <c r="AC79" s="187"/>
      <c r="AD79" s="187"/>
      <c r="AE79" s="187"/>
      <c r="AF79" s="196"/>
      <c r="AG79" s="196"/>
      <c r="AH79" s="196"/>
      <c r="AI79" s="196"/>
      <c r="AJ79" s="201"/>
      <c r="AK7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9" s="198" t="e">
        <f>(1 - ((1 - VLOOKUP(Table4[[#This Row],[ConfidentialityP]],'Reference - CVSSv3.0'!$B$15:$C$17,2,FALSE)) * (1 - VLOOKUP(Table4[[#This Row],[IntegrityP]],'Reference - CVSSv3.0'!$B$15:$C$17,2,FALSE)) *  (1 - VLOOKUP(Table4[[#This Row],[AvailabilityP]],'Reference - CVSSv3.0'!$B$15:$C$17,2,FALSE))))</f>
        <v>#N/A</v>
      </c>
      <c r="AM79" s="198" t="e">
        <f>IF(Table4[[#This Row],[ScopeP]]="Unchanged",6.42*Table4[[#This Row],[ISC BaseP]],IF(Table4[[#This Row],[ScopeP]]="Changed",7.52*(Table4[[#This Row],[ISC BaseP]] - 0.029) - 3.25 * POWER(Table4[[#This Row],[ISC BaseP]] - 0.02,15),NA()))</f>
        <v>#N/A</v>
      </c>
      <c r="AN7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187"/>
    </row>
    <row r="80" spans="1:43" ht="409.5" x14ac:dyDescent="0.25">
      <c r="A80" s="70">
        <v>76</v>
      </c>
      <c r="B80" s="182" t="s">
        <v>276</v>
      </c>
      <c r="C80" s="195" t="str">
        <f>IF(VLOOKUP(Table4[[#This Row],[T ID]],Table5[#All],5,FALSE)="No","Not in scope",VLOOKUP(Table4[[#This Row],[T ID]],Table5[#All],2,FALSE))</f>
        <v>STRI(D)E</v>
      </c>
      <c r="D80" s="210" t="s">
        <v>248</v>
      </c>
      <c r="E80" s="195" t="str">
        <f>IF(VLOOKUP(Table4[[#This Row],[V ID]],Vulnerabilities[#All],3,FALSE)="No","Not in scope",VLOOKUP(Table4[[#This Row],[V ID]],Vulnerabilities[#All],2,FALSE))</f>
        <v>Assest counting system for all instances of product implementation</v>
      </c>
      <c r="F80" s="216" t="s">
        <v>118</v>
      </c>
      <c r="G80" s="195" t="str">
        <f>VLOOKUP(Table4[[#This Row],[A ID]],Assets[#All],3,FALSE)</f>
        <v>Wireless Network device</v>
      </c>
      <c r="H80" s="49" t="s">
        <v>297</v>
      </c>
      <c r="I80" s="49"/>
      <c r="J80" s="87" t="s">
        <v>65</v>
      </c>
      <c r="K80" s="87" t="s">
        <v>56</v>
      </c>
      <c r="L80" s="87" t="s">
        <v>56</v>
      </c>
      <c r="M80" s="196" t="s">
        <v>78</v>
      </c>
      <c r="N80" s="157" t="s">
        <v>56</v>
      </c>
      <c r="O80" s="157" t="s">
        <v>56</v>
      </c>
      <c r="P80" s="196" t="s">
        <v>77</v>
      </c>
      <c r="Q80" s="196" t="s">
        <v>74</v>
      </c>
      <c r="R8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80" s="198">
        <f>(1 - ((1 - VLOOKUP(Table4[[#This Row],[Confidentiality]],'Reference - CVSSv3.0'!$B$15:$C$17,2,FALSE)) * (1 - VLOOKUP(Table4[[#This Row],[Integrity]],'Reference - CVSSv3.0'!$B$15:$C$17,2,FALSE)) *  (1 - VLOOKUP(Table4[[#This Row],[Availability]],'Reference - CVSSv3.0'!$B$15:$C$17,2,FALSE))))</f>
        <v>0.73230400000000007</v>
      </c>
      <c r="T80" s="198">
        <f>IF(Table4[[#This Row],[Scope]]="Unchanged",6.42*Table4[[#This Row],[ISC Base]],IF(Table4[[#This Row],[Scope]]="Changed",7.52*(Table4[[#This Row],[ISC Base]] - 0.029) - 3.25 * POWER(Table4[[#This Row],[ISC Base]] - 0.02,15),NA()))</f>
        <v>4.7013916800000004</v>
      </c>
      <c r="U80"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80" s="182" t="s">
        <v>56</v>
      </c>
      <c r="W80" s="198">
        <f>VLOOKUP(Table4[[#This Row],[Threat Event Initiation]],NIST_Scale_LOAI[],2,FALSE)</f>
        <v>0.2</v>
      </c>
      <c r="X8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8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0" s="49" t="s">
        <v>312</v>
      </c>
      <c r="AA80" s="187"/>
      <c r="AB80" s="206"/>
      <c r="AC80" s="187"/>
      <c r="AD80" s="187"/>
      <c r="AE80" s="187"/>
      <c r="AF80" s="196"/>
      <c r="AG80" s="196"/>
      <c r="AH80" s="196"/>
      <c r="AI80" s="196"/>
      <c r="AJ80" s="201"/>
      <c r="AK8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0" s="198" t="e">
        <f>(1 - ((1 - VLOOKUP(Table4[[#This Row],[ConfidentialityP]],'Reference - CVSSv3.0'!$B$15:$C$17,2,FALSE)) * (1 - VLOOKUP(Table4[[#This Row],[IntegrityP]],'Reference - CVSSv3.0'!$B$15:$C$17,2,FALSE)) *  (1 - VLOOKUP(Table4[[#This Row],[AvailabilityP]],'Reference - CVSSv3.0'!$B$15:$C$17,2,FALSE))))</f>
        <v>#N/A</v>
      </c>
      <c r="AM80" s="198" t="e">
        <f>IF(Table4[[#This Row],[ScopeP]]="Unchanged",6.42*Table4[[#This Row],[ISC BaseP]],IF(Table4[[#This Row],[ScopeP]]="Changed",7.52*(Table4[[#This Row],[ISC BaseP]] - 0.029) - 3.25 * POWER(Table4[[#This Row],[ISC BaseP]] - 0.02,15),NA()))</f>
        <v>#N/A</v>
      </c>
      <c r="AN8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187"/>
    </row>
    <row r="81" spans="1:43" ht="409.5" x14ac:dyDescent="0.25">
      <c r="A81" s="70">
        <v>77</v>
      </c>
      <c r="B81" s="182" t="s">
        <v>276</v>
      </c>
      <c r="C81" s="195" t="str">
        <f>IF(VLOOKUP(Table4[[#This Row],[T ID]],Table5[#All],5,FALSE)="No","Not in scope",VLOOKUP(Table4[[#This Row],[T ID]],Table5[#All],2,FALSE))</f>
        <v>STRI(D)E</v>
      </c>
      <c r="D81" s="210" t="s">
        <v>248</v>
      </c>
      <c r="E81" s="195" t="str">
        <f>IF(VLOOKUP(Table4[[#This Row],[V ID]],Vulnerabilities[#All],3,FALSE)="No","Not in scope",VLOOKUP(Table4[[#This Row],[V ID]],Vulnerabilities[#All],2,FALSE))</f>
        <v>Assest counting system for all instances of product implementation</v>
      </c>
      <c r="F81" s="216" t="s">
        <v>112</v>
      </c>
      <c r="G81" s="195" t="str">
        <f>VLOOKUP(Table4[[#This Row],[A ID]],Assets[#All],3,FALSE)</f>
        <v>Tablet OS/network details &amp; Tablet Application</v>
      </c>
      <c r="H81" s="49" t="s">
        <v>297</v>
      </c>
      <c r="I81" s="49"/>
      <c r="J81" s="87" t="s">
        <v>65</v>
      </c>
      <c r="K81" s="87" t="s">
        <v>56</v>
      </c>
      <c r="L81" s="87" t="s">
        <v>56</v>
      </c>
      <c r="M81" s="196" t="s">
        <v>78</v>
      </c>
      <c r="N81" s="157" t="s">
        <v>56</v>
      </c>
      <c r="O81" s="157" t="s">
        <v>56</v>
      </c>
      <c r="P81" s="196" t="s">
        <v>77</v>
      </c>
      <c r="Q81" s="196" t="s">
        <v>74</v>
      </c>
      <c r="R8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81" s="198">
        <f>(1 - ((1 - VLOOKUP(Table4[[#This Row],[Confidentiality]],'Reference - CVSSv3.0'!$B$15:$C$17,2,FALSE)) * (1 - VLOOKUP(Table4[[#This Row],[Integrity]],'Reference - CVSSv3.0'!$B$15:$C$17,2,FALSE)) *  (1 - VLOOKUP(Table4[[#This Row],[Availability]],'Reference - CVSSv3.0'!$B$15:$C$17,2,FALSE))))</f>
        <v>0.73230400000000007</v>
      </c>
      <c r="T81" s="198">
        <f>IF(Table4[[#This Row],[Scope]]="Unchanged",6.42*Table4[[#This Row],[ISC Base]],IF(Table4[[#This Row],[Scope]]="Changed",7.52*(Table4[[#This Row],[ISC Base]] - 0.029) - 3.25 * POWER(Table4[[#This Row],[ISC Base]] - 0.02,15),NA()))</f>
        <v>4.7013916800000004</v>
      </c>
      <c r="U81"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81" s="182" t="s">
        <v>56</v>
      </c>
      <c r="W81" s="198">
        <f>VLOOKUP(Table4[[#This Row],[Threat Event Initiation]],NIST_Scale_LOAI[],2,FALSE)</f>
        <v>0.2</v>
      </c>
      <c r="X8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8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1" s="49" t="s">
        <v>322</v>
      </c>
      <c r="AA81" s="187"/>
      <c r="AB81" s="206"/>
      <c r="AC81" s="187"/>
      <c r="AD81" s="187"/>
      <c r="AE81" s="187"/>
      <c r="AF81" s="196"/>
      <c r="AG81" s="196"/>
      <c r="AH81" s="196"/>
      <c r="AI81" s="196"/>
      <c r="AJ81" s="201"/>
      <c r="AK8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1" s="198" t="e">
        <f>(1 - ((1 - VLOOKUP(Table4[[#This Row],[ConfidentialityP]],'Reference - CVSSv3.0'!$B$15:$C$17,2,FALSE)) * (1 - VLOOKUP(Table4[[#This Row],[IntegrityP]],'Reference - CVSSv3.0'!$B$15:$C$17,2,FALSE)) *  (1 - VLOOKUP(Table4[[#This Row],[AvailabilityP]],'Reference - CVSSv3.0'!$B$15:$C$17,2,FALSE))))</f>
        <v>#N/A</v>
      </c>
      <c r="AM81" s="198" t="e">
        <f>IF(Table4[[#This Row],[ScopeP]]="Unchanged",6.42*Table4[[#This Row],[ISC BaseP]],IF(Table4[[#This Row],[ScopeP]]="Changed",7.52*(Table4[[#This Row],[ISC BaseP]] - 0.029) - 3.25 * POWER(Table4[[#This Row],[ISC BaseP]] - 0.02,15),NA()))</f>
        <v>#N/A</v>
      </c>
      <c r="AN8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187"/>
    </row>
    <row r="82" spans="1:43" ht="409.5" x14ac:dyDescent="0.25">
      <c r="A82" s="70">
        <v>78</v>
      </c>
      <c r="B82" s="182" t="s">
        <v>277</v>
      </c>
      <c r="C82" s="195" t="str">
        <f>IF(VLOOKUP(Table4[[#This Row],[T ID]],Table5[#All],5,FALSE)="No","Not in scope",VLOOKUP(Table4[[#This Row],[T ID]],Table5[#All],2,FALSE))</f>
        <v>STR(I)DE</v>
      </c>
      <c r="D82" s="210" t="s">
        <v>252</v>
      </c>
      <c r="E82" s="195" t="str">
        <f>IF(VLOOKUP(Table4[[#This Row],[V ID]],Vulnerabilities[#All],3,FALSE)="No","Not in scope",VLOOKUP(Table4[[#This Row],[V ID]],Vulnerabilities[#All],2,FALSE))</f>
        <v>Controlled Use of Administrative Privileges over the network</v>
      </c>
      <c r="F82" s="42" t="s">
        <v>119</v>
      </c>
      <c r="G82" s="195" t="str">
        <f>VLOOKUP(Table4[[#This Row],[A ID]],Assets[#All],3,FALSE)</f>
        <v>Data at Rest</v>
      </c>
      <c r="H82" s="49" t="s">
        <v>305</v>
      </c>
      <c r="I82" s="49"/>
      <c r="J82" s="87" t="s">
        <v>65</v>
      </c>
      <c r="K82" s="87" t="s">
        <v>65</v>
      </c>
      <c r="L82" s="87" t="s">
        <v>56</v>
      </c>
      <c r="M82" s="196" t="s">
        <v>79</v>
      </c>
      <c r="N82" s="157" t="s">
        <v>65</v>
      </c>
      <c r="O82" s="157" t="s">
        <v>56</v>
      </c>
      <c r="P82" s="196" t="s">
        <v>77</v>
      </c>
      <c r="Q82" s="196" t="s">
        <v>74</v>
      </c>
      <c r="R8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82" s="198">
        <f>(1 - ((1 - VLOOKUP(Table4[[#This Row],[Confidentiality]],'Reference - CVSSv3.0'!$B$15:$C$17,2,FALSE)) * (1 - VLOOKUP(Table4[[#This Row],[Integrity]],'Reference - CVSSv3.0'!$B$15:$C$17,2,FALSE)) *  (1 - VLOOKUP(Table4[[#This Row],[Availability]],'Reference - CVSSv3.0'!$B$15:$C$17,2,FALSE))))</f>
        <v>0.84899199999999997</v>
      </c>
      <c r="T82" s="198">
        <f>IF(Table4[[#This Row],[Scope]]="Unchanged",6.42*Table4[[#This Row],[ISC Base]],IF(Table4[[#This Row],[Scope]]="Changed",7.52*(Table4[[#This Row],[ISC Base]] - 0.029) - 3.25 * POWER(Table4[[#This Row],[ISC Base]] - 0.02,15),NA()))</f>
        <v>5.4505286399999999</v>
      </c>
      <c r="U82"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82" s="182" t="s">
        <v>55</v>
      </c>
      <c r="W82" s="198">
        <f>VLOOKUP(Table4[[#This Row],[Threat Event Initiation]],NIST_Scale_LOAI[],2,FALSE)</f>
        <v>0.5</v>
      </c>
      <c r="X8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2" s="49" t="s">
        <v>307</v>
      </c>
      <c r="AA82" s="187"/>
      <c r="AB82" s="206"/>
      <c r="AC82" s="187"/>
      <c r="AD82" s="187"/>
      <c r="AE82" s="187"/>
      <c r="AF82" s="196"/>
      <c r="AG82" s="196"/>
      <c r="AH82" s="196"/>
      <c r="AI82" s="196"/>
      <c r="AJ82" s="201"/>
      <c r="AK8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2" s="198" t="e">
        <f>(1 - ((1 - VLOOKUP(Table4[[#This Row],[ConfidentialityP]],'Reference - CVSSv3.0'!$B$15:$C$17,2,FALSE)) * (1 - VLOOKUP(Table4[[#This Row],[IntegrityP]],'Reference - CVSSv3.0'!$B$15:$C$17,2,FALSE)) *  (1 - VLOOKUP(Table4[[#This Row],[AvailabilityP]],'Reference - CVSSv3.0'!$B$15:$C$17,2,FALSE))))</f>
        <v>#N/A</v>
      </c>
      <c r="AM82" s="198" t="e">
        <f>IF(Table4[[#This Row],[ScopeP]]="Unchanged",6.42*Table4[[#This Row],[ISC BaseP]],IF(Table4[[#This Row],[ScopeP]]="Changed",7.52*(Table4[[#This Row],[ISC BaseP]] - 0.029) - 3.25 * POWER(Table4[[#This Row],[ISC BaseP]] - 0.02,15),NA()))</f>
        <v>#N/A</v>
      </c>
      <c r="AN8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187"/>
    </row>
    <row r="83" spans="1:43" ht="409.5" x14ac:dyDescent="0.25">
      <c r="A83" s="70">
        <v>79</v>
      </c>
      <c r="B83" s="182" t="s">
        <v>277</v>
      </c>
      <c r="C83" s="195" t="str">
        <f>IF(VLOOKUP(Table4[[#This Row],[T ID]],Table5[#All],5,FALSE)="No","Not in scope",VLOOKUP(Table4[[#This Row],[T ID]],Table5[#All],2,FALSE))</f>
        <v>STR(I)DE</v>
      </c>
      <c r="D83" s="210" t="s">
        <v>258</v>
      </c>
      <c r="E83" s="195" t="str">
        <f>IF(VLOOKUP(Table4[[#This Row],[V ID]],Vulnerabilities[#All],3,FALSE)="No","Not in scope",VLOOKUP(Table4[[#This Row],[V ID]],Vulnerabilities[#All],2,FALSE))</f>
        <v>Unencrypted data at rest in all possible locations</v>
      </c>
      <c r="F83" s="42" t="s">
        <v>106</v>
      </c>
      <c r="G83" s="195" t="str">
        <f>VLOOKUP(Table4[[#This Row],[A ID]],Assets[#All],3,FALSE)</f>
        <v>Data in Motion</v>
      </c>
      <c r="H83" s="49" t="s">
        <v>305</v>
      </c>
      <c r="I83" s="49"/>
      <c r="J83" s="87" t="s">
        <v>65</v>
      </c>
      <c r="K83" s="87" t="s">
        <v>65</v>
      </c>
      <c r="L83" s="87" t="s">
        <v>56</v>
      </c>
      <c r="M83" s="196" t="s">
        <v>78</v>
      </c>
      <c r="N83" s="157" t="s">
        <v>65</v>
      </c>
      <c r="O83" s="157" t="s">
        <v>56</v>
      </c>
      <c r="P83" s="196" t="s">
        <v>77</v>
      </c>
      <c r="Q83" s="196" t="s">
        <v>74</v>
      </c>
      <c r="R8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3" s="198">
        <f>(1 - ((1 - VLOOKUP(Table4[[#This Row],[Confidentiality]],'Reference - CVSSv3.0'!$B$15:$C$17,2,FALSE)) * (1 - VLOOKUP(Table4[[#This Row],[Integrity]],'Reference - CVSSv3.0'!$B$15:$C$17,2,FALSE)) *  (1 - VLOOKUP(Table4[[#This Row],[Availability]],'Reference - CVSSv3.0'!$B$15:$C$17,2,FALSE))))</f>
        <v>0.84899199999999997</v>
      </c>
      <c r="T83" s="198">
        <f>IF(Table4[[#This Row],[Scope]]="Unchanged",6.42*Table4[[#This Row],[ISC Base]],IF(Table4[[#This Row],[Scope]]="Changed",7.52*(Table4[[#This Row],[ISC Base]] - 0.029) - 3.25 * POWER(Table4[[#This Row],[ISC Base]] - 0.02,15),NA()))</f>
        <v>5.4505286399999999</v>
      </c>
      <c r="U83"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3" s="182" t="s">
        <v>55</v>
      </c>
      <c r="W83" s="198">
        <f>VLOOKUP(Table4[[#This Row],[Threat Event Initiation]],NIST_Scale_LOAI[],2,FALSE)</f>
        <v>0.5</v>
      </c>
      <c r="X8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3" s="49" t="s">
        <v>313</v>
      </c>
      <c r="AA83" s="187"/>
      <c r="AB83" s="206"/>
      <c r="AC83" s="187"/>
      <c r="AD83" s="187"/>
      <c r="AE83" s="187"/>
      <c r="AF83" s="196"/>
      <c r="AG83" s="196"/>
      <c r="AH83" s="196"/>
      <c r="AI83" s="196"/>
      <c r="AJ83" s="201"/>
      <c r="AK8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3" s="198" t="e">
        <f>(1 - ((1 - VLOOKUP(Table4[[#This Row],[ConfidentialityP]],'Reference - CVSSv3.0'!$B$15:$C$17,2,FALSE)) * (1 - VLOOKUP(Table4[[#This Row],[IntegrityP]],'Reference - CVSSv3.0'!$B$15:$C$17,2,FALSE)) *  (1 - VLOOKUP(Table4[[#This Row],[AvailabilityP]],'Reference - CVSSv3.0'!$B$15:$C$17,2,FALSE))))</f>
        <v>#N/A</v>
      </c>
      <c r="AM83" s="198" t="e">
        <f>IF(Table4[[#This Row],[ScopeP]]="Unchanged",6.42*Table4[[#This Row],[ISC BaseP]],IF(Table4[[#This Row],[ScopeP]]="Changed",7.52*(Table4[[#This Row],[ISC BaseP]] - 0.029) - 3.25 * POWER(Table4[[#This Row],[ISC BaseP]] - 0.02,15),NA()))</f>
        <v>#N/A</v>
      </c>
      <c r="AN8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187"/>
    </row>
    <row r="84" spans="1:43" ht="409.5" x14ac:dyDescent="0.25">
      <c r="A84" s="70">
        <v>80</v>
      </c>
      <c r="B84" s="182" t="s">
        <v>277</v>
      </c>
      <c r="C84" s="195" t="str">
        <f>IF(VLOOKUP(Table4[[#This Row],[T ID]],Table5[#All],5,FALSE)="No","Not in scope",VLOOKUP(Table4[[#This Row],[T ID]],Table5[#All],2,FALSE))</f>
        <v>STR(I)DE</v>
      </c>
      <c r="D84" s="210" t="s">
        <v>259</v>
      </c>
      <c r="E84" s="195" t="str">
        <f>IF(VLOOKUP(Table4[[#This Row],[V ID]],Vulnerabilities[#All],3,FALSE)="No","Not in scope",VLOOKUP(Table4[[#This Row],[V ID]],Vulnerabilities[#All],2,FALSE))</f>
        <v>Unencrypted data in flight in all flowchannels</v>
      </c>
      <c r="F84" s="42" t="s">
        <v>119</v>
      </c>
      <c r="G84" s="195" t="str">
        <f>VLOOKUP(Table4[[#This Row],[A ID]],Assets[#All],3,FALSE)</f>
        <v>Data at Rest</v>
      </c>
      <c r="H84" s="49" t="s">
        <v>305</v>
      </c>
      <c r="I84" s="49"/>
      <c r="J84" s="87" t="s">
        <v>65</v>
      </c>
      <c r="K84" s="87" t="s">
        <v>65</v>
      </c>
      <c r="L84" s="87" t="s">
        <v>56</v>
      </c>
      <c r="M84" s="196" t="s">
        <v>79</v>
      </c>
      <c r="N84" s="157" t="s">
        <v>65</v>
      </c>
      <c r="O84" s="157" t="s">
        <v>56</v>
      </c>
      <c r="P84" s="196" t="s">
        <v>77</v>
      </c>
      <c r="Q84" s="196" t="s">
        <v>74</v>
      </c>
      <c r="R8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84" s="198">
        <f>(1 - ((1 - VLOOKUP(Table4[[#This Row],[Confidentiality]],'Reference - CVSSv3.0'!$B$15:$C$17,2,FALSE)) * (1 - VLOOKUP(Table4[[#This Row],[Integrity]],'Reference - CVSSv3.0'!$B$15:$C$17,2,FALSE)) *  (1 - VLOOKUP(Table4[[#This Row],[Availability]],'Reference - CVSSv3.0'!$B$15:$C$17,2,FALSE))))</f>
        <v>0.84899199999999997</v>
      </c>
      <c r="T84" s="198">
        <f>IF(Table4[[#This Row],[Scope]]="Unchanged",6.42*Table4[[#This Row],[ISC Base]],IF(Table4[[#This Row],[Scope]]="Changed",7.52*(Table4[[#This Row],[ISC Base]] - 0.029) - 3.25 * POWER(Table4[[#This Row],[ISC Base]] - 0.02,15),NA()))</f>
        <v>5.4505286399999999</v>
      </c>
      <c r="U84"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84" s="182" t="s">
        <v>55</v>
      </c>
      <c r="W84" s="198">
        <f>VLOOKUP(Table4[[#This Row],[Threat Event Initiation]],NIST_Scale_LOAI[],2,FALSE)</f>
        <v>0.5</v>
      </c>
      <c r="X8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4" s="225" t="s">
        <v>314</v>
      </c>
      <c r="AA84" s="187"/>
      <c r="AB84" s="206"/>
      <c r="AC84" s="187"/>
      <c r="AD84" s="187"/>
      <c r="AE84" s="187"/>
      <c r="AF84" s="196"/>
      <c r="AG84" s="196"/>
      <c r="AH84" s="196"/>
      <c r="AI84" s="196"/>
      <c r="AJ84" s="201"/>
      <c r="AK8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4" s="198" t="e">
        <f>(1 - ((1 - VLOOKUP(Table4[[#This Row],[ConfidentialityP]],'Reference - CVSSv3.0'!$B$15:$C$17,2,FALSE)) * (1 - VLOOKUP(Table4[[#This Row],[IntegrityP]],'Reference - CVSSv3.0'!$B$15:$C$17,2,FALSE)) *  (1 - VLOOKUP(Table4[[#This Row],[AvailabilityP]],'Reference - CVSSv3.0'!$B$15:$C$17,2,FALSE))))</f>
        <v>#N/A</v>
      </c>
      <c r="AM84" s="198" t="e">
        <f>IF(Table4[[#This Row],[ScopeP]]="Unchanged",6.42*Table4[[#This Row],[ISC BaseP]],IF(Table4[[#This Row],[ScopeP]]="Changed",7.52*(Table4[[#This Row],[ISC BaseP]] - 0.029) - 3.25 * POWER(Table4[[#This Row],[ISC BaseP]] - 0.02,15),NA()))</f>
        <v>#N/A</v>
      </c>
      <c r="AN8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187"/>
    </row>
    <row r="85" spans="1:43" ht="409.5" x14ac:dyDescent="0.25">
      <c r="A85" s="70">
        <v>81</v>
      </c>
      <c r="B85" s="182" t="s">
        <v>277</v>
      </c>
      <c r="C85" s="195" t="str">
        <f>IF(VLOOKUP(Table4[[#This Row],[T ID]],Table5[#All],5,FALSE)="No","Not in scope",VLOOKUP(Table4[[#This Row],[T ID]],Table5[#All],2,FALSE))</f>
        <v>STR(I)DE</v>
      </c>
      <c r="D85" s="210" t="s">
        <v>259</v>
      </c>
      <c r="E85" s="195" t="str">
        <f>IF(VLOOKUP(Table4[[#This Row],[V ID]],Vulnerabilities[#All],3,FALSE)="No","Not in scope",VLOOKUP(Table4[[#This Row],[V ID]],Vulnerabilities[#All],2,FALSE))</f>
        <v>Unencrypted data in flight in all flowchannels</v>
      </c>
      <c r="F85" s="42" t="s">
        <v>106</v>
      </c>
      <c r="G85" s="195" t="str">
        <f>VLOOKUP(Table4[[#This Row],[A ID]],Assets[#All],3,FALSE)</f>
        <v>Data in Motion</v>
      </c>
      <c r="H85" s="49" t="s">
        <v>305</v>
      </c>
      <c r="I85" s="49"/>
      <c r="J85" s="87" t="s">
        <v>65</v>
      </c>
      <c r="K85" s="87" t="s">
        <v>65</v>
      </c>
      <c r="L85" s="87" t="s">
        <v>56</v>
      </c>
      <c r="M85" s="196" t="s">
        <v>78</v>
      </c>
      <c r="N85" s="157" t="s">
        <v>65</v>
      </c>
      <c r="O85" s="157" t="s">
        <v>56</v>
      </c>
      <c r="P85" s="196" t="s">
        <v>77</v>
      </c>
      <c r="Q85" s="196" t="s">
        <v>74</v>
      </c>
      <c r="R8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5" s="198">
        <f>(1 - ((1 - VLOOKUP(Table4[[#This Row],[Confidentiality]],'Reference - CVSSv3.0'!$B$15:$C$17,2,FALSE)) * (1 - VLOOKUP(Table4[[#This Row],[Integrity]],'Reference - CVSSv3.0'!$B$15:$C$17,2,FALSE)) *  (1 - VLOOKUP(Table4[[#This Row],[Availability]],'Reference - CVSSv3.0'!$B$15:$C$17,2,FALSE))))</f>
        <v>0.84899199999999997</v>
      </c>
      <c r="T85" s="198">
        <f>IF(Table4[[#This Row],[Scope]]="Unchanged",6.42*Table4[[#This Row],[ISC Base]],IF(Table4[[#This Row],[Scope]]="Changed",7.52*(Table4[[#This Row],[ISC Base]] - 0.029) - 3.25 * POWER(Table4[[#This Row],[ISC Base]] - 0.02,15),NA()))</f>
        <v>5.4505286399999999</v>
      </c>
      <c r="U85"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5" s="182" t="s">
        <v>55</v>
      </c>
      <c r="W85" s="198">
        <f>VLOOKUP(Table4[[#This Row],[Threat Event Initiation]],NIST_Scale_LOAI[],2,FALSE)</f>
        <v>0.5</v>
      </c>
      <c r="X8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5" s="225" t="s">
        <v>315</v>
      </c>
      <c r="AA85" s="187"/>
      <c r="AB85" s="206"/>
      <c r="AC85" s="187"/>
      <c r="AD85" s="187"/>
      <c r="AE85" s="187"/>
      <c r="AF85" s="196"/>
      <c r="AG85" s="196"/>
      <c r="AH85" s="196"/>
      <c r="AI85" s="196"/>
      <c r="AJ85" s="201"/>
      <c r="AK8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5" s="198" t="e">
        <f>(1 - ((1 - VLOOKUP(Table4[[#This Row],[ConfidentialityP]],'Reference - CVSSv3.0'!$B$15:$C$17,2,FALSE)) * (1 - VLOOKUP(Table4[[#This Row],[IntegrityP]],'Reference - CVSSv3.0'!$B$15:$C$17,2,FALSE)) *  (1 - VLOOKUP(Table4[[#This Row],[AvailabilityP]],'Reference - CVSSv3.0'!$B$15:$C$17,2,FALSE))))</f>
        <v>#N/A</v>
      </c>
      <c r="AM85" s="198" t="e">
        <f>IF(Table4[[#This Row],[ScopeP]]="Unchanged",6.42*Table4[[#This Row],[ISC BaseP]],IF(Table4[[#This Row],[ScopeP]]="Changed",7.52*(Table4[[#This Row],[ISC BaseP]] - 0.029) - 3.25 * POWER(Table4[[#This Row],[ISC BaseP]] - 0.02,15),NA()))</f>
        <v>#N/A</v>
      </c>
      <c r="AN8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187"/>
    </row>
    <row r="86" spans="1:43" ht="409.5" x14ac:dyDescent="0.25">
      <c r="A86" s="70">
        <v>82</v>
      </c>
      <c r="B86" s="182" t="s">
        <v>277</v>
      </c>
      <c r="C86" s="195" t="str">
        <f>IF(VLOOKUP(Table4[[#This Row],[T ID]],Table5[#All],5,FALSE)="No","Not in scope",VLOOKUP(Table4[[#This Row],[T ID]],Table5[#All],2,FALSE))</f>
        <v>STR(I)DE</v>
      </c>
      <c r="D86" s="210" t="s">
        <v>260</v>
      </c>
      <c r="E86" s="195" t="str">
        <f>IF(VLOOKUP(Table4[[#This Row],[V ID]],Vulnerabilities[#All],3,FALSE)="No","Not in scope",VLOOKUP(Table4[[#This Row],[V ID]],Vulnerabilities[#All],2,FALSE))</f>
        <v>Weak Encryption Implementaion in data at rest and in motion tactical and design wise</v>
      </c>
      <c r="F86" s="42" t="s">
        <v>119</v>
      </c>
      <c r="G86" s="195" t="str">
        <f>VLOOKUP(Table4[[#This Row],[A ID]],Assets[#All],3,FALSE)</f>
        <v>Data at Rest</v>
      </c>
      <c r="H86" s="49" t="s">
        <v>305</v>
      </c>
      <c r="I86" s="49"/>
      <c r="J86" s="87" t="s">
        <v>65</v>
      </c>
      <c r="K86" s="87" t="s">
        <v>65</v>
      </c>
      <c r="L86" s="87" t="s">
        <v>56</v>
      </c>
      <c r="M86" s="196" t="s">
        <v>79</v>
      </c>
      <c r="N86" s="157" t="s">
        <v>65</v>
      </c>
      <c r="O86" s="157" t="s">
        <v>56</v>
      </c>
      <c r="P86" s="196" t="s">
        <v>77</v>
      </c>
      <c r="Q86" s="196" t="s">
        <v>74</v>
      </c>
      <c r="R8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86" s="198">
        <f>(1 - ((1 - VLOOKUP(Table4[[#This Row],[Confidentiality]],'Reference - CVSSv3.0'!$B$15:$C$17,2,FALSE)) * (1 - VLOOKUP(Table4[[#This Row],[Integrity]],'Reference - CVSSv3.0'!$B$15:$C$17,2,FALSE)) *  (1 - VLOOKUP(Table4[[#This Row],[Availability]],'Reference - CVSSv3.0'!$B$15:$C$17,2,FALSE))))</f>
        <v>0.84899199999999997</v>
      </c>
      <c r="T86" s="198">
        <f>IF(Table4[[#This Row],[Scope]]="Unchanged",6.42*Table4[[#This Row],[ISC Base]],IF(Table4[[#This Row],[Scope]]="Changed",7.52*(Table4[[#This Row],[ISC Base]] - 0.029) - 3.25 * POWER(Table4[[#This Row],[ISC Base]] - 0.02,15),NA()))</f>
        <v>5.4505286399999999</v>
      </c>
      <c r="U86"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86" s="182" t="s">
        <v>55</v>
      </c>
      <c r="W86" s="198">
        <f>VLOOKUP(Table4[[#This Row],[Threat Event Initiation]],NIST_Scale_LOAI[],2,FALSE)</f>
        <v>0.5</v>
      </c>
      <c r="X8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6" s="49" t="s">
        <v>333</v>
      </c>
      <c r="AA86" s="187"/>
      <c r="AB86" s="206"/>
      <c r="AC86" s="187"/>
      <c r="AD86" s="187"/>
      <c r="AE86" s="187"/>
      <c r="AF86" s="196"/>
      <c r="AG86" s="196"/>
      <c r="AH86" s="196"/>
      <c r="AI86" s="196"/>
      <c r="AJ86" s="201"/>
      <c r="AK8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6" s="198" t="e">
        <f>(1 - ((1 - VLOOKUP(Table4[[#This Row],[ConfidentialityP]],'Reference - CVSSv3.0'!$B$15:$C$17,2,FALSE)) * (1 - VLOOKUP(Table4[[#This Row],[IntegrityP]],'Reference - CVSSv3.0'!$B$15:$C$17,2,FALSE)) *  (1 - VLOOKUP(Table4[[#This Row],[AvailabilityP]],'Reference - CVSSv3.0'!$B$15:$C$17,2,FALSE))))</f>
        <v>#N/A</v>
      </c>
      <c r="AM86" s="198" t="e">
        <f>IF(Table4[[#This Row],[ScopeP]]="Unchanged",6.42*Table4[[#This Row],[ISC BaseP]],IF(Table4[[#This Row],[ScopeP]]="Changed",7.52*(Table4[[#This Row],[ISC BaseP]] - 0.029) - 3.25 * POWER(Table4[[#This Row],[ISC BaseP]] - 0.02,15),NA()))</f>
        <v>#N/A</v>
      </c>
      <c r="AN8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187"/>
    </row>
    <row r="87" spans="1:43" ht="409.5" x14ac:dyDescent="0.25">
      <c r="A87" s="70">
        <v>83</v>
      </c>
      <c r="B87" s="182" t="s">
        <v>277</v>
      </c>
      <c r="C87" s="195" t="str">
        <f>IF(VLOOKUP(Table4[[#This Row],[T ID]],Table5[#All],5,FALSE)="No","Not in scope",VLOOKUP(Table4[[#This Row],[T ID]],Table5[#All],2,FALSE))</f>
        <v>STR(I)DE</v>
      </c>
      <c r="D87" s="210" t="s">
        <v>260</v>
      </c>
      <c r="E87" s="195" t="str">
        <f>IF(VLOOKUP(Table4[[#This Row],[V ID]],Vulnerabilities[#All],3,FALSE)="No","Not in scope",VLOOKUP(Table4[[#This Row],[V ID]],Vulnerabilities[#All],2,FALSE))</f>
        <v>Weak Encryption Implementaion in data at rest and in motion tactical and design wise</v>
      </c>
      <c r="F87" s="42" t="s">
        <v>106</v>
      </c>
      <c r="G87" s="195" t="str">
        <f>VLOOKUP(Table4[[#This Row],[A ID]],Assets[#All],3,FALSE)</f>
        <v>Data in Motion</v>
      </c>
      <c r="H87" s="49" t="s">
        <v>305</v>
      </c>
      <c r="I87" s="49"/>
      <c r="J87" s="87" t="s">
        <v>65</v>
      </c>
      <c r="K87" s="87" t="s">
        <v>65</v>
      </c>
      <c r="L87" s="87" t="s">
        <v>56</v>
      </c>
      <c r="M87" s="196" t="s">
        <v>78</v>
      </c>
      <c r="N87" s="157" t="s">
        <v>65</v>
      </c>
      <c r="O87" s="157" t="s">
        <v>56</v>
      </c>
      <c r="P87" s="196" t="s">
        <v>77</v>
      </c>
      <c r="Q87" s="196" t="s">
        <v>74</v>
      </c>
      <c r="R8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7" s="198">
        <f>(1 - ((1 - VLOOKUP(Table4[[#This Row],[Confidentiality]],'Reference - CVSSv3.0'!$B$15:$C$17,2,FALSE)) * (1 - VLOOKUP(Table4[[#This Row],[Integrity]],'Reference - CVSSv3.0'!$B$15:$C$17,2,FALSE)) *  (1 - VLOOKUP(Table4[[#This Row],[Availability]],'Reference - CVSSv3.0'!$B$15:$C$17,2,FALSE))))</f>
        <v>0.84899199999999997</v>
      </c>
      <c r="T87" s="198">
        <f>IF(Table4[[#This Row],[Scope]]="Unchanged",6.42*Table4[[#This Row],[ISC Base]],IF(Table4[[#This Row],[Scope]]="Changed",7.52*(Table4[[#This Row],[ISC Base]] - 0.029) - 3.25 * POWER(Table4[[#This Row],[ISC Base]] - 0.02,15),NA()))</f>
        <v>5.4505286399999999</v>
      </c>
      <c r="U87"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7" s="182" t="s">
        <v>55</v>
      </c>
      <c r="W87" s="198">
        <f>VLOOKUP(Table4[[#This Row],[Threat Event Initiation]],NIST_Scale_LOAI[],2,FALSE)</f>
        <v>0.5</v>
      </c>
      <c r="X8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7" s="49" t="s">
        <v>334</v>
      </c>
      <c r="AA87" s="187"/>
      <c r="AB87" s="206"/>
      <c r="AC87" s="187"/>
      <c r="AD87" s="187"/>
      <c r="AE87" s="187"/>
      <c r="AF87" s="196"/>
      <c r="AG87" s="196"/>
      <c r="AH87" s="196"/>
      <c r="AI87" s="196"/>
      <c r="AJ87" s="201"/>
      <c r="AK8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7" s="198" t="e">
        <f>(1 - ((1 - VLOOKUP(Table4[[#This Row],[ConfidentialityP]],'Reference - CVSSv3.0'!$B$15:$C$17,2,FALSE)) * (1 - VLOOKUP(Table4[[#This Row],[IntegrityP]],'Reference - CVSSv3.0'!$B$15:$C$17,2,FALSE)) *  (1 - VLOOKUP(Table4[[#This Row],[AvailabilityP]],'Reference - CVSSv3.0'!$B$15:$C$17,2,FALSE))))</f>
        <v>#N/A</v>
      </c>
      <c r="AM87" s="198" t="e">
        <f>IF(Table4[[#This Row],[ScopeP]]="Unchanged",6.42*Table4[[#This Row],[ISC BaseP]],IF(Table4[[#This Row],[ScopeP]]="Changed",7.52*(Table4[[#This Row],[ISC BaseP]] - 0.029) - 3.25 * POWER(Table4[[#This Row],[ISC BaseP]] - 0.02,15),NA()))</f>
        <v>#N/A</v>
      </c>
      <c r="AN8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187"/>
    </row>
    <row r="88" spans="1:43" ht="409.5" x14ac:dyDescent="0.25">
      <c r="A88" s="70">
        <v>84</v>
      </c>
      <c r="B88" s="182" t="s">
        <v>277</v>
      </c>
      <c r="C88" s="195" t="str">
        <f>IF(VLOOKUP(Table4[[#This Row],[T ID]],Table5[#All],5,FALSE)="No","Not in scope",VLOOKUP(Table4[[#This Row],[T ID]],Table5[#All],2,FALSE))</f>
        <v>STR(I)DE</v>
      </c>
      <c r="D88" s="210" t="s">
        <v>144</v>
      </c>
      <c r="E88" s="195" t="str">
        <f>IF(VLOOKUP(Table4[[#This Row],[V ID]],Vulnerabilities[#All],3,FALSE)="No","Not in scope",VLOOKUP(Table4[[#This Row],[V ID]],Vulnerabilities[#All],2,FALSE))</f>
        <v>Weak Algorthim implementation with respect cipher key size</v>
      </c>
      <c r="F88" s="216" t="s">
        <v>111</v>
      </c>
      <c r="G88" s="195" t="str">
        <f>VLOOKUP(Table4[[#This Row],[A ID]],Assets[#All],3,FALSE)</f>
        <v>Tablet Resources - web cam, microphone, OTG devices, Removable USB, Tablet Application,</v>
      </c>
      <c r="H88" s="49" t="s">
        <v>305</v>
      </c>
      <c r="I88" s="49"/>
      <c r="J88" s="87" t="s">
        <v>65</v>
      </c>
      <c r="K88" s="87" t="s">
        <v>65</v>
      </c>
      <c r="L88" s="87" t="s">
        <v>56</v>
      </c>
      <c r="M88" s="196" t="s">
        <v>78</v>
      </c>
      <c r="N88" s="157" t="s">
        <v>65</v>
      </c>
      <c r="O88" s="157" t="s">
        <v>56</v>
      </c>
      <c r="P88" s="196" t="s">
        <v>77</v>
      </c>
      <c r="Q88" s="196" t="s">
        <v>74</v>
      </c>
      <c r="R8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8" s="198">
        <f>(1 - ((1 - VLOOKUP(Table4[[#This Row],[Confidentiality]],'Reference - CVSSv3.0'!$B$15:$C$17,2,FALSE)) * (1 - VLOOKUP(Table4[[#This Row],[Integrity]],'Reference - CVSSv3.0'!$B$15:$C$17,2,FALSE)) *  (1 - VLOOKUP(Table4[[#This Row],[Availability]],'Reference - CVSSv3.0'!$B$15:$C$17,2,FALSE))))</f>
        <v>0.84899199999999997</v>
      </c>
      <c r="T88" s="198">
        <f>IF(Table4[[#This Row],[Scope]]="Unchanged",6.42*Table4[[#This Row],[ISC Base]],IF(Table4[[#This Row],[Scope]]="Changed",7.52*(Table4[[#This Row],[ISC Base]] - 0.029) - 3.25 * POWER(Table4[[#This Row],[ISC Base]] - 0.02,15),NA()))</f>
        <v>5.4505286399999999</v>
      </c>
      <c r="U88"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8" s="182" t="s">
        <v>55</v>
      </c>
      <c r="W88" s="198">
        <f>VLOOKUP(Table4[[#This Row],[Threat Event Initiation]],NIST_Scale_LOAI[],2,FALSE)</f>
        <v>0.5</v>
      </c>
      <c r="X8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8" s="49" t="s">
        <v>322</v>
      </c>
      <c r="AA88" s="187"/>
      <c r="AB88" s="206"/>
      <c r="AC88" s="187"/>
      <c r="AD88" s="187"/>
      <c r="AE88" s="187"/>
      <c r="AF88" s="196"/>
      <c r="AG88" s="196"/>
      <c r="AH88" s="196"/>
      <c r="AI88" s="196"/>
      <c r="AJ88" s="201"/>
      <c r="AK8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8" s="198" t="e">
        <f>(1 - ((1 - VLOOKUP(Table4[[#This Row],[ConfidentialityP]],'Reference - CVSSv3.0'!$B$15:$C$17,2,FALSE)) * (1 - VLOOKUP(Table4[[#This Row],[IntegrityP]],'Reference - CVSSv3.0'!$B$15:$C$17,2,FALSE)) *  (1 - VLOOKUP(Table4[[#This Row],[AvailabilityP]],'Reference - CVSSv3.0'!$B$15:$C$17,2,FALSE))))</f>
        <v>#N/A</v>
      </c>
      <c r="AM88" s="198" t="e">
        <f>IF(Table4[[#This Row],[ScopeP]]="Unchanged",6.42*Table4[[#This Row],[ISC BaseP]],IF(Table4[[#This Row],[ScopeP]]="Changed",7.52*(Table4[[#This Row],[ISC BaseP]] - 0.029) - 3.25 * POWER(Table4[[#This Row],[ISC BaseP]] - 0.02,15),NA()))</f>
        <v>#N/A</v>
      </c>
      <c r="AN8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187"/>
    </row>
    <row r="89" spans="1:43" ht="409.5" x14ac:dyDescent="0.25">
      <c r="A89" s="70">
        <v>85</v>
      </c>
      <c r="B89" s="182" t="s">
        <v>277</v>
      </c>
      <c r="C89" s="195" t="str">
        <f>IF(VLOOKUP(Table4[[#This Row],[T ID]],Table5[#All],5,FALSE)="No","Not in scope",VLOOKUP(Table4[[#This Row],[T ID]],Table5[#All],2,FALSE))</f>
        <v>STR(I)DE</v>
      </c>
      <c r="D89" s="210" t="s">
        <v>250</v>
      </c>
      <c r="E89" s="195" t="str">
        <f>IF(VLOOKUP(Table4[[#This Row],[V ID]],Vulnerabilities[#All],3,FALSE)="No","Not in scope",VLOOKUP(Table4[[#This Row],[V ID]],Vulnerabilities[#All],2,FALSE))</f>
        <v>Unencrypted Network segment throught the information flow</v>
      </c>
      <c r="F89" s="216" t="s">
        <v>106</v>
      </c>
      <c r="G89" s="195" t="str">
        <f>VLOOKUP(Table4[[#This Row],[A ID]],Assets[#All],3,FALSE)</f>
        <v>Data in Motion</v>
      </c>
      <c r="H89" s="49" t="s">
        <v>305</v>
      </c>
      <c r="I89" s="49"/>
      <c r="J89" s="87" t="s">
        <v>65</v>
      </c>
      <c r="K89" s="87" t="s">
        <v>65</v>
      </c>
      <c r="L89" s="87" t="s">
        <v>56</v>
      </c>
      <c r="M89" s="196" t="s">
        <v>78</v>
      </c>
      <c r="N89" s="157" t="s">
        <v>65</v>
      </c>
      <c r="O89" s="157" t="s">
        <v>56</v>
      </c>
      <c r="P89" s="196" t="s">
        <v>77</v>
      </c>
      <c r="Q89" s="196" t="s">
        <v>74</v>
      </c>
      <c r="R8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9" s="198">
        <f>(1 - ((1 - VLOOKUP(Table4[[#This Row],[Confidentiality]],'Reference - CVSSv3.0'!$B$15:$C$17,2,FALSE)) * (1 - VLOOKUP(Table4[[#This Row],[Integrity]],'Reference - CVSSv3.0'!$B$15:$C$17,2,FALSE)) *  (1 - VLOOKUP(Table4[[#This Row],[Availability]],'Reference - CVSSv3.0'!$B$15:$C$17,2,FALSE))))</f>
        <v>0.84899199999999997</v>
      </c>
      <c r="T89" s="198">
        <f>IF(Table4[[#This Row],[Scope]]="Unchanged",6.42*Table4[[#This Row],[ISC Base]],IF(Table4[[#This Row],[Scope]]="Changed",7.52*(Table4[[#This Row],[ISC Base]] - 0.029) - 3.25 * POWER(Table4[[#This Row],[ISC Base]] - 0.02,15),NA()))</f>
        <v>5.4505286399999999</v>
      </c>
      <c r="U89"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9" s="182" t="s">
        <v>55</v>
      </c>
      <c r="W89" s="198">
        <f>VLOOKUP(Table4[[#This Row],[Threat Event Initiation]],NIST_Scale_LOAI[],2,FALSE)</f>
        <v>0.5</v>
      </c>
      <c r="X8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9" s="49" t="s">
        <v>335</v>
      </c>
      <c r="AA89" s="187"/>
      <c r="AB89" s="206"/>
      <c r="AC89" s="187"/>
      <c r="AD89" s="187"/>
      <c r="AE89" s="187"/>
      <c r="AF89" s="196"/>
      <c r="AG89" s="196"/>
      <c r="AH89" s="196"/>
      <c r="AI89" s="196"/>
      <c r="AJ89" s="201"/>
      <c r="AK8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9" s="198" t="e">
        <f>(1 - ((1 - VLOOKUP(Table4[[#This Row],[ConfidentialityP]],'Reference - CVSSv3.0'!$B$15:$C$17,2,FALSE)) * (1 - VLOOKUP(Table4[[#This Row],[IntegrityP]],'Reference - CVSSv3.0'!$B$15:$C$17,2,FALSE)) *  (1 - VLOOKUP(Table4[[#This Row],[AvailabilityP]],'Reference - CVSSv3.0'!$B$15:$C$17,2,FALSE))))</f>
        <v>#N/A</v>
      </c>
      <c r="AM89" s="198" t="e">
        <f>IF(Table4[[#This Row],[ScopeP]]="Unchanged",6.42*Table4[[#This Row],[ISC BaseP]],IF(Table4[[#This Row],[ScopeP]]="Changed",7.52*(Table4[[#This Row],[ISC BaseP]] - 0.029) - 3.25 * POWER(Table4[[#This Row],[ISC BaseP]] - 0.02,15),NA()))</f>
        <v>#N/A</v>
      </c>
      <c r="AN8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187"/>
    </row>
    <row r="90" spans="1:43" ht="409.5" x14ac:dyDescent="0.25">
      <c r="A90" s="70">
        <v>86</v>
      </c>
      <c r="B90" s="182" t="s">
        <v>277</v>
      </c>
      <c r="C90" s="195" t="str">
        <f>IF(VLOOKUP(Table4[[#This Row],[T ID]],Table5[#All],5,FALSE)="No","Not in scope",VLOOKUP(Table4[[#This Row],[T ID]],Table5[#All],2,FALSE))</f>
        <v>STR(I)DE</v>
      </c>
      <c r="D90" s="210" t="s">
        <v>228</v>
      </c>
      <c r="E90" s="195" t="str">
        <f>IF(VLOOKUP(Table4[[#This Row],[V ID]],Vulnerabilities[#All],3,FALSE)="No","Not in scope",VLOOKUP(Table4[[#This Row],[V ID]],Vulnerabilities[#All],2,FALSE))</f>
        <v>Checking authentication modes for possible hacks and bypasses</v>
      </c>
      <c r="F90" s="216" t="s">
        <v>106</v>
      </c>
      <c r="G90" s="195" t="str">
        <f>VLOOKUP(Table4[[#This Row],[A ID]],Assets[#All],3,FALSE)</f>
        <v>Data in Motion</v>
      </c>
      <c r="H90" s="49" t="s">
        <v>305</v>
      </c>
      <c r="I90" s="49"/>
      <c r="J90" s="87" t="s">
        <v>65</v>
      </c>
      <c r="K90" s="87" t="s">
        <v>65</v>
      </c>
      <c r="L90" s="87" t="s">
        <v>56</v>
      </c>
      <c r="M90" s="196" t="s">
        <v>78</v>
      </c>
      <c r="N90" s="157" t="s">
        <v>65</v>
      </c>
      <c r="O90" s="157" t="s">
        <v>56</v>
      </c>
      <c r="P90" s="196" t="s">
        <v>77</v>
      </c>
      <c r="Q90" s="196" t="s">
        <v>74</v>
      </c>
      <c r="R9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90" s="198">
        <f>(1 - ((1 - VLOOKUP(Table4[[#This Row],[Confidentiality]],'Reference - CVSSv3.0'!$B$15:$C$17,2,FALSE)) * (1 - VLOOKUP(Table4[[#This Row],[Integrity]],'Reference - CVSSv3.0'!$B$15:$C$17,2,FALSE)) *  (1 - VLOOKUP(Table4[[#This Row],[Availability]],'Reference - CVSSv3.0'!$B$15:$C$17,2,FALSE))))</f>
        <v>0.84899199999999997</v>
      </c>
      <c r="T90" s="198">
        <f>IF(Table4[[#This Row],[Scope]]="Unchanged",6.42*Table4[[#This Row],[ISC Base]],IF(Table4[[#This Row],[Scope]]="Changed",7.52*(Table4[[#This Row],[ISC Base]] - 0.029) - 3.25 * POWER(Table4[[#This Row],[ISC Base]] - 0.02,15),NA()))</f>
        <v>5.4505286399999999</v>
      </c>
      <c r="U90"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90" s="182" t="s">
        <v>55</v>
      </c>
      <c r="W90" s="198">
        <f>VLOOKUP(Table4[[#This Row],[Threat Event Initiation]],NIST_Scale_LOAI[],2,FALSE)</f>
        <v>0.5</v>
      </c>
      <c r="X9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9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0" s="49" t="s">
        <v>336</v>
      </c>
      <c r="AA90" s="187"/>
      <c r="AB90" s="206"/>
      <c r="AC90" s="187"/>
      <c r="AD90" s="187"/>
      <c r="AE90" s="187"/>
      <c r="AF90" s="196"/>
      <c r="AG90" s="196"/>
      <c r="AH90" s="196"/>
      <c r="AI90" s="196"/>
      <c r="AJ90" s="201"/>
      <c r="AK9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0" s="198" t="e">
        <f>(1 - ((1 - VLOOKUP(Table4[[#This Row],[ConfidentialityP]],'Reference - CVSSv3.0'!$B$15:$C$17,2,FALSE)) * (1 - VLOOKUP(Table4[[#This Row],[IntegrityP]],'Reference - CVSSv3.0'!$B$15:$C$17,2,FALSE)) *  (1 - VLOOKUP(Table4[[#This Row],[AvailabilityP]],'Reference - CVSSv3.0'!$B$15:$C$17,2,FALSE))))</f>
        <v>#N/A</v>
      </c>
      <c r="AM90" s="198" t="e">
        <f>IF(Table4[[#This Row],[ScopeP]]="Unchanged",6.42*Table4[[#This Row],[ISC BaseP]],IF(Table4[[#This Row],[ScopeP]]="Changed",7.52*(Table4[[#This Row],[ISC BaseP]] - 0.029) - 3.25 * POWER(Table4[[#This Row],[ISC BaseP]] - 0.02,15),NA()))</f>
        <v>#N/A</v>
      </c>
      <c r="AN9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187"/>
    </row>
    <row r="91" spans="1:43" ht="82.5" customHeight="1" x14ac:dyDescent="0.25">
      <c r="A91" s="70">
        <v>87</v>
      </c>
      <c r="B91" s="182" t="s">
        <v>278</v>
      </c>
      <c r="C91" s="195" t="str">
        <f>IF(VLOOKUP(Table4[[#This Row],[T ID]],Table5[#All],5,FALSE)="No","Not in scope",VLOOKUP(Table4[[#This Row],[T ID]],Table5[#All],2,FALSE))</f>
        <v>STR[I]DE</v>
      </c>
      <c r="D91" s="212" t="s">
        <v>248</v>
      </c>
      <c r="E91" s="195" t="str">
        <f>IF(VLOOKUP(Table4[[#This Row],[V ID]],Vulnerabilities[#All],3,FALSE)="No","Not in scope",VLOOKUP(Table4[[#This Row],[V ID]],Vulnerabilities[#All],2,FALSE))</f>
        <v>Assest counting system for all instances of product implementation</v>
      </c>
      <c r="F91" s="216" t="s">
        <v>111</v>
      </c>
      <c r="G91" s="195" t="str">
        <f>VLOOKUP(Table4[[#This Row],[A ID]],Assets[#All],3,FALSE)</f>
        <v>Tablet Resources - web cam, microphone, OTG devices, Removable USB, Tablet Application,</v>
      </c>
      <c r="H91" s="49" t="s">
        <v>298</v>
      </c>
      <c r="I91" s="49"/>
      <c r="J91" s="87" t="s">
        <v>65</v>
      </c>
      <c r="K91" s="87" t="s">
        <v>65</v>
      </c>
      <c r="L91" s="87" t="s">
        <v>56</v>
      </c>
      <c r="M91" s="196" t="s">
        <v>78</v>
      </c>
      <c r="N91" s="157" t="s">
        <v>65</v>
      </c>
      <c r="O91" s="157" t="s">
        <v>65</v>
      </c>
      <c r="P91" s="196" t="s">
        <v>77</v>
      </c>
      <c r="Q91" s="196" t="s">
        <v>74</v>
      </c>
      <c r="R9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1" s="198">
        <f>(1 - ((1 - VLOOKUP(Table4[[#This Row],[Confidentiality]],'Reference - CVSSv3.0'!$B$15:$C$17,2,FALSE)) * (1 - VLOOKUP(Table4[[#This Row],[Integrity]],'Reference - CVSSv3.0'!$B$15:$C$17,2,FALSE)) *  (1 - VLOOKUP(Table4[[#This Row],[Availability]],'Reference - CVSSv3.0'!$B$15:$C$17,2,FALSE))))</f>
        <v>0.84899199999999997</v>
      </c>
      <c r="T91" s="198">
        <f>IF(Table4[[#This Row],[Scope]]="Unchanged",6.42*Table4[[#This Row],[ISC Base]],IF(Table4[[#This Row],[Scope]]="Changed",7.52*(Table4[[#This Row],[ISC Base]] - 0.029) - 3.25 * POWER(Table4[[#This Row],[ISC Base]] - 0.02,15),NA()))</f>
        <v>5.4505286399999999</v>
      </c>
      <c r="U91"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1" s="182" t="s">
        <v>56</v>
      </c>
      <c r="W91" s="198">
        <f>VLOOKUP(Table4[[#This Row],[Threat Event Initiation]],NIST_Scale_LOAI[],2,FALSE)</f>
        <v>0.2</v>
      </c>
      <c r="X9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1" s="49" t="s">
        <v>322</v>
      </c>
      <c r="AA91" s="187"/>
      <c r="AB91" s="206"/>
      <c r="AC91" s="187"/>
      <c r="AD91" s="187"/>
      <c r="AE91" s="187"/>
      <c r="AF91" s="196"/>
      <c r="AG91" s="196"/>
      <c r="AH91" s="196"/>
      <c r="AI91" s="196"/>
      <c r="AJ91" s="201"/>
      <c r="AK9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1" s="198" t="e">
        <f>(1 - ((1 - VLOOKUP(Table4[[#This Row],[ConfidentialityP]],'Reference - CVSSv3.0'!$B$15:$C$17,2,FALSE)) * (1 - VLOOKUP(Table4[[#This Row],[IntegrityP]],'Reference - CVSSv3.0'!$B$15:$C$17,2,FALSE)) *  (1 - VLOOKUP(Table4[[#This Row],[AvailabilityP]],'Reference - CVSSv3.0'!$B$15:$C$17,2,FALSE))))</f>
        <v>#N/A</v>
      </c>
      <c r="AM91" s="198" t="e">
        <f>IF(Table4[[#This Row],[ScopeP]]="Unchanged",6.42*Table4[[#This Row],[ISC BaseP]],IF(Table4[[#This Row],[ScopeP]]="Changed",7.52*(Table4[[#This Row],[ISC BaseP]] - 0.029) - 3.25 * POWER(Table4[[#This Row],[ISC BaseP]] - 0.02,15),NA()))</f>
        <v>#N/A</v>
      </c>
      <c r="AN9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187"/>
    </row>
    <row r="92" spans="1:43" ht="409.5" x14ac:dyDescent="0.25">
      <c r="A92" s="70">
        <v>88</v>
      </c>
      <c r="B92" s="182" t="s">
        <v>278</v>
      </c>
      <c r="C92" s="195" t="str">
        <f>IF(VLOOKUP(Table4[[#This Row],[T ID]],Table5[#All],5,FALSE)="No","Not in scope",VLOOKUP(Table4[[#This Row],[T ID]],Table5[#All],2,FALSE))</f>
        <v>STR[I]DE</v>
      </c>
      <c r="D92" s="212" t="s">
        <v>248</v>
      </c>
      <c r="E92" s="195" t="str">
        <f>IF(VLOOKUP(Table4[[#This Row],[V ID]],Vulnerabilities[#All],3,FALSE)="No","Not in scope",VLOOKUP(Table4[[#This Row],[V ID]],Vulnerabilities[#All],2,FALSE))</f>
        <v>Assest counting system for all instances of product implementation</v>
      </c>
      <c r="F92" s="216" t="s">
        <v>118</v>
      </c>
      <c r="G92" s="195" t="str">
        <f>VLOOKUP(Table4[[#This Row],[A ID]],Assets[#All],3,FALSE)</f>
        <v>Wireless Network device</v>
      </c>
      <c r="H92" s="49" t="s">
        <v>298</v>
      </c>
      <c r="I92" s="49"/>
      <c r="J92" s="87" t="s">
        <v>65</v>
      </c>
      <c r="K92" s="87" t="s">
        <v>65</v>
      </c>
      <c r="L92" s="87" t="s">
        <v>56</v>
      </c>
      <c r="M92" s="196" t="s">
        <v>78</v>
      </c>
      <c r="N92" s="157" t="s">
        <v>65</v>
      </c>
      <c r="O92" s="157" t="s">
        <v>65</v>
      </c>
      <c r="P92" s="196" t="s">
        <v>77</v>
      </c>
      <c r="Q92" s="196" t="s">
        <v>74</v>
      </c>
      <c r="R9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2" s="198">
        <f>(1 - ((1 - VLOOKUP(Table4[[#This Row],[Confidentiality]],'Reference - CVSSv3.0'!$B$15:$C$17,2,FALSE)) * (1 - VLOOKUP(Table4[[#This Row],[Integrity]],'Reference - CVSSv3.0'!$B$15:$C$17,2,FALSE)) *  (1 - VLOOKUP(Table4[[#This Row],[Availability]],'Reference - CVSSv3.0'!$B$15:$C$17,2,FALSE))))</f>
        <v>0.84899199999999997</v>
      </c>
      <c r="T92" s="198">
        <f>IF(Table4[[#This Row],[Scope]]="Unchanged",6.42*Table4[[#This Row],[ISC Base]],IF(Table4[[#This Row],[Scope]]="Changed",7.52*(Table4[[#This Row],[ISC Base]] - 0.029) - 3.25 * POWER(Table4[[#This Row],[ISC Base]] - 0.02,15),NA()))</f>
        <v>5.4505286399999999</v>
      </c>
      <c r="U92"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2" s="182" t="s">
        <v>56</v>
      </c>
      <c r="W92" s="198">
        <f>VLOOKUP(Table4[[#This Row],[Threat Event Initiation]],NIST_Scale_LOAI[],2,FALSE)</f>
        <v>0.2</v>
      </c>
      <c r="X9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2" s="49" t="s">
        <v>316</v>
      </c>
      <c r="AA92" s="187"/>
      <c r="AB92" s="206"/>
      <c r="AC92" s="187"/>
      <c r="AD92" s="187"/>
      <c r="AE92" s="187"/>
      <c r="AF92" s="196"/>
      <c r="AG92" s="196"/>
      <c r="AH92" s="196"/>
      <c r="AI92" s="196"/>
      <c r="AJ92" s="201"/>
      <c r="AK9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2" s="198" t="e">
        <f>(1 - ((1 - VLOOKUP(Table4[[#This Row],[ConfidentialityP]],'Reference - CVSSv3.0'!$B$15:$C$17,2,FALSE)) * (1 - VLOOKUP(Table4[[#This Row],[IntegrityP]],'Reference - CVSSv3.0'!$B$15:$C$17,2,FALSE)) *  (1 - VLOOKUP(Table4[[#This Row],[AvailabilityP]],'Reference - CVSSv3.0'!$B$15:$C$17,2,FALSE))))</f>
        <v>#N/A</v>
      </c>
      <c r="AM92" s="198" t="e">
        <f>IF(Table4[[#This Row],[ScopeP]]="Unchanged",6.42*Table4[[#This Row],[ISC BaseP]],IF(Table4[[#This Row],[ScopeP]]="Changed",7.52*(Table4[[#This Row],[ISC BaseP]] - 0.029) - 3.25 * POWER(Table4[[#This Row],[ISC BaseP]] - 0.02,15),NA()))</f>
        <v>#N/A</v>
      </c>
      <c r="AN9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187"/>
    </row>
    <row r="93" spans="1:43" ht="409.5" x14ac:dyDescent="0.25">
      <c r="A93" s="70">
        <v>89</v>
      </c>
      <c r="B93" s="182" t="s">
        <v>278</v>
      </c>
      <c r="C93" s="195" t="str">
        <f>IF(VLOOKUP(Table4[[#This Row],[T ID]],Table5[#All],5,FALSE)="No","Not in scope",VLOOKUP(Table4[[#This Row],[T ID]],Table5[#All],2,FALSE))</f>
        <v>STR[I]DE</v>
      </c>
      <c r="D93" s="212" t="s">
        <v>248</v>
      </c>
      <c r="E93" s="195" t="str">
        <f>IF(VLOOKUP(Table4[[#This Row],[V ID]],Vulnerabilities[#All],3,FALSE)="No","Not in scope",VLOOKUP(Table4[[#This Row],[V ID]],Vulnerabilities[#All],2,FALSE))</f>
        <v>Assest counting system for all instances of product implementation</v>
      </c>
      <c r="F93" s="216" t="s">
        <v>112</v>
      </c>
      <c r="G93" s="195" t="str">
        <f>VLOOKUP(Table4[[#This Row],[A ID]],Assets[#All],3,FALSE)</f>
        <v>Tablet OS/network details &amp; Tablet Application</v>
      </c>
      <c r="H93" s="49" t="s">
        <v>298</v>
      </c>
      <c r="I93" s="49"/>
      <c r="J93" s="87" t="s">
        <v>65</v>
      </c>
      <c r="K93" s="87" t="s">
        <v>65</v>
      </c>
      <c r="L93" s="87" t="s">
        <v>56</v>
      </c>
      <c r="M93" s="196" t="s">
        <v>78</v>
      </c>
      <c r="N93" s="157" t="s">
        <v>65</v>
      </c>
      <c r="O93" s="157" t="s">
        <v>65</v>
      </c>
      <c r="P93" s="196" t="s">
        <v>77</v>
      </c>
      <c r="Q93" s="196" t="s">
        <v>74</v>
      </c>
      <c r="R9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3" s="198">
        <f>(1 - ((1 - VLOOKUP(Table4[[#This Row],[Confidentiality]],'Reference - CVSSv3.0'!$B$15:$C$17,2,FALSE)) * (1 - VLOOKUP(Table4[[#This Row],[Integrity]],'Reference - CVSSv3.0'!$B$15:$C$17,2,FALSE)) *  (1 - VLOOKUP(Table4[[#This Row],[Availability]],'Reference - CVSSv3.0'!$B$15:$C$17,2,FALSE))))</f>
        <v>0.84899199999999997</v>
      </c>
      <c r="T93" s="198">
        <f>IF(Table4[[#This Row],[Scope]]="Unchanged",6.42*Table4[[#This Row],[ISC Base]],IF(Table4[[#This Row],[Scope]]="Changed",7.52*(Table4[[#This Row],[ISC Base]] - 0.029) - 3.25 * POWER(Table4[[#This Row],[ISC Base]] - 0.02,15),NA()))</f>
        <v>5.4505286399999999</v>
      </c>
      <c r="U93"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3" s="182" t="s">
        <v>56</v>
      </c>
      <c r="W93" s="198">
        <f>VLOOKUP(Table4[[#This Row],[Threat Event Initiation]],NIST_Scale_LOAI[],2,FALSE)</f>
        <v>0.2</v>
      </c>
      <c r="X9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49" t="s">
        <v>322</v>
      </c>
      <c r="AA93" s="187"/>
      <c r="AB93" s="206"/>
      <c r="AC93" s="187"/>
      <c r="AD93" s="187"/>
      <c r="AE93" s="187"/>
      <c r="AF93" s="196"/>
      <c r="AG93" s="196"/>
      <c r="AH93" s="196"/>
      <c r="AI93" s="196"/>
      <c r="AJ93" s="201"/>
      <c r="AK9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3" s="198" t="e">
        <f>(1 - ((1 - VLOOKUP(Table4[[#This Row],[ConfidentialityP]],'Reference - CVSSv3.0'!$B$15:$C$17,2,FALSE)) * (1 - VLOOKUP(Table4[[#This Row],[IntegrityP]],'Reference - CVSSv3.0'!$B$15:$C$17,2,FALSE)) *  (1 - VLOOKUP(Table4[[#This Row],[AvailabilityP]],'Reference - CVSSv3.0'!$B$15:$C$17,2,FALSE))))</f>
        <v>#N/A</v>
      </c>
      <c r="AM93" s="198" t="e">
        <f>IF(Table4[[#This Row],[ScopeP]]="Unchanged",6.42*Table4[[#This Row],[ISC BaseP]],IF(Table4[[#This Row],[ScopeP]]="Changed",7.52*(Table4[[#This Row],[ISC BaseP]] - 0.029) - 3.25 * POWER(Table4[[#This Row],[ISC BaseP]] - 0.02,15),NA()))</f>
        <v>#N/A</v>
      </c>
      <c r="AN9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187"/>
    </row>
    <row r="94" spans="1:43" ht="409.5" x14ac:dyDescent="0.25">
      <c r="A94" s="70">
        <v>90</v>
      </c>
      <c r="B94" s="182" t="s">
        <v>278</v>
      </c>
      <c r="C94" s="195" t="str">
        <f>IF(VLOOKUP(Table4[[#This Row],[T ID]],Table5[#All],5,FALSE)="No","Not in scope",VLOOKUP(Table4[[#This Row],[T ID]],Table5[#All],2,FALSE))</f>
        <v>STR[I]DE</v>
      </c>
      <c r="D94" s="212" t="s">
        <v>120</v>
      </c>
      <c r="E94" s="195" t="str">
        <f>IF(VLOOKUP(Table4[[#This Row],[V ID]],Vulnerabilities[#All],3,FALSE)="No","Not in scope",VLOOKUP(Table4[[#This Row],[V ID]],Vulnerabilities[#All],2,FALSE))</f>
        <v>Devices with default passwords needs to be checked for bruteforce attacks</v>
      </c>
      <c r="F94" s="42" t="s">
        <v>119</v>
      </c>
      <c r="G94" s="195" t="str">
        <f>VLOOKUP(Table4[[#This Row],[A ID]],Assets[#All],3,FALSE)</f>
        <v>Data at Rest</v>
      </c>
      <c r="H94" s="49" t="s">
        <v>298</v>
      </c>
      <c r="I94" s="49"/>
      <c r="J94" s="87" t="s">
        <v>65</v>
      </c>
      <c r="K94" s="87" t="s">
        <v>65</v>
      </c>
      <c r="L94" s="87" t="s">
        <v>56</v>
      </c>
      <c r="M94" s="196" t="s">
        <v>78</v>
      </c>
      <c r="N94" s="157" t="s">
        <v>65</v>
      </c>
      <c r="O94" s="157" t="s">
        <v>65</v>
      </c>
      <c r="P94" s="196" t="s">
        <v>77</v>
      </c>
      <c r="Q94" s="196" t="s">
        <v>74</v>
      </c>
      <c r="R9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4" s="198">
        <f>(1 - ((1 - VLOOKUP(Table4[[#This Row],[Confidentiality]],'Reference - CVSSv3.0'!$B$15:$C$17,2,FALSE)) * (1 - VLOOKUP(Table4[[#This Row],[Integrity]],'Reference - CVSSv3.0'!$B$15:$C$17,2,FALSE)) *  (1 - VLOOKUP(Table4[[#This Row],[Availability]],'Reference - CVSSv3.0'!$B$15:$C$17,2,FALSE))))</f>
        <v>0.84899199999999997</v>
      </c>
      <c r="T94" s="198">
        <f>IF(Table4[[#This Row],[Scope]]="Unchanged",6.42*Table4[[#This Row],[ISC Base]],IF(Table4[[#This Row],[Scope]]="Changed",7.52*(Table4[[#This Row],[ISC Base]] - 0.029) - 3.25 * POWER(Table4[[#This Row],[ISC Base]] - 0.02,15),NA()))</f>
        <v>5.4505286399999999</v>
      </c>
      <c r="U94"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4" s="182" t="s">
        <v>56</v>
      </c>
      <c r="W94" s="198">
        <f>VLOOKUP(Table4[[#This Row],[Threat Event Initiation]],NIST_Scale_LOAI[],2,FALSE)</f>
        <v>0.2</v>
      </c>
      <c r="X9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225" t="s">
        <v>337</v>
      </c>
      <c r="AA94" s="187"/>
      <c r="AB94" s="206"/>
      <c r="AC94" s="187"/>
      <c r="AD94" s="187"/>
      <c r="AE94" s="187"/>
      <c r="AF94" s="196"/>
      <c r="AG94" s="196"/>
      <c r="AH94" s="196"/>
      <c r="AI94" s="196"/>
      <c r="AJ94" s="201"/>
      <c r="AK9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4" s="198" t="e">
        <f>(1 - ((1 - VLOOKUP(Table4[[#This Row],[ConfidentialityP]],'Reference - CVSSv3.0'!$B$15:$C$17,2,FALSE)) * (1 - VLOOKUP(Table4[[#This Row],[IntegrityP]],'Reference - CVSSv3.0'!$B$15:$C$17,2,FALSE)) *  (1 - VLOOKUP(Table4[[#This Row],[AvailabilityP]],'Reference - CVSSv3.0'!$B$15:$C$17,2,FALSE))))</f>
        <v>#N/A</v>
      </c>
      <c r="AM94" s="198" t="e">
        <f>IF(Table4[[#This Row],[ScopeP]]="Unchanged",6.42*Table4[[#This Row],[ISC BaseP]],IF(Table4[[#This Row],[ScopeP]]="Changed",7.52*(Table4[[#This Row],[ISC BaseP]] - 0.029) - 3.25 * POWER(Table4[[#This Row],[ISC BaseP]] - 0.02,15),NA()))</f>
        <v>#N/A</v>
      </c>
      <c r="AN9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187"/>
    </row>
    <row r="95" spans="1:43" ht="409.5" x14ac:dyDescent="0.25">
      <c r="A95" s="70">
        <v>91</v>
      </c>
      <c r="B95" s="182" t="s">
        <v>278</v>
      </c>
      <c r="C95" s="195" t="str">
        <f>IF(VLOOKUP(Table4[[#This Row],[T ID]],Table5[#All],5,FALSE)="No","Not in scope",VLOOKUP(Table4[[#This Row],[T ID]],Table5[#All],2,FALSE))</f>
        <v>STR[I]DE</v>
      </c>
      <c r="D95" s="212" t="s">
        <v>120</v>
      </c>
      <c r="E95" s="195" t="str">
        <f>IF(VLOOKUP(Table4[[#This Row],[V ID]],Vulnerabilities[#All],3,FALSE)="No","Not in scope",VLOOKUP(Table4[[#This Row],[V ID]],Vulnerabilities[#All],2,FALSE))</f>
        <v>Devices with default passwords needs to be checked for bruteforce attacks</v>
      </c>
      <c r="F95" s="213" t="s">
        <v>114</v>
      </c>
      <c r="G95" s="195" t="str">
        <f>VLOOKUP(Table4[[#This Row],[A ID]],Assets[#All],3,FALSE)</f>
        <v xml:space="preserve">Authenication/Authorisation data </v>
      </c>
      <c r="H95" s="49" t="s">
        <v>349</v>
      </c>
      <c r="I95" s="49"/>
      <c r="J95" s="87" t="s">
        <v>65</v>
      </c>
      <c r="K95" s="87" t="s">
        <v>65</v>
      </c>
      <c r="L95" s="87" t="s">
        <v>56</v>
      </c>
      <c r="M95" s="196" t="s">
        <v>78</v>
      </c>
      <c r="N95" s="157" t="s">
        <v>65</v>
      </c>
      <c r="O95" s="157" t="s">
        <v>65</v>
      </c>
      <c r="P95" s="196" t="s">
        <v>77</v>
      </c>
      <c r="Q95" s="196" t="s">
        <v>74</v>
      </c>
      <c r="R9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5" s="198">
        <f>(1 - ((1 - VLOOKUP(Table4[[#This Row],[Confidentiality]],'Reference - CVSSv3.0'!$B$15:$C$17,2,FALSE)) * (1 - VLOOKUP(Table4[[#This Row],[Integrity]],'Reference - CVSSv3.0'!$B$15:$C$17,2,FALSE)) *  (1 - VLOOKUP(Table4[[#This Row],[Availability]],'Reference - CVSSv3.0'!$B$15:$C$17,2,FALSE))))</f>
        <v>0.84899199999999997</v>
      </c>
      <c r="T95" s="198">
        <f>IF(Table4[[#This Row],[Scope]]="Unchanged",6.42*Table4[[#This Row],[ISC Base]],IF(Table4[[#This Row],[Scope]]="Changed",7.52*(Table4[[#This Row],[ISC Base]] - 0.029) - 3.25 * POWER(Table4[[#This Row],[ISC Base]] - 0.02,15),NA()))</f>
        <v>5.4505286399999999</v>
      </c>
      <c r="U95"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5" s="182" t="s">
        <v>65</v>
      </c>
      <c r="W95" s="198">
        <f>VLOOKUP(Table4[[#This Row],[Threat Event Initiation]],NIST_Scale_LOAI[],2,FALSE)</f>
        <v>0.8</v>
      </c>
      <c r="X9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9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5" s="225" t="s">
        <v>337</v>
      </c>
      <c r="AA95" s="187"/>
      <c r="AB95" s="206"/>
      <c r="AC95" s="187"/>
      <c r="AD95" s="187"/>
      <c r="AE95" s="187"/>
      <c r="AF95" s="196"/>
      <c r="AG95" s="196"/>
      <c r="AH95" s="196"/>
      <c r="AI95" s="196"/>
      <c r="AJ95" s="201"/>
      <c r="AK9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5" s="198" t="e">
        <f>(1 - ((1 - VLOOKUP(Table4[[#This Row],[ConfidentialityP]],'Reference - CVSSv3.0'!$B$15:$C$17,2,FALSE)) * (1 - VLOOKUP(Table4[[#This Row],[IntegrityP]],'Reference - CVSSv3.0'!$B$15:$C$17,2,FALSE)) *  (1 - VLOOKUP(Table4[[#This Row],[AvailabilityP]],'Reference - CVSSv3.0'!$B$15:$C$17,2,FALSE))))</f>
        <v>#N/A</v>
      </c>
      <c r="AM95" s="198" t="e">
        <f>IF(Table4[[#This Row],[ScopeP]]="Unchanged",6.42*Table4[[#This Row],[ISC BaseP]],IF(Table4[[#This Row],[ScopeP]]="Changed",7.52*(Table4[[#This Row],[ISC BaseP]] - 0.029) - 3.25 * POWER(Table4[[#This Row],[ISC BaseP]] - 0.02,15),NA()))</f>
        <v>#N/A</v>
      </c>
      <c r="AN9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187"/>
    </row>
    <row r="96" spans="1:43" ht="409.5" x14ac:dyDescent="0.25">
      <c r="A96" s="70">
        <v>92</v>
      </c>
      <c r="B96" s="182" t="s">
        <v>278</v>
      </c>
      <c r="C96" s="195" t="str">
        <f>IF(VLOOKUP(Table4[[#This Row],[T ID]],Table5[#All],5,FALSE)="No","Not in scope",VLOOKUP(Table4[[#This Row],[T ID]],Table5[#All],2,FALSE))</f>
        <v>STR[I]DE</v>
      </c>
      <c r="D96" s="212" t="s">
        <v>120</v>
      </c>
      <c r="E96" s="195" t="str">
        <f>IF(VLOOKUP(Table4[[#This Row],[V ID]],Vulnerabilities[#All],3,FALSE)="No","Not in scope",VLOOKUP(Table4[[#This Row],[V ID]],Vulnerabilities[#All],2,FALSE))</f>
        <v>Devices with default passwords needs to be checked for bruteforce attacks</v>
      </c>
      <c r="F96" s="42" t="s">
        <v>106</v>
      </c>
      <c r="G96" s="195" t="str">
        <f>VLOOKUP(Table4[[#This Row],[A ID]],Assets[#All],3,FALSE)</f>
        <v>Data in Motion</v>
      </c>
      <c r="H96" s="49" t="s">
        <v>349</v>
      </c>
      <c r="I96" s="49"/>
      <c r="J96" s="87" t="s">
        <v>65</v>
      </c>
      <c r="K96" s="87" t="s">
        <v>65</v>
      </c>
      <c r="L96" s="87" t="s">
        <v>56</v>
      </c>
      <c r="M96" s="196" t="s">
        <v>78</v>
      </c>
      <c r="N96" s="157" t="s">
        <v>65</v>
      </c>
      <c r="O96" s="157" t="s">
        <v>65</v>
      </c>
      <c r="P96" s="196" t="s">
        <v>77</v>
      </c>
      <c r="Q96" s="196" t="s">
        <v>74</v>
      </c>
      <c r="R9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6" s="198">
        <f>(1 - ((1 - VLOOKUP(Table4[[#This Row],[Confidentiality]],'Reference - CVSSv3.0'!$B$15:$C$17,2,FALSE)) * (1 - VLOOKUP(Table4[[#This Row],[Integrity]],'Reference - CVSSv3.0'!$B$15:$C$17,2,FALSE)) *  (1 - VLOOKUP(Table4[[#This Row],[Availability]],'Reference - CVSSv3.0'!$B$15:$C$17,2,FALSE))))</f>
        <v>0.84899199999999997</v>
      </c>
      <c r="T96" s="198">
        <f>IF(Table4[[#This Row],[Scope]]="Unchanged",6.42*Table4[[#This Row],[ISC Base]],IF(Table4[[#This Row],[Scope]]="Changed",7.52*(Table4[[#This Row],[ISC Base]] - 0.029) - 3.25 * POWER(Table4[[#This Row],[ISC Base]] - 0.02,15),NA()))</f>
        <v>5.4505286399999999</v>
      </c>
      <c r="U96"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6" s="182" t="s">
        <v>56</v>
      </c>
      <c r="W96" s="198">
        <f>VLOOKUP(Table4[[#This Row],[Threat Event Initiation]],NIST_Scale_LOAI[],2,FALSE)</f>
        <v>0.2</v>
      </c>
      <c r="X9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6" s="225" t="s">
        <v>337</v>
      </c>
      <c r="AA96" s="187"/>
      <c r="AB96" s="206"/>
      <c r="AC96" s="187"/>
      <c r="AD96" s="187"/>
      <c r="AE96" s="187"/>
      <c r="AF96" s="196"/>
      <c r="AG96" s="196"/>
      <c r="AH96" s="196"/>
      <c r="AI96" s="196"/>
      <c r="AJ96" s="201"/>
      <c r="AK9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6" s="198" t="e">
        <f>(1 - ((1 - VLOOKUP(Table4[[#This Row],[ConfidentialityP]],'Reference - CVSSv3.0'!$B$15:$C$17,2,FALSE)) * (1 - VLOOKUP(Table4[[#This Row],[IntegrityP]],'Reference - CVSSv3.0'!$B$15:$C$17,2,FALSE)) *  (1 - VLOOKUP(Table4[[#This Row],[AvailabilityP]],'Reference - CVSSv3.0'!$B$15:$C$17,2,FALSE))))</f>
        <v>#N/A</v>
      </c>
      <c r="AM96" s="198" t="e">
        <f>IF(Table4[[#This Row],[ScopeP]]="Unchanged",6.42*Table4[[#This Row],[ISC BaseP]],IF(Table4[[#This Row],[ScopeP]]="Changed",7.52*(Table4[[#This Row],[ISC BaseP]] - 0.029) - 3.25 * POWER(Table4[[#This Row],[ISC BaseP]] - 0.02,15),NA()))</f>
        <v>#N/A</v>
      </c>
      <c r="AN9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187"/>
    </row>
    <row r="97" spans="1:43" ht="66" customHeight="1" x14ac:dyDescent="0.25">
      <c r="A97" s="70">
        <v>93</v>
      </c>
      <c r="B97" s="182" t="s">
        <v>278</v>
      </c>
      <c r="C97" s="195" t="str">
        <f>IF(VLOOKUP(Table4[[#This Row],[T ID]],Table5[#All],5,FALSE)="No","Not in scope",VLOOKUP(Table4[[#This Row],[T ID]],Table5[#All],2,FALSE))</f>
        <v>STR[I]DE</v>
      </c>
      <c r="D97" s="212" t="s">
        <v>226</v>
      </c>
      <c r="E97" s="195" t="str">
        <f>IF(VLOOKUP(Table4[[#This Row],[V ID]],Vulnerabilities[#All],3,FALSE)="No","Not in scope",VLOOKUP(Table4[[#This Row],[V ID]],Vulnerabilities[#All],2,FALSE))</f>
        <v>Error Info containing sensitive data for Failed Authentication attempts</v>
      </c>
      <c r="F97" s="42" t="s">
        <v>119</v>
      </c>
      <c r="G97" s="195" t="str">
        <f>VLOOKUP(Table4[[#This Row],[A ID]],Assets[#All],3,FALSE)</f>
        <v>Data at Rest</v>
      </c>
      <c r="H97" s="49" t="s">
        <v>349</v>
      </c>
      <c r="I97" s="49"/>
      <c r="J97" s="87" t="s">
        <v>65</v>
      </c>
      <c r="K97" s="87" t="s">
        <v>65</v>
      </c>
      <c r="L97" s="87" t="s">
        <v>56</v>
      </c>
      <c r="M97" s="196" t="s">
        <v>78</v>
      </c>
      <c r="N97" s="157" t="s">
        <v>65</v>
      </c>
      <c r="O97" s="157" t="s">
        <v>65</v>
      </c>
      <c r="P97" s="196" t="s">
        <v>77</v>
      </c>
      <c r="Q97" s="196" t="s">
        <v>74</v>
      </c>
      <c r="R9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7" s="198">
        <f>(1 - ((1 - VLOOKUP(Table4[[#This Row],[Confidentiality]],'Reference - CVSSv3.0'!$B$15:$C$17,2,FALSE)) * (1 - VLOOKUP(Table4[[#This Row],[Integrity]],'Reference - CVSSv3.0'!$B$15:$C$17,2,FALSE)) *  (1 - VLOOKUP(Table4[[#This Row],[Availability]],'Reference - CVSSv3.0'!$B$15:$C$17,2,FALSE))))</f>
        <v>0.84899199999999997</v>
      </c>
      <c r="T97" s="198">
        <f>IF(Table4[[#This Row],[Scope]]="Unchanged",6.42*Table4[[#This Row],[ISC Base]],IF(Table4[[#This Row],[Scope]]="Changed",7.52*(Table4[[#This Row],[ISC Base]] - 0.029) - 3.25 * POWER(Table4[[#This Row],[ISC Base]] - 0.02,15),NA()))</f>
        <v>5.4505286399999999</v>
      </c>
      <c r="U97"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7" s="182" t="s">
        <v>56</v>
      </c>
      <c r="W97" s="198">
        <f>VLOOKUP(Table4[[#This Row],[Threat Event Initiation]],NIST_Scale_LOAI[],2,FALSE)</f>
        <v>0.2</v>
      </c>
      <c r="X9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49" t="s">
        <v>338</v>
      </c>
      <c r="AA97" s="187"/>
      <c r="AB97" s="206"/>
      <c r="AC97" s="187"/>
      <c r="AD97" s="187"/>
      <c r="AE97" s="187"/>
      <c r="AF97" s="196"/>
      <c r="AG97" s="196"/>
      <c r="AH97" s="196"/>
      <c r="AI97" s="196"/>
      <c r="AJ97" s="201"/>
      <c r="AK9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7" s="198" t="e">
        <f>(1 - ((1 - VLOOKUP(Table4[[#This Row],[ConfidentialityP]],'Reference - CVSSv3.0'!$B$15:$C$17,2,FALSE)) * (1 - VLOOKUP(Table4[[#This Row],[IntegrityP]],'Reference - CVSSv3.0'!$B$15:$C$17,2,FALSE)) *  (1 - VLOOKUP(Table4[[#This Row],[AvailabilityP]],'Reference - CVSSv3.0'!$B$15:$C$17,2,FALSE))))</f>
        <v>#N/A</v>
      </c>
      <c r="AM97" s="198" t="e">
        <f>IF(Table4[[#This Row],[ScopeP]]="Unchanged",6.42*Table4[[#This Row],[ISC BaseP]],IF(Table4[[#This Row],[ScopeP]]="Changed",7.52*(Table4[[#This Row],[ISC BaseP]] - 0.029) - 3.25 * POWER(Table4[[#This Row],[ISC BaseP]] - 0.02,15),NA()))</f>
        <v>#N/A</v>
      </c>
      <c r="AN9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187"/>
    </row>
    <row r="98" spans="1:43" ht="80.25" customHeight="1" x14ac:dyDescent="0.25">
      <c r="A98" s="70">
        <v>94</v>
      </c>
      <c r="B98" s="182" t="s">
        <v>278</v>
      </c>
      <c r="C98" s="195" t="str">
        <f>IF(VLOOKUP(Table4[[#This Row],[T ID]],Table5[#All],5,FALSE)="No","Not in scope",VLOOKUP(Table4[[#This Row],[T ID]],Table5[#All],2,FALSE))</f>
        <v>STR[I]DE</v>
      </c>
      <c r="D98" s="212" t="s">
        <v>226</v>
      </c>
      <c r="E98" s="195" t="str">
        <f>IF(VLOOKUP(Table4[[#This Row],[V ID]],Vulnerabilities[#All],3,FALSE)="No","Not in scope",VLOOKUP(Table4[[#This Row],[V ID]],Vulnerabilities[#All],2,FALSE))</f>
        <v>Error Info containing sensitive data for Failed Authentication attempts</v>
      </c>
      <c r="F98" s="216" t="s">
        <v>108</v>
      </c>
      <c r="G98" s="195" t="str">
        <f>VLOOKUP(Table4[[#This Row],[A ID]],Assets[#All],3,FALSE)</f>
        <v>Smart medic app (Azure Portal Administrator)</v>
      </c>
      <c r="H98" s="49" t="s">
        <v>349</v>
      </c>
      <c r="I98" s="49"/>
      <c r="J98" s="87" t="s">
        <v>65</v>
      </c>
      <c r="K98" s="87" t="s">
        <v>65</v>
      </c>
      <c r="L98" s="87" t="s">
        <v>56</v>
      </c>
      <c r="M98" s="196" t="s">
        <v>78</v>
      </c>
      <c r="N98" s="157" t="s">
        <v>65</v>
      </c>
      <c r="O98" s="157" t="s">
        <v>65</v>
      </c>
      <c r="P98" s="196" t="s">
        <v>77</v>
      </c>
      <c r="Q98" s="196" t="s">
        <v>74</v>
      </c>
      <c r="R9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8" s="198">
        <f>(1 - ((1 - VLOOKUP(Table4[[#This Row],[Confidentiality]],'Reference - CVSSv3.0'!$B$15:$C$17,2,FALSE)) * (1 - VLOOKUP(Table4[[#This Row],[Integrity]],'Reference - CVSSv3.0'!$B$15:$C$17,2,FALSE)) *  (1 - VLOOKUP(Table4[[#This Row],[Availability]],'Reference - CVSSv3.0'!$B$15:$C$17,2,FALSE))))</f>
        <v>0.84899199999999997</v>
      </c>
      <c r="T98" s="198">
        <f>IF(Table4[[#This Row],[Scope]]="Unchanged",6.42*Table4[[#This Row],[ISC Base]],IF(Table4[[#This Row],[Scope]]="Changed",7.52*(Table4[[#This Row],[ISC Base]] - 0.029) - 3.25 * POWER(Table4[[#This Row],[ISC Base]] - 0.02,15),NA()))</f>
        <v>5.4505286399999999</v>
      </c>
      <c r="U98"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8" s="182" t="s">
        <v>56</v>
      </c>
      <c r="W98" s="198">
        <f>VLOOKUP(Table4[[#This Row],[Threat Event Initiation]],NIST_Scale_LOAI[],2,FALSE)</f>
        <v>0.2</v>
      </c>
      <c r="X9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49" t="s">
        <v>338</v>
      </c>
      <c r="AA98" s="187"/>
      <c r="AB98" s="206"/>
      <c r="AC98" s="187"/>
      <c r="AD98" s="187"/>
      <c r="AE98" s="187"/>
      <c r="AF98" s="196"/>
      <c r="AG98" s="196"/>
      <c r="AH98" s="196"/>
      <c r="AI98" s="196"/>
      <c r="AJ98" s="201"/>
      <c r="AK9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8" s="198" t="e">
        <f>(1 - ((1 - VLOOKUP(Table4[[#This Row],[ConfidentialityP]],'Reference - CVSSv3.0'!$B$15:$C$17,2,FALSE)) * (1 - VLOOKUP(Table4[[#This Row],[IntegrityP]],'Reference - CVSSv3.0'!$B$15:$C$17,2,FALSE)) *  (1 - VLOOKUP(Table4[[#This Row],[AvailabilityP]],'Reference - CVSSv3.0'!$B$15:$C$17,2,FALSE))))</f>
        <v>#N/A</v>
      </c>
      <c r="AM98" s="198" t="e">
        <f>IF(Table4[[#This Row],[ScopeP]]="Unchanged",6.42*Table4[[#This Row],[ISC BaseP]],IF(Table4[[#This Row],[ScopeP]]="Changed",7.52*(Table4[[#This Row],[ISC BaseP]] - 0.029) - 3.25 * POWER(Table4[[#This Row],[ISC BaseP]] - 0.02,15),NA()))</f>
        <v>#N/A</v>
      </c>
      <c r="AN9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187"/>
    </row>
    <row r="99" spans="1:43" ht="409.5" x14ac:dyDescent="0.25">
      <c r="A99" s="70">
        <v>95</v>
      </c>
      <c r="B99" s="182" t="s">
        <v>278</v>
      </c>
      <c r="C99" s="195" t="str">
        <f>IF(VLOOKUP(Table4[[#This Row],[T ID]],Table5[#All],5,FALSE)="No","Not in scope",VLOOKUP(Table4[[#This Row],[T ID]],Table5[#All],2,FALSE))</f>
        <v>STR[I]DE</v>
      </c>
      <c r="D99" s="212" t="s">
        <v>251</v>
      </c>
      <c r="E99" s="195" t="str">
        <f>IF(VLOOKUP(Table4[[#This Row],[V ID]],Vulnerabilities[#All],3,FALSE)="No","Not in scope",VLOOKUP(Table4[[#This Row],[V ID]],Vulnerabilities[#All],2,FALSE))</f>
        <v>External communications and exposure for communciation channels from and to application and devices like tablet and smartmedic device.</v>
      </c>
      <c r="F99" s="216" t="s">
        <v>108</v>
      </c>
      <c r="G99" s="195" t="str">
        <f>VLOOKUP(Table4[[#This Row],[A ID]],Assets[#All],3,FALSE)</f>
        <v>Smart medic app (Azure Portal Administrator)</v>
      </c>
      <c r="H99" s="49" t="s">
        <v>349</v>
      </c>
      <c r="I99" s="49"/>
      <c r="J99" s="87" t="s">
        <v>65</v>
      </c>
      <c r="K99" s="87" t="s">
        <v>65</v>
      </c>
      <c r="L99" s="87" t="s">
        <v>56</v>
      </c>
      <c r="M99" s="196" t="s">
        <v>78</v>
      </c>
      <c r="N99" s="157" t="s">
        <v>65</v>
      </c>
      <c r="O99" s="157" t="s">
        <v>65</v>
      </c>
      <c r="P99" s="196" t="s">
        <v>77</v>
      </c>
      <c r="Q99" s="196" t="s">
        <v>74</v>
      </c>
      <c r="R9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9" s="198">
        <f>(1 - ((1 - VLOOKUP(Table4[[#This Row],[Confidentiality]],'Reference - CVSSv3.0'!$B$15:$C$17,2,FALSE)) * (1 - VLOOKUP(Table4[[#This Row],[Integrity]],'Reference - CVSSv3.0'!$B$15:$C$17,2,FALSE)) *  (1 - VLOOKUP(Table4[[#This Row],[Availability]],'Reference - CVSSv3.0'!$B$15:$C$17,2,FALSE))))</f>
        <v>0.84899199999999997</v>
      </c>
      <c r="T99" s="198">
        <f>IF(Table4[[#This Row],[Scope]]="Unchanged",6.42*Table4[[#This Row],[ISC Base]],IF(Table4[[#This Row],[Scope]]="Changed",7.52*(Table4[[#This Row],[ISC Base]] - 0.029) - 3.25 * POWER(Table4[[#This Row],[ISC Base]] - 0.02,15),NA()))</f>
        <v>5.4505286399999999</v>
      </c>
      <c r="U99"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9" s="182" t="s">
        <v>56</v>
      </c>
      <c r="W99" s="198">
        <f>VLOOKUP(Table4[[#This Row],[Threat Event Initiation]],NIST_Scale_LOAI[],2,FALSE)</f>
        <v>0.2</v>
      </c>
      <c r="X9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49" t="s">
        <v>345</v>
      </c>
      <c r="AA99" s="187"/>
      <c r="AB99" s="206"/>
      <c r="AC99" s="187"/>
      <c r="AD99" s="187"/>
      <c r="AE99" s="187"/>
      <c r="AF99" s="196"/>
      <c r="AG99" s="196"/>
      <c r="AH99" s="196"/>
      <c r="AI99" s="196"/>
      <c r="AJ99" s="201"/>
      <c r="AK9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9" s="198" t="e">
        <f>(1 - ((1 - VLOOKUP(Table4[[#This Row],[ConfidentialityP]],'Reference - CVSSv3.0'!$B$15:$C$17,2,FALSE)) * (1 - VLOOKUP(Table4[[#This Row],[IntegrityP]],'Reference - CVSSv3.0'!$B$15:$C$17,2,FALSE)) *  (1 - VLOOKUP(Table4[[#This Row],[AvailabilityP]],'Reference - CVSSv3.0'!$B$15:$C$17,2,FALSE))))</f>
        <v>#N/A</v>
      </c>
      <c r="AM99" s="198" t="e">
        <f>IF(Table4[[#This Row],[ScopeP]]="Unchanged",6.42*Table4[[#This Row],[ISC BaseP]],IF(Table4[[#This Row],[ScopeP]]="Changed",7.52*(Table4[[#This Row],[ISC BaseP]] - 0.029) - 3.25 * POWER(Table4[[#This Row],[ISC BaseP]] - 0.02,15),NA()))</f>
        <v>#N/A</v>
      </c>
      <c r="AN9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187"/>
    </row>
    <row r="100" spans="1:43" ht="74.25" customHeight="1" x14ac:dyDescent="0.25">
      <c r="A100" s="70">
        <v>96</v>
      </c>
      <c r="B100" s="182" t="s">
        <v>278</v>
      </c>
      <c r="C100" s="195" t="str">
        <f>IF(VLOOKUP(Table4[[#This Row],[T ID]],Table5[#All],5,FALSE)="No","Not in scope",VLOOKUP(Table4[[#This Row],[T ID]],Table5[#All],2,FALSE))</f>
        <v>STR[I]DE</v>
      </c>
      <c r="D100" s="212" t="s">
        <v>249</v>
      </c>
      <c r="E100" s="195" t="str">
        <f>IF(VLOOKUP(Table4[[#This Row],[V ID]],Vulnerabilities[#All],3,FALSE)="No","Not in scope",VLOOKUP(Table4[[#This Row],[V ID]],Vulnerabilities[#All],2,FALSE))</f>
        <v>Unprotected external USB Port on the tablet/devices.</v>
      </c>
      <c r="F100" s="216" t="s">
        <v>111</v>
      </c>
      <c r="G100" s="195" t="str">
        <f>VLOOKUP(Table4[[#This Row],[A ID]],Assets[#All],3,FALSE)</f>
        <v>Tablet Resources - web cam, microphone, OTG devices, Removable USB, Tablet Application,</v>
      </c>
      <c r="H100" s="49" t="s">
        <v>349</v>
      </c>
      <c r="I100" s="49"/>
      <c r="J100" s="87" t="s">
        <v>65</v>
      </c>
      <c r="K100" s="87" t="s">
        <v>65</v>
      </c>
      <c r="L100" s="87" t="s">
        <v>56</v>
      </c>
      <c r="M100" s="196" t="s">
        <v>75</v>
      </c>
      <c r="N100" s="157" t="s">
        <v>65</v>
      </c>
      <c r="O100" s="157" t="s">
        <v>65</v>
      </c>
      <c r="P100" s="196" t="s">
        <v>77</v>
      </c>
      <c r="Q100" s="196" t="s">
        <v>74</v>
      </c>
      <c r="R10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0.16601112000000004</v>
      </c>
      <c r="S100" s="198">
        <f>(1 - ((1 - VLOOKUP(Table4[[#This Row],[Confidentiality]],'Reference - CVSSv3.0'!$B$15:$C$17,2,FALSE)) * (1 - VLOOKUP(Table4[[#This Row],[Integrity]],'Reference - CVSSv3.0'!$B$15:$C$17,2,FALSE)) *  (1 - VLOOKUP(Table4[[#This Row],[Availability]],'Reference - CVSSv3.0'!$B$15:$C$17,2,FALSE))))</f>
        <v>0.84899199999999997</v>
      </c>
      <c r="T100" s="198">
        <f>IF(Table4[[#This Row],[Scope]]="Unchanged",6.42*Table4[[#This Row],[ISC Base]],IF(Table4[[#This Row],[Scope]]="Changed",7.52*(Table4[[#This Row],[ISC Base]] - 0.029) - 3.25 * POWER(Table4[[#This Row],[ISC Base]] - 0.02,15),NA()))</f>
        <v>5.4505286399999999</v>
      </c>
      <c r="U100" s="198">
        <f>IF(Table4[[#This Row],[Impact Sub Score]]&lt;=0,0,IF(Table4[[#This Row],[Scope]]="Unchanged",ROUNDUP(MIN((Table4[[#This Row],[Impact Sub Score]]+Table4[[#This Row],[Exploitability Sub Score]]),10),1),IF(Table4[[#This Row],[Scope]]="Changed",ROUNDUP(MIN((1.08*(Table4[[#This Row],[Impact Sub Score]]+Table4[[#This Row],[Exploitability Sub Score]])),10),1),NA())))</f>
        <v>5.6999999999999993</v>
      </c>
      <c r="V100" s="182" t="s">
        <v>65</v>
      </c>
      <c r="W100" s="198">
        <f>VLOOKUP(Table4[[#This Row],[Threat Event Initiation]],NIST_Scale_LOAI[],2,FALSE)</f>
        <v>0.8</v>
      </c>
      <c r="X10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49" t="s">
        <v>322</v>
      </c>
      <c r="AA100" s="187"/>
      <c r="AB100" s="206"/>
      <c r="AC100" s="187"/>
      <c r="AD100" s="187"/>
      <c r="AE100" s="187"/>
      <c r="AF100" s="196"/>
      <c r="AG100" s="196"/>
      <c r="AH100" s="196"/>
      <c r="AI100" s="196"/>
      <c r="AJ100" s="201"/>
      <c r="AK10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0" s="198" t="e">
        <f>(1 - ((1 - VLOOKUP(Table4[[#This Row],[ConfidentialityP]],'Reference - CVSSv3.0'!$B$15:$C$17,2,FALSE)) * (1 - VLOOKUP(Table4[[#This Row],[IntegrityP]],'Reference - CVSSv3.0'!$B$15:$C$17,2,FALSE)) *  (1 - VLOOKUP(Table4[[#This Row],[AvailabilityP]],'Reference - CVSSv3.0'!$B$15:$C$17,2,FALSE))))</f>
        <v>#N/A</v>
      </c>
      <c r="AM100" s="198" t="e">
        <f>IF(Table4[[#This Row],[ScopeP]]="Unchanged",6.42*Table4[[#This Row],[ISC BaseP]],IF(Table4[[#This Row],[ScopeP]]="Changed",7.52*(Table4[[#This Row],[ISC BaseP]] - 0.029) - 3.25 * POWER(Table4[[#This Row],[ISC BaseP]] - 0.02,15),NA()))</f>
        <v>#N/A</v>
      </c>
      <c r="AN10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187"/>
    </row>
    <row r="101" spans="1:43" ht="69" customHeight="1" x14ac:dyDescent="0.25">
      <c r="A101" s="70">
        <v>97</v>
      </c>
      <c r="B101" s="182" t="s">
        <v>279</v>
      </c>
      <c r="C101" s="195" t="str">
        <f>IF(VLOOKUP(Table4[[#This Row],[T ID]],Table5[#All],5,FALSE)="No","Not in scope",VLOOKUP(Table4[[#This Row],[T ID]],Table5[#All],2,FALSE))</f>
        <v>TTP</v>
      </c>
      <c r="D101" s="210" t="s">
        <v>248</v>
      </c>
      <c r="E101" s="195" t="str">
        <f>IF(VLOOKUP(Table4[[#This Row],[V ID]],Vulnerabilities[#All],3,FALSE)="No","Not in scope",VLOOKUP(Table4[[#This Row],[V ID]],Vulnerabilities[#All],2,FALSE))</f>
        <v>Assest counting system for all instances of product implementation</v>
      </c>
      <c r="F101" s="216" t="s">
        <v>112</v>
      </c>
      <c r="G101" s="195" t="str">
        <f>VLOOKUP(Table4[[#This Row],[A ID]],Assets[#All],3,FALSE)</f>
        <v>Tablet OS/network details &amp; Tablet Application</v>
      </c>
      <c r="H101" s="49" t="s">
        <v>350</v>
      </c>
      <c r="I101" s="49"/>
      <c r="J101" s="87" t="s">
        <v>65</v>
      </c>
      <c r="K101" s="87" t="s">
        <v>65</v>
      </c>
      <c r="L101" s="87" t="s">
        <v>56</v>
      </c>
      <c r="M101" s="196" t="s">
        <v>78</v>
      </c>
      <c r="N101" s="157" t="s">
        <v>65</v>
      </c>
      <c r="O101" s="157" t="s">
        <v>56</v>
      </c>
      <c r="P101" s="196" t="s">
        <v>77</v>
      </c>
      <c r="Q101" s="196" t="s">
        <v>74</v>
      </c>
      <c r="R10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1" s="198">
        <f>(1 - ((1 - VLOOKUP(Table4[[#This Row],[Confidentiality]],'Reference - CVSSv3.0'!$B$15:$C$17,2,FALSE)) * (1 - VLOOKUP(Table4[[#This Row],[Integrity]],'Reference - CVSSv3.0'!$B$15:$C$17,2,FALSE)) *  (1 - VLOOKUP(Table4[[#This Row],[Availability]],'Reference - CVSSv3.0'!$B$15:$C$17,2,FALSE))))</f>
        <v>0.84899199999999997</v>
      </c>
      <c r="T101" s="198">
        <f>IF(Table4[[#This Row],[Scope]]="Unchanged",6.42*Table4[[#This Row],[ISC Base]],IF(Table4[[#This Row],[Scope]]="Changed",7.52*(Table4[[#This Row],[ISC Base]] - 0.029) - 3.25 * POWER(Table4[[#This Row],[ISC Base]] - 0.02,15),NA()))</f>
        <v>5.4505286399999999</v>
      </c>
      <c r="U101"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1" s="182" t="s">
        <v>55</v>
      </c>
      <c r="W101" s="198">
        <f>VLOOKUP(Table4[[#This Row],[Threat Event Initiation]],NIST_Scale_LOAI[],2,FALSE)</f>
        <v>0.5</v>
      </c>
      <c r="X10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49" t="s">
        <v>322</v>
      </c>
      <c r="AA101" s="187"/>
      <c r="AB101" s="206"/>
      <c r="AC101" s="187"/>
      <c r="AD101" s="187"/>
      <c r="AE101" s="187"/>
      <c r="AF101" s="196"/>
      <c r="AG101" s="196"/>
      <c r="AH101" s="196"/>
      <c r="AI101" s="196"/>
      <c r="AJ101" s="201"/>
      <c r="AK10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1" s="198" t="e">
        <f>(1 - ((1 - VLOOKUP(Table4[[#This Row],[ConfidentialityP]],'Reference - CVSSv3.0'!$B$15:$C$17,2,FALSE)) * (1 - VLOOKUP(Table4[[#This Row],[IntegrityP]],'Reference - CVSSv3.0'!$B$15:$C$17,2,FALSE)) *  (1 - VLOOKUP(Table4[[#This Row],[AvailabilityP]],'Reference - CVSSv3.0'!$B$15:$C$17,2,FALSE))))</f>
        <v>#N/A</v>
      </c>
      <c r="AM101" s="198" t="e">
        <f>IF(Table4[[#This Row],[ScopeP]]="Unchanged",6.42*Table4[[#This Row],[ISC BaseP]],IF(Table4[[#This Row],[ScopeP]]="Changed",7.52*(Table4[[#This Row],[ISC BaseP]] - 0.029) - 3.25 * POWER(Table4[[#This Row],[ISC BaseP]] - 0.02,15),NA()))</f>
        <v>#N/A</v>
      </c>
      <c r="AN10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187"/>
    </row>
    <row r="102" spans="1:43" ht="90" customHeight="1" x14ac:dyDescent="0.25">
      <c r="A102" s="70">
        <v>98</v>
      </c>
      <c r="B102" s="182" t="s">
        <v>279</v>
      </c>
      <c r="C102" s="195" t="str">
        <f>IF(VLOOKUP(Table4[[#This Row],[T ID]],Table5[#All],5,FALSE)="No","Not in scope",VLOOKUP(Table4[[#This Row],[T ID]],Table5[#All],2,FALSE))</f>
        <v>TTP</v>
      </c>
      <c r="D102" s="210" t="s">
        <v>248</v>
      </c>
      <c r="E102" s="195" t="str">
        <f>IF(VLOOKUP(Table4[[#This Row],[V ID]],Vulnerabilities[#All],3,FALSE)="No","Not in scope",VLOOKUP(Table4[[#This Row],[V ID]],Vulnerabilities[#All],2,FALSE))</f>
        <v>Assest counting system for all instances of product implementation</v>
      </c>
      <c r="F102" s="216" t="s">
        <v>118</v>
      </c>
      <c r="G102" s="195" t="str">
        <f>VLOOKUP(Table4[[#This Row],[A ID]],Assets[#All],3,FALSE)</f>
        <v>Wireless Network device</v>
      </c>
      <c r="H102" s="49" t="s">
        <v>350</v>
      </c>
      <c r="I102" s="49"/>
      <c r="J102" s="87" t="s">
        <v>65</v>
      </c>
      <c r="K102" s="87" t="s">
        <v>65</v>
      </c>
      <c r="L102" s="87" t="s">
        <v>56</v>
      </c>
      <c r="M102" s="196" t="s">
        <v>78</v>
      </c>
      <c r="N102" s="157" t="s">
        <v>65</v>
      </c>
      <c r="O102" s="157" t="s">
        <v>56</v>
      </c>
      <c r="P102" s="196" t="s">
        <v>77</v>
      </c>
      <c r="Q102" s="196" t="s">
        <v>74</v>
      </c>
      <c r="R10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2" s="198">
        <f>(1 - ((1 - VLOOKUP(Table4[[#This Row],[Confidentiality]],'Reference - CVSSv3.0'!$B$15:$C$17,2,FALSE)) * (1 - VLOOKUP(Table4[[#This Row],[Integrity]],'Reference - CVSSv3.0'!$B$15:$C$17,2,FALSE)) *  (1 - VLOOKUP(Table4[[#This Row],[Availability]],'Reference - CVSSv3.0'!$B$15:$C$17,2,FALSE))))</f>
        <v>0.84899199999999997</v>
      </c>
      <c r="T102" s="198">
        <f>IF(Table4[[#This Row],[Scope]]="Unchanged",6.42*Table4[[#This Row],[ISC Base]],IF(Table4[[#This Row],[Scope]]="Changed",7.52*(Table4[[#This Row],[ISC Base]] - 0.029) - 3.25 * POWER(Table4[[#This Row],[ISC Base]] - 0.02,15),NA()))</f>
        <v>5.4505286399999999</v>
      </c>
      <c r="U102"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2" s="182" t="s">
        <v>55</v>
      </c>
      <c r="W102" s="198">
        <f>VLOOKUP(Table4[[#This Row],[Threat Event Initiation]],NIST_Scale_LOAI[],2,FALSE)</f>
        <v>0.5</v>
      </c>
      <c r="X10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25" t="s">
        <v>325</v>
      </c>
      <c r="AA102" s="187"/>
      <c r="AB102" s="206"/>
      <c r="AC102" s="187"/>
      <c r="AD102" s="187"/>
      <c r="AE102" s="187"/>
      <c r="AF102" s="196"/>
      <c r="AG102" s="196"/>
      <c r="AH102" s="196"/>
      <c r="AI102" s="196"/>
      <c r="AJ102" s="201"/>
      <c r="AK10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2" s="198" t="e">
        <f>(1 - ((1 - VLOOKUP(Table4[[#This Row],[ConfidentialityP]],'Reference - CVSSv3.0'!$B$15:$C$17,2,FALSE)) * (1 - VLOOKUP(Table4[[#This Row],[IntegrityP]],'Reference - CVSSv3.0'!$B$15:$C$17,2,FALSE)) *  (1 - VLOOKUP(Table4[[#This Row],[AvailabilityP]],'Reference - CVSSv3.0'!$B$15:$C$17,2,FALSE))))</f>
        <v>#N/A</v>
      </c>
      <c r="AM102" s="198" t="e">
        <f>IF(Table4[[#This Row],[ScopeP]]="Unchanged",6.42*Table4[[#This Row],[ISC BaseP]],IF(Table4[[#This Row],[ScopeP]]="Changed",7.52*(Table4[[#This Row],[ISC BaseP]] - 0.029) - 3.25 * POWER(Table4[[#This Row],[ISC BaseP]] - 0.02,15),NA()))</f>
        <v>#N/A</v>
      </c>
      <c r="AN10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187"/>
    </row>
    <row r="103" spans="1:43" ht="66" customHeight="1" x14ac:dyDescent="0.25">
      <c r="A103" s="70">
        <v>99</v>
      </c>
      <c r="B103" s="182" t="s">
        <v>279</v>
      </c>
      <c r="C103" s="195" t="str">
        <f>IF(VLOOKUP(Table4[[#This Row],[T ID]],Table5[#All],5,FALSE)="No","Not in scope",VLOOKUP(Table4[[#This Row],[T ID]],Table5[#All],2,FALSE))</f>
        <v>TTP</v>
      </c>
      <c r="D103" s="210" t="s">
        <v>250</v>
      </c>
      <c r="E103" s="195" t="str">
        <f>IF(VLOOKUP(Table4[[#This Row],[V ID]],Vulnerabilities[#All],3,FALSE)="No","Not in scope",VLOOKUP(Table4[[#This Row],[V ID]],Vulnerabilities[#All],2,FALSE))</f>
        <v>Unencrypted Network segment throught the information flow</v>
      </c>
      <c r="F103" s="216" t="s">
        <v>112</v>
      </c>
      <c r="G103" s="195" t="str">
        <f>VLOOKUP(Table4[[#This Row],[A ID]],Assets[#All],3,FALSE)</f>
        <v>Tablet OS/network details &amp; Tablet Application</v>
      </c>
      <c r="H103" s="49" t="s">
        <v>350</v>
      </c>
      <c r="I103" s="49"/>
      <c r="J103" s="87" t="s">
        <v>65</v>
      </c>
      <c r="K103" s="87" t="s">
        <v>65</v>
      </c>
      <c r="L103" s="87" t="s">
        <v>56</v>
      </c>
      <c r="M103" s="196" t="s">
        <v>78</v>
      </c>
      <c r="N103" s="157" t="s">
        <v>65</v>
      </c>
      <c r="O103" s="157" t="s">
        <v>56</v>
      </c>
      <c r="P103" s="196" t="s">
        <v>77</v>
      </c>
      <c r="Q103" s="196" t="s">
        <v>74</v>
      </c>
      <c r="R10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3" s="198">
        <f>(1 - ((1 - VLOOKUP(Table4[[#This Row],[Confidentiality]],'Reference - CVSSv3.0'!$B$15:$C$17,2,FALSE)) * (1 - VLOOKUP(Table4[[#This Row],[Integrity]],'Reference - CVSSv3.0'!$B$15:$C$17,2,FALSE)) *  (1 - VLOOKUP(Table4[[#This Row],[Availability]],'Reference - CVSSv3.0'!$B$15:$C$17,2,FALSE))))</f>
        <v>0.84899199999999997</v>
      </c>
      <c r="T103" s="198">
        <f>IF(Table4[[#This Row],[Scope]]="Unchanged",6.42*Table4[[#This Row],[ISC Base]],IF(Table4[[#This Row],[Scope]]="Changed",7.52*(Table4[[#This Row],[ISC Base]] - 0.029) - 3.25 * POWER(Table4[[#This Row],[ISC Base]] - 0.02,15),NA()))</f>
        <v>5.4505286399999999</v>
      </c>
      <c r="U103"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3" s="182" t="s">
        <v>55</v>
      </c>
      <c r="W103" s="198">
        <f>VLOOKUP(Table4[[#This Row],[Threat Event Initiation]],NIST_Scale_LOAI[],2,FALSE)</f>
        <v>0.5</v>
      </c>
      <c r="X10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3" s="49" t="s">
        <v>322</v>
      </c>
      <c r="AA103" s="187"/>
      <c r="AB103" s="206"/>
      <c r="AC103" s="187"/>
      <c r="AD103" s="187"/>
      <c r="AE103" s="187"/>
      <c r="AF103" s="196"/>
      <c r="AG103" s="196"/>
      <c r="AH103" s="196"/>
      <c r="AI103" s="196"/>
      <c r="AJ103" s="201"/>
      <c r="AK10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3" s="198" t="e">
        <f>(1 - ((1 - VLOOKUP(Table4[[#This Row],[ConfidentialityP]],'Reference - CVSSv3.0'!$B$15:$C$17,2,FALSE)) * (1 - VLOOKUP(Table4[[#This Row],[IntegrityP]],'Reference - CVSSv3.0'!$B$15:$C$17,2,FALSE)) *  (1 - VLOOKUP(Table4[[#This Row],[AvailabilityP]],'Reference - CVSSv3.0'!$B$15:$C$17,2,FALSE))))</f>
        <v>#N/A</v>
      </c>
      <c r="AM103" s="198" t="e">
        <f>IF(Table4[[#This Row],[ScopeP]]="Unchanged",6.42*Table4[[#This Row],[ISC BaseP]],IF(Table4[[#This Row],[ScopeP]]="Changed",7.52*(Table4[[#This Row],[ISC BaseP]] - 0.029) - 3.25 * POWER(Table4[[#This Row],[ISC BaseP]] - 0.02,15),NA()))</f>
        <v>#N/A</v>
      </c>
      <c r="AN10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187"/>
    </row>
    <row r="104" spans="1:43" ht="102" customHeight="1" x14ac:dyDescent="0.25">
      <c r="A104" s="70">
        <v>100</v>
      </c>
      <c r="B104" s="182" t="s">
        <v>279</v>
      </c>
      <c r="C104" s="195" t="str">
        <f>IF(VLOOKUP(Table4[[#This Row],[T ID]],Table5[#All],5,FALSE)="No","Not in scope",VLOOKUP(Table4[[#This Row],[T ID]],Table5[#All],2,FALSE))</f>
        <v>TTP</v>
      </c>
      <c r="D104" s="210" t="s">
        <v>250</v>
      </c>
      <c r="E104" s="195" t="str">
        <f>IF(VLOOKUP(Table4[[#This Row],[V ID]],Vulnerabilities[#All],3,FALSE)="No","Not in scope",VLOOKUP(Table4[[#This Row],[V ID]],Vulnerabilities[#All],2,FALSE))</f>
        <v>Unencrypted Network segment throught the information flow</v>
      </c>
      <c r="F104" s="216" t="s">
        <v>118</v>
      </c>
      <c r="G104" s="195" t="str">
        <f>VLOOKUP(Table4[[#This Row],[A ID]],Assets[#All],3,FALSE)</f>
        <v>Wireless Network device</v>
      </c>
      <c r="H104" s="49" t="s">
        <v>350</v>
      </c>
      <c r="I104" s="49"/>
      <c r="J104" s="87" t="s">
        <v>65</v>
      </c>
      <c r="K104" s="87" t="s">
        <v>65</v>
      </c>
      <c r="L104" s="87" t="s">
        <v>56</v>
      </c>
      <c r="M104" s="196" t="s">
        <v>78</v>
      </c>
      <c r="N104" s="157" t="s">
        <v>65</v>
      </c>
      <c r="O104" s="157" t="s">
        <v>56</v>
      </c>
      <c r="P104" s="196" t="s">
        <v>77</v>
      </c>
      <c r="Q104" s="196" t="s">
        <v>74</v>
      </c>
      <c r="R10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4" s="198">
        <f>(1 - ((1 - VLOOKUP(Table4[[#This Row],[Confidentiality]],'Reference - CVSSv3.0'!$B$15:$C$17,2,FALSE)) * (1 - VLOOKUP(Table4[[#This Row],[Integrity]],'Reference - CVSSv3.0'!$B$15:$C$17,2,FALSE)) *  (1 - VLOOKUP(Table4[[#This Row],[Availability]],'Reference - CVSSv3.0'!$B$15:$C$17,2,FALSE))))</f>
        <v>0.84899199999999997</v>
      </c>
      <c r="T104" s="198">
        <f>IF(Table4[[#This Row],[Scope]]="Unchanged",6.42*Table4[[#This Row],[ISC Base]],IF(Table4[[#This Row],[Scope]]="Changed",7.52*(Table4[[#This Row],[ISC Base]] - 0.029) - 3.25 * POWER(Table4[[#This Row],[ISC Base]] - 0.02,15),NA()))</f>
        <v>5.4505286399999999</v>
      </c>
      <c r="U104"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4" s="182" t="s">
        <v>55</v>
      </c>
      <c r="W104" s="198">
        <f>VLOOKUP(Table4[[#This Row],[Threat Event Initiation]],NIST_Scale_LOAI[],2,FALSE)</f>
        <v>0.5</v>
      </c>
      <c r="X10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4" s="225" t="s">
        <v>326</v>
      </c>
      <c r="AA104" s="187"/>
      <c r="AB104" s="206"/>
      <c r="AC104" s="187"/>
      <c r="AD104" s="187"/>
      <c r="AE104" s="187"/>
      <c r="AF104" s="196"/>
      <c r="AG104" s="196"/>
      <c r="AH104" s="196"/>
      <c r="AI104" s="196"/>
      <c r="AJ104" s="201"/>
      <c r="AK10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4" s="198" t="e">
        <f>(1 - ((1 - VLOOKUP(Table4[[#This Row],[ConfidentialityP]],'Reference - CVSSv3.0'!$B$15:$C$17,2,FALSE)) * (1 - VLOOKUP(Table4[[#This Row],[IntegrityP]],'Reference - CVSSv3.0'!$B$15:$C$17,2,FALSE)) *  (1 - VLOOKUP(Table4[[#This Row],[AvailabilityP]],'Reference - CVSSv3.0'!$B$15:$C$17,2,FALSE))))</f>
        <v>#N/A</v>
      </c>
      <c r="AM104" s="198" t="e">
        <f>IF(Table4[[#This Row],[ScopeP]]="Unchanged",6.42*Table4[[#This Row],[ISC BaseP]],IF(Table4[[#This Row],[ScopeP]]="Changed",7.52*(Table4[[#This Row],[ISC BaseP]] - 0.029) - 3.25 * POWER(Table4[[#This Row],[ISC BaseP]] - 0.02,15),NA()))</f>
        <v>#N/A</v>
      </c>
      <c r="AN10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187"/>
    </row>
    <row r="105" spans="1:43" ht="409.5" x14ac:dyDescent="0.25">
      <c r="A105" s="70">
        <v>101</v>
      </c>
      <c r="B105" s="182" t="s">
        <v>279</v>
      </c>
      <c r="C105" s="195" t="str">
        <f>IF(VLOOKUP(Table4[[#This Row],[T ID]],Table5[#All],5,FALSE)="No","Not in scope",VLOOKUP(Table4[[#This Row],[T ID]],Table5[#All],2,FALSE))</f>
        <v>TTP</v>
      </c>
      <c r="D105" s="210" t="s">
        <v>251</v>
      </c>
      <c r="E105" s="195" t="str">
        <f>IF(VLOOKUP(Table4[[#This Row],[V ID]],Vulnerabilities[#All],3,FALSE)="No","Not in scope",VLOOKUP(Table4[[#This Row],[V ID]],Vulnerabilities[#All],2,FALSE))</f>
        <v>External communications and exposure for communciation channels from and to application and devices like tablet and smartmedic device.</v>
      </c>
      <c r="F105" s="216" t="s">
        <v>108</v>
      </c>
      <c r="G105" s="195" t="str">
        <f>VLOOKUP(Table4[[#This Row],[A ID]],Assets[#All],3,FALSE)</f>
        <v>Smart medic app (Azure Portal Administrator)</v>
      </c>
      <c r="H105" s="49" t="s">
        <v>350</v>
      </c>
      <c r="I105" s="49"/>
      <c r="J105" s="87" t="s">
        <v>65</v>
      </c>
      <c r="K105" s="87" t="s">
        <v>65</v>
      </c>
      <c r="L105" s="87" t="s">
        <v>56</v>
      </c>
      <c r="M105" s="196" t="s">
        <v>78</v>
      </c>
      <c r="N105" s="157" t="s">
        <v>65</v>
      </c>
      <c r="O105" s="157" t="s">
        <v>56</v>
      </c>
      <c r="P105" s="196" t="s">
        <v>77</v>
      </c>
      <c r="Q105" s="196" t="s">
        <v>74</v>
      </c>
      <c r="R10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5" s="198">
        <f>(1 - ((1 - VLOOKUP(Table4[[#This Row],[Confidentiality]],'Reference - CVSSv3.0'!$B$15:$C$17,2,FALSE)) * (1 - VLOOKUP(Table4[[#This Row],[Integrity]],'Reference - CVSSv3.0'!$B$15:$C$17,2,FALSE)) *  (1 - VLOOKUP(Table4[[#This Row],[Availability]],'Reference - CVSSv3.0'!$B$15:$C$17,2,FALSE))))</f>
        <v>0.84899199999999997</v>
      </c>
      <c r="T105" s="198">
        <f>IF(Table4[[#This Row],[Scope]]="Unchanged",6.42*Table4[[#This Row],[ISC Base]],IF(Table4[[#This Row],[Scope]]="Changed",7.52*(Table4[[#This Row],[ISC Base]] - 0.029) - 3.25 * POWER(Table4[[#This Row],[ISC Base]] - 0.02,15),NA()))</f>
        <v>5.4505286399999999</v>
      </c>
      <c r="U105"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5" s="182" t="s">
        <v>55</v>
      </c>
      <c r="W105" s="198">
        <f>VLOOKUP(Table4[[#This Row],[Threat Event Initiation]],NIST_Scale_LOAI[],2,FALSE)</f>
        <v>0.5</v>
      </c>
      <c r="X10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5" s="49" t="s">
        <v>345</v>
      </c>
      <c r="AA105" s="187"/>
      <c r="AB105" s="206"/>
      <c r="AC105" s="187"/>
      <c r="AD105" s="187"/>
      <c r="AE105" s="187"/>
      <c r="AF105" s="196"/>
      <c r="AG105" s="196"/>
      <c r="AH105" s="196"/>
      <c r="AI105" s="196"/>
      <c r="AJ105" s="201"/>
      <c r="AK10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5" s="198" t="e">
        <f>(1 - ((1 - VLOOKUP(Table4[[#This Row],[ConfidentialityP]],'Reference - CVSSv3.0'!$B$15:$C$17,2,FALSE)) * (1 - VLOOKUP(Table4[[#This Row],[IntegrityP]],'Reference - CVSSv3.0'!$B$15:$C$17,2,FALSE)) *  (1 - VLOOKUP(Table4[[#This Row],[AvailabilityP]],'Reference - CVSSv3.0'!$B$15:$C$17,2,FALSE))))</f>
        <v>#N/A</v>
      </c>
      <c r="AM105" s="198" t="e">
        <f>IF(Table4[[#This Row],[ScopeP]]="Unchanged",6.42*Table4[[#This Row],[ISC BaseP]],IF(Table4[[#This Row],[ScopeP]]="Changed",7.52*(Table4[[#This Row],[ISC BaseP]] - 0.029) - 3.25 * POWER(Table4[[#This Row],[ISC BaseP]] - 0.02,15),NA()))</f>
        <v>#N/A</v>
      </c>
      <c r="AN10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5" s="187"/>
    </row>
    <row r="106" spans="1:43" ht="127.5" customHeight="1" x14ac:dyDescent="0.25">
      <c r="A106" s="70">
        <v>102</v>
      </c>
      <c r="B106" s="182" t="s">
        <v>279</v>
      </c>
      <c r="C106" s="195" t="str">
        <f>IF(VLOOKUP(Table4[[#This Row],[T ID]],Table5[#All],5,FALSE)="No","Not in scope",VLOOKUP(Table4[[#This Row],[T ID]],Table5[#All],2,FALSE))</f>
        <v>TTP</v>
      </c>
      <c r="D106" s="210" t="s">
        <v>258</v>
      </c>
      <c r="E106" s="195" t="str">
        <f>IF(VLOOKUP(Table4[[#This Row],[V ID]],Vulnerabilities[#All],3,FALSE)="No","Not in scope",VLOOKUP(Table4[[#This Row],[V ID]],Vulnerabilities[#All],2,FALSE))</f>
        <v>Unencrypted data at rest in all possible locations</v>
      </c>
      <c r="F106" s="216" t="s">
        <v>106</v>
      </c>
      <c r="G106" s="195" t="str">
        <f>VLOOKUP(Table4[[#This Row],[A ID]],Assets[#All],3,FALSE)</f>
        <v>Data in Motion</v>
      </c>
      <c r="H106" s="49" t="s">
        <v>351</v>
      </c>
      <c r="I106" s="49"/>
      <c r="J106" s="87" t="s">
        <v>65</v>
      </c>
      <c r="K106" s="87" t="s">
        <v>65</v>
      </c>
      <c r="L106" s="87" t="s">
        <v>56</v>
      </c>
      <c r="M106" s="196" t="s">
        <v>78</v>
      </c>
      <c r="N106" s="157" t="s">
        <v>65</v>
      </c>
      <c r="O106" s="157" t="s">
        <v>56</v>
      </c>
      <c r="P106" s="196" t="s">
        <v>77</v>
      </c>
      <c r="Q106" s="196" t="s">
        <v>74</v>
      </c>
      <c r="R10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6" s="198">
        <f>(1 - ((1 - VLOOKUP(Table4[[#This Row],[Confidentiality]],'Reference - CVSSv3.0'!$B$15:$C$17,2,FALSE)) * (1 - VLOOKUP(Table4[[#This Row],[Integrity]],'Reference - CVSSv3.0'!$B$15:$C$17,2,FALSE)) *  (1 - VLOOKUP(Table4[[#This Row],[Availability]],'Reference - CVSSv3.0'!$B$15:$C$17,2,FALSE))))</f>
        <v>0.84899199999999997</v>
      </c>
      <c r="T106" s="198">
        <f>IF(Table4[[#This Row],[Scope]]="Unchanged",6.42*Table4[[#This Row],[ISC Base]],IF(Table4[[#This Row],[Scope]]="Changed",7.52*(Table4[[#This Row],[ISC Base]] - 0.029) - 3.25 * POWER(Table4[[#This Row],[ISC Base]] - 0.02,15),NA()))</f>
        <v>5.4505286399999999</v>
      </c>
      <c r="U106"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6" s="182" t="s">
        <v>55</v>
      </c>
      <c r="W106" s="198">
        <f>VLOOKUP(Table4[[#This Row],[Threat Event Initiation]],NIST_Scale_LOAI[],2,FALSE)</f>
        <v>0.5</v>
      </c>
      <c r="X10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6" s="49" t="s">
        <v>317</v>
      </c>
      <c r="AA106" s="187"/>
      <c r="AB106" s="206"/>
      <c r="AC106" s="187"/>
      <c r="AD106" s="187"/>
      <c r="AE106" s="187"/>
      <c r="AF106" s="196"/>
      <c r="AG106" s="196"/>
      <c r="AH106" s="196"/>
      <c r="AI106" s="196"/>
      <c r="AJ106" s="201"/>
      <c r="AK10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6" s="198" t="e">
        <f>(1 - ((1 - VLOOKUP(Table4[[#This Row],[ConfidentialityP]],'Reference - CVSSv3.0'!$B$15:$C$17,2,FALSE)) * (1 - VLOOKUP(Table4[[#This Row],[IntegrityP]],'Reference - CVSSv3.0'!$B$15:$C$17,2,FALSE)) *  (1 - VLOOKUP(Table4[[#This Row],[AvailabilityP]],'Reference - CVSSv3.0'!$B$15:$C$17,2,FALSE))))</f>
        <v>#N/A</v>
      </c>
      <c r="AM106" s="198" t="e">
        <f>IF(Table4[[#This Row],[ScopeP]]="Unchanged",6.42*Table4[[#This Row],[ISC BaseP]],IF(Table4[[#This Row],[ScopeP]]="Changed",7.52*(Table4[[#This Row],[ISC BaseP]] - 0.029) - 3.25 * POWER(Table4[[#This Row],[ISC BaseP]] - 0.02,15),NA()))</f>
        <v>#N/A</v>
      </c>
      <c r="AN10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6" s="187"/>
    </row>
    <row r="107" spans="1:43" ht="90" customHeight="1" x14ac:dyDescent="0.25">
      <c r="A107" s="70">
        <v>103</v>
      </c>
      <c r="B107" s="182" t="s">
        <v>279</v>
      </c>
      <c r="C107" s="195" t="str">
        <f>IF(VLOOKUP(Table4[[#This Row],[T ID]],Table5[#All],5,FALSE)="No","Not in scope",VLOOKUP(Table4[[#This Row],[T ID]],Table5[#All],2,FALSE))</f>
        <v>TTP</v>
      </c>
      <c r="D107" s="211" t="s">
        <v>228</v>
      </c>
      <c r="E107" s="195" t="str">
        <f>IF(VLOOKUP(Table4[[#This Row],[V ID]],Vulnerabilities[#All],3,FALSE)="No","Not in scope",VLOOKUP(Table4[[#This Row],[V ID]],Vulnerabilities[#All],2,FALSE))</f>
        <v>Checking authentication modes for possible hacks and bypasses</v>
      </c>
      <c r="F107" s="216" t="s">
        <v>112</v>
      </c>
      <c r="G107" s="195" t="str">
        <f>VLOOKUP(Table4[[#This Row],[A ID]],Assets[#All],3,FALSE)</f>
        <v>Tablet OS/network details &amp; Tablet Application</v>
      </c>
      <c r="H107" s="49" t="s">
        <v>350</v>
      </c>
      <c r="I107" s="49"/>
      <c r="J107" s="87" t="s">
        <v>65</v>
      </c>
      <c r="K107" s="87" t="s">
        <v>65</v>
      </c>
      <c r="L107" s="87" t="s">
        <v>56</v>
      </c>
      <c r="M107" s="196" t="s">
        <v>78</v>
      </c>
      <c r="N107" s="157" t="s">
        <v>65</v>
      </c>
      <c r="O107" s="157" t="s">
        <v>56</v>
      </c>
      <c r="P107" s="196" t="s">
        <v>77</v>
      </c>
      <c r="Q107" s="196" t="s">
        <v>74</v>
      </c>
      <c r="R10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7" s="198">
        <f>(1 - ((1 - VLOOKUP(Table4[[#This Row],[Confidentiality]],'Reference - CVSSv3.0'!$B$15:$C$17,2,FALSE)) * (1 - VLOOKUP(Table4[[#This Row],[Integrity]],'Reference - CVSSv3.0'!$B$15:$C$17,2,FALSE)) *  (1 - VLOOKUP(Table4[[#This Row],[Availability]],'Reference - CVSSv3.0'!$B$15:$C$17,2,FALSE))))</f>
        <v>0.84899199999999997</v>
      </c>
      <c r="T107" s="198">
        <f>IF(Table4[[#This Row],[Scope]]="Unchanged",6.42*Table4[[#This Row],[ISC Base]],IF(Table4[[#This Row],[Scope]]="Changed",7.52*(Table4[[#This Row],[ISC Base]] - 0.029) - 3.25 * POWER(Table4[[#This Row],[ISC Base]] - 0.02,15),NA()))</f>
        <v>5.4505286399999999</v>
      </c>
      <c r="U107"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7" s="182" t="s">
        <v>55</v>
      </c>
      <c r="W107" s="198">
        <f>VLOOKUP(Table4[[#This Row],[Threat Event Initiation]],NIST_Scale_LOAI[],2,FALSE)</f>
        <v>0.5</v>
      </c>
      <c r="X10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7" s="49" t="s">
        <v>322</v>
      </c>
      <c r="AA107" s="187"/>
      <c r="AB107" s="206"/>
      <c r="AC107" s="187"/>
      <c r="AD107" s="187"/>
      <c r="AE107" s="187"/>
      <c r="AF107" s="196"/>
      <c r="AG107" s="196"/>
      <c r="AH107" s="196"/>
      <c r="AI107" s="196"/>
      <c r="AJ107" s="201"/>
      <c r="AK10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7" s="198" t="e">
        <f>(1 - ((1 - VLOOKUP(Table4[[#This Row],[ConfidentialityP]],'Reference - CVSSv3.0'!$B$15:$C$17,2,FALSE)) * (1 - VLOOKUP(Table4[[#This Row],[IntegrityP]],'Reference - CVSSv3.0'!$B$15:$C$17,2,FALSE)) *  (1 - VLOOKUP(Table4[[#This Row],[AvailabilityP]],'Reference - CVSSv3.0'!$B$15:$C$17,2,FALSE))))</f>
        <v>#N/A</v>
      </c>
      <c r="AM107" s="198" t="e">
        <f>IF(Table4[[#This Row],[ScopeP]]="Unchanged",6.42*Table4[[#This Row],[ISC BaseP]],IF(Table4[[#This Row],[ScopeP]]="Changed",7.52*(Table4[[#This Row],[ISC BaseP]] - 0.029) - 3.25 * POWER(Table4[[#This Row],[ISC BaseP]] - 0.02,15),NA()))</f>
        <v>#N/A</v>
      </c>
      <c r="AN10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7" s="187"/>
    </row>
    <row r="108" spans="1:43" ht="409.5" x14ac:dyDescent="0.25">
      <c r="A108" s="70">
        <v>104</v>
      </c>
      <c r="B108" s="182" t="s">
        <v>280</v>
      </c>
      <c r="C108" s="195" t="str">
        <f>IF(VLOOKUP(Table4[[#This Row],[T ID]],Table5[#All],5,FALSE)="No","Not in scope",VLOOKUP(Table4[[#This Row],[T ID]],Table5[#All],2,FALSE))</f>
        <v>CAPEC-112</v>
      </c>
      <c r="D108" s="212" t="s">
        <v>120</v>
      </c>
      <c r="E108" s="195" t="str">
        <f>IF(VLOOKUP(Table4[[#This Row],[V ID]],Vulnerabilities[#All],3,FALSE)="No","Not in scope",VLOOKUP(Table4[[#This Row],[V ID]],Vulnerabilities[#All],2,FALSE))</f>
        <v>Devices with default passwords needs to be checked for bruteforce attacks</v>
      </c>
      <c r="F108" s="216" t="s">
        <v>107</v>
      </c>
      <c r="G108" s="195" t="str">
        <f>VLOOKUP(Table4[[#This Row],[A ID]],Assets[#All],3,FALSE)</f>
        <v>Smart medic app (Stryker Azure Cloud Web Application)</v>
      </c>
      <c r="H108" s="49" t="s">
        <v>352</v>
      </c>
      <c r="I108" s="49"/>
      <c r="J108" s="87" t="s">
        <v>65</v>
      </c>
      <c r="K108" s="87" t="s">
        <v>65</v>
      </c>
      <c r="L108" s="87" t="s">
        <v>56</v>
      </c>
      <c r="M108" s="196" t="s">
        <v>78</v>
      </c>
      <c r="N108" s="157" t="s">
        <v>65</v>
      </c>
      <c r="O108" s="157" t="s">
        <v>65</v>
      </c>
      <c r="P108" s="196" t="s">
        <v>77</v>
      </c>
      <c r="Q108" s="196" t="s">
        <v>74</v>
      </c>
      <c r="R10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08" s="198">
        <f>(1 - ((1 - VLOOKUP(Table4[[#This Row],[Confidentiality]],'Reference - CVSSv3.0'!$B$15:$C$17,2,FALSE)) * (1 - VLOOKUP(Table4[[#This Row],[Integrity]],'Reference - CVSSv3.0'!$B$15:$C$17,2,FALSE)) *  (1 - VLOOKUP(Table4[[#This Row],[Availability]],'Reference - CVSSv3.0'!$B$15:$C$17,2,FALSE))))</f>
        <v>0.84899199999999997</v>
      </c>
      <c r="T108" s="198">
        <f>IF(Table4[[#This Row],[Scope]]="Unchanged",6.42*Table4[[#This Row],[ISC Base]],IF(Table4[[#This Row],[Scope]]="Changed",7.52*(Table4[[#This Row],[ISC Base]] - 0.029) - 3.25 * POWER(Table4[[#This Row],[ISC Base]] - 0.02,15),NA()))</f>
        <v>5.4505286399999999</v>
      </c>
      <c r="U108"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08" s="182" t="s">
        <v>55</v>
      </c>
      <c r="W108" s="198">
        <f>VLOOKUP(Table4[[#This Row],[Threat Event Initiation]],NIST_Scale_LOAI[],2,FALSE)</f>
        <v>0.5</v>
      </c>
      <c r="X10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0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8" s="49" t="s">
        <v>353</v>
      </c>
      <c r="AA108" s="187"/>
      <c r="AB108" s="206"/>
      <c r="AC108" s="187"/>
      <c r="AD108" s="187"/>
      <c r="AE108" s="187"/>
      <c r="AF108" s="196"/>
      <c r="AG108" s="196"/>
      <c r="AH108" s="196"/>
      <c r="AI108" s="196"/>
      <c r="AJ108" s="201"/>
      <c r="AK10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8" s="198" t="e">
        <f>(1 - ((1 - VLOOKUP(Table4[[#This Row],[ConfidentialityP]],'Reference - CVSSv3.0'!$B$15:$C$17,2,FALSE)) * (1 - VLOOKUP(Table4[[#This Row],[IntegrityP]],'Reference - CVSSv3.0'!$B$15:$C$17,2,FALSE)) *  (1 - VLOOKUP(Table4[[#This Row],[AvailabilityP]],'Reference - CVSSv3.0'!$B$15:$C$17,2,FALSE))))</f>
        <v>#N/A</v>
      </c>
      <c r="AM108" s="198" t="e">
        <f>IF(Table4[[#This Row],[ScopeP]]="Unchanged",6.42*Table4[[#This Row],[ISC BaseP]],IF(Table4[[#This Row],[ScopeP]]="Changed",7.52*(Table4[[#This Row],[ISC BaseP]] - 0.029) - 3.25 * POWER(Table4[[#This Row],[ISC BaseP]] - 0.02,15),NA()))</f>
        <v>#N/A</v>
      </c>
      <c r="AN10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8" s="187"/>
    </row>
    <row r="109" spans="1:43" ht="409.5" x14ac:dyDescent="0.25">
      <c r="A109" s="70">
        <v>105</v>
      </c>
      <c r="B109" s="182" t="s">
        <v>280</v>
      </c>
      <c r="C109" s="195" t="str">
        <f>IF(VLOOKUP(Table4[[#This Row],[T ID]],Table5[#All],5,FALSE)="No","Not in scope",VLOOKUP(Table4[[#This Row],[T ID]],Table5[#All],2,FALSE))</f>
        <v>CAPEC-112</v>
      </c>
      <c r="D109" s="212" t="s">
        <v>120</v>
      </c>
      <c r="E109" s="195" t="str">
        <f>IF(VLOOKUP(Table4[[#This Row],[V ID]],Vulnerabilities[#All],3,FALSE)="No","Not in scope",VLOOKUP(Table4[[#This Row],[V ID]],Vulnerabilities[#All],2,FALSE))</f>
        <v>Devices with default passwords needs to be checked for bruteforce attacks</v>
      </c>
      <c r="F109" s="216" t="s">
        <v>108</v>
      </c>
      <c r="G109" s="195" t="str">
        <f>VLOOKUP(Table4[[#This Row],[A ID]],Assets[#All],3,FALSE)</f>
        <v>Smart medic app (Azure Portal Administrator)</v>
      </c>
      <c r="H109" s="49" t="s">
        <v>352</v>
      </c>
      <c r="I109" s="49"/>
      <c r="J109" s="87" t="s">
        <v>65</v>
      </c>
      <c r="K109" s="87" t="s">
        <v>65</v>
      </c>
      <c r="L109" s="87" t="s">
        <v>56</v>
      </c>
      <c r="M109" s="196" t="s">
        <v>78</v>
      </c>
      <c r="N109" s="157" t="s">
        <v>65</v>
      </c>
      <c r="O109" s="157" t="s">
        <v>65</v>
      </c>
      <c r="P109" s="196" t="s">
        <v>77</v>
      </c>
      <c r="Q109" s="196" t="s">
        <v>74</v>
      </c>
      <c r="R10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09" s="198">
        <f>(1 - ((1 - VLOOKUP(Table4[[#This Row],[Confidentiality]],'Reference - CVSSv3.0'!$B$15:$C$17,2,FALSE)) * (1 - VLOOKUP(Table4[[#This Row],[Integrity]],'Reference - CVSSv3.0'!$B$15:$C$17,2,FALSE)) *  (1 - VLOOKUP(Table4[[#This Row],[Availability]],'Reference - CVSSv3.0'!$B$15:$C$17,2,FALSE))))</f>
        <v>0.84899199999999997</v>
      </c>
      <c r="T109" s="198">
        <f>IF(Table4[[#This Row],[Scope]]="Unchanged",6.42*Table4[[#This Row],[ISC Base]],IF(Table4[[#This Row],[Scope]]="Changed",7.52*(Table4[[#This Row],[ISC Base]] - 0.029) - 3.25 * POWER(Table4[[#This Row],[ISC Base]] - 0.02,15),NA()))</f>
        <v>5.4505286399999999</v>
      </c>
      <c r="U109"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09" s="182" t="s">
        <v>55</v>
      </c>
      <c r="W109" s="198">
        <f>VLOOKUP(Table4[[#This Row],[Threat Event Initiation]],NIST_Scale_LOAI[],2,FALSE)</f>
        <v>0.5</v>
      </c>
      <c r="X10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0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9" s="49" t="s">
        <v>353</v>
      </c>
      <c r="AA109" s="187"/>
      <c r="AB109" s="206"/>
      <c r="AC109" s="187"/>
      <c r="AD109" s="187"/>
      <c r="AE109" s="187"/>
      <c r="AF109" s="196"/>
      <c r="AG109" s="196"/>
      <c r="AH109" s="196"/>
      <c r="AI109" s="196"/>
      <c r="AJ109" s="201"/>
      <c r="AK10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9" s="198" t="e">
        <f>(1 - ((1 - VLOOKUP(Table4[[#This Row],[ConfidentialityP]],'Reference - CVSSv3.0'!$B$15:$C$17,2,FALSE)) * (1 - VLOOKUP(Table4[[#This Row],[IntegrityP]],'Reference - CVSSv3.0'!$B$15:$C$17,2,FALSE)) *  (1 - VLOOKUP(Table4[[#This Row],[AvailabilityP]],'Reference - CVSSv3.0'!$B$15:$C$17,2,FALSE))))</f>
        <v>#N/A</v>
      </c>
      <c r="AM109" s="198" t="e">
        <f>IF(Table4[[#This Row],[ScopeP]]="Unchanged",6.42*Table4[[#This Row],[ISC BaseP]],IF(Table4[[#This Row],[ScopeP]]="Changed",7.52*(Table4[[#This Row],[ISC BaseP]] - 0.029) - 3.25 * POWER(Table4[[#This Row],[ISC BaseP]] - 0.02,15),NA()))</f>
        <v>#N/A</v>
      </c>
      <c r="AN10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9" s="187"/>
    </row>
    <row r="110" spans="1:43" ht="409.5" x14ac:dyDescent="0.25">
      <c r="A110" s="70">
        <v>106</v>
      </c>
      <c r="B110" s="182" t="s">
        <v>280</v>
      </c>
      <c r="C110" s="195" t="str">
        <f>IF(VLOOKUP(Table4[[#This Row],[T ID]],Table5[#All],5,FALSE)="No","Not in scope",VLOOKUP(Table4[[#This Row],[T ID]],Table5[#All],2,FALSE))</f>
        <v>CAPEC-112</v>
      </c>
      <c r="D110" s="212" t="s">
        <v>120</v>
      </c>
      <c r="E110" s="195" t="str">
        <f>IF(VLOOKUP(Table4[[#This Row],[V ID]],Vulnerabilities[#All],3,FALSE)="No","Not in scope",VLOOKUP(Table4[[#This Row],[V ID]],Vulnerabilities[#All],2,FALSE))</f>
        <v>Devices with default passwords needs to be checked for bruteforce attacks</v>
      </c>
      <c r="F110" s="216" t="s">
        <v>109</v>
      </c>
      <c r="G110" s="195" t="str">
        <f>VLOOKUP(Table4[[#This Row],[A ID]],Assets[#All],3,FALSE)</f>
        <v>Azure Cloud DataBase</v>
      </c>
      <c r="H110" s="49" t="s">
        <v>352</v>
      </c>
      <c r="I110" s="49"/>
      <c r="J110" s="87" t="s">
        <v>65</v>
      </c>
      <c r="K110" s="87" t="s">
        <v>65</v>
      </c>
      <c r="L110" s="87" t="s">
        <v>56</v>
      </c>
      <c r="M110" s="196" t="s">
        <v>78</v>
      </c>
      <c r="N110" s="157" t="s">
        <v>65</v>
      </c>
      <c r="O110" s="157" t="s">
        <v>65</v>
      </c>
      <c r="P110" s="196" t="s">
        <v>77</v>
      </c>
      <c r="Q110" s="196" t="s">
        <v>74</v>
      </c>
      <c r="R11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0" s="198">
        <f>(1 - ((1 - VLOOKUP(Table4[[#This Row],[Confidentiality]],'Reference - CVSSv3.0'!$B$15:$C$17,2,FALSE)) * (1 - VLOOKUP(Table4[[#This Row],[Integrity]],'Reference - CVSSv3.0'!$B$15:$C$17,2,FALSE)) *  (1 - VLOOKUP(Table4[[#This Row],[Availability]],'Reference - CVSSv3.0'!$B$15:$C$17,2,FALSE))))</f>
        <v>0.84899199999999997</v>
      </c>
      <c r="T110" s="198">
        <f>IF(Table4[[#This Row],[Scope]]="Unchanged",6.42*Table4[[#This Row],[ISC Base]],IF(Table4[[#This Row],[Scope]]="Changed",7.52*(Table4[[#This Row],[ISC Base]] - 0.029) - 3.25 * POWER(Table4[[#This Row],[ISC Base]] - 0.02,15),NA()))</f>
        <v>5.4505286399999999</v>
      </c>
      <c r="U110"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0" s="182" t="s">
        <v>55</v>
      </c>
      <c r="W110" s="198">
        <f>VLOOKUP(Table4[[#This Row],[Threat Event Initiation]],NIST_Scale_LOAI[],2,FALSE)</f>
        <v>0.5</v>
      </c>
      <c r="X11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0" s="49" t="s">
        <v>353</v>
      </c>
      <c r="AA110" s="187"/>
      <c r="AB110" s="206"/>
      <c r="AC110" s="187"/>
      <c r="AD110" s="187"/>
      <c r="AE110" s="187"/>
      <c r="AF110" s="196"/>
      <c r="AG110" s="196"/>
      <c r="AH110" s="196"/>
      <c r="AI110" s="196"/>
      <c r="AJ110" s="201"/>
      <c r="AK11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0" s="198" t="e">
        <f>(1 - ((1 - VLOOKUP(Table4[[#This Row],[ConfidentialityP]],'Reference - CVSSv3.0'!$B$15:$C$17,2,FALSE)) * (1 - VLOOKUP(Table4[[#This Row],[IntegrityP]],'Reference - CVSSv3.0'!$B$15:$C$17,2,FALSE)) *  (1 - VLOOKUP(Table4[[#This Row],[AvailabilityP]],'Reference - CVSSv3.0'!$B$15:$C$17,2,FALSE))))</f>
        <v>#N/A</v>
      </c>
      <c r="AM110" s="198" t="e">
        <f>IF(Table4[[#This Row],[ScopeP]]="Unchanged",6.42*Table4[[#This Row],[ISC BaseP]],IF(Table4[[#This Row],[ScopeP]]="Changed",7.52*(Table4[[#This Row],[ISC BaseP]] - 0.029) - 3.25 * POWER(Table4[[#This Row],[ISC BaseP]] - 0.02,15),NA()))</f>
        <v>#N/A</v>
      </c>
      <c r="AN11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0" s="187"/>
    </row>
    <row r="111" spans="1:43" ht="409.5" x14ac:dyDescent="0.25">
      <c r="A111" s="70">
        <v>107</v>
      </c>
      <c r="B111" s="182" t="s">
        <v>280</v>
      </c>
      <c r="C111" s="195" t="str">
        <f>IF(VLOOKUP(Table4[[#This Row],[T ID]],Table5[#All],5,FALSE)="No","Not in scope",VLOOKUP(Table4[[#This Row],[T ID]],Table5[#All],2,FALSE))</f>
        <v>CAPEC-112</v>
      </c>
      <c r="D111" s="212" t="s">
        <v>226</v>
      </c>
      <c r="E111" s="195" t="str">
        <f>IF(VLOOKUP(Table4[[#This Row],[V ID]],Vulnerabilities[#All],3,FALSE)="No","Not in scope",VLOOKUP(Table4[[#This Row],[V ID]],Vulnerabilities[#All],2,FALSE))</f>
        <v>Error Info containing sensitive data for Failed Authentication attempts</v>
      </c>
      <c r="F111" s="216" t="s">
        <v>107</v>
      </c>
      <c r="G111" s="195" t="str">
        <f>VLOOKUP(Table4[[#This Row],[A ID]],Assets[#All],3,FALSE)</f>
        <v>Smart medic app (Stryker Azure Cloud Web Application)</v>
      </c>
      <c r="H111" s="49" t="s">
        <v>352</v>
      </c>
      <c r="I111" s="49"/>
      <c r="J111" s="87" t="s">
        <v>65</v>
      </c>
      <c r="K111" s="87" t="s">
        <v>65</v>
      </c>
      <c r="L111" s="87" t="s">
        <v>56</v>
      </c>
      <c r="M111" s="196" t="s">
        <v>78</v>
      </c>
      <c r="N111" s="157" t="s">
        <v>65</v>
      </c>
      <c r="O111" s="157" t="s">
        <v>65</v>
      </c>
      <c r="P111" s="196" t="s">
        <v>77</v>
      </c>
      <c r="Q111" s="196" t="s">
        <v>74</v>
      </c>
      <c r="R11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1" s="198">
        <f>(1 - ((1 - VLOOKUP(Table4[[#This Row],[Confidentiality]],'Reference - CVSSv3.0'!$B$15:$C$17,2,FALSE)) * (1 - VLOOKUP(Table4[[#This Row],[Integrity]],'Reference - CVSSv3.0'!$B$15:$C$17,2,FALSE)) *  (1 - VLOOKUP(Table4[[#This Row],[Availability]],'Reference - CVSSv3.0'!$B$15:$C$17,2,FALSE))))</f>
        <v>0.84899199999999997</v>
      </c>
      <c r="T111" s="198">
        <f>IF(Table4[[#This Row],[Scope]]="Unchanged",6.42*Table4[[#This Row],[ISC Base]],IF(Table4[[#This Row],[Scope]]="Changed",7.52*(Table4[[#This Row],[ISC Base]] - 0.029) - 3.25 * POWER(Table4[[#This Row],[ISC Base]] - 0.02,15),NA()))</f>
        <v>5.4505286399999999</v>
      </c>
      <c r="U111"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1" s="182" t="s">
        <v>55</v>
      </c>
      <c r="W111" s="198">
        <f>VLOOKUP(Table4[[#This Row],[Threat Event Initiation]],NIST_Scale_LOAI[],2,FALSE)</f>
        <v>0.5</v>
      </c>
      <c r="X11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1" s="49" t="s">
        <v>339</v>
      </c>
      <c r="AA111" s="187"/>
      <c r="AB111" s="206"/>
      <c r="AC111" s="187"/>
      <c r="AD111" s="187"/>
      <c r="AE111" s="187"/>
      <c r="AF111" s="196"/>
      <c r="AG111" s="196"/>
      <c r="AH111" s="196"/>
      <c r="AI111" s="196"/>
      <c r="AJ111" s="201"/>
      <c r="AK11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1" s="198" t="e">
        <f>(1 - ((1 - VLOOKUP(Table4[[#This Row],[ConfidentialityP]],'Reference - CVSSv3.0'!$B$15:$C$17,2,FALSE)) * (1 - VLOOKUP(Table4[[#This Row],[IntegrityP]],'Reference - CVSSv3.0'!$B$15:$C$17,2,FALSE)) *  (1 - VLOOKUP(Table4[[#This Row],[AvailabilityP]],'Reference - CVSSv3.0'!$B$15:$C$17,2,FALSE))))</f>
        <v>#N/A</v>
      </c>
      <c r="AM111" s="198" t="e">
        <f>IF(Table4[[#This Row],[ScopeP]]="Unchanged",6.42*Table4[[#This Row],[ISC BaseP]],IF(Table4[[#This Row],[ScopeP]]="Changed",7.52*(Table4[[#This Row],[ISC BaseP]] - 0.029) - 3.25 * POWER(Table4[[#This Row],[ISC BaseP]] - 0.02,15),NA()))</f>
        <v>#N/A</v>
      </c>
      <c r="AN11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1" s="187"/>
    </row>
    <row r="112" spans="1:43" ht="409.5" x14ac:dyDescent="0.25">
      <c r="A112" s="70">
        <v>108</v>
      </c>
      <c r="B112" s="182" t="s">
        <v>280</v>
      </c>
      <c r="C112" s="195" t="str">
        <f>IF(VLOOKUP(Table4[[#This Row],[T ID]],Table5[#All],5,FALSE)="No","Not in scope",VLOOKUP(Table4[[#This Row],[T ID]],Table5[#All],2,FALSE))</f>
        <v>CAPEC-112</v>
      </c>
      <c r="D112" s="212" t="s">
        <v>226</v>
      </c>
      <c r="E112" s="195" t="str">
        <f>IF(VLOOKUP(Table4[[#This Row],[V ID]],Vulnerabilities[#All],3,FALSE)="No","Not in scope",VLOOKUP(Table4[[#This Row],[V ID]],Vulnerabilities[#All],2,FALSE))</f>
        <v>Error Info containing sensitive data for Failed Authentication attempts</v>
      </c>
      <c r="F112" s="216" t="s">
        <v>108</v>
      </c>
      <c r="G112" s="195" t="str">
        <f>VLOOKUP(Table4[[#This Row],[A ID]],Assets[#All],3,FALSE)</f>
        <v>Smart medic app (Azure Portal Administrator)</v>
      </c>
      <c r="H112" s="49" t="s">
        <v>352</v>
      </c>
      <c r="I112" s="49"/>
      <c r="J112" s="87" t="s">
        <v>65</v>
      </c>
      <c r="K112" s="87" t="s">
        <v>65</v>
      </c>
      <c r="L112" s="87" t="s">
        <v>56</v>
      </c>
      <c r="M112" s="196" t="s">
        <v>78</v>
      </c>
      <c r="N112" s="157" t="s">
        <v>65</v>
      </c>
      <c r="O112" s="157" t="s">
        <v>65</v>
      </c>
      <c r="P112" s="196" t="s">
        <v>77</v>
      </c>
      <c r="Q112" s="196" t="s">
        <v>74</v>
      </c>
      <c r="R11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2" s="198">
        <f>(1 - ((1 - VLOOKUP(Table4[[#This Row],[Confidentiality]],'Reference - CVSSv3.0'!$B$15:$C$17,2,FALSE)) * (1 - VLOOKUP(Table4[[#This Row],[Integrity]],'Reference - CVSSv3.0'!$B$15:$C$17,2,FALSE)) *  (1 - VLOOKUP(Table4[[#This Row],[Availability]],'Reference - CVSSv3.0'!$B$15:$C$17,2,FALSE))))</f>
        <v>0.84899199999999997</v>
      </c>
      <c r="T112" s="198">
        <f>IF(Table4[[#This Row],[Scope]]="Unchanged",6.42*Table4[[#This Row],[ISC Base]],IF(Table4[[#This Row],[Scope]]="Changed",7.52*(Table4[[#This Row],[ISC Base]] - 0.029) - 3.25 * POWER(Table4[[#This Row],[ISC Base]] - 0.02,15),NA()))</f>
        <v>5.4505286399999999</v>
      </c>
      <c r="U112"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2" s="182" t="s">
        <v>55</v>
      </c>
      <c r="W112" s="198">
        <f>VLOOKUP(Table4[[#This Row],[Threat Event Initiation]],NIST_Scale_LOAI[],2,FALSE)</f>
        <v>0.5</v>
      </c>
      <c r="X11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2" s="49" t="s">
        <v>339</v>
      </c>
      <c r="AA112" s="187"/>
      <c r="AB112" s="206"/>
      <c r="AC112" s="187"/>
      <c r="AD112" s="187"/>
      <c r="AE112" s="187"/>
      <c r="AF112" s="196"/>
      <c r="AG112" s="196"/>
      <c r="AH112" s="196"/>
      <c r="AI112" s="196"/>
      <c r="AJ112" s="201"/>
      <c r="AK11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2" s="198" t="e">
        <f>(1 - ((1 - VLOOKUP(Table4[[#This Row],[ConfidentialityP]],'Reference - CVSSv3.0'!$B$15:$C$17,2,FALSE)) * (1 - VLOOKUP(Table4[[#This Row],[IntegrityP]],'Reference - CVSSv3.0'!$B$15:$C$17,2,FALSE)) *  (1 - VLOOKUP(Table4[[#This Row],[AvailabilityP]],'Reference - CVSSv3.0'!$B$15:$C$17,2,FALSE))))</f>
        <v>#N/A</v>
      </c>
      <c r="AM112" s="198" t="e">
        <f>IF(Table4[[#This Row],[ScopeP]]="Unchanged",6.42*Table4[[#This Row],[ISC BaseP]],IF(Table4[[#This Row],[ScopeP]]="Changed",7.52*(Table4[[#This Row],[ISC BaseP]] - 0.029) - 3.25 * POWER(Table4[[#This Row],[ISC BaseP]] - 0.02,15),NA()))</f>
        <v>#N/A</v>
      </c>
      <c r="AN11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2" s="187"/>
    </row>
    <row r="113" spans="1:44" ht="409.5" x14ac:dyDescent="0.25">
      <c r="A113" s="70">
        <v>109</v>
      </c>
      <c r="B113" s="182" t="s">
        <v>280</v>
      </c>
      <c r="C113" s="195" t="str">
        <f>IF(VLOOKUP(Table4[[#This Row],[T ID]],Table5[#All],5,FALSE)="No","Not in scope",VLOOKUP(Table4[[#This Row],[T ID]],Table5[#All],2,FALSE))</f>
        <v>CAPEC-112</v>
      </c>
      <c r="D113" s="212" t="s">
        <v>226</v>
      </c>
      <c r="E113" s="195" t="str">
        <f>IF(VLOOKUP(Table4[[#This Row],[V ID]],Vulnerabilities[#All],3,FALSE)="No","Not in scope",VLOOKUP(Table4[[#This Row],[V ID]],Vulnerabilities[#All],2,FALSE))</f>
        <v>Error Info containing sensitive data for Failed Authentication attempts</v>
      </c>
      <c r="F113" s="216" t="s">
        <v>109</v>
      </c>
      <c r="G113" s="195" t="str">
        <f>VLOOKUP(Table4[[#This Row],[A ID]],Assets[#All],3,FALSE)</f>
        <v>Azure Cloud DataBase</v>
      </c>
      <c r="H113" s="49" t="s">
        <v>352</v>
      </c>
      <c r="I113" s="49"/>
      <c r="J113" s="87" t="s">
        <v>65</v>
      </c>
      <c r="K113" s="87" t="s">
        <v>65</v>
      </c>
      <c r="L113" s="87" t="s">
        <v>56</v>
      </c>
      <c r="M113" s="196" t="s">
        <v>78</v>
      </c>
      <c r="N113" s="157" t="s">
        <v>65</v>
      </c>
      <c r="O113" s="157" t="s">
        <v>65</v>
      </c>
      <c r="P113" s="196" t="s">
        <v>77</v>
      </c>
      <c r="Q113" s="196" t="s">
        <v>74</v>
      </c>
      <c r="R11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3" s="198">
        <f>(1 - ((1 - VLOOKUP(Table4[[#This Row],[Confidentiality]],'Reference - CVSSv3.0'!$B$15:$C$17,2,FALSE)) * (1 - VLOOKUP(Table4[[#This Row],[Integrity]],'Reference - CVSSv3.0'!$B$15:$C$17,2,FALSE)) *  (1 - VLOOKUP(Table4[[#This Row],[Availability]],'Reference - CVSSv3.0'!$B$15:$C$17,2,FALSE))))</f>
        <v>0.84899199999999997</v>
      </c>
      <c r="T113" s="198">
        <f>IF(Table4[[#This Row],[Scope]]="Unchanged",6.42*Table4[[#This Row],[ISC Base]],IF(Table4[[#This Row],[Scope]]="Changed",7.52*(Table4[[#This Row],[ISC Base]] - 0.029) - 3.25 * POWER(Table4[[#This Row],[ISC Base]] - 0.02,15),NA()))</f>
        <v>5.4505286399999999</v>
      </c>
      <c r="U113"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3" s="182" t="s">
        <v>55</v>
      </c>
      <c r="W113" s="198">
        <f>VLOOKUP(Table4[[#This Row],[Threat Event Initiation]],NIST_Scale_LOAI[],2,FALSE)</f>
        <v>0.5</v>
      </c>
      <c r="X11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3" s="49" t="s">
        <v>340</v>
      </c>
      <c r="AA113" s="187"/>
      <c r="AB113" s="206"/>
      <c r="AC113" s="187"/>
      <c r="AD113" s="187"/>
      <c r="AE113" s="187"/>
      <c r="AF113" s="196"/>
      <c r="AG113" s="196"/>
      <c r="AH113" s="196"/>
      <c r="AI113" s="196"/>
      <c r="AJ113" s="201"/>
      <c r="AK11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3" s="198" t="e">
        <f>(1 - ((1 - VLOOKUP(Table4[[#This Row],[ConfidentialityP]],'Reference - CVSSv3.0'!$B$15:$C$17,2,FALSE)) * (1 - VLOOKUP(Table4[[#This Row],[IntegrityP]],'Reference - CVSSv3.0'!$B$15:$C$17,2,FALSE)) *  (1 - VLOOKUP(Table4[[#This Row],[AvailabilityP]],'Reference - CVSSv3.0'!$B$15:$C$17,2,FALSE))))</f>
        <v>#N/A</v>
      </c>
      <c r="AM113" s="198" t="e">
        <f>IF(Table4[[#This Row],[ScopeP]]="Unchanged",6.42*Table4[[#This Row],[ISC BaseP]],IF(Table4[[#This Row],[ScopeP]]="Changed",7.52*(Table4[[#This Row],[ISC BaseP]] - 0.029) - 3.25 * POWER(Table4[[#This Row],[ISC BaseP]] - 0.02,15),NA()))</f>
        <v>#N/A</v>
      </c>
      <c r="AN11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3" s="187"/>
    </row>
    <row r="114" spans="1:44" ht="409.5" x14ac:dyDescent="0.25">
      <c r="A114" s="70">
        <v>110</v>
      </c>
      <c r="B114" s="182" t="s">
        <v>280</v>
      </c>
      <c r="C114" s="195" t="str">
        <f>IF(VLOOKUP(Table4[[#This Row],[T ID]],Table5[#All],5,FALSE)="No","Not in scope",VLOOKUP(Table4[[#This Row],[T ID]],Table5[#All],2,FALSE))</f>
        <v>CAPEC-112</v>
      </c>
      <c r="D114" s="212" t="s">
        <v>227</v>
      </c>
      <c r="E114" s="195" t="str">
        <f>IF(VLOOKUP(Table4[[#This Row],[V ID]],Vulnerabilities[#All],3,FALSE)="No","Not in scope",VLOOKUP(Table4[[#This Row],[V ID]],Vulnerabilities[#All],2,FALSE))</f>
        <v>The password complexity or location vulnerability. Like weak passwords and hardcoded passwords.</v>
      </c>
      <c r="F114" s="216" t="s">
        <v>107</v>
      </c>
      <c r="G114" s="195" t="str">
        <f>VLOOKUP(Table4[[#This Row],[A ID]],Assets[#All],3,FALSE)</f>
        <v>Smart medic app (Stryker Azure Cloud Web Application)</v>
      </c>
      <c r="H114" s="49" t="s">
        <v>352</v>
      </c>
      <c r="I114" s="49"/>
      <c r="J114" s="87" t="s">
        <v>65</v>
      </c>
      <c r="K114" s="87" t="s">
        <v>65</v>
      </c>
      <c r="L114" s="87" t="s">
        <v>56</v>
      </c>
      <c r="M114" s="196" t="s">
        <v>78</v>
      </c>
      <c r="N114" s="157" t="s">
        <v>65</v>
      </c>
      <c r="O114" s="157" t="s">
        <v>65</v>
      </c>
      <c r="P114" s="196" t="s">
        <v>77</v>
      </c>
      <c r="Q114" s="196" t="s">
        <v>74</v>
      </c>
      <c r="R11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4" s="198">
        <f>(1 - ((1 - VLOOKUP(Table4[[#This Row],[Confidentiality]],'Reference - CVSSv3.0'!$B$15:$C$17,2,FALSE)) * (1 - VLOOKUP(Table4[[#This Row],[Integrity]],'Reference - CVSSv3.0'!$B$15:$C$17,2,FALSE)) *  (1 - VLOOKUP(Table4[[#This Row],[Availability]],'Reference - CVSSv3.0'!$B$15:$C$17,2,FALSE))))</f>
        <v>0.84899199999999997</v>
      </c>
      <c r="T114" s="198">
        <f>IF(Table4[[#This Row],[Scope]]="Unchanged",6.42*Table4[[#This Row],[ISC Base]],IF(Table4[[#This Row],[Scope]]="Changed",7.52*(Table4[[#This Row],[ISC Base]] - 0.029) - 3.25 * POWER(Table4[[#This Row],[ISC Base]] - 0.02,15),NA()))</f>
        <v>5.4505286399999999</v>
      </c>
      <c r="U114"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4" s="182" t="s">
        <v>55</v>
      </c>
      <c r="W114" s="198">
        <f>VLOOKUP(Table4[[#This Row],[Threat Event Initiation]],NIST_Scale_LOAI[],2,FALSE)</f>
        <v>0.5</v>
      </c>
      <c r="X11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4" s="225" t="s">
        <v>318</v>
      </c>
      <c r="AA114" s="187"/>
      <c r="AB114" s="206"/>
      <c r="AC114" s="187"/>
      <c r="AD114" s="187"/>
      <c r="AE114" s="187"/>
      <c r="AF114" s="196"/>
      <c r="AG114" s="196"/>
      <c r="AH114" s="196"/>
      <c r="AI114" s="196"/>
      <c r="AJ114" s="201"/>
      <c r="AK11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4" s="198" t="e">
        <f>(1 - ((1 - VLOOKUP(Table4[[#This Row],[ConfidentialityP]],'Reference - CVSSv3.0'!$B$15:$C$17,2,FALSE)) * (1 - VLOOKUP(Table4[[#This Row],[IntegrityP]],'Reference - CVSSv3.0'!$B$15:$C$17,2,FALSE)) *  (1 - VLOOKUP(Table4[[#This Row],[AvailabilityP]],'Reference - CVSSv3.0'!$B$15:$C$17,2,FALSE))))</f>
        <v>#N/A</v>
      </c>
      <c r="AM114" s="198" t="e">
        <f>IF(Table4[[#This Row],[ScopeP]]="Unchanged",6.42*Table4[[#This Row],[ISC BaseP]],IF(Table4[[#This Row],[ScopeP]]="Changed",7.52*(Table4[[#This Row],[ISC BaseP]] - 0.029) - 3.25 * POWER(Table4[[#This Row],[ISC BaseP]] - 0.02,15),NA()))</f>
        <v>#N/A</v>
      </c>
      <c r="AN11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4" s="187"/>
    </row>
    <row r="115" spans="1:44" ht="409.5" x14ac:dyDescent="0.25">
      <c r="A115" s="70">
        <v>111</v>
      </c>
      <c r="B115" s="182" t="s">
        <v>280</v>
      </c>
      <c r="C115" s="195" t="str">
        <f>IF(VLOOKUP(Table4[[#This Row],[T ID]],Table5[#All],5,FALSE)="No","Not in scope",VLOOKUP(Table4[[#This Row],[T ID]],Table5[#All],2,FALSE))</f>
        <v>CAPEC-112</v>
      </c>
      <c r="D115" s="212" t="s">
        <v>227</v>
      </c>
      <c r="E115" s="195" t="str">
        <f>IF(VLOOKUP(Table4[[#This Row],[V ID]],Vulnerabilities[#All],3,FALSE)="No","Not in scope",VLOOKUP(Table4[[#This Row],[V ID]],Vulnerabilities[#All],2,FALSE))</f>
        <v>The password complexity or location vulnerability. Like weak passwords and hardcoded passwords.</v>
      </c>
      <c r="F115" s="216" t="s">
        <v>108</v>
      </c>
      <c r="G115" s="195" t="str">
        <f>VLOOKUP(Table4[[#This Row],[A ID]],Assets[#All],3,FALSE)</f>
        <v>Smart medic app (Azure Portal Administrator)</v>
      </c>
      <c r="H115" s="49" t="s">
        <v>352</v>
      </c>
      <c r="I115" s="49"/>
      <c r="J115" s="87" t="s">
        <v>65</v>
      </c>
      <c r="K115" s="87" t="s">
        <v>65</v>
      </c>
      <c r="L115" s="87" t="s">
        <v>56</v>
      </c>
      <c r="M115" s="196" t="s">
        <v>78</v>
      </c>
      <c r="N115" s="157" t="s">
        <v>65</v>
      </c>
      <c r="O115" s="157" t="s">
        <v>65</v>
      </c>
      <c r="P115" s="196" t="s">
        <v>77</v>
      </c>
      <c r="Q115" s="196" t="s">
        <v>74</v>
      </c>
      <c r="R11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5" s="198">
        <f>(1 - ((1 - VLOOKUP(Table4[[#This Row],[Confidentiality]],'Reference - CVSSv3.0'!$B$15:$C$17,2,FALSE)) * (1 - VLOOKUP(Table4[[#This Row],[Integrity]],'Reference - CVSSv3.0'!$B$15:$C$17,2,FALSE)) *  (1 - VLOOKUP(Table4[[#This Row],[Availability]],'Reference - CVSSv3.0'!$B$15:$C$17,2,FALSE))))</f>
        <v>0.84899199999999997</v>
      </c>
      <c r="T115" s="198">
        <f>IF(Table4[[#This Row],[Scope]]="Unchanged",6.42*Table4[[#This Row],[ISC Base]],IF(Table4[[#This Row],[Scope]]="Changed",7.52*(Table4[[#This Row],[ISC Base]] - 0.029) - 3.25 * POWER(Table4[[#This Row],[ISC Base]] - 0.02,15),NA()))</f>
        <v>5.4505286399999999</v>
      </c>
      <c r="U115"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5" s="182" t="s">
        <v>55</v>
      </c>
      <c r="W115" s="198">
        <f>VLOOKUP(Table4[[#This Row],[Threat Event Initiation]],NIST_Scale_LOAI[],2,FALSE)</f>
        <v>0.5</v>
      </c>
      <c r="X11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5" s="225" t="s">
        <v>319</v>
      </c>
      <c r="AA115" s="187"/>
      <c r="AB115" s="206"/>
      <c r="AC115" s="187"/>
      <c r="AD115" s="187"/>
      <c r="AE115" s="187"/>
      <c r="AF115" s="196"/>
      <c r="AG115" s="196"/>
      <c r="AH115" s="196"/>
      <c r="AI115" s="196"/>
      <c r="AJ115" s="201"/>
      <c r="AK11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5" s="198" t="e">
        <f>(1 - ((1 - VLOOKUP(Table4[[#This Row],[ConfidentialityP]],'Reference - CVSSv3.0'!$B$15:$C$17,2,FALSE)) * (1 - VLOOKUP(Table4[[#This Row],[IntegrityP]],'Reference - CVSSv3.0'!$B$15:$C$17,2,FALSE)) *  (1 - VLOOKUP(Table4[[#This Row],[AvailabilityP]],'Reference - CVSSv3.0'!$B$15:$C$17,2,FALSE))))</f>
        <v>#N/A</v>
      </c>
      <c r="AM115" s="198" t="e">
        <f>IF(Table4[[#This Row],[ScopeP]]="Unchanged",6.42*Table4[[#This Row],[ISC BaseP]],IF(Table4[[#This Row],[ScopeP]]="Changed",7.52*(Table4[[#This Row],[ISC BaseP]] - 0.029) - 3.25 * POWER(Table4[[#This Row],[ISC BaseP]] - 0.02,15),NA()))</f>
        <v>#N/A</v>
      </c>
      <c r="AN11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5" s="187"/>
    </row>
    <row r="116" spans="1:44" s="235" customFormat="1" ht="409.5" x14ac:dyDescent="0.25">
      <c r="A116" s="70">
        <v>112</v>
      </c>
      <c r="B116" s="222" t="s">
        <v>280</v>
      </c>
      <c r="C116" s="195" t="str">
        <f>IF(VLOOKUP(Table4[[#This Row],[T ID]],Table5[#All],5,FALSE)="No","Not in scope",VLOOKUP(Table4[[#This Row],[T ID]],Table5[#All],2,FALSE))</f>
        <v>CAPEC-112</v>
      </c>
      <c r="D116" s="223" t="s">
        <v>259</v>
      </c>
      <c r="E116" s="195" t="str">
        <f>IF(VLOOKUP(Table4[[#This Row],[V ID]],Vulnerabilities[#All],3,FALSE)="No","Not in scope",VLOOKUP(Table4[[#This Row],[V ID]],Vulnerabilities[#All],2,FALSE))</f>
        <v>Unencrypted data in flight in all flowchannels</v>
      </c>
      <c r="F116" s="224" t="s">
        <v>119</v>
      </c>
      <c r="G116" s="195" t="str">
        <f>VLOOKUP(Table4[[#This Row],[A ID]],Assets[#All],3,FALSE)</f>
        <v>Data at Rest</v>
      </c>
      <c r="H116" s="225" t="s">
        <v>301</v>
      </c>
      <c r="I116" s="225"/>
      <c r="J116" s="226" t="s">
        <v>65</v>
      </c>
      <c r="K116" s="226" t="s">
        <v>65</v>
      </c>
      <c r="L116" s="226" t="s">
        <v>56</v>
      </c>
      <c r="M116" s="196" t="s">
        <v>79</v>
      </c>
      <c r="N116" s="226" t="s">
        <v>65</v>
      </c>
      <c r="O116" s="157" t="s">
        <v>65</v>
      </c>
      <c r="P116" s="196" t="s">
        <v>77</v>
      </c>
      <c r="Q116" s="227" t="s">
        <v>74</v>
      </c>
      <c r="R11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0.45653058000000007</v>
      </c>
      <c r="S116" s="198">
        <f>(1 - ((1 - VLOOKUP(Table4[[#This Row],[Confidentiality]],'Reference - CVSSv3.0'!$B$15:$C$17,2,FALSE)) * (1 - VLOOKUP(Table4[[#This Row],[Integrity]],'Reference - CVSSv3.0'!$B$15:$C$17,2,FALSE)) *  (1 - VLOOKUP(Table4[[#This Row],[Availability]],'Reference - CVSSv3.0'!$B$15:$C$17,2,FALSE))))</f>
        <v>0.84899199999999997</v>
      </c>
      <c r="T116" s="198">
        <f>IF(Table4[[#This Row],[Scope]]="Unchanged",6.42*Table4[[#This Row],[ISC Base]],IF(Table4[[#This Row],[Scope]]="Changed",7.52*(Table4[[#This Row],[ISC Base]] - 0.029) - 3.25 * POWER(Table4[[#This Row],[ISC Base]] - 0.02,15),NA()))</f>
        <v>5.4505286399999999</v>
      </c>
      <c r="U116" s="228">
        <f>IF(Table4[[#This Row],[Impact Sub Score]]&lt;=0,0,IF(Table4[[#This Row],[Scope]]="Unchanged",ROUNDUP(MIN((Table4[[#This Row],[Impact Sub Score]]+Table4[[#This Row],[Exploitability Sub Score]]),10),1),IF(Table4[[#This Row],[Scope]]="Changed",ROUNDUP(MIN((1.08*(Table4[[#This Row],[Impact Sub Score]]+Table4[[#This Row],[Exploitability Sub Score]])),10),1),NA())))</f>
        <v>6</v>
      </c>
      <c r="V116" s="182" t="s">
        <v>55</v>
      </c>
      <c r="W116" s="198">
        <f>VLOOKUP(Table4[[#This Row],[Threat Event Initiation]],NIST_Scale_LOAI[],2,FALSE)</f>
        <v>0.5</v>
      </c>
      <c r="X116" s="22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16" s="22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6" s="225" t="s">
        <v>314</v>
      </c>
      <c r="AA116" s="230"/>
      <c r="AB116" s="231"/>
      <c r="AC116" s="230"/>
      <c r="AD116" s="230"/>
      <c r="AE116" s="230"/>
      <c r="AF116" s="227"/>
      <c r="AG116" s="227"/>
      <c r="AH116" s="227"/>
      <c r="AI116" s="227"/>
      <c r="AJ116" s="232"/>
      <c r="AK11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6" s="198" t="e">
        <f>(1 - ((1 - VLOOKUP(Table4[[#This Row],[ConfidentialityP]],'Reference - CVSSv3.0'!$B$15:$C$17,2,FALSE)) * (1 - VLOOKUP(Table4[[#This Row],[IntegrityP]],'Reference - CVSSv3.0'!$B$15:$C$17,2,FALSE)) *  (1 - VLOOKUP(Table4[[#This Row],[AvailabilityP]],'Reference - CVSSv3.0'!$B$15:$C$17,2,FALSE))))</f>
        <v>#N/A</v>
      </c>
      <c r="AM116" s="198" t="e">
        <f>IF(Table4[[#This Row],[ScopeP]]="Unchanged",6.42*Table4[[#This Row],[ISC BaseP]],IF(Table4[[#This Row],[ScopeP]]="Changed",7.52*(Table4[[#This Row],[ISC BaseP]] - 0.029) - 3.25 * POWER(Table4[[#This Row],[ISC BaseP]] - 0.02,15),NA()))</f>
        <v>#N/A</v>
      </c>
      <c r="AN116" s="22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6" s="22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6" s="23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6" s="230"/>
      <c r="AR116" s="234"/>
    </row>
    <row r="117" spans="1:44" s="235" customFormat="1" ht="409.5" x14ac:dyDescent="0.25">
      <c r="A117" s="70">
        <v>113</v>
      </c>
      <c r="B117" s="222" t="s">
        <v>280</v>
      </c>
      <c r="C117" s="195" t="str">
        <f>IF(VLOOKUP(Table4[[#This Row],[T ID]],Table5[#All],5,FALSE)="No","Not in scope",VLOOKUP(Table4[[#This Row],[T ID]],Table5[#All],2,FALSE))</f>
        <v>CAPEC-112</v>
      </c>
      <c r="D117" s="223" t="s">
        <v>259</v>
      </c>
      <c r="E117" s="195" t="str">
        <f>IF(VLOOKUP(Table4[[#This Row],[V ID]],Vulnerabilities[#All],3,FALSE)="No","Not in scope",VLOOKUP(Table4[[#This Row],[V ID]],Vulnerabilities[#All],2,FALSE))</f>
        <v>Unencrypted data in flight in all flowchannels</v>
      </c>
      <c r="F117" s="224" t="s">
        <v>106</v>
      </c>
      <c r="G117" s="195" t="str">
        <f>VLOOKUP(Table4[[#This Row],[A ID]],Assets[#All],3,FALSE)</f>
        <v>Data in Motion</v>
      </c>
      <c r="H117" s="225" t="s">
        <v>301</v>
      </c>
      <c r="I117" s="225"/>
      <c r="J117" s="226" t="s">
        <v>65</v>
      </c>
      <c r="K117" s="226" t="s">
        <v>65</v>
      </c>
      <c r="L117" s="226" t="s">
        <v>56</v>
      </c>
      <c r="M117" s="196" t="s">
        <v>78</v>
      </c>
      <c r="N117" s="226" t="s">
        <v>65</v>
      </c>
      <c r="O117" s="157" t="s">
        <v>65</v>
      </c>
      <c r="P117" s="196" t="s">
        <v>77</v>
      </c>
      <c r="Q117" s="227" t="s">
        <v>74</v>
      </c>
      <c r="R11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7" s="198">
        <f>(1 - ((1 - VLOOKUP(Table4[[#This Row],[Confidentiality]],'Reference - CVSSv3.0'!$B$15:$C$17,2,FALSE)) * (1 - VLOOKUP(Table4[[#This Row],[Integrity]],'Reference - CVSSv3.0'!$B$15:$C$17,2,FALSE)) *  (1 - VLOOKUP(Table4[[#This Row],[Availability]],'Reference - CVSSv3.0'!$B$15:$C$17,2,FALSE))))</f>
        <v>0.84899199999999997</v>
      </c>
      <c r="T117" s="198">
        <f>IF(Table4[[#This Row],[Scope]]="Unchanged",6.42*Table4[[#This Row],[ISC Base]],IF(Table4[[#This Row],[Scope]]="Changed",7.52*(Table4[[#This Row],[ISC Base]] - 0.029) - 3.25 * POWER(Table4[[#This Row],[ISC Base]] - 0.02,15),NA()))</f>
        <v>5.4505286399999999</v>
      </c>
      <c r="U117" s="22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7" s="182" t="s">
        <v>55</v>
      </c>
      <c r="W117" s="198">
        <f>VLOOKUP(Table4[[#This Row],[Threat Event Initiation]],NIST_Scale_LOAI[],2,FALSE)</f>
        <v>0.5</v>
      </c>
      <c r="X117" s="22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7" s="22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7" s="225" t="s">
        <v>320</v>
      </c>
      <c r="AA117" s="230"/>
      <c r="AB117" s="231"/>
      <c r="AC117" s="230"/>
      <c r="AD117" s="230"/>
      <c r="AE117" s="230"/>
      <c r="AF117" s="227"/>
      <c r="AG117" s="227"/>
      <c r="AH117" s="227"/>
      <c r="AI117" s="227"/>
      <c r="AJ117" s="232"/>
      <c r="AK11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7" s="198" t="e">
        <f>(1 - ((1 - VLOOKUP(Table4[[#This Row],[ConfidentialityP]],'Reference - CVSSv3.0'!$B$15:$C$17,2,FALSE)) * (1 - VLOOKUP(Table4[[#This Row],[IntegrityP]],'Reference - CVSSv3.0'!$B$15:$C$17,2,FALSE)) *  (1 - VLOOKUP(Table4[[#This Row],[AvailabilityP]],'Reference - CVSSv3.0'!$B$15:$C$17,2,FALSE))))</f>
        <v>#N/A</v>
      </c>
      <c r="AM117" s="198" t="e">
        <f>IF(Table4[[#This Row],[ScopeP]]="Unchanged",6.42*Table4[[#This Row],[ISC BaseP]],IF(Table4[[#This Row],[ScopeP]]="Changed",7.52*(Table4[[#This Row],[ISC BaseP]] - 0.029) - 3.25 * POWER(Table4[[#This Row],[ISC BaseP]] - 0.02,15),NA()))</f>
        <v>#N/A</v>
      </c>
      <c r="AN117" s="22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7" s="22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7" s="23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7" s="230"/>
      <c r="AR117" s="234"/>
    </row>
    <row r="118" spans="1:44" ht="73.5" customHeight="1" x14ac:dyDescent="0.25">
      <c r="A118" s="70">
        <v>114</v>
      </c>
      <c r="B118" s="182" t="s">
        <v>281</v>
      </c>
      <c r="C118" s="195" t="str">
        <f>IF(VLOOKUP(Table4[[#This Row],[T ID]],Table5[#All],5,FALSE)="No","Not in scope",VLOOKUP(Table4[[#This Row],[T ID]],Table5[#All],2,FALSE))</f>
        <v>TTP</v>
      </c>
      <c r="D118" s="210" t="s">
        <v>144</v>
      </c>
      <c r="E118" s="195" t="str">
        <f>IF(VLOOKUP(Table4[[#This Row],[V ID]],Vulnerabilities[#All],3,FALSE)="No","Not in scope",VLOOKUP(Table4[[#This Row],[V ID]],Vulnerabilities[#All],2,FALSE))</f>
        <v>Weak Algorthim implementation with respect cipher key size</v>
      </c>
      <c r="F118" s="216" t="s">
        <v>107</v>
      </c>
      <c r="G118" s="195" t="str">
        <f>VLOOKUP(Table4[[#This Row],[A ID]],Assets[#All],3,FALSE)</f>
        <v>Smart medic app (Stryker Azure Cloud Web Application)</v>
      </c>
      <c r="H118" s="49" t="s">
        <v>300</v>
      </c>
      <c r="I118" s="49"/>
      <c r="J118" s="87" t="s">
        <v>65</v>
      </c>
      <c r="K118" s="87" t="s">
        <v>65</v>
      </c>
      <c r="L118" s="87" t="s">
        <v>56</v>
      </c>
      <c r="M118" s="196" t="s">
        <v>80</v>
      </c>
      <c r="N118" s="157" t="s">
        <v>65</v>
      </c>
      <c r="O118" s="157" t="s">
        <v>65</v>
      </c>
      <c r="P118" s="196" t="s">
        <v>76</v>
      </c>
      <c r="Q118" s="196" t="s">
        <v>74</v>
      </c>
      <c r="R11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18" s="198">
        <f>(1 - ((1 - VLOOKUP(Table4[[#This Row],[Confidentiality]],'Reference - CVSSv3.0'!$B$15:$C$17,2,FALSE)) * (1 - VLOOKUP(Table4[[#This Row],[Integrity]],'Reference - CVSSv3.0'!$B$15:$C$17,2,FALSE)) *  (1 - VLOOKUP(Table4[[#This Row],[Availability]],'Reference - CVSSv3.0'!$B$15:$C$17,2,FALSE))))</f>
        <v>0.84899199999999997</v>
      </c>
      <c r="T118" s="198">
        <f>IF(Table4[[#This Row],[Scope]]="Unchanged",6.42*Table4[[#This Row],[ISC Base]],IF(Table4[[#This Row],[Scope]]="Changed",7.52*(Table4[[#This Row],[ISC Base]] - 0.029) - 3.25 * POWER(Table4[[#This Row],[ISC Base]] - 0.02,15),NA()))</f>
        <v>5.4505286399999999</v>
      </c>
      <c r="U118"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8" s="182" t="s">
        <v>55</v>
      </c>
      <c r="W118" s="198">
        <f>VLOOKUP(Table4[[#This Row],[Threat Event Initiation]],NIST_Scale_LOAI[],2,FALSE)</f>
        <v>0.5</v>
      </c>
      <c r="X11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1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8" s="49" t="s">
        <v>327</v>
      </c>
      <c r="AA118" s="59"/>
      <c r="AB118" s="206"/>
      <c r="AC118" s="187"/>
      <c r="AD118" s="187"/>
      <c r="AE118" s="187"/>
      <c r="AF118" s="196"/>
      <c r="AG118" s="196"/>
      <c r="AH118" s="196"/>
      <c r="AI118" s="196"/>
      <c r="AJ118" s="201"/>
      <c r="AK11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8" s="198" t="e">
        <f>(1 - ((1 - VLOOKUP(Table4[[#This Row],[ConfidentialityP]],'Reference - CVSSv3.0'!$B$15:$C$17,2,FALSE)) * (1 - VLOOKUP(Table4[[#This Row],[IntegrityP]],'Reference - CVSSv3.0'!$B$15:$C$17,2,FALSE)) *  (1 - VLOOKUP(Table4[[#This Row],[AvailabilityP]],'Reference - CVSSv3.0'!$B$15:$C$17,2,FALSE))))</f>
        <v>#N/A</v>
      </c>
      <c r="AM118" s="198" t="e">
        <f>IF(Table4[[#This Row],[ScopeP]]="Unchanged",6.42*Table4[[#This Row],[ISC BaseP]],IF(Table4[[#This Row],[ScopeP]]="Changed",7.52*(Table4[[#This Row],[ISC BaseP]] - 0.029) - 3.25 * POWER(Table4[[#This Row],[ISC BaseP]] - 0.02,15),NA()))</f>
        <v>#N/A</v>
      </c>
      <c r="AN11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8" s="187"/>
    </row>
    <row r="119" spans="1:44" ht="409.5" x14ac:dyDescent="0.25">
      <c r="A119" s="70">
        <v>115</v>
      </c>
      <c r="B119" s="182" t="s">
        <v>281</v>
      </c>
      <c r="C119" s="195" t="str">
        <f>IF(VLOOKUP(Table4[[#This Row],[T ID]],Table5[#All],5,FALSE)="No","Not in scope",VLOOKUP(Table4[[#This Row],[T ID]],Table5[#All],2,FALSE))</f>
        <v>TTP</v>
      </c>
      <c r="D119" s="210" t="s">
        <v>145</v>
      </c>
      <c r="E119" s="195" t="str">
        <f>IF(VLOOKUP(Table4[[#This Row],[V ID]],Vulnerabilities[#All],3,FALSE)="No","Not in scope",VLOOKUP(Table4[[#This Row],[V ID]],Vulnerabilities[#All],2,FALSE))</f>
        <v>InSecure Configuration for Software/OS on Mobile Devices, Laptops, Workstations, and Servers</v>
      </c>
      <c r="F119" s="216" t="s">
        <v>107</v>
      </c>
      <c r="G119" s="195" t="str">
        <f>VLOOKUP(Table4[[#This Row],[A ID]],Assets[#All],3,FALSE)</f>
        <v>Smart medic app (Stryker Azure Cloud Web Application)</v>
      </c>
      <c r="H119" s="49" t="s">
        <v>299</v>
      </c>
      <c r="I119" s="49"/>
      <c r="J119" s="87" t="s">
        <v>65</v>
      </c>
      <c r="K119" s="87" t="s">
        <v>65</v>
      </c>
      <c r="L119" s="87" t="s">
        <v>56</v>
      </c>
      <c r="M119" s="196" t="s">
        <v>80</v>
      </c>
      <c r="N119" s="157" t="s">
        <v>65</v>
      </c>
      <c r="O119" s="157" t="s">
        <v>65</v>
      </c>
      <c r="P119" s="196" t="s">
        <v>76</v>
      </c>
      <c r="Q119" s="196" t="s">
        <v>74</v>
      </c>
      <c r="R11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19" s="198">
        <f>(1 - ((1 - VLOOKUP(Table4[[#This Row],[Confidentiality]],'Reference - CVSSv3.0'!$B$15:$C$17,2,FALSE)) * (1 - VLOOKUP(Table4[[#This Row],[Integrity]],'Reference - CVSSv3.0'!$B$15:$C$17,2,FALSE)) *  (1 - VLOOKUP(Table4[[#This Row],[Availability]],'Reference - CVSSv3.0'!$B$15:$C$17,2,FALSE))))</f>
        <v>0.84899199999999997</v>
      </c>
      <c r="T119" s="198">
        <f>IF(Table4[[#This Row],[Scope]]="Unchanged",6.42*Table4[[#This Row],[ISC Base]],IF(Table4[[#This Row],[Scope]]="Changed",7.52*(Table4[[#This Row],[ISC Base]] - 0.029) - 3.25 * POWER(Table4[[#This Row],[ISC Base]] - 0.02,15),NA()))</f>
        <v>5.4505286399999999</v>
      </c>
      <c r="U119"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9" s="182" t="s">
        <v>55</v>
      </c>
      <c r="W119" s="198">
        <f>VLOOKUP(Table4[[#This Row],[Threat Event Initiation]],NIST_Scale_LOAI[],2,FALSE)</f>
        <v>0.5</v>
      </c>
      <c r="X11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1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9" s="225" t="s">
        <v>341</v>
      </c>
      <c r="AA119" s="187"/>
      <c r="AB119" s="206"/>
      <c r="AC119" s="187"/>
      <c r="AD119" s="187"/>
      <c r="AE119" s="187"/>
      <c r="AF119" s="196"/>
      <c r="AG119" s="196"/>
      <c r="AH119" s="196"/>
      <c r="AI119" s="196"/>
      <c r="AJ119" s="201"/>
      <c r="AK11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9" s="198" t="e">
        <f>(1 - ((1 - VLOOKUP(Table4[[#This Row],[ConfidentialityP]],'Reference - CVSSv3.0'!$B$15:$C$17,2,FALSE)) * (1 - VLOOKUP(Table4[[#This Row],[IntegrityP]],'Reference - CVSSv3.0'!$B$15:$C$17,2,FALSE)) *  (1 - VLOOKUP(Table4[[#This Row],[AvailabilityP]],'Reference - CVSSv3.0'!$B$15:$C$17,2,FALSE))))</f>
        <v>#N/A</v>
      </c>
      <c r="AM119" s="198" t="e">
        <f>IF(Table4[[#This Row],[ScopeP]]="Unchanged",6.42*Table4[[#This Row],[ISC BaseP]],IF(Table4[[#This Row],[ScopeP]]="Changed",7.52*(Table4[[#This Row],[ISC BaseP]] - 0.029) - 3.25 * POWER(Table4[[#This Row],[ISC BaseP]] - 0.02,15),NA()))</f>
        <v>#N/A</v>
      </c>
      <c r="AN11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9" s="187"/>
    </row>
    <row r="120" spans="1:44" ht="409.5" x14ac:dyDescent="0.25">
      <c r="A120" s="70">
        <v>116</v>
      </c>
      <c r="B120" s="182" t="s">
        <v>281</v>
      </c>
      <c r="C120" s="195" t="str">
        <f>IF(VLOOKUP(Table4[[#This Row],[T ID]],Table5[#All],5,FALSE)="No","Not in scope",VLOOKUP(Table4[[#This Row],[T ID]],Table5[#All],2,FALSE))</f>
        <v>TTP</v>
      </c>
      <c r="D120" s="210" t="s">
        <v>226</v>
      </c>
      <c r="E120" s="195" t="str">
        <f>IF(VLOOKUP(Table4[[#This Row],[V ID]],Vulnerabilities[#All],3,FALSE)="No","Not in scope",VLOOKUP(Table4[[#This Row],[V ID]],Vulnerabilities[#All],2,FALSE))</f>
        <v>Error Info containing sensitive data for Failed Authentication attempts</v>
      </c>
      <c r="F120" s="216" t="s">
        <v>107</v>
      </c>
      <c r="G120" s="195" t="str">
        <f>VLOOKUP(Table4[[#This Row],[A ID]],Assets[#All],3,FALSE)</f>
        <v>Smart medic app (Stryker Azure Cloud Web Application)</v>
      </c>
      <c r="H120" s="49" t="s">
        <v>300</v>
      </c>
      <c r="I120" s="49"/>
      <c r="J120" s="87" t="s">
        <v>65</v>
      </c>
      <c r="K120" s="87" t="s">
        <v>65</v>
      </c>
      <c r="L120" s="87" t="s">
        <v>56</v>
      </c>
      <c r="M120" s="196" t="s">
        <v>80</v>
      </c>
      <c r="N120" s="157" t="s">
        <v>65</v>
      </c>
      <c r="O120" s="157" t="s">
        <v>65</v>
      </c>
      <c r="P120" s="196" t="s">
        <v>76</v>
      </c>
      <c r="Q120" s="196" t="s">
        <v>74</v>
      </c>
      <c r="R12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0" s="198">
        <f>(1 - ((1 - VLOOKUP(Table4[[#This Row],[Confidentiality]],'Reference - CVSSv3.0'!$B$15:$C$17,2,FALSE)) * (1 - VLOOKUP(Table4[[#This Row],[Integrity]],'Reference - CVSSv3.0'!$B$15:$C$17,2,FALSE)) *  (1 - VLOOKUP(Table4[[#This Row],[Availability]],'Reference - CVSSv3.0'!$B$15:$C$17,2,FALSE))))</f>
        <v>0.84899199999999997</v>
      </c>
      <c r="T120" s="198">
        <f>IF(Table4[[#This Row],[Scope]]="Unchanged",6.42*Table4[[#This Row],[ISC Base]],IF(Table4[[#This Row],[Scope]]="Changed",7.52*(Table4[[#This Row],[ISC Base]] - 0.029) - 3.25 * POWER(Table4[[#This Row],[ISC Base]] - 0.02,15),NA()))</f>
        <v>5.4505286399999999</v>
      </c>
      <c r="U120"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0" s="182" t="s">
        <v>55</v>
      </c>
      <c r="W120" s="198">
        <f>VLOOKUP(Table4[[#This Row],[Threat Event Initiation]],NIST_Scale_LOAI[],2,FALSE)</f>
        <v>0.5</v>
      </c>
      <c r="X12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0" s="49" t="s">
        <v>340</v>
      </c>
      <c r="AA120" s="187"/>
      <c r="AB120" s="206"/>
      <c r="AC120" s="187"/>
      <c r="AD120" s="187"/>
      <c r="AE120" s="187"/>
      <c r="AF120" s="196"/>
      <c r="AG120" s="196"/>
      <c r="AH120" s="196"/>
      <c r="AI120" s="196"/>
      <c r="AJ120" s="201"/>
      <c r="AK12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0" s="198" t="e">
        <f>(1 - ((1 - VLOOKUP(Table4[[#This Row],[ConfidentialityP]],'Reference - CVSSv3.0'!$B$15:$C$17,2,FALSE)) * (1 - VLOOKUP(Table4[[#This Row],[IntegrityP]],'Reference - CVSSv3.0'!$B$15:$C$17,2,FALSE)) *  (1 - VLOOKUP(Table4[[#This Row],[AvailabilityP]],'Reference - CVSSv3.0'!$B$15:$C$17,2,FALSE))))</f>
        <v>#N/A</v>
      </c>
      <c r="AM120" s="198" t="e">
        <f>IF(Table4[[#This Row],[ScopeP]]="Unchanged",6.42*Table4[[#This Row],[ISC BaseP]],IF(Table4[[#This Row],[ScopeP]]="Changed",7.52*(Table4[[#This Row],[ISC BaseP]] - 0.029) - 3.25 * POWER(Table4[[#This Row],[ISC BaseP]] - 0.02,15),NA()))</f>
        <v>#N/A</v>
      </c>
      <c r="AN12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0" s="187"/>
    </row>
    <row r="121" spans="1:44" ht="409.5" x14ac:dyDescent="0.25">
      <c r="A121" s="70">
        <v>117</v>
      </c>
      <c r="B121" s="182" t="s">
        <v>281</v>
      </c>
      <c r="C121" s="195" t="str">
        <f>IF(VLOOKUP(Table4[[#This Row],[T ID]],Table5[#All],5,FALSE)="No","Not in scope",VLOOKUP(Table4[[#This Row],[T ID]],Table5[#All],2,FALSE))</f>
        <v>TTP</v>
      </c>
      <c r="D121" s="210" t="s">
        <v>227</v>
      </c>
      <c r="E121" s="195" t="str">
        <f>IF(VLOOKUP(Table4[[#This Row],[V ID]],Vulnerabilities[#All],3,FALSE)="No","Not in scope",VLOOKUP(Table4[[#This Row],[V ID]],Vulnerabilities[#All],2,FALSE))</f>
        <v>The password complexity or location vulnerability. Like weak passwords and hardcoded passwords.</v>
      </c>
      <c r="F121" s="42" t="s">
        <v>117</v>
      </c>
      <c r="G121" s="195" t="str">
        <f>VLOOKUP(Table4[[#This Row],[A ID]],Assets[#All],3,FALSE)</f>
        <v>Interface/API Communication</v>
      </c>
      <c r="H121" s="49" t="s">
        <v>300</v>
      </c>
      <c r="I121" s="49"/>
      <c r="J121" s="87" t="s">
        <v>65</v>
      </c>
      <c r="K121" s="87" t="s">
        <v>65</v>
      </c>
      <c r="L121" s="87" t="s">
        <v>56</v>
      </c>
      <c r="M121" s="196" t="s">
        <v>80</v>
      </c>
      <c r="N121" s="157" t="s">
        <v>65</v>
      </c>
      <c r="O121" s="157" t="s">
        <v>65</v>
      </c>
      <c r="P121" s="196" t="s">
        <v>76</v>
      </c>
      <c r="Q121" s="196" t="s">
        <v>74</v>
      </c>
      <c r="R12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1" s="198">
        <f>(1 - ((1 - VLOOKUP(Table4[[#This Row],[Confidentiality]],'Reference - CVSSv3.0'!$B$15:$C$17,2,FALSE)) * (1 - VLOOKUP(Table4[[#This Row],[Integrity]],'Reference - CVSSv3.0'!$B$15:$C$17,2,FALSE)) *  (1 - VLOOKUP(Table4[[#This Row],[Availability]],'Reference - CVSSv3.0'!$B$15:$C$17,2,FALSE))))</f>
        <v>0.84899199999999997</v>
      </c>
      <c r="T121" s="198">
        <f>IF(Table4[[#This Row],[Scope]]="Unchanged",6.42*Table4[[#This Row],[ISC Base]],IF(Table4[[#This Row],[Scope]]="Changed",7.52*(Table4[[#This Row],[ISC Base]] - 0.029) - 3.25 * POWER(Table4[[#This Row],[ISC Base]] - 0.02,15),NA()))</f>
        <v>5.4505286399999999</v>
      </c>
      <c r="U121"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1" s="182" t="s">
        <v>55</v>
      </c>
      <c r="W121" s="198">
        <f>VLOOKUP(Table4[[#This Row],[Threat Event Initiation]],NIST_Scale_LOAI[],2,FALSE)</f>
        <v>0.5</v>
      </c>
      <c r="X12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1" s="225" t="s">
        <v>321</v>
      </c>
      <c r="AA121" s="187"/>
      <c r="AB121" s="206"/>
      <c r="AC121" s="187"/>
      <c r="AD121" s="187"/>
      <c r="AE121" s="187"/>
      <c r="AF121" s="196"/>
      <c r="AG121" s="196"/>
      <c r="AH121" s="196"/>
      <c r="AI121" s="196"/>
      <c r="AJ121" s="201"/>
      <c r="AK12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1" s="198" t="e">
        <f>(1 - ((1 - VLOOKUP(Table4[[#This Row],[ConfidentialityP]],'Reference - CVSSv3.0'!$B$15:$C$17,2,FALSE)) * (1 - VLOOKUP(Table4[[#This Row],[IntegrityP]],'Reference - CVSSv3.0'!$B$15:$C$17,2,FALSE)) *  (1 - VLOOKUP(Table4[[#This Row],[AvailabilityP]],'Reference - CVSSv3.0'!$B$15:$C$17,2,FALSE))))</f>
        <v>#N/A</v>
      </c>
      <c r="AM121" s="198" t="e">
        <f>IF(Table4[[#This Row],[ScopeP]]="Unchanged",6.42*Table4[[#This Row],[ISC BaseP]],IF(Table4[[#This Row],[ScopeP]]="Changed",7.52*(Table4[[#This Row],[ISC BaseP]] - 0.029) - 3.25 * POWER(Table4[[#This Row],[ISC BaseP]] - 0.02,15),NA()))</f>
        <v>#N/A</v>
      </c>
      <c r="AN12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1" s="187"/>
    </row>
    <row r="122" spans="1:44" ht="409.5" x14ac:dyDescent="0.25">
      <c r="A122" s="70">
        <v>118</v>
      </c>
      <c r="B122" s="182" t="s">
        <v>281</v>
      </c>
      <c r="C122" s="195" t="str">
        <f>IF(VLOOKUP(Table4[[#This Row],[T ID]],Table5[#All],5,FALSE)="No","Not in scope",VLOOKUP(Table4[[#This Row],[T ID]],Table5[#All],2,FALSE))</f>
        <v>TTP</v>
      </c>
      <c r="D122" s="210" t="s">
        <v>227</v>
      </c>
      <c r="E122" s="195" t="str">
        <f>IF(VLOOKUP(Table4[[#This Row],[V ID]],Vulnerabilities[#All],3,FALSE)="No","Not in scope",VLOOKUP(Table4[[#This Row],[V ID]],Vulnerabilities[#All],2,FALSE))</f>
        <v>The password complexity or location vulnerability. Like weak passwords and hardcoded passwords.</v>
      </c>
      <c r="F122" s="42" t="s">
        <v>107</v>
      </c>
      <c r="G122" s="195" t="str">
        <f>VLOOKUP(Table4[[#This Row],[A ID]],Assets[#All],3,FALSE)</f>
        <v>Smart medic app (Stryker Azure Cloud Web Application)</v>
      </c>
      <c r="H122" s="49" t="s">
        <v>300</v>
      </c>
      <c r="I122" s="49"/>
      <c r="J122" s="87" t="s">
        <v>65</v>
      </c>
      <c r="K122" s="87" t="s">
        <v>65</v>
      </c>
      <c r="L122" s="87" t="s">
        <v>56</v>
      </c>
      <c r="M122" s="196" t="s">
        <v>80</v>
      </c>
      <c r="N122" s="157" t="s">
        <v>65</v>
      </c>
      <c r="O122" s="157" t="s">
        <v>65</v>
      </c>
      <c r="P122" s="196" t="s">
        <v>76</v>
      </c>
      <c r="Q122" s="196" t="s">
        <v>74</v>
      </c>
      <c r="R12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2" s="198">
        <f>(1 - ((1 - VLOOKUP(Table4[[#This Row],[Confidentiality]],'Reference - CVSSv3.0'!$B$15:$C$17,2,FALSE)) * (1 - VLOOKUP(Table4[[#This Row],[Integrity]],'Reference - CVSSv3.0'!$B$15:$C$17,2,FALSE)) *  (1 - VLOOKUP(Table4[[#This Row],[Availability]],'Reference - CVSSv3.0'!$B$15:$C$17,2,FALSE))))</f>
        <v>0.84899199999999997</v>
      </c>
      <c r="T122" s="198">
        <f>IF(Table4[[#This Row],[Scope]]="Unchanged",6.42*Table4[[#This Row],[ISC Base]],IF(Table4[[#This Row],[Scope]]="Changed",7.52*(Table4[[#This Row],[ISC Base]] - 0.029) - 3.25 * POWER(Table4[[#This Row],[ISC Base]] - 0.02,15),NA()))</f>
        <v>5.4505286399999999</v>
      </c>
      <c r="U122"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2" s="182" t="s">
        <v>55</v>
      </c>
      <c r="W122" s="198">
        <f>VLOOKUP(Table4[[#This Row],[Threat Event Initiation]],NIST_Scale_LOAI[],2,FALSE)</f>
        <v>0.5</v>
      </c>
      <c r="X12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2" s="225" t="s">
        <v>342</v>
      </c>
      <c r="AA122" s="187"/>
      <c r="AB122" s="206"/>
      <c r="AC122" s="187"/>
      <c r="AD122" s="187"/>
      <c r="AE122" s="187"/>
      <c r="AF122" s="196"/>
      <c r="AG122" s="196"/>
      <c r="AH122" s="196"/>
      <c r="AI122" s="196"/>
      <c r="AJ122" s="201"/>
      <c r="AK12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2" s="198" t="e">
        <f>(1 - ((1 - VLOOKUP(Table4[[#This Row],[ConfidentialityP]],'Reference - CVSSv3.0'!$B$15:$C$17,2,FALSE)) * (1 - VLOOKUP(Table4[[#This Row],[IntegrityP]],'Reference - CVSSv3.0'!$B$15:$C$17,2,FALSE)) *  (1 - VLOOKUP(Table4[[#This Row],[AvailabilityP]],'Reference - CVSSv3.0'!$B$15:$C$17,2,FALSE))))</f>
        <v>#N/A</v>
      </c>
      <c r="AM122" s="198" t="e">
        <f>IF(Table4[[#This Row],[ScopeP]]="Unchanged",6.42*Table4[[#This Row],[ISC BaseP]],IF(Table4[[#This Row],[ScopeP]]="Changed",7.52*(Table4[[#This Row],[ISC BaseP]] - 0.029) - 3.25 * POWER(Table4[[#This Row],[ISC BaseP]] - 0.02,15),NA()))</f>
        <v>#N/A</v>
      </c>
      <c r="AN12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2" s="187"/>
    </row>
    <row r="123" spans="1:44" ht="409.5" x14ac:dyDescent="0.25">
      <c r="A123" s="70">
        <v>119</v>
      </c>
      <c r="B123" s="182" t="s">
        <v>281</v>
      </c>
      <c r="C123" s="195" t="str">
        <f>IF(VLOOKUP(Table4[[#This Row],[T ID]],Table5[#All],5,FALSE)="No","Not in scope",VLOOKUP(Table4[[#This Row],[T ID]],Table5[#All],2,FALSE))</f>
        <v>TTP</v>
      </c>
      <c r="D123" s="210" t="s">
        <v>227</v>
      </c>
      <c r="E123" s="195" t="str">
        <f>IF(VLOOKUP(Table4[[#This Row],[V ID]],Vulnerabilities[#All],3,FALSE)="No","Not in scope",VLOOKUP(Table4[[#This Row],[V ID]],Vulnerabilities[#All],2,FALSE))</f>
        <v>The password complexity or location vulnerability. Like weak passwords and hardcoded passwords.</v>
      </c>
      <c r="F123" s="216" t="s">
        <v>109</v>
      </c>
      <c r="G123" s="195" t="str">
        <f>VLOOKUP(Table4[[#This Row],[A ID]],Assets[#All],3,FALSE)</f>
        <v>Azure Cloud DataBase</v>
      </c>
      <c r="H123" s="49" t="s">
        <v>300</v>
      </c>
      <c r="I123" s="49"/>
      <c r="J123" s="87" t="s">
        <v>65</v>
      </c>
      <c r="K123" s="87" t="s">
        <v>65</v>
      </c>
      <c r="L123" s="87" t="s">
        <v>56</v>
      </c>
      <c r="M123" s="196" t="s">
        <v>80</v>
      </c>
      <c r="N123" s="157" t="s">
        <v>65</v>
      </c>
      <c r="O123" s="157" t="s">
        <v>65</v>
      </c>
      <c r="P123" s="196" t="s">
        <v>76</v>
      </c>
      <c r="Q123" s="196" t="s">
        <v>74</v>
      </c>
      <c r="R12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3" s="198">
        <f>(1 - ((1 - VLOOKUP(Table4[[#This Row],[Confidentiality]],'Reference - CVSSv3.0'!$B$15:$C$17,2,FALSE)) * (1 - VLOOKUP(Table4[[#This Row],[Integrity]],'Reference - CVSSv3.0'!$B$15:$C$17,2,FALSE)) *  (1 - VLOOKUP(Table4[[#This Row],[Availability]],'Reference - CVSSv3.0'!$B$15:$C$17,2,FALSE))))</f>
        <v>0.84899199999999997</v>
      </c>
      <c r="T123" s="198">
        <f>IF(Table4[[#This Row],[Scope]]="Unchanged",6.42*Table4[[#This Row],[ISC Base]],IF(Table4[[#This Row],[Scope]]="Changed",7.52*(Table4[[#This Row],[ISC Base]] - 0.029) - 3.25 * POWER(Table4[[#This Row],[ISC Base]] - 0.02,15),NA()))</f>
        <v>5.4505286399999999</v>
      </c>
      <c r="U123"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3" s="182" t="s">
        <v>55</v>
      </c>
      <c r="W123" s="198">
        <f>VLOOKUP(Table4[[#This Row],[Threat Event Initiation]],NIST_Scale_LOAI[],2,FALSE)</f>
        <v>0.5</v>
      </c>
      <c r="X12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3" s="225" t="s">
        <v>343</v>
      </c>
      <c r="AA123" s="187"/>
      <c r="AB123" s="206"/>
      <c r="AC123" s="187"/>
      <c r="AD123" s="187"/>
      <c r="AE123" s="187"/>
      <c r="AF123" s="196"/>
      <c r="AG123" s="196"/>
      <c r="AH123" s="196"/>
      <c r="AI123" s="196"/>
      <c r="AJ123" s="201"/>
      <c r="AK12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3" s="198" t="e">
        <f>(1 - ((1 - VLOOKUP(Table4[[#This Row],[ConfidentialityP]],'Reference - CVSSv3.0'!$B$15:$C$17,2,FALSE)) * (1 - VLOOKUP(Table4[[#This Row],[IntegrityP]],'Reference - CVSSv3.0'!$B$15:$C$17,2,FALSE)) *  (1 - VLOOKUP(Table4[[#This Row],[AvailabilityP]],'Reference - CVSSv3.0'!$B$15:$C$17,2,FALSE))))</f>
        <v>#N/A</v>
      </c>
      <c r="AM123" s="198" t="e">
        <f>IF(Table4[[#This Row],[ScopeP]]="Unchanged",6.42*Table4[[#This Row],[ISC BaseP]],IF(Table4[[#This Row],[ScopeP]]="Changed",7.52*(Table4[[#This Row],[ISC BaseP]] - 0.029) - 3.25 * POWER(Table4[[#This Row],[ISC BaseP]] - 0.02,15),NA()))</f>
        <v>#N/A</v>
      </c>
      <c r="AN12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3" s="187"/>
    </row>
    <row r="124" spans="1:44" ht="409.5" x14ac:dyDescent="0.25">
      <c r="A124" s="70">
        <v>120</v>
      </c>
      <c r="B124" s="182" t="s">
        <v>281</v>
      </c>
      <c r="C124" s="195" t="str">
        <f>IF(VLOOKUP(Table4[[#This Row],[T ID]],Table5[#All],5,FALSE)="No","Not in scope",VLOOKUP(Table4[[#This Row],[T ID]],Table5[#All],2,FALSE))</f>
        <v>TTP</v>
      </c>
      <c r="D124" s="210" t="s">
        <v>227</v>
      </c>
      <c r="E124" s="195" t="str">
        <f>IF(VLOOKUP(Table4[[#This Row],[V ID]],Vulnerabilities[#All],3,FALSE)="No","Not in scope",VLOOKUP(Table4[[#This Row],[V ID]],Vulnerabilities[#All],2,FALSE))</f>
        <v>The password complexity or location vulnerability. Like weak passwords and hardcoded passwords.</v>
      </c>
      <c r="F124" s="216" t="s">
        <v>108</v>
      </c>
      <c r="G124" s="195" t="str">
        <f>VLOOKUP(Table4[[#This Row],[A ID]],Assets[#All],3,FALSE)</f>
        <v>Smart medic app (Azure Portal Administrator)</v>
      </c>
      <c r="H124" s="49" t="s">
        <v>300</v>
      </c>
      <c r="I124" s="49"/>
      <c r="J124" s="87" t="s">
        <v>65</v>
      </c>
      <c r="K124" s="87" t="s">
        <v>65</v>
      </c>
      <c r="L124" s="87" t="s">
        <v>56</v>
      </c>
      <c r="M124" s="196" t="s">
        <v>80</v>
      </c>
      <c r="N124" s="157" t="s">
        <v>65</v>
      </c>
      <c r="O124" s="157" t="s">
        <v>65</v>
      </c>
      <c r="P124" s="196" t="s">
        <v>76</v>
      </c>
      <c r="Q124" s="196" t="s">
        <v>74</v>
      </c>
      <c r="R12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4" s="198">
        <f>(1 - ((1 - VLOOKUP(Table4[[#This Row],[Confidentiality]],'Reference - CVSSv3.0'!$B$15:$C$17,2,FALSE)) * (1 - VLOOKUP(Table4[[#This Row],[Integrity]],'Reference - CVSSv3.0'!$B$15:$C$17,2,FALSE)) *  (1 - VLOOKUP(Table4[[#This Row],[Availability]],'Reference - CVSSv3.0'!$B$15:$C$17,2,FALSE))))</f>
        <v>0.84899199999999997</v>
      </c>
      <c r="T124" s="198">
        <f>IF(Table4[[#This Row],[Scope]]="Unchanged",6.42*Table4[[#This Row],[ISC Base]],IF(Table4[[#This Row],[Scope]]="Changed",7.52*(Table4[[#This Row],[ISC Base]] - 0.029) - 3.25 * POWER(Table4[[#This Row],[ISC Base]] - 0.02,15),NA()))</f>
        <v>5.4505286399999999</v>
      </c>
      <c r="U124"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4" s="182" t="s">
        <v>55</v>
      </c>
      <c r="W124" s="198">
        <f>VLOOKUP(Table4[[#This Row],[Threat Event Initiation]],NIST_Scale_LOAI[],2,FALSE)</f>
        <v>0.5</v>
      </c>
      <c r="X12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4" s="49" t="s">
        <v>344</v>
      </c>
      <c r="AA124" s="187"/>
      <c r="AB124" s="206"/>
      <c r="AC124" s="187"/>
      <c r="AD124" s="187"/>
      <c r="AE124" s="187"/>
      <c r="AF124" s="196"/>
      <c r="AG124" s="196"/>
      <c r="AH124" s="196"/>
      <c r="AI124" s="196"/>
      <c r="AJ124" s="201"/>
      <c r="AK12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4" s="198" t="e">
        <f>(1 - ((1 - VLOOKUP(Table4[[#This Row],[ConfidentialityP]],'Reference - CVSSv3.0'!$B$15:$C$17,2,FALSE)) * (1 - VLOOKUP(Table4[[#This Row],[IntegrityP]],'Reference - CVSSv3.0'!$B$15:$C$17,2,FALSE)) *  (1 - VLOOKUP(Table4[[#This Row],[AvailabilityP]],'Reference - CVSSv3.0'!$B$15:$C$17,2,FALSE))))</f>
        <v>#N/A</v>
      </c>
      <c r="AM124" s="198" t="e">
        <f>IF(Table4[[#This Row],[ScopeP]]="Unchanged",6.42*Table4[[#This Row],[ISC BaseP]],IF(Table4[[#This Row],[ScopeP]]="Changed",7.52*(Table4[[#This Row],[ISC BaseP]] - 0.029) - 3.25 * POWER(Table4[[#This Row],[ISC BaseP]] - 0.02,15),NA()))</f>
        <v>#N/A</v>
      </c>
      <c r="AN12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4" s="187"/>
    </row>
    <row r="127" spans="1:44" x14ac:dyDescent="0.25">
      <c r="Z127" s="49"/>
    </row>
  </sheetData>
  <mergeCells count="4">
    <mergeCell ref="AC3:AQ3"/>
    <mergeCell ref="Z3:AB3"/>
    <mergeCell ref="F3:I3"/>
    <mergeCell ref="J3:Y3"/>
  </mergeCells>
  <conditionalFormatting sqref="Y5:Y124 AP5:AP48">
    <cfRule type="cellIs" dxfId="142" priority="26" operator="equal">
      <formula>"Critical"</formula>
    </cfRule>
    <cfRule type="cellIs" dxfId="141" priority="27" operator="equal">
      <formula>"HIGH"</formula>
    </cfRule>
    <cfRule type="cellIs" dxfId="140" priority="28" operator="equal">
      <formula>"Medium"</formula>
    </cfRule>
    <cfRule type="cellIs" dxfId="139" priority="29" operator="equal">
      <formula>"None"</formula>
    </cfRule>
    <cfRule type="cellIs" dxfId="138"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dataValidation allowBlank="1" showInputMessage="1" showErrorMessage="1" prompt="This metric measures the impact to integrity of a successfully exploited vulnerability. Integrity refers to the trustworthiness and veracity of information." sqref="K4 AD4"/>
    <dataValidation allowBlank="1" showInputMessage="1" showErrorMessage="1" prompt="This metric measures the impact to the confidentiality of the information resources managed by a software component due to a successfully exploited vulnerability. " sqref="J4 AC4"/>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dataValidation allowBlank="1" showInputMessage="1" showErrorMessage="1" prompt="This metric describes the conditions beyond the attacker's control that must exist in order to exploit the vulnerability. The metric is largest for the least complex attacks." sqref="N4 AG4"/>
    <dataValidation allowBlank="1" showInputMessage="1" showErrorMessage="1" prompt="This metric describes the level of privileges an attacker must possess before successfully exploiting the vulnerability. This metric is largest if no privileges are required." sqref="O4 AH4"/>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dataValidation allowBlank="1" showInputMessage="1" showErrorMessage="1" prompt="A scope change is the ability for a vulnerability in one software component to impact resources beyond its means, or privilege." sqref="Q4 AJ4"/>
    <dataValidation allowBlank="1" showInputMessage="1" showErrorMessage="1" prompt="Threat event initiation is assessed by taking into consideration the characteristics of the threat sources of concern including capability, intent, and targeting." sqref="V4"/>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14:formula1>
            <xm:f>'Reference - CVSSv3.0'!$B$21:$B$23</xm:f>
          </x14:formula1>
          <xm:sqref>AJ5:AJ124 Q5:Q124</xm:sqref>
        </x14:dataValidation>
        <x14:dataValidation type="list" allowBlank="1" showInputMessage="1" showErrorMessage="1">
          <x14:formula1>
            <xm:f>'Reference - CVSSv3.0'!$B$15:$B$18</xm:f>
          </x14:formula1>
          <xm:sqref>J5:L124 AC5:AE124</xm:sqref>
        </x14:dataValidation>
        <x14:dataValidation type="list" allowBlank="1" showInputMessage="1" showErrorMessage="1">
          <x14:formula1>
            <xm:f>'Reference - CVSSv3.0'!$B$6:$B$10</xm:f>
          </x14:formula1>
          <xm:sqref>M5:M124 AF5:AF124</xm:sqref>
        </x14:dataValidation>
        <x14:dataValidation type="list" allowBlank="1" showInputMessage="1" showErrorMessage="1">
          <x14:formula1>
            <xm:f>'Reference - CVSSv3.0'!$E$6:$E$8</xm:f>
          </x14:formula1>
          <xm:sqref>AG5:AG124 N5:O124</xm:sqref>
        </x14:dataValidation>
        <x14:dataValidation type="list" allowBlank="1" showInputMessage="1" showErrorMessage="1">
          <x14:formula1>
            <xm:f>'Reference - CVSSv3.0'!$H$6:$H$9</xm:f>
          </x14:formula1>
          <xm:sqref>AH5:AH124</xm:sqref>
        </x14:dataValidation>
        <x14:dataValidation type="list" allowBlank="1" showInputMessage="1" showErrorMessage="1">
          <x14:formula1>
            <xm:f>'Reference - CVSSv3.0'!$L$6:$L$8</xm:f>
          </x14:formula1>
          <xm:sqref>P5:P124 AI5:AI124</xm:sqref>
        </x14:dataValidation>
        <x14:dataValidation type="list" allowBlank="1" showInputMessage="1" showErrorMessage="1">
          <x14:formula1>
            <xm:f>'Reference - CVSSv3.0'!$Q$5:$Q$10</xm:f>
          </x14:formula1>
          <xm:sqref>V5:V124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2"/>
  <sheetViews>
    <sheetView topLeftCell="E1" zoomScaleNormal="100" workbookViewId="0">
      <selection activeCell="G1" sqref="G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09" customWidth="1"/>
    <col min="6" max="6" width="6.28515625" style="24" customWidth="1"/>
    <col min="7" max="7" width="28.7109375" style="24" customWidth="1"/>
    <col min="8" max="8" width="38" style="24" customWidth="1"/>
    <col min="9" max="9" width="25.42578125" style="24" customWidth="1"/>
    <col min="10" max="10" width="15" style="24" customWidth="1"/>
    <col min="11" max="11" width="35.7109375" style="24" customWidth="1"/>
    <col min="12" max="12" width="15" style="24" customWidth="1"/>
    <col min="13" max="13" width="36.85546875" style="24" customWidth="1"/>
    <col min="14" max="16384" width="9.140625" style="24"/>
  </cols>
  <sheetData>
    <row r="1" spans="1:14" s="53" customFormat="1" x14ac:dyDescent="0.25">
      <c r="A1" s="31" t="s">
        <v>192</v>
      </c>
      <c r="B1" s="75"/>
      <c r="C1" s="75"/>
      <c r="D1" s="75"/>
      <c r="E1" s="79"/>
      <c r="F1" s="75"/>
      <c r="G1" s="75"/>
      <c r="H1" s="75"/>
      <c r="I1" s="75"/>
      <c r="J1" s="75"/>
      <c r="K1" s="75"/>
      <c r="L1" s="75"/>
      <c r="M1" s="75"/>
      <c r="N1"/>
    </row>
    <row r="2" spans="1:14" s="53" customFormat="1" x14ac:dyDescent="0.25">
      <c r="A2" s="31"/>
      <c r="B2" s="75"/>
      <c r="C2" s="75"/>
      <c r="D2" s="75"/>
      <c r="E2" s="79"/>
      <c r="F2" s="75"/>
      <c r="G2" s="75"/>
      <c r="H2" s="75"/>
      <c r="I2" s="75"/>
      <c r="J2" s="75"/>
      <c r="K2" s="75"/>
      <c r="L2" s="75"/>
      <c r="M2" s="75"/>
      <c r="N2"/>
    </row>
    <row r="3" spans="1:14" s="53" customFormat="1" x14ac:dyDescent="0.25">
      <c r="A3" s="31"/>
      <c r="B3" s="75"/>
      <c r="C3" s="75"/>
      <c r="D3" s="75"/>
      <c r="E3" s="79"/>
      <c r="F3" s="75"/>
      <c r="G3" s="75"/>
      <c r="H3" s="75"/>
      <c r="I3" s="75"/>
      <c r="J3" s="75"/>
      <c r="K3" s="75"/>
      <c r="L3" s="75"/>
      <c r="M3" s="75"/>
      <c r="N3"/>
    </row>
    <row r="4" spans="1:14" s="53" customFormat="1" ht="28.5" x14ac:dyDescent="0.25">
      <c r="A4" s="169" t="s">
        <v>1</v>
      </c>
      <c r="B4" s="170" t="s">
        <v>123</v>
      </c>
      <c r="C4" s="171" t="s">
        <v>2</v>
      </c>
      <c r="D4" s="172" t="s">
        <v>122</v>
      </c>
      <c r="E4" s="173" t="s">
        <v>14</v>
      </c>
      <c r="F4" s="174" t="s">
        <v>124</v>
      </c>
      <c r="G4" s="175" t="s">
        <v>191</v>
      </c>
      <c r="H4" s="175" t="s">
        <v>6</v>
      </c>
      <c r="I4" s="176" t="s">
        <v>162</v>
      </c>
      <c r="J4" s="177" t="s">
        <v>188</v>
      </c>
      <c r="K4" s="178" t="s">
        <v>190</v>
      </c>
      <c r="L4" s="179" t="s">
        <v>189</v>
      </c>
      <c r="M4" s="180" t="s">
        <v>4</v>
      </c>
      <c r="N4" s="2"/>
    </row>
    <row r="5" spans="1:14" s="53" customFormat="1" ht="71.25" x14ac:dyDescent="0.25">
      <c r="A5" s="69">
        <f>Table4[[#This Row],[
ID '#]]</f>
        <v>1</v>
      </c>
      <c r="B5" s="57" t="str">
        <f>IF(Table4[[#This Row],[T ID]]&gt;0,Table4[[#This Row],[T ID]],"")</f>
        <v>T01</v>
      </c>
      <c r="C5" s="49" t="str">
        <f>Table4[[#This Row],[Threat Event(s)]]</f>
        <v>CAPEC-185</v>
      </c>
      <c r="D5" s="59" t="str">
        <f>IF(Table4[[#This Row],[V ID]]&gt;0,Table4[[#This Row],[V ID]],"")</f>
        <v>V13</v>
      </c>
      <c r="E5" s="49" t="str">
        <f>Table4[[#This Row],[Vulnerabilities]]</f>
        <v>Unprotected external USB Port on the tablet/devices.</v>
      </c>
      <c r="F5" s="59" t="str">
        <f>IF(Table4[[#This Row],[A ID]]&gt;0,Table4[[#This Row],[A ID]],"")</f>
        <v>A01</v>
      </c>
      <c r="G5" s="49" t="str">
        <f>Table4[[#This Row],[Asset]]</f>
        <v>Tablet Resources - web cam, microphone, OTG devices, Removable USB, Tablet Application,</v>
      </c>
      <c r="H5" s="49" t="str">
        <f>IF(Table4[[#This Row],[Impact Description]]&gt;0,Table4[[#This Row],[Impact Description]],"")</f>
        <v xml:space="preserve">1) Malicious utilization of  computer resources 2) computing power  
3) denial of service attacks, 
4) ransomware attack 
5) Bitcoin mining, etc </v>
      </c>
      <c r="I5" s="59" t="str">
        <f>IF(Table4[[#This Row],[Safety Impact 
(Risk ID'# or N/A)]]&gt;0,Table4[[#This Row],[Safety Impact 
(Risk ID'# or N/A)]],"")</f>
        <v/>
      </c>
      <c r="J5" s="87" t="str">
        <f>Table4[[#This Row],[Security 
Risk 
Level]]</f>
        <v>LOW</v>
      </c>
      <c r="K5" s="59" t="str">
        <f>IF(Table4[[#This Row],[Security Risk Control Measures]]&gt;0,Table4[[#This Row],[Security Risk Control Measures]],"")</f>
        <v xml:space="preserve">▪Asset should be behind stateful firewall
•  Use secure tunnel communications channel </v>
      </c>
      <c r="L5" s="87" t="str">
        <f>Table4[[#This Row],[Security Risk LevelP]]</f>
        <v>LOW</v>
      </c>
      <c r="M5" s="59" t="str">
        <f>IF(Table4[[#This Row],[Residual Security Risk Acceptability Justification]]&gt;0,Table4[[#This Row],[Residual Security Risk Acceptability Justification]],"")</f>
        <v xml:space="preserve"> </v>
      </c>
      <c r="N5"/>
    </row>
    <row r="6" spans="1:14" s="53" customFormat="1" ht="71.25" x14ac:dyDescent="0.25">
      <c r="A6" s="203">
        <f>Table4[[#This Row],[
ID '#]]</f>
        <v>2</v>
      </c>
      <c r="B6" s="57" t="str">
        <f>IF(Table4[[#This Row],[T ID]]&gt;0,Table4[[#This Row],[T ID]],"")</f>
        <v>T01</v>
      </c>
      <c r="C6" s="195" t="str">
        <f>Table4[[#This Row],[Threat Event(s)]]</f>
        <v>CAPEC-185</v>
      </c>
      <c r="D6" s="204" t="str">
        <f>IF(Table4[[#This Row],[V ID]]&gt;0,Table4[[#This Row],[V ID]],"")</f>
        <v>V13</v>
      </c>
      <c r="E6" s="195" t="str">
        <f>Table4[[#This Row],[Vulnerabilities]]</f>
        <v>Unprotected external USB Port on the tablet/devices.</v>
      </c>
      <c r="F6" s="205" t="str">
        <f>IF(Table4[[#This Row],[A ID]]&gt;0,Table4[[#This Row],[A ID]],"")</f>
        <v>A03</v>
      </c>
      <c r="G6" s="195" t="str">
        <f>Table4[[#This Row],[Asset]]</f>
        <v>Smart medic (Stryker device) System Component</v>
      </c>
      <c r="H6" s="208" t="str">
        <f>IF(Table4[[#This Row],[Impact Description]]&gt;0,Table4[[#This Row],[Impact Description]],"")</f>
        <v xml:space="preserve">1) Malicious utilization of  computer resources 2) computing power  
3) denial of service attacks, 
4) ransomware attack 
5) Bitcoin mining, etc </v>
      </c>
      <c r="I6" s="204" t="str">
        <f>IF(Table4[[#This Row],[Safety Impact 
(Risk ID'# or N/A)]]&gt;0,Table4[[#This Row],[Safety Impact 
(Risk ID'# or N/A)]],"")</f>
        <v/>
      </c>
      <c r="J6" s="199" t="str">
        <f>Table4[[#This Row],[Security 
Risk 
Level]]</f>
        <v>LOW</v>
      </c>
      <c r="K6" s="204" t="str">
        <f>IF(Table4[[#This Row],[Security Risk Control Measures]]&gt;0,Table4[[#This Row],[Security Risk Control Measures]],"")</f>
        <v xml:space="preserve">▪Asset should be behind stateful firewall
•  Use secure tunnel communications channel </v>
      </c>
      <c r="L6" s="202" t="str">
        <f>Table4[[#This Row],[Security Risk LevelP]]</f>
        <v/>
      </c>
      <c r="M6" s="204" t="str">
        <f>IF(Table4[[#This Row],[Residual Security Risk Acceptability Justification]]&gt;0,Table4[[#This Row],[Residual Security Risk Acceptability Justification]],"")</f>
        <v/>
      </c>
      <c r="N6"/>
    </row>
    <row r="7" spans="1:14" s="53" customFormat="1" ht="71.25" x14ac:dyDescent="0.25">
      <c r="A7" s="69">
        <f>Table4[[#This Row],[
ID '#]]</f>
        <v>3</v>
      </c>
      <c r="B7" s="57" t="str">
        <f>IF(Table4[[#This Row],[T ID]]&gt;0,Table4[[#This Row],[T ID]],"")</f>
        <v>T01</v>
      </c>
      <c r="C7" s="49" t="str">
        <f>Table4[[#This Row],[Threat Event(s)]]</f>
        <v>CAPEC-185</v>
      </c>
      <c r="D7" s="59" t="str">
        <f>IF(Table4[[#This Row],[V ID]]&gt;0,Table4[[#This Row],[V ID]],"")</f>
        <v>V02</v>
      </c>
      <c r="E7" s="49" t="str">
        <f>Table4[[#This Row],[Vulnerabilities]]</f>
        <v>Lack of  Strong Guidelines Password Policy</v>
      </c>
      <c r="F7" s="59" t="str">
        <f>IF(Table4[[#This Row],[A ID]]&gt;0,Table4[[#This Row],[A ID]],"")</f>
        <v>A03</v>
      </c>
      <c r="G7" s="49" t="str">
        <f>Table4[[#This Row],[Asset]]</f>
        <v>Smart medic (Stryker device) System Component</v>
      </c>
      <c r="H7" s="49" t="str">
        <f>IF(Table4[[#This Row],[Impact Description]]&gt;0,Table4[[#This Row],[Impact Description]],"")</f>
        <v xml:space="preserve">1) Malicious utilization of  computer resources 2) computing power  
3) denial of service attacks, 
4) ransomware attack 
5) Bitcoin mining, etc </v>
      </c>
      <c r="I7" s="59" t="str">
        <f>IF(Table4[[#This Row],[Safety Impact 
(Risk ID'# or N/A)]]&gt;0,Table4[[#This Row],[Safety Impact 
(Risk ID'# or N/A)]],"")</f>
        <v/>
      </c>
      <c r="J7" s="87" t="str">
        <f>Table4[[#This Row],[Security 
Risk 
Level]]</f>
        <v>LOW</v>
      </c>
      <c r="K7" s="59" t="str">
        <f>IF(Table4[[#This Row],[Security Risk Control Measures]]&gt;0,Table4[[#This Row],[Security Risk Control Measures]],"")</f>
        <v xml:space="preserve">▪Asset should be behind stateful firewall
•  Use secure tunnel communications channel </v>
      </c>
      <c r="L7" s="87" t="str">
        <f>Table4[[#This Row],[Security Risk LevelP]]</f>
        <v/>
      </c>
      <c r="M7" s="59" t="str">
        <f>IF(Table4[[#This Row],[Residual Security Risk Acceptability Justification]]&gt;0,Table4[[#This Row],[Residual Security Risk Acceptability Justification]],"")</f>
        <v/>
      </c>
      <c r="N7"/>
    </row>
    <row r="8" spans="1:14" s="53" customFormat="1" ht="71.25" x14ac:dyDescent="0.25">
      <c r="A8" s="203">
        <f>Table4[[#This Row],[
ID '#]]</f>
        <v>4</v>
      </c>
      <c r="B8" s="57" t="str">
        <f>IF(Table4[[#This Row],[T ID]]&gt;0,Table4[[#This Row],[T ID]],"")</f>
        <v>T01</v>
      </c>
      <c r="C8" s="195" t="str">
        <f>Table4[[#This Row],[Threat Event(s)]]</f>
        <v>CAPEC-185</v>
      </c>
      <c r="D8" s="204" t="str">
        <f>IF(Table4[[#This Row],[V ID]]&gt;0,Table4[[#This Row],[V ID]],"")</f>
        <v>V02</v>
      </c>
      <c r="E8" s="195" t="str">
        <f>Table4[[#This Row],[Vulnerabilities]]</f>
        <v>Lack of  Strong Guidelines Password Policy</v>
      </c>
      <c r="F8" s="205" t="str">
        <f>IF(Table4[[#This Row],[A ID]]&gt;0,Table4[[#This Row],[A ID]],"")</f>
        <v>A01</v>
      </c>
      <c r="G8" s="195" t="str">
        <f>Table4[[#This Row],[Asset]]</f>
        <v>Tablet Resources - web cam, microphone, OTG devices, Removable USB, Tablet Application,</v>
      </c>
      <c r="H8" s="208" t="str">
        <f>IF(Table4[[#This Row],[Impact Description]]&gt;0,Table4[[#This Row],[Impact Description]],"")</f>
        <v xml:space="preserve">1) Malicious utilization of  computer resources 2) computing power  
3) denial of service attacks, 
4) ransomware attack 
5) Bitcoin mining, etc </v>
      </c>
      <c r="I8" s="204" t="str">
        <f>IF(Table4[[#This Row],[Safety Impact 
(Risk ID'# or N/A)]]&gt;0,Table4[[#This Row],[Safety Impact 
(Risk ID'# or N/A)]],"")</f>
        <v/>
      </c>
      <c r="J8" s="199" t="str">
        <f>Table4[[#This Row],[Security 
Risk 
Level]]</f>
        <v>LOW</v>
      </c>
      <c r="K8" s="204" t="str">
        <f>IF(Table4[[#This Row],[Security Risk Control Measures]]&gt;0,Table4[[#This Row],[Security Risk Control Measures]],"")</f>
        <v xml:space="preserve">▪Asset should be behind stateful firewall
•  Use secure tunnel communications channel </v>
      </c>
      <c r="L8" s="202" t="str">
        <f>Table4[[#This Row],[Security Risk LevelP]]</f>
        <v/>
      </c>
      <c r="M8" s="204" t="str">
        <f>IF(Table4[[#This Row],[Residual Security Risk Acceptability Justification]]&gt;0,Table4[[#This Row],[Residual Security Risk Acceptability Justification]],"")</f>
        <v/>
      </c>
      <c r="N8"/>
    </row>
    <row r="9" spans="1:14" s="53" customFormat="1" ht="71.25" x14ac:dyDescent="0.25">
      <c r="A9" s="203">
        <f>Table4[[#This Row],[
ID '#]]</f>
        <v>5</v>
      </c>
      <c r="B9" s="57" t="str">
        <f>IF(Table4[[#This Row],[T ID]]&gt;0,Table4[[#This Row],[T ID]],"")</f>
        <v>T01</v>
      </c>
      <c r="C9" s="195" t="str">
        <f>Table4[[#This Row],[Threat Event(s)]]</f>
        <v>CAPEC-185</v>
      </c>
      <c r="D9" s="204" t="str">
        <f>IF(Table4[[#This Row],[V ID]]&gt;0,Table4[[#This Row],[V ID]],"")</f>
        <v>V22</v>
      </c>
      <c r="E9" s="195" t="str">
        <f>Table4[[#This Row],[Vulnerabilities]]</f>
        <v>InSecure Configuration for Software/OS on Mobile Devices, Laptops, Workstations, and Servers</v>
      </c>
      <c r="F9" s="205" t="str">
        <f>IF(Table4[[#This Row],[A ID]]&gt;0,Table4[[#This Row],[A ID]],"")</f>
        <v>A03</v>
      </c>
      <c r="G9" s="195" t="str">
        <f>Table4[[#This Row],[Asset]]</f>
        <v>Smart medic (Stryker device) System Component</v>
      </c>
      <c r="H9" s="208" t="str">
        <f>IF(Table4[[#This Row],[Impact Description]]&gt;0,Table4[[#This Row],[Impact Description]],"")</f>
        <v xml:space="preserve">1) Malicious utilization of  computer resources 2) computing power  
3) denial of service attacks, 
4) ransomware attack 
5) Bitcoin mining, etc </v>
      </c>
      <c r="I9" s="204" t="str">
        <f>IF(Table4[[#This Row],[Safety Impact 
(Risk ID'# or N/A)]]&gt;0,Table4[[#This Row],[Safety Impact 
(Risk ID'# or N/A)]],"")</f>
        <v/>
      </c>
      <c r="J9" s="199" t="str">
        <f>Table4[[#This Row],[Security 
Risk 
Level]]</f>
        <v>LOW</v>
      </c>
      <c r="K9" s="204" t="str">
        <f>IF(Table4[[#This Row],[Security Risk Control Measures]]&gt;0,Table4[[#This Row],[Security Risk Control Measures]],"")</f>
        <v xml:space="preserve">▪Asset should be behind stateful firewall
•  Use secure tunnel communications channel </v>
      </c>
      <c r="L9" s="202" t="str">
        <f>Table4[[#This Row],[Security Risk LevelP]]</f>
        <v/>
      </c>
      <c r="M9" s="204" t="str">
        <f>IF(Table4[[#This Row],[Residual Security Risk Acceptability Justification]]&gt;0,Table4[[#This Row],[Residual Security Risk Acceptability Justification]],"")</f>
        <v/>
      </c>
      <c r="N9"/>
    </row>
    <row r="10" spans="1:14" s="53" customFormat="1" ht="71.25" x14ac:dyDescent="0.25">
      <c r="A10" s="203">
        <f>Table4[[#This Row],[
ID '#]]</f>
        <v>6</v>
      </c>
      <c r="B10" s="57" t="str">
        <f>IF(Table4[[#This Row],[T ID]]&gt;0,Table4[[#This Row],[T ID]],"")</f>
        <v>T01</v>
      </c>
      <c r="C10" s="195" t="str">
        <f>Table4[[#This Row],[Threat Event(s)]]</f>
        <v>CAPEC-185</v>
      </c>
      <c r="D10" s="204" t="str">
        <f>IF(Table4[[#This Row],[V ID]]&gt;0,Table4[[#This Row],[V ID]],"")</f>
        <v>V22</v>
      </c>
      <c r="E10" s="195" t="str">
        <f>Table4[[#This Row],[Vulnerabilities]]</f>
        <v>InSecure Configuration for Software/OS on Mobile Devices, Laptops, Workstations, and Servers</v>
      </c>
      <c r="F10" s="205" t="str">
        <f>IF(Table4[[#This Row],[A ID]]&gt;0,Table4[[#This Row],[A ID]],"")</f>
        <v>A01</v>
      </c>
      <c r="G10" s="195" t="str">
        <f>Table4[[#This Row],[Asset]]</f>
        <v>Tablet Resources - web cam, microphone, OTG devices, Removable USB, Tablet Application,</v>
      </c>
      <c r="H10" s="208" t="str">
        <f>IF(Table4[[#This Row],[Impact Description]]&gt;0,Table4[[#This Row],[Impact Description]],"")</f>
        <v xml:space="preserve">1) Malicious utilization of  computer resources 2) computing power  
3) denial of service attacks, 
4) ransomware attack 
5) Bitcoin mining, etc </v>
      </c>
      <c r="I10" s="204" t="str">
        <f>IF(Table4[[#This Row],[Safety Impact 
(Risk ID'# or N/A)]]&gt;0,Table4[[#This Row],[Safety Impact 
(Risk ID'# or N/A)]],"")</f>
        <v/>
      </c>
      <c r="J10" s="199" t="str">
        <f>Table4[[#This Row],[Security 
Risk 
Level]]</f>
        <v>LOW</v>
      </c>
      <c r="K10" s="204" t="str">
        <f>IF(Table4[[#This Row],[Security Risk Control Measures]]&gt;0,Table4[[#This Row],[Security Risk Control Measures]],"")</f>
        <v xml:space="preserve">▪Asset should be behind stateful firewall
•  Use secure tunnel communications channel </v>
      </c>
      <c r="L10" s="202" t="str">
        <f>Table4[[#This Row],[Security Risk LevelP]]</f>
        <v/>
      </c>
      <c r="M10" s="204" t="str">
        <f>IF(Table4[[#This Row],[Residual Security Risk Acceptability Justification]]&gt;0,Table4[[#This Row],[Residual Security Risk Acceptability Justification]],"")</f>
        <v/>
      </c>
      <c r="N10"/>
    </row>
    <row r="11" spans="1:14" s="53" customFormat="1" ht="71.25" x14ac:dyDescent="0.25">
      <c r="A11" s="203">
        <f>Table4[[#This Row],[
ID '#]]</f>
        <v>7</v>
      </c>
      <c r="B11" s="57" t="str">
        <f>IF(Table4[[#This Row],[T ID]]&gt;0,Table4[[#This Row],[T ID]],"")</f>
        <v>T01</v>
      </c>
      <c r="C11" s="195" t="str">
        <f>Table4[[#This Row],[Threat Event(s)]]</f>
        <v>CAPEC-185</v>
      </c>
      <c r="D11" s="204" t="str">
        <f>IF(Table4[[#This Row],[V ID]]&gt;0,Table4[[#This Row],[V ID]],"")</f>
        <v>V08</v>
      </c>
      <c r="E11" s="195" t="str">
        <f>Table4[[#This Row],[Vulnerabilities]]</f>
        <v>Lack of configuration controls for IT assets in the informaion system plan</v>
      </c>
      <c r="F11" s="205" t="str">
        <f>IF(Table4[[#This Row],[A ID]]&gt;0,Table4[[#This Row],[A ID]],"")</f>
        <v>A05</v>
      </c>
      <c r="G11" s="195" t="str">
        <f>Table4[[#This Row],[Asset]]</f>
        <v>Device Maintainence tool (Hardware/Software)</v>
      </c>
      <c r="H11" s="208" t="str">
        <f>IF(Table4[[#This Row],[Impact Description]]&gt;0,Table4[[#This Row],[Impact Description]],"")</f>
        <v xml:space="preserve">1) Malicious utilization of  computer resources 2) computing power  
3) denial of service attacks, 
4) ransomware attack 
5) Bitcoin mining, etc </v>
      </c>
      <c r="I11" s="204" t="str">
        <f>IF(Table4[[#This Row],[Safety Impact 
(Risk ID'# or N/A)]]&gt;0,Table4[[#This Row],[Safety Impact 
(Risk ID'# or N/A)]],"")</f>
        <v/>
      </c>
      <c r="J11" s="199" t="str">
        <f>Table4[[#This Row],[Security 
Risk 
Level]]</f>
        <v>LOW</v>
      </c>
      <c r="K11" s="204" t="str">
        <f>IF(Table4[[#This Row],[Security Risk Control Measures]]&gt;0,Table4[[#This Row],[Security Risk Control Measures]],"")</f>
        <v xml:space="preserve">▪Asset should be behind stateful firewall
•  Use secure tunnel communications channel </v>
      </c>
      <c r="L11" s="202" t="str">
        <f>Table4[[#This Row],[Security Risk LevelP]]</f>
        <v/>
      </c>
      <c r="M11" s="204" t="str">
        <f>IF(Table4[[#This Row],[Residual Security Risk Acceptability Justification]]&gt;0,Table4[[#This Row],[Residual Security Risk Acceptability Justification]],"")</f>
        <v/>
      </c>
      <c r="N11"/>
    </row>
    <row r="12" spans="1:14" s="53" customFormat="1" ht="71.25" x14ac:dyDescent="0.25">
      <c r="A12" s="203">
        <f>Table4[[#This Row],[
ID '#]]</f>
        <v>8</v>
      </c>
      <c r="B12" s="57" t="str">
        <f>IF(Table4[[#This Row],[T ID]]&gt;0,Table4[[#This Row],[T ID]],"")</f>
        <v>T01</v>
      </c>
      <c r="C12" s="195" t="str">
        <f>Table4[[#This Row],[Threat Event(s)]]</f>
        <v>CAPEC-185</v>
      </c>
      <c r="D12" s="204" t="str">
        <f>IF(Table4[[#This Row],[V ID]]&gt;0,Table4[[#This Row],[V ID]],"")</f>
        <v>V08</v>
      </c>
      <c r="E12" s="195" t="str">
        <f>Table4[[#This Row],[Vulnerabilities]]</f>
        <v>Lack of configuration controls for IT assets in the informaion system plan</v>
      </c>
      <c r="F12" s="205" t="str">
        <f>IF(Table4[[#This Row],[A ID]]&gt;0,Table4[[#This Row],[A ID]],"")</f>
        <v>A01</v>
      </c>
      <c r="G12" s="195" t="str">
        <f>Table4[[#This Row],[Asset]]</f>
        <v>Tablet Resources - web cam, microphone, OTG devices, Removable USB, Tablet Application,</v>
      </c>
      <c r="H12" s="208" t="str">
        <f>IF(Table4[[#This Row],[Impact Description]]&gt;0,Table4[[#This Row],[Impact Description]],"")</f>
        <v xml:space="preserve">1) Malicious utilization of  computer resources 2) computing power  
3) denial of service attacks, 
4) ransomware attack 
5) Bitcoin mining, etc </v>
      </c>
      <c r="I12" s="204" t="str">
        <f>IF(Table4[[#This Row],[Safety Impact 
(Risk ID'# or N/A)]]&gt;0,Table4[[#This Row],[Safety Impact 
(Risk ID'# or N/A)]],"")</f>
        <v/>
      </c>
      <c r="J12" s="199" t="str">
        <f>Table4[[#This Row],[Security 
Risk 
Level]]</f>
        <v>LOW</v>
      </c>
      <c r="K12" s="204" t="str">
        <f>IF(Table4[[#This Row],[Security Risk Control Measures]]&gt;0,Table4[[#This Row],[Security Risk Control Measures]],"")</f>
        <v xml:space="preserve">▪Asset should be behind stateful firewall
•  Use secure tunnel communications channel </v>
      </c>
      <c r="L12" s="202" t="str">
        <f>Table4[[#This Row],[Security Risk LevelP]]</f>
        <v/>
      </c>
      <c r="M12" s="204" t="str">
        <f>IF(Table4[[#This Row],[Residual Security Risk Acceptability Justification]]&gt;0,Table4[[#This Row],[Residual Security Risk Acceptability Justification]],"")</f>
        <v/>
      </c>
      <c r="N12"/>
    </row>
    <row r="13" spans="1:14" s="53" customFormat="1" ht="71.25" x14ac:dyDescent="0.25">
      <c r="A13" s="203">
        <f>Table4[[#This Row],[
ID '#]]</f>
        <v>9</v>
      </c>
      <c r="B13" s="57" t="str">
        <f>IF(Table4[[#This Row],[T ID]]&gt;0,Table4[[#This Row],[T ID]],"")</f>
        <v>T01</v>
      </c>
      <c r="C13" s="195" t="str">
        <f>Table4[[#This Row],[Threat Event(s)]]</f>
        <v>CAPEC-185</v>
      </c>
      <c r="D13" s="204" t="str">
        <f>IF(Table4[[#This Row],[V ID]]&gt;0,Table4[[#This Row],[V ID]],"")</f>
        <v>V08</v>
      </c>
      <c r="E13" s="195" t="str">
        <f>Table4[[#This Row],[Vulnerabilities]]</f>
        <v>Lack of configuration controls for IT assets in the informaion system plan</v>
      </c>
      <c r="F13" s="205" t="str">
        <f>IF(Table4[[#This Row],[A ID]]&gt;0,Table4[[#This Row],[A ID]],"")</f>
        <v>A03</v>
      </c>
      <c r="G13" s="195" t="str">
        <f>Table4[[#This Row],[Asset]]</f>
        <v>Smart medic (Stryker device) System Component</v>
      </c>
      <c r="H13" s="208" t="str">
        <f>IF(Table4[[#This Row],[Impact Description]]&gt;0,Table4[[#This Row],[Impact Description]],"")</f>
        <v xml:space="preserve">1) Malicious utilization of  computer resources 2) computing power  
3) denial of service attacks, 
4) ransomware attack 
5) Bitcoin mining, etc </v>
      </c>
      <c r="I13" s="204" t="str">
        <f>IF(Table4[[#This Row],[Safety Impact 
(Risk ID'# or N/A)]]&gt;0,Table4[[#This Row],[Safety Impact 
(Risk ID'# or N/A)]],"")</f>
        <v/>
      </c>
      <c r="J13" s="199" t="str">
        <f>Table4[[#This Row],[Security 
Risk 
Level]]</f>
        <v>LOW</v>
      </c>
      <c r="K13" s="204" t="str">
        <f>IF(Table4[[#This Row],[Security Risk Control Measures]]&gt;0,Table4[[#This Row],[Security Risk Control Measures]],"")</f>
        <v xml:space="preserve">▪Asset should be behind stateful firewall
•  Use secure tunnel communications channel </v>
      </c>
      <c r="L13" s="202" t="str">
        <f>Table4[[#This Row],[Security Risk LevelP]]</f>
        <v/>
      </c>
      <c r="M13" s="204" t="str">
        <f>IF(Table4[[#This Row],[Residual Security Risk Acceptability Justification]]&gt;0,Table4[[#This Row],[Residual Security Risk Acceptability Justification]],"")</f>
        <v/>
      </c>
      <c r="N13"/>
    </row>
    <row r="14" spans="1:14" s="53" customFormat="1" ht="85.5" x14ac:dyDescent="0.25">
      <c r="A14" s="203">
        <f>Table4[[#This Row],[
ID '#]]</f>
        <v>10</v>
      </c>
      <c r="B14" s="57" t="str">
        <f>IF(Table4[[#This Row],[T ID]]&gt;0,Table4[[#This Row],[T ID]],"")</f>
        <v>T01</v>
      </c>
      <c r="C14" s="195" t="str">
        <f>Table4[[#This Row],[Threat Event(s)]]</f>
        <v>CAPEC-185</v>
      </c>
      <c r="D14" s="204" t="str">
        <f>IF(Table4[[#This Row],[V ID]]&gt;0,Table4[[#This Row],[V ID]],"")</f>
        <v>V09</v>
      </c>
      <c r="E14" s="195" t="str">
        <f>Table4[[#This Row],[Vulnerabilities]]</f>
        <v>Ineffective patch management of firware, OS and applications thoughout the information system plan</v>
      </c>
      <c r="F14" s="205" t="str">
        <f>IF(Table4[[#This Row],[A ID]]&gt;0,Table4[[#This Row],[A ID]],"")</f>
        <v>A05</v>
      </c>
      <c r="G14" s="195" t="str">
        <f>Table4[[#This Row],[Asset]]</f>
        <v>Device Maintainence tool (Hardware/Software)</v>
      </c>
      <c r="H14" s="208" t="str">
        <f>IF(Table4[[#This Row],[Impact Description]]&gt;0,Table4[[#This Row],[Impact Description]],"")</f>
        <v xml:space="preserve">1) Malicious utilization of  computer resources 2) computing power  
3) denial of service attacks, 
4) ransomware attack 
5) Bitcoin mining, etc </v>
      </c>
      <c r="I14" s="204" t="str">
        <f>IF(Table4[[#This Row],[Safety Impact 
(Risk ID'# or N/A)]]&gt;0,Table4[[#This Row],[Safety Impact 
(Risk ID'# or N/A)]],"")</f>
        <v/>
      </c>
      <c r="J14" s="199" t="str">
        <f>Table4[[#This Row],[Security 
Risk 
Level]]</f>
        <v>LOW</v>
      </c>
      <c r="K14" s="204" t="str">
        <f>IF(Table4[[#This Row],[Security Risk Control Measures]]&gt;0,Table4[[#This Row],[Security Risk Control Measures]],"")</f>
        <v xml:space="preserve">▪Asset should be behind stateful firewall
•  Use secure tunnel communications channel </v>
      </c>
      <c r="L14" s="202" t="str">
        <f>Table4[[#This Row],[Security Risk LevelP]]</f>
        <v/>
      </c>
      <c r="M14" s="204" t="str">
        <f>IF(Table4[[#This Row],[Residual Security Risk Acceptability Justification]]&gt;0,Table4[[#This Row],[Residual Security Risk Acceptability Justification]],"")</f>
        <v/>
      </c>
      <c r="N14"/>
    </row>
    <row r="15" spans="1:14" s="53" customFormat="1" ht="85.5" x14ac:dyDescent="0.25">
      <c r="A15" s="203">
        <f>Table4[[#This Row],[
ID '#]]</f>
        <v>11</v>
      </c>
      <c r="B15" s="57" t="str">
        <f>IF(Table4[[#This Row],[T ID]]&gt;0,Table4[[#This Row],[T ID]],"")</f>
        <v>T01</v>
      </c>
      <c r="C15" s="195" t="str">
        <f>Table4[[#This Row],[Threat Event(s)]]</f>
        <v>CAPEC-185</v>
      </c>
      <c r="D15" s="204" t="str">
        <f>IF(Table4[[#This Row],[V ID]]&gt;0,Table4[[#This Row],[V ID]],"")</f>
        <v>V09</v>
      </c>
      <c r="E15" s="195" t="str">
        <f>Table4[[#This Row],[Vulnerabilities]]</f>
        <v>Ineffective patch management of firware, OS and applications thoughout the information system plan</v>
      </c>
      <c r="F15" s="205" t="str">
        <f>IF(Table4[[#This Row],[A ID]]&gt;0,Table4[[#This Row],[A ID]],"")</f>
        <v>A01</v>
      </c>
      <c r="G15" s="195" t="str">
        <f>Table4[[#This Row],[Asset]]</f>
        <v>Tablet Resources - web cam, microphone, OTG devices, Removable USB, Tablet Application,</v>
      </c>
      <c r="H15" s="208" t="str">
        <f>IF(Table4[[#This Row],[Impact Description]]&gt;0,Table4[[#This Row],[Impact Description]],"")</f>
        <v xml:space="preserve">1) Malicious utilization of  computer resources 2) computing power  
3) denial of service attacks, 
4) ransomware attack 
5) Bitcoin mining, etc </v>
      </c>
      <c r="I15" s="204" t="str">
        <f>IF(Table4[[#This Row],[Safety Impact 
(Risk ID'# or N/A)]]&gt;0,Table4[[#This Row],[Safety Impact 
(Risk ID'# or N/A)]],"")</f>
        <v/>
      </c>
      <c r="J15" s="199" t="str">
        <f>Table4[[#This Row],[Security 
Risk 
Level]]</f>
        <v>LOW</v>
      </c>
      <c r="K15" s="204" t="str">
        <f>IF(Table4[[#This Row],[Security Risk Control Measures]]&gt;0,Table4[[#This Row],[Security Risk Control Measures]],"")</f>
        <v xml:space="preserve">▪Asset should be behind stateful firewall
•  Use secure tunnel communications channel </v>
      </c>
      <c r="L15" s="202" t="str">
        <f>Table4[[#This Row],[Security Risk LevelP]]</f>
        <v/>
      </c>
      <c r="M15" s="204" t="str">
        <f>IF(Table4[[#This Row],[Residual Security Risk Acceptability Justification]]&gt;0,Table4[[#This Row],[Residual Security Risk Acceptability Justification]],"")</f>
        <v/>
      </c>
      <c r="N15"/>
    </row>
    <row r="16" spans="1:14" s="53" customFormat="1" ht="85.5" x14ac:dyDescent="0.25">
      <c r="A16" s="203">
        <f>Table4[[#This Row],[
ID '#]]</f>
        <v>12</v>
      </c>
      <c r="B16" s="57" t="str">
        <f>IF(Table4[[#This Row],[T ID]]&gt;0,Table4[[#This Row],[T ID]],"")</f>
        <v>T01</v>
      </c>
      <c r="C16" s="195" t="str">
        <f>Table4[[#This Row],[Threat Event(s)]]</f>
        <v>CAPEC-185</v>
      </c>
      <c r="D16" s="204" t="str">
        <f>IF(Table4[[#This Row],[V ID]]&gt;0,Table4[[#This Row],[V ID]],"")</f>
        <v>V09</v>
      </c>
      <c r="E16" s="195" t="str">
        <f>Table4[[#This Row],[Vulnerabilities]]</f>
        <v>Ineffective patch management of firware, OS and applications thoughout the information system plan</v>
      </c>
      <c r="F16" s="205" t="str">
        <f>IF(Table4[[#This Row],[A ID]]&gt;0,Table4[[#This Row],[A ID]],"")</f>
        <v>A03</v>
      </c>
      <c r="G16" s="195" t="str">
        <f>Table4[[#This Row],[Asset]]</f>
        <v>Smart medic (Stryker device) System Component</v>
      </c>
      <c r="H16" s="208" t="str">
        <f>IF(Table4[[#This Row],[Impact Description]]&gt;0,Table4[[#This Row],[Impact Description]],"")</f>
        <v xml:space="preserve">1) Malicious utilization of  computer resources 2) computing power  
3) denial of service attacks, 
4) ransomware attack 
5) Bitcoin mining, etc </v>
      </c>
      <c r="I16" s="204" t="str">
        <f>IF(Table4[[#This Row],[Safety Impact 
(Risk ID'# or N/A)]]&gt;0,Table4[[#This Row],[Safety Impact 
(Risk ID'# or N/A)]],"")</f>
        <v/>
      </c>
      <c r="J16" s="199" t="str">
        <f>Table4[[#This Row],[Security 
Risk 
Level]]</f>
        <v>LOW</v>
      </c>
      <c r="K16" s="204" t="str">
        <f>IF(Table4[[#This Row],[Security Risk Control Measures]]&gt;0,Table4[[#This Row],[Security Risk Control Measures]],"")</f>
        <v xml:space="preserve">▪Asset should be behind stateful firewall
•  Use secure tunnel communications channel </v>
      </c>
      <c r="L16" s="202" t="str">
        <f>Table4[[#This Row],[Security Risk LevelP]]</f>
        <v/>
      </c>
      <c r="M16" s="204" t="str">
        <f>IF(Table4[[#This Row],[Residual Security Risk Acceptability Justification]]&gt;0,Table4[[#This Row],[Residual Security Risk Acceptability Justification]],"")</f>
        <v/>
      </c>
      <c r="N16"/>
    </row>
    <row r="17" spans="1:14" s="53" customFormat="1" ht="71.25" x14ac:dyDescent="0.25">
      <c r="A17" s="203">
        <f>Table4[[#This Row],[
ID '#]]</f>
        <v>13</v>
      </c>
      <c r="B17" s="57" t="str">
        <f>IF(Table4[[#This Row],[T ID]]&gt;0,Table4[[#This Row],[T ID]],"")</f>
        <v>T01</v>
      </c>
      <c r="C17" s="195" t="str">
        <f>Table4[[#This Row],[Threat Event(s)]]</f>
        <v>CAPEC-185</v>
      </c>
      <c r="D17" s="204" t="str">
        <f>IF(Table4[[#This Row],[V ID]]&gt;0,Table4[[#This Row],[V ID]],"")</f>
        <v>V12</v>
      </c>
      <c r="E17" s="195" t="str">
        <f>Table4[[#This Row],[Vulnerabilities]]</f>
        <v>Assest counting system for all instances of product implementation</v>
      </c>
      <c r="F17" s="205" t="str">
        <f>IF(Table4[[#This Row],[A ID]]&gt;0,Table4[[#This Row],[A ID]],"")</f>
        <v>A01</v>
      </c>
      <c r="G17" s="195" t="str">
        <f>Table4[[#This Row],[Asset]]</f>
        <v>Tablet Resources - web cam, microphone, OTG devices, Removable USB, Tablet Application,</v>
      </c>
      <c r="H17" s="208" t="str">
        <f>IF(Table4[[#This Row],[Impact Description]]&gt;0,Table4[[#This Row],[Impact Description]],"")</f>
        <v xml:space="preserve">1) Malicious utilization of  computer resources 2) computing power  
3) denial of service attacks, 
4) ransomware attack 
5) Bitcoin mining, etc </v>
      </c>
      <c r="I17" s="204" t="str">
        <f>IF(Table4[[#This Row],[Safety Impact 
(Risk ID'# or N/A)]]&gt;0,Table4[[#This Row],[Safety Impact 
(Risk ID'# or N/A)]],"")</f>
        <v/>
      </c>
      <c r="J17" s="199" t="str">
        <f>Table4[[#This Row],[Security 
Risk 
Level]]</f>
        <v>MEDIUM</v>
      </c>
      <c r="K17" s="204" t="str">
        <f>IF(Table4[[#This Row],[Security Risk Control Measures]]&gt;0,Table4[[#This Row],[Security Risk Control Measures]],"")</f>
        <v xml:space="preserve">▪Asset should be behind stateful firewall
•  Use secure tunnel communications channel </v>
      </c>
      <c r="L17" s="202" t="str">
        <f>Table4[[#This Row],[Security Risk LevelP]]</f>
        <v/>
      </c>
      <c r="M17" s="204" t="str">
        <f>IF(Table4[[#This Row],[Residual Security Risk Acceptability Justification]]&gt;0,Table4[[#This Row],[Residual Security Risk Acceptability Justification]],"")</f>
        <v/>
      </c>
      <c r="N17"/>
    </row>
    <row r="18" spans="1:14" s="53" customFormat="1" ht="71.25" x14ac:dyDescent="0.25">
      <c r="A18" s="203">
        <f>Table4[[#This Row],[
ID '#]]</f>
        <v>14</v>
      </c>
      <c r="B18" s="57" t="str">
        <f>IF(Table4[[#This Row],[T ID]]&gt;0,Table4[[#This Row],[T ID]],"")</f>
        <v>T01</v>
      </c>
      <c r="C18" s="195" t="str">
        <f>Table4[[#This Row],[Threat Event(s)]]</f>
        <v>CAPEC-185</v>
      </c>
      <c r="D18" s="204" t="str">
        <f>IF(Table4[[#This Row],[V ID]]&gt;0,Table4[[#This Row],[V ID]],"")</f>
        <v>V12</v>
      </c>
      <c r="E18" s="195" t="str">
        <f>Table4[[#This Row],[Vulnerabilities]]</f>
        <v>Assest counting system for all instances of product implementation</v>
      </c>
      <c r="F18" s="205" t="str">
        <f>IF(Table4[[#This Row],[A ID]]&gt;0,Table4[[#This Row],[A ID]],"")</f>
        <v>A03</v>
      </c>
      <c r="G18" s="195" t="str">
        <f>Table4[[#This Row],[Asset]]</f>
        <v>Smart medic (Stryker device) System Component</v>
      </c>
      <c r="H18" s="208" t="str">
        <f>IF(Table4[[#This Row],[Impact Description]]&gt;0,Table4[[#This Row],[Impact Description]],"")</f>
        <v xml:space="preserve">1) Malicious utilization of  computer resources 2) computing power  
3) denial of service attacks, 
4) ransomware attack 
5) Bitcoin mining, etc </v>
      </c>
      <c r="I18" s="204" t="str">
        <f>IF(Table4[[#This Row],[Safety Impact 
(Risk ID'# or N/A)]]&gt;0,Table4[[#This Row],[Safety Impact 
(Risk ID'# or N/A)]],"")</f>
        <v/>
      </c>
      <c r="J18" s="199" t="str">
        <f>Table4[[#This Row],[Security 
Risk 
Level]]</f>
        <v>MEDIUM</v>
      </c>
      <c r="K18" s="204" t="str">
        <f>IF(Table4[[#This Row],[Security Risk Control Measures]]&gt;0,Table4[[#This Row],[Security Risk Control Measures]],"")</f>
        <v xml:space="preserve">▪Asset should be behind stateful firewall
•  Use secure tunnel communications channel </v>
      </c>
      <c r="L18" s="202" t="str">
        <f>Table4[[#This Row],[Security Risk LevelP]]</f>
        <v/>
      </c>
      <c r="M18" s="204" t="str">
        <f>IF(Table4[[#This Row],[Residual Security Risk Acceptability Justification]]&gt;0,Table4[[#This Row],[Residual Security Risk Acceptability Justification]],"")</f>
        <v/>
      </c>
      <c r="N18"/>
    </row>
    <row r="19" spans="1:14" s="53" customFormat="1" ht="71.25" x14ac:dyDescent="0.25">
      <c r="A19" s="203">
        <f>Table4[[#This Row],[
ID '#]]</f>
        <v>15</v>
      </c>
      <c r="B19" s="57" t="str">
        <f>IF(Table4[[#This Row],[T ID]]&gt;0,Table4[[#This Row],[T ID]],"")</f>
        <v>T01</v>
      </c>
      <c r="C19" s="195" t="str">
        <f>Table4[[#This Row],[Threat Event(s)]]</f>
        <v>CAPEC-185</v>
      </c>
      <c r="D19" s="204" t="str">
        <f>IF(Table4[[#This Row],[V ID]]&gt;0,Table4[[#This Row],[V ID]],"")</f>
        <v>V16</v>
      </c>
      <c r="E19" s="195" t="str">
        <f>Table4[[#This Row],[Vulnerabilities]]</f>
        <v>Controlled Use of Administrative Privileges over the network</v>
      </c>
      <c r="F19" s="205" t="str">
        <f>IF(Table4[[#This Row],[A ID]]&gt;0,Table4[[#This Row],[A ID]],"")</f>
        <v>A01</v>
      </c>
      <c r="G19" s="195" t="str">
        <f>Table4[[#This Row],[Asset]]</f>
        <v>Tablet Resources - web cam, microphone, OTG devices, Removable USB, Tablet Application,</v>
      </c>
      <c r="H19" s="208" t="str">
        <f>IF(Table4[[#This Row],[Impact Description]]&gt;0,Table4[[#This Row],[Impact Description]],"")</f>
        <v xml:space="preserve">1) Malicious utilization of  computer resources 2) computing power  
3) denial of service attacks, 
4) ransomware attack 
5) Bitcoin mining, etc </v>
      </c>
      <c r="I19" s="204" t="str">
        <f>IF(Table4[[#This Row],[Safety Impact 
(Risk ID'# or N/A)]]&gt;0,Table4[[#This Row],[Safety Impact 
(Risk ID'# or N/A)]],"")</f>
        <v/>
      </c>
      <c r="J19" s="199" t="str">
        <f>Table4[[#This Row],[Security 
Risk 
Level]]</f>
        <v>LOW</v>
      </c>
      <c r="K19" s="204" t="str">
        <f>IF(Table4[[#This Row],[Security Risk Control Measures]]&gt;0,Table4[[#This Row],[Security Risk Control Measures]],"")</f>
        <v xml:space="preserve">▪Asset should be behind stateful firewall
•  Use secure tunnel communications channel </v>
      </c>
      <c r="L19" s="202" t="str">
        <f>Table4[[#This Row],[Security Risk LevelP]]</f>
        <v/>
      </c>
      <c r="M19" s="204" t="str">
        <f>IF(Table4[[#This Row],[Residual Security Risk Acceptability Justification]]&gt;0,Table4[[#This Row],[Residual Security Risk Acceptability Justification]],"")</f>
        <v/>
      </c>
      <c r="N19"/>
    </row>
    <row r="20" spans="1:14" s="53" customFormat="1" ht="71.25" x14ac:dyDescent="0.25">
      <c r="A20" s="203">
        <f>Table4[[#This Row],[
ID '#]]</f>
        <v>16</v>
      </c>
      <c r="B20" s="57" t="str">
        <f>IF(Table4[[#This Row],[T ID]]&gt;0,Table4[[#This Row],[T ID]],"")</f>
        <v>T01</v>
      </c>
      <c r="C20" s="195" t="str">
        <f>Table4[[#This Row],[Threat Event(s)]]</f>
        <v>CAPEC-185</v>
      </c>
      <c r="D20" s="204" t="str">
        <f>IF(Table4[[#This Row],[V ID]]&gt;0,Table4[[#This Row],[V ID]],"")</f>
        <v>V17</v>
      </c>
      <c r="E20" s="195" t="str">
        <f>Table4[[#This Row],[Vulnerabilities]]</f>
        <v>Unencrypted data at rest in all possible locations</v>
      </c>
      <c r="F20" s="205" t="str">
        <f>IF(Table4[[#This Row],[A ID]]&gt;0,Table4[[#This Row],[A ID]],"")</f>
        <v>A03</v>
      </c>
      <c r="G20" s="195" t="str">
        <f>Table4[[#This Row],[Asset]]</f>
        <v>Smart medic (Stryker device) System Component</v>
      </c>
      <c r="H20" s="208" t="str">
        <f>IF(Table4[[#This Row],[Impact Description]]&gt;0,Table4[[#This Row],[Impact Description]],"")</f>
        <v xml:space="preserve">1) Malicious utilization of  computer resources 2) computing power  
3) denial of service attacks, 
4) ransomware attack 
5) Bitcoin mining, etc </v>
      </c>
      <c r="I20" s="204" t="str">
        <f>IF(Table4[[#This Row],[Safety Impact 
(Risk ID'# or N/A)]]&gt;0,Table4[[#This Row],[Safety Impact 
(Risk ID'# or N/A)]],"")</f>
        <v/>
      </c>
      <c r="J20" s="199" t="str">
        <f>Table4[[#This Row],[Security 
Risk 
Level]]</f>
        <v>MEDIUM</v>
      </c>
      <c r="K20" s="204" t="str">
        <f>IF(Table4[[#This Row],[Security Risk Control Measures]]&gt;0,Table4[[#This Row],[Security Risk Control Measures]],"")</f>
        <v xml:space="preserve">▪Asset should be behind stateful firewall
•  Use secure tunnel communications channel </v>
      </c>
      <c r="L20" s="202" t="str">
        <f>Table4[[#This Row],[Security Risk LevelP]]</f>
        <v/>
      </c>
      <c r="M20" s="204" t="str">
        <f>IF(Table4[[#This Row],[Residual Security Risk Acceptability Justification]]&gt;0,Table4[[#This Row],[Residual Security Risk Acceptability Justification]],"")</f>
        <v/>
      </c>
      <c r="N20"/>
    </row>
    <row r="21" spans="1:14" s="53" customFormat="1" ht="71.25" x14ac:dyDescent="0.25">
      <c r="A21" s="203">
        <f>Table4[[#This Row],[
ID '#]]</f>
        <v>17</v>
      </c>
      <c r="B21" s="57" t="str">
        <f>IF(Table4[[#This Row],[T ID]]&gt;0,Table4[[#This Row],[T ID]],"")</f>
        <v>T01</v>
      </c>
      <c r="C21" s="195" t="str">
        <f>Table4[[#This Row],[Threat Event(s)]]</f>
        <v>CAPEC-185</v>
      </c>
      <c r="D21" s="204" t="str">
        <f>IF(Table4[[#This Row],[V ID]]&gt;0,Table4[[#This Row],[V ID]],"")</f>
        <v>V17</v>
      </c>
      <c r="E21" s="195" t="str">
        <f>Table4[[#This Row],[Vulnerabilities]]</f>
        <v>Unencrypted data at rest in all possible locations</v>
      </c>
      <c r="F21" s="205" t="str">
        <f>IF(Table4[[#This Row],[A ID]]&gt;0,Table4[[#This Row],[A ID]],"")</f>
        <v>A01</v>
      </c>
      <c r="G21" s="195" t="str">
        <f>Table4[[#This Row],[Asset]]</f>
        <v>Tablet Resources - web cam, microphone, OTG devices, Removable USB, Tablet Application,</v>
      </c>
      <c r="H21" s="208" t="str">
        <f>IF(Table4[[#This Row],[Impact Description]]&gt;0,Table4[[#This Row],[Impact Description]],"")</f>
        <v xml:space="preserve">1) Malicious utilization of  computer resources 2) computing power  
3) denial of service attacks, 
4) ransomware attack 
5) Bitcoin mining, etc </v>
      </c>
      <c r="I21" s="204" t="str">
        <f>IF(Table4[[#This Row],[Safety Impact 
(Risk ID'# or N/A)]]&gt;0,Table4[[#This Row],[Safety Impact 
(Risk ID'# or N/A)]],"")</f>
        <v/>
      </c>
      <c r="J21" s="199" t="str">
        <f>Table4[[#This Row],[Security 
Risk 
Level]]</f>
        <v>MEDIUM</v>
      </c>
      <c r="K21" s="204" t="str">
        <f>IF(Table4[[#This Row],[Security Risk Control Measures]]&gt;0,Table4[[#This Row],[Security Risk Control Measures]],"")</f>
        <v xml:space="preserve">▪Asset should be behind stateful firewall
•  Use secure tunnel communications channel </v>
      </c>
      <c r="L21" s="202" t="str">
        <f>Table4[[#This Row],[Security Risk LevelP]]</f>
        <v/>
      </c>
      <c r="M21" s="204" t="str">
        <f>IF(Table4[[#This Row],[Residual Security Risk Acceptability Justification]]&gt;0,Table4[[#This Row],[Residual Security Risk Acceptability Justification]],"")</f>
        <v/>
      </c>
      <c r="N21"/>
    </row>
    <row r="22" spans="1:14" s="53" customFormat="1" ht="71.25" x14ac:dyDescent="0.25">
      <c r="A22" s="203">
        <f>Table4[[#This Row],[
ID '#]]</f>
        <v>18</v>
      </c>
      <c r="B22" s="57" t="str">
        <f>IF(Table4[[#This Row],[T ID]]&gt;0,Table4[[#This Row],[T ID]],"")</f>
        <v>T01</v>
      </c>
      <c r="C22" s="195" t="str">
        <f>Table4[[#This Row],[Threat Event(s)]]</f>
        <v>CAPEC-185</v>
      </c>
      <c r="D22" s="204" t="str">
        <f>IF(Table4[[#This Row],[V ID]]&gt;0,Table4[[#This Row],[V ID]],"")</f>
        <v>V23</v>
      </c>
      <c r="E22" s="195" t="str">
        <f>Table4[[#This Row],[Vulnerabilities]]</f>
        <v>Legacy system identification if any</v>
      </c>
      <c r="F22" s="205" t="str">
        <f>IF(Table4[[#This Row],[A ID]]&gt;0,Table4[[#This Row],[A ID]],"")</f>
        <v>A05</v>
      </c>
      <c r="G22" s="195" t="str">
        <f>Table4[[#This Row],[Asset]]</f>
        <v>Device Maintainence tool (Hardware/Software)</v>
      </c>
      <c r="H22" s="208" t="str">
        <f>IF(Table4[[#This Row],[Impact Description]]&gt;0,Table4[[#This Row],[Impact Description]],"")</f>
        <v xml:space="preserve">1) Malicious utilization of  computer resources 2) computing power  
3) denial of service attacks, 
4) ransomware attack 
5) Bitcoin mining, etc </v>
      </c>
      <c r="I22" s="204" t="str">
        <f>IF(Table4[[#This Row],[Safety Impact 
(Risk ID'# or N/A)]]&gt;0,Table4[[#This Row],[Safety Impact 
(Risk ID'# or N/A)]],"")</f>
        <v/>
      </c>
      <c r="J22" s="199" t="str">
        <f>Table4[[#This Row],[Security 
Risk 
Level]]</f>
        <v>LOW</v>
      </c>
      <c r="K22" s="204" t="str">
        <f>IF(Table4[[#This Row],[Security Risk Control Measures]]&gt;0,Table4[[#This Row],[Security Risk Control Measures]],"")</f>
        <v xml:space="preserve">▪Asset should be behind stateful firewall
•  Use secure tunnel communications channel </v>
      </c>
      <c r="L22" s="202" t="str">
        <f>Table4[[#This Row],[Security Risk LevelP]]</f>
        <v/>
      </c>
      <c r="M22" s="204" t="str">
        <f>IF(Table4[[#This Row],[Residual Security Risk Acceptability Justification]]&gt;0,Table4[[#This Row],[Residual Security Risk Acceptability Justification]],"")</f>
        <v/>
      </c>
      <c r="N22"/>
    </row>
    <row r="23" spans="1:14" s="53" customFormat="1" ht="71.25" x14ac:dyDescent="0.25">
      <c r="A23" s="203">
        <f>Table4[[#This Row],[
ID '#]]</f>
        <v>19</v>
      </c>
      <c r="B23" s="57" t="str">
        <f>IF(Table4[[#This Row],[T ID]]&gt;0,Table4[[#This Row],[T ID]],"")</f>
        <v>T01</v>
      </c>
      <c r="C23" s="195" t="str">
        <f>Table4[[#This Row],[Threat Event(s)]]</f>
        <v>CAPEC-185</v>
      </c>
      <c r="D23" s="204" t="str">
        <f>IF(Table4[[#This Row],[V ID]]&gt;0,Table4[[#This Row],[V ID]],"")</f>
        <v>V23</v>
      </c>
      <c r="E23" s="195" t="str">
        <f>Table4[[#This Row],[Vulnerabilities]]</f>
        <v>Legacy system identification if any</v>
      </c>
      <c r="F23" s="205" t="str">
        <f>IF(Table4[[#This Row],[A ID]]&gt;0,Table4[[#This Row],[A ID]],"")</f>
        <v>A03</v>
      </c>
      <c r="G23" s="195" t="str">
        <f>Table4[[#This Row],[Asset]]</f>
        <v>Smart medic (Stryker device) System Component</v>
      </c>
      <c r="H23" s="208" t="str">
        <f>IF(Table4[[#This Row],[Impact Description]]&gt;0,Table4[[#This Row],[Impact Description]],"")</f>
        <v xml:space="preserve">1) Malicious utilization of  computer resources 2) computing power  
3) denial of service attacks, 
4) ransomware attack 
5) Bitcoin mining, etc </v>
      </c>
      <c r="I23" s="204" t="str">
        <f>IF(Table4[[#This Row],[Safety Impact 
(Risk ID'# or N/A)]]&gt;0,Table4[[#This Row],[Safety Impact 
(Risk ID'# or N/A)]],"")</f>
        <v/>
      </c>
      <c r="J23" s="199" t="str">
        <f>Table4[[#This Row],[Security 
Risk 
Level]]</f>
        <v>LOW</v>
      </c>
      <c r="K23" s="204" t="str">
        <f>IF(Table4[[#This Row],[Security Risk Control Measures]]&gt;0,Table4[[#This Row],[Security Risk Control Measures]],"")</f>
        <v xml:space="preserve">▪Asset should be behind stateful firewall
•  Use secure tunnel communications channel </v>
      </c>
      <c r="L23" s="202" t="str">
        <f>Table4[[#This Row],[Security Risk LevelP]]</f>
        <v/>
      </c>
      <c r="M23" s="204" t="str">
        <f>IF(Table4[[#This Row],[Residual Security Risk Acceptability Justification]]&gt;0,Table4[[#This Row],[Residual Security Risk Acceptability Justification]],"")</f>
        <v/>
      </c>
      <c r="N23"/>
    </row>
    <row r="24" spans="1:14" s="53" customFormat="1" ht="71.25" x14ac:dyDescent="0.25">
      <c r="A24" s="203">
        <f>Table4[[#This Row],[
ID '#]]</f>
        <v>20</v>
      </c>
      <c r="B24" s="57" t="str">
        <f>IF(Table4[[#This Row],[T ID]]&gt;0,Table4[[#This Row],[T ID]],"")</f>
        <v>T01</v>
      </c>
      <c r="C24" s="195" t="str">
        <f>Table4[[#This Row],[Threat Event(s)]]</f>
        <v>CAPEC-185</v>
      </c>
      <c r="D24" s="204" t="str">
        <f>IF(Table4[[#This Row],[V ID]]&gt;0,Table4[[#This Row],[V ID]],"")</f>
        <v>V23</v>
      </c>
      <c r="E24" s="195" t="str">
        <f>Table4[[#This Row],[Vulnerabilities]]</f>
        <v>Legacy system identification if any</v>
      </c>
      <c r="F24" s="205" t="str">
        <f>IF(Table4[[#This Row],[A ID]]&gt;0,Table4[[#This Row],[A ID]],"")</f>
        <v>A01</v>
      </c>
      <c r="G24" s="195" t="str">
        <f>Table4[[#This Row],[Asset]]</f>
        <v>Tablet Resources - web cam, microphone, OTG devices, Removable USB, Tablet Application,</v>
      </c>
      <c r="H24" s="208" t="str">
        <f>IF(Table4[[#This Row],[Impact Description]]&gt;0,Table4[[#This Row],[Impact Description]],"")</f>
        <v xml:space="preserve">1) Malicious utilization of  computer resources 2) computing power  
3) denial of service attacks, 
4) ransomware attack 
5) Bitcoin mining, etc </v>
      </c>
      <c r="I24" s="204" t="str">
        <f>IF(Table4[[#This Row],[Safety Impact 
(Risk ID'# or N/A)]]&gt;0,Table4[[#This Row],[Safety Impact 
(Risk ID'# or N/A)]],"")</f>
        <v/>
      </c>
      <c r="J24" s="199" t="str">
        <f>Table4[[#This Row],[Security 
Risk 
Level]]</f>
        <v>LOW</v>
      </c>
      <c r="K24" s="204" t="str">
        <f>IF(Table4[[#This Row],[Security Risk Control Measures]]&gt;0,Table4[[#This Row],[Security Risk Control Measures]],"")</f>
        <v xml:space="preserve">▪Asset should be behind stateful firewall
•  Use secure tunnel communications channel </v>
      </c>
      <c r="L24" s="202" t="str">
        <f>Table4[[#This Row],[Security Risk LevelP]]</f>
        <v/>
      </c>
      <c r="M24" s="204" t="str">
        <f>IF(Table4[[#This Row],[Residual Security Risk Acceptability Justification]]&gt;0,Table4[[#This Row],[Residual Security Risk Acceptability Justification]],"")</f>
        <v/>
      </c>
      <c r="N24"/>
    </row>
    <row r="25" spans="1:14" s="53" customFormat="1" ht="71.25" x14ac:dyDescent="0.25">
      <c r="A25" s="203">
        <f>Table4[[#This Row],[
ID '#]]</f>
        <v>21</v>
      </c>
      <c r="B25" s="57" t="str">
        <f>IF(Table4[[#This Row],[T ID]]&gt;0,Table4[[#This Row],[T ID]],"")</f>
        <v>T02</v>
      </c>
      <c r="C25" s="195" t="str">
        <f>Table4[[#This Row],[Threat Event(s)]]</f>
        <v>CAPEC-185</v>
      </c>
      <c r="D25" s="204" t="str">
        <f>IF(Table4[[#This Row],[V ID]]&gt;0,Table4[[#This Row],[V ID]],"")</f>
        <v>V21</v>
      </c>
      <c r="E25" s="195" t="str">
        <f>Table4[[#This Row],[Vulnerabilities]]</f>
        <v>Weak Algorthim implementation with respect cipher key size</v>
      </c>
      <c r="F25" s="205" t="str">
        <f>IF(Table4[[#This Row],[A ID]]&gt;0,Table4[[#This Row],[A ID]],"")</f>
        <v>A05</v>
      </c>
      <c r="G25" s="195" t="str">
        <f>Table4[[#This Row],[Asset]]</f>
        <v>Device Maintainence tool (Hardware/Software)</v>
      </c>
      <c r="H25" s="208" t="str">
        <f>IF(Table4[[#This Row],[Impact Description]]&gt;0,Table4[[#This Row],[Impact Description]],"")</f>
        <v xml:space="preserve">1) Malicious utilization of  computer resources 2) computing power  
3) denial of service attacks, 
4) ransomware attack 
5) Bitcoin mining, etc </v>
      </c>
      <c r="I25" s="204" t="str">
        <f>IF(Table4[[#This Row],[Safety Impact 
(Risk ID'# or N/A)]]&gt;0,Table4[[#This Row],[Safety Impact 
(Risk ID'# or N/A)]],"")</f>
        <v/>
      </c>
      <c r="J25" s="199" t="str">
        <f>Table4[[#This Row],[Security 
Risk 
Level]]</f>
        <v>MEDIUM</v>
      </c>
      <c r="K25" s="204" t="str">
        <f>IF(Table4[[#This Row],[Security Risk Control Measures]]&gt;0,Table4[[#This Row],[Security Risk Control Measures]],"")</f>
        <v xml:space="preserve">▪Asset should be behind stateful firewall
•  Use secure tunnel communications channel </v>
      </c>
      <c r="L25" s="202" t="str">
        <f>Table4[[#This Row],[Security Risk LevelP]]</f>
        <v>MEDIUM</v>
      </c>
      <c r="M25" s="204" t="str">
        <f>IF(Table4[[#This Row],[Residual Security Risk Acceptability Justification]]&gt;0,Table4[[#This Row],[Residual Security Risk Acceptability Justification]],"")</f>
        <v>Justification</v>
      </c>
      <c r="N25"/>
    </row>
    <row r="26" spans="1:14" s="53" customFormat="1" ht="71.25" x14ac:dyDescent="0.25">
      <c r="A26" s="203">
        <f>Table4[[#This Row],[
ID '#]]</f>
        <v>22</v>
      </c>
      <c r="B26" s="57" t="str">
        <f>IF(Table4[[#This Row],[T ID]]&gt;0,Table4[[#This Row],[T ID]],"")</f>
        <v>T02</v>
      </c>
      <c r="C26" s="195" t="str">
        <f>Table4[[#This Row],[Threat Event(s)]]</f>
        <v>CAPEC-185</v>
      </c>
      <c r="D26" s="204" t="str">
        <f>IF(Table4[[#This Row],[V ID]]&gt;0,Table4[[#This Row],[V ID]],"")</f>
        <v>V21</v>
      </c>
      <c r="E26" s="195" t="str">
        <f>Table4[[#This Row],[Vulnerabilities]]</f>
        <v>Weak Algorthim implementation with respect cipher key size</v>
      </c>
      <c r="F26" s="205" t="str">
        <f>IF(Table4[[#This Row],[A ID]]&gt;0,Table4[[#This Row],[A ID]],"")</f>
        <v>A03</v>
      </c>
      <c r="G26" s="195" t="str">
        <f>Table4[[#This Row],[Asset]]</f>
        <v>Smart medic (Stryker device) System Component</v>
      </c>
      <c r="H26" s="208" t="str">
        <f>IF(Table4[[#This Row],[Impact Description]]&gt;0,Table4[[#This Row],[Impact Description]],"")</f>
        <v xml:space="preserve">1) Malicious utilization of  computer resources 2) computing power  
3) denial of service attacks, 
4) ransomware attack 
5) Bitcoin mining, etc </v>
      </c>
      <c r="I26" s="204" t="str">
        <f>IF(Table4[[#This Row],[Safety Impact 
(Risk ID'# or N/A)]]&gt;0,Table4[[#This Row],[Safety Impact 
(Risk ID'# or N/A)]],"")</f>
        <v/>
      </c>
      <c r="J26" s="199" t="str">
        <f>Table4[[#This Row],[Security 
Risk 
Level]]</f>
        <v>MEDIUM</v>
      </c>
      <c r="K26" s="204" t="str">
        <f>IF(Table4[[#This Row],[Security Risk Control Measures]]&gt;0,Table4[[#This Row],[Security Risk Control Measures]],"")</f>
        <v xml:space="preserve">▪Asset should be behind stateful firewall
•  Use secure tunnel communications channel </v>
      </c>
      <c r="L26" s="202" t="str">
        <f>Table4[[#This Row],[Security Risk LevelP]]</f>
        <v/>
      </c>
      <c r="M26" s="204" t="str">
        <f>IF(Table4[[#This Row],[Residual Security Risk Acceptability Justification]]&gt;0,Table4[[#This Row],[Residual Security Risk Acceptability Justification]],"")</f>
        <v/>
      </c>
      <c r="N26"/>
    </row>
    <row r="27" spans="1:14" s="53" customFormat="1" ht="71.25" x14ac:dyDescent="0.25">
      <c r="A27" s="203">
        <f>Table4[[#This Row],[
ID '#]]</f>
        <v>23</v>
      </c>
      <c r="B27" s="57" t="str">
        <f>IF(Table4[[#This Row],[T ID]]&gt;0,Table4[[#This Row],[T ID]],"")</f>
        <v>T02</v>
      </c>
      <c r="C27" s="195" t="str">
        <f>Table4[[#This Row],[Threat Event(s)]]</f>
        <v>CAPEC-185</v>
      </c>
      <c r="D27" s="204" t="str">
        <f>IF(Table4[[#This Row],[V ID]]&gt;0,Table4[[#This Row],[V ID]],"")</f>
        <v>V21</v>
      </c>
      <c r="E27" s="195" t="str">
        <f>Table4[[#This Row],[Vulnerabilities]]</f>
        <v>Weak Algorthim implementation with respect cipher key size</v>
      </c>
      <c r="F27" s="205" t="str">
        <f>IF(Table4[[#This Row],[A ID]]&gt;0,Table4[[#This Row],[A ID]],"")</f>
        <v>A01</v>
      </c>
      <c r="G27" s="195" t="str">
        <f>Table4[[#This Row],[Asset]]</f>
        <v>Tablet Resources - web cam, microphone, OTG devices, Removable USB, Tablet Application,</v>
      </c>
      <c r="H27" s="208" t="str">
        <f>IF(Table4[[#This Row],[Impact Description]]&gt;0,Table4[[#This Row],[Impact Description]],"")</f>
        <v xml:space="preserve">1) Malicious utilization of  computer resources 2) computing power  
3) denial of service attacks, 
4) ransomware attack 
5) Bitcoin mining, etc </v>
      </c>
      <c r="I27" s="204" t="str">
        <f>IF(Table4[[#This Row],[Safety Impact 
(Risk ID'# or N/A)]]&gt;0,Table4[[#This Row],[Safety Impact 
(Risk ID'# or N/A)]],"")</f>
        <v/>
      </c>
      <c r="J27" s="199" t="str">
        <f>Table4[[#This Row],[Security 
Risk 
Level]]</f>
        <v>LOW</v>
      </c>
      <c r="K27" s="204" t="str">
        <f>IF(Table4[[#This Row],[Security Risk Control Measures]]&gt;0,Table4[[#This Row],[Security Risk Control Measures]],"")</f>
        <v xml:space="preserve">▪Asset should be behind stateful firewall
•  Use secure tunnel communications channel </v>
      </c>
      <c r="L27" s="202" t="str">
        <f>Table4[[#This Row],[Security Risk LevelP]]</f>
        <v/>
      </c>
      <c r="M27" s="204" t="str">
        <f>IF(Table4[[#This Row],[Residual Security Risk Acceptability Justification]]&gt;0,Table4[[#This Row],[Residual Security Risk Acceptability Justification]],"")</f>
        <v/>
      </c>
      <c r="N27"/>
    </row>
    <row r="28" spans="1:14" s="53" customFormat="1" ht="71.25" x14ac:dyDescent="0.25">
      <c r="A28" s="203">
        <f>Table4[[#This Row],[
ID '#]]</f>
        <v>24</v>
      </c>
      <c r="B28" s="57" t="str">
        <f>IF(Table4[[#This Row],[T ID]]&gt;0,Table4[[#This Row],[T ID]],"")</f>
        <v>T02</v>
      </c>
      <c r="C28" s="195" t="str">
        <f>Table4[[#This Row],[Threat Event(s)]]</f>
        <v>CAPEC-185</v>
      </c>
      <c r="D28" s="204" t="str">
        <f>IF(Table4[[#This Row],[V ID]]&gt;0,Table4[[#This Row],[V ID]],"")</f>
        <v>V13</v>
      </c>
      <c r="E28" s="195" t="str">
        <f>Table4[[#This Row],[Vulnerabilities]]</f>
        <v>Unprotected external USB Port on the tablet/devices.</v>
      </c>
      <c r="F28" s="205" t="str">
        <f>IF(Table4[[#This Row],[A ID]]&gt;0,Table4[[#This Row],[A ID]],"")</f>
        <v>A08</v>
      </c>
      <c r="G28" s="195" t="str">
        <f>Table4[[#This Row],[Asset]]</f>
        <v>Wireless Network device</v>
      </c>
      <c r="H28" s="208" t="str">
        <f>IF(Table4[[#This Row],[Impact Description]]&gt;0,Table4[[#This Row],[Impact Description]],"")</f>
        <v xml:space="preserve">1) Malicious utilization of  computer resources 2) computing power  
3) denial of service attacks, 
4) ransomware attack 
5) Bitcoin mining, etc </v>
      </c>
      <c r="I28" s="204" t="str">
        <f>IF(Table4[[#This Row],[Safety Impact 
(Risk ID'# or N/A)]]&gt;0,Table4[[#This Row],[Safety Impact 
(Risk ID'# or N/A)]],"")</f>
        <v/>
      </c>
      <c r="J28" s="199" t="str">
        <f>Table4[[#This Row],[Security 
Risk 
Level]]</f>
        <v>LOW</v>
      </c>
      <c r="K28" s="204" t="str">
        <f>IF(Table4[[#This Row],[Security Risk Control Measures]]&gt;0,Table4[[#This Row],[Security Risk Control Measures]],"")</f>
        <v>•  Stateful Firewall
• Maintain access control list</v>
      </c>
      <c r="L28" s="202" t="str">
        <f>Table4[[#This Row],[Security Risk LevelP]]</f>
        <v/>
      </c>
      <c r="M28" s="204" t="str">
        <f>IF(Table4[[#This Row],[Residual Security Risk Acceptability Justification]]&gt;0,Table4[[#This Row],[Residual Security Risk Acceptability Justification]],"")</f>
        <v/>
      </c>
      <c r="N28"/>
    </row>
    <row r="29" spans="1:14" s="53" customFormat="1" ht="71.25" x14ac:dyDescent="0.25">
      <c r="A29" s="203">
        <f>Table4[[#This Row],[
ID '#]]</f>
        <v>25</v>
      </c>
      <c r="B29" s="57" t="str">
        <f>IF(Table4[[#This Row],[T ID]]&gt;0,Table4[[#This Row],[T ID]],"")</f>
        <v>T02</v>
      </c>
      <c r="C29" s="195" t="str">
        <f>Table4[[#This Row],[Threat Event(s)]]</f>
        <v>CAPEC-185</v>
      </c>
      <c r="D29" s="204" t="str">
        <f>IF(Table4[[#This Row],[V ID]]&gt;0,Table4[[#This Row],[V ID]],"")</f>
        <v>V13</v>
      </c>
      <c r="E29" s="195" t="str">
        <f>Table4[[#This Row],[Vulnerabilities]]</f>
        <v>Unprotected external USB Port on the tablet/devices.</v>
      </c>
      <c r="F29" s="205" t="str">
        <f>IF(Table4[[#This Row],[A ID]]&gt;0,Table4[[#This Row],[A ID]],"")</f>
        <v>A01</v>
      </c>
      <c r="G29" s="195" t="str">
        <f>Table4[[#This Row],[Asset]]</f>
        <v>Tablet Resources - web cam, microphone, OTG devices, Removable USB, Tablet Application,</v>
      </c>
      <c r="H29" s="208" t="str">
        <f>IF(Table4[[#This Row],[Impact Description]]&gt;0,Table4[[#This Row],[Impact Description]],"")</f>
        <v xml:space="preserve">1) Malicious utilization of  computer resources 2) computing power  
3) denial of service attacks, 
4) ransomware attack 
5) Bitcoin mining, etc </v>
      </c>
      <c r="I29" s="204" t="str">
        <f>IF(Table4[[#This Row],[Safety Impact 
(Risk ID'# or N/A)]]&gt;0,Table4[[#This Row],[Safety Impact 
(Risk ID'# or N/A)]],"")</f>
        <v/>
      </c>
      <c r="J29" s="199" t="str">
        <f>Table4[[#This Row],[Security 
Risk 
Level]]</f>
        <v>LOW</v>
      </c>
      <c r="K29" s="204" t="str">
        <f>IF(Table4[[#This Row],[Security Risk Control Measures]]&gt;0,Table4[[#This Row],[Security Risk Control Measures]],"")</f>
        <v xml:space="preserve">▪Asset should be behind stateful firewall
•  Use secure tunnel communications channel </v>
      </c>
      <c r="L29" s="202" t="str">
        <f>Table4[[#This Row],[Security Risk LevelP]]</f>
        <v/>
      </c>
      <c r="M29" s="204" t="str">
        <f>IF(Table4[[#This Row],[Residual Security Risk Acceptability Justification]]&gt;0,Table4[[#This Row],[Residual Security Risk Acceptability Justification]],"")</f>
        <v/>
      </c>
      <c r="N29"/>
    </row>
    <row r="30" spans="1:14" s="53" customFormat="1" ht="71.25" x14ac:dyDescent="0.25">
      <c r="A30" s="203">
        <f>Table4[[#This Row],[
ID '#]]</f>
        <v>26</v>
      </c>
      <c r="B30" s="57" t="str">
        <f>IF(Table4[[#This Row],[T ID]]&gt;0,Table4[[#This Row],[T ID]],"")</f>
        <v>T02</v>
      </c>
      <c r="C30" s="195" t="str">
        <f>Table4[[#This Row],[Threat Event(s)]]</f>
        <v>CAPEC-185</v>
      </c>
      <c r="D30" s="204" t="str">
        <f>IF(Table4[[#This Row],[V ID]]&gt;0,Table4[[#This Row],[V ID]],"")</f>
        <v>V13</v>
      </c>
      <c r="E30" s="195" t="str">
        <f>Table4[[#This Row],[Vulnerabilities]]</f>
        <v>Unprotected external USB Port on the tablet/devices.</v>
      </c>
      <c r="F30" s="205" t="str">
        <f>IF(Table4[[#This Row],[A ID]]&gt;0,Table4[[#This Row],[A ID]],"")</f>
        <v>A11</v>
      </c>
      <c r="G30" s="195" t="str">
        <f>Table4[[#This Row],[Asset]]</f>
        <v>Smart medic app (Stryker Azure Cloud Web Application)</v>
      </c>
      <c r="H30" s="208" t="str">
        <f>IF(Table4[[#This Row],[Impact Description]]&gt;0,Table4[[#This Row],[Impact Description]],"")</f>
        <v xml:space="preserve">1) Malicious utilization of  computer resources 2) computing power  
3) denial of service attacks, 
4) ransomware attack 
5) Bitcoin mining, etc </v>
      </c>
      <c r="I30" s="204" t="str">
        <f>IF(Table4[[#This Row],[Safety Impact 
(Risk ID'# or N/A)]]&gt;0,Table4[[#This Row],[Safety Impact 
(Risk ID'# or N/A)]],"")</f>
        <v/>
      </c>
      <c r="J30" s="199" t="str">
        <f>Table4[[#This Row],[Security 
Risk 
Level]]</f>
        <v>LOW</v>
      </c>
      <c r="K30" s="204" t="str">
        <f>IF(Table4[[#This Row],[Security Risk Control Measures]]&gt;0,Table4[[#This Row],[Security Risk Control Measures]],"")</f>
        <v xml:space="preserve">• Use Secure tunnel Communications channel </v>
      </c>
      <c r="L30" s="202" t="str">
        <f>Table4[[#This Row],[Security Risk LevelP]]</f>
        <v/>
      </c>
      <c r="M30" s="204" t="str">
        <f>IF(Table4[[#This Row],[Residual Security Risk Acceptability Justification]]&gt;0,Table4[[#This Row],[Residual Security Risk Acceptability Justification]],"")</f>
        <v/>
      </c>
      <c r="N30"/>
    </row>
    <row r="31" spans="1:14" s="53" customFormat="1" ht="71.25" x14ac:dyDescent="0.25">
      <c r="A31" s="203">
        <f>Table4[[#This Row],[
ID '#]]</f>
        <v>27</v>
      </c>
      <c r="B31" s="57" t="str">
        <f>IF(Table4[[#This Row],[T ID]]&gt;0,Table4[[#This Row],[T ID]],"")</f>
        <v>T02</v>
      </c>
      <c r="C31" s="195" t="str">
        <f>Table4[[#This Row],[Threat Event(s)]]</f>
        <v>CAPEC-185</v>
      </c>
      <c r="D31" s="204" t="str">
        <f>IF(Table4[[#This Row],[V ID]]&gt;0,Table4[[#This Row],[V ID]],"")</f>
        <v>V02</v>
      </c>
      <c r="E31" s="195" t="str">
        <f>Table4[[#This Row],[Vulnerabilities]]</f>
        <v>Lack of  Strong Guidelines Password Policy</v>
      </c>
      <c r="F31" s="205" t="str">
        <f>IF(Table4[[#This Row],[A ID]]&gt;0,Table4[[#This Row],[A ID]],"")</f>
        <v>A01</v>
      </c>
      <c r="G31" s="195" t="str">
        <f>Table4[[#This Row],[Asset]]</f>
        <v>Tablet Resources - web cam, microphone, OTG devices, Removable USB, Tablet Application,</v>
      </c>
      <c r="H31" s="208" t="str">
        <f>IF(Table4[[#This Row],[Impact Description]]&gt;0,Table4[[#This Row],[Impact Description]],"")</f>
        <v xml:space="preserve">1) Malicious utilization of  computer resources 2) computing power  
3) denial of service attacks, 
4) ransomware attack 
5) Bitcoin mining, etc </v>
      </c>
      <c r="I31" s="204" t="str">
        <f>IF(Table4[[#This Row],[Safety Impact 
(Risk ID'# or N/A)]]&gt;0,Table4[[#This Row],[Safety Impact 
(Risk ID'# or N/A)]],"")</f>
        <v/>
      </c>
      <c r="J31" s="199" t="str">
        <f>Table4[[#This Row],[Security 
Risk 
Level]]</f>
        <v>MEDIUM</v>
      </c>
      <c r="K31" s="204" t="str">
        <f>IF(Table4[[#This Row],[Security Risk Control Measures]]&gt;0,Table4[[#This Row],[Security Risk Control Measures]],"")</f>
        <v xml:space="preserve">▪Asset should be behind stateful firewall
•  Use secure tunnel communications channel </v>
      </c>
      <c r="L31" s="202" t="str">
        <f>Table4[[#This Row],[Security Risk LevelP]]</f>
        <v/>
      </c>
      <c r="M31" s="204" t="str">
        <f>IF(Table4[[#This Row],[Residual Security Risk Acceptability Justification]]&gt;0,Table4[[#This Row],[Residual Security Risk Acceptability Justification]],"")</f>
        <v/>
      </c>
      <c r="N31"/>
    </row>
    <row r="32" spans="1:14" s="53" customFormat="1" ht="71.25" x14ac:dyDescent="0.25">
      <c r="A32" s="203">
        <f>Table4[[#This Row],[
ID '#]]</f>
        <v>28</v>
      </c>
      <c r="B32" s="57" t="str">
        <f>IF(Table4[[#This Row],[T ID]]&gt;0,Table4[[#This Row],[T ID]],"")</f>
        <v>T02</v>
      </c>
      <c r="C32" s="195" t="str">
        <f>Table4[[#This Row],[Threat Event(s)]]</f>
        <v>CAPEC-185</v>
      </c>
      <c r="D32" s="204" t="str">
        <f>IF(Table4[[#This Row],[V ID]]&gt;0,Table4[[#This Row],[V ID]],"")</f>
        <v>V08</v>
      </c>
      <c r="E32" s="195" t="str">
        <f>Table4[[#This Row],[Vulnerabilities]]</f>
        <v>Lack of configuration controls for IT assets in the informaion system plan</v>
      </c>
      <c r="F32" s="205" t="str">
        <f>IF(Table4[[#This Row],[A ID]]&gt;0,Table4[[#This Row],[A ID]],"")</f>
        <v>A05</v>
      </c>
      <c r="G32" s="195" t="str">
        <f>Table4[[#This Row],[Asset]]</f>
        <v>Device Maintainence tool (Hardware/Software)</v>
      </c>
      <c r="H32" s="208" t="str">
        <f>IF(Table4[[#This Row],[Impact Description]]&gt;0,Table4[[#This Row],[Impact Description]],"")</f>
        <v xml:space="preserve">1) Malicious utilization of  computer resources 2) computing power  
3) denial of service attacks, 
4) ransomware attack 
5) Bitcoin mining, etc </v>
      </c>
      <c r="I32" s="204" t="str">
        <f>IF(Table4[[#This Row],[Safety Impact 
(Risk ID'# or N/A)]]&gt;0,Table4[[#This Row],[Safety Impact 
(Risk ID'# or N/A)]],"")</f>
        <v/>
      </c>
      <c r="J32" s="199" t="str">
        <f>Table4[[#This Row],[Security 
Risk 
Level]]</f>
        <v>LOW</v>
      </c>
      <c r="K32" s="204" t="str">
        <f>IF(Table4[[#This Row],[Security Risk Control Measures]]&gt;0,Table4[[#This Row],[Security Risk Control Measures]],"")</f>
        <v xml:space="preserve">▪Asset should be behind stateful firewall
•  Use secure tunnel communications channel </v>
      </c>
      <c r="L32" s="202" t="str">
        <f>Table4[[#This Row],[Security Risk LevelP]]</f>
        <v/>
      </c>
      <c r="M32" s="204" t="str">
        <f>IF(Table4[[#This Row],[Residual Security Risk Acceptability Justification]]&gt;0,Table4[[#This Row],[Residual Security Risk Acceptability Justification]],"")</f>
        <v/>
      </c>
      <c r="N32"/>
    </row>
    <row r="33" spans="1:14" s="53" customFormat="1" ht="71.25" x14ac:dyDescent="0.25">
      <c r="A33" s="203">
        <f>Table4[[#This Row],[
ID '#]]</f>
        <v>29</v>
      </c>
      <c r="B33" s="57" t="str">
        <f>IF(Table4[[#This Row],[T ID]]&gt;0,Table4[[#This Row],[T ID]],"")</f>
        <v>T02</v>
      </c>
      <c r="C33" s="195" t="str">
        <f>Table4[[#This Row],[Threat Event(s)]]</f>
        <v>CAPEC-185</v>
      </c>
      <c r="D33" s="204" t="str">
        <f>IF(Table4[[#This Row],[V ID]]&gt;0,Table4[[#This Row],[V ID]],"")</f>
        <v>V08</v>
      </c>
      <c r="E33" s="195" t="str">
        <f>Table4[[#This Row],[Vulnerabilities]]</f>
        <v>Lack of configuration controls for IT assets in the informaion system plan</v>
      </c>
      <c r="F33" s="205" t="str">
        <f>IF(Table4[[#This Row],[A ID]]&gt;0,Table4[[#This Row],[A ID]],"")</f>
        <v>A03</v>
      </c>
      <c r="G33" s="195" t="str">
        <f>Table4[[#This Row],[Asset]]</f>
        <v>Smart medic (Stryker device) System Component</v>
      </c>
      <c r="H33" s="208" t="str">
        <f>IF(Table4[[#This Row],[Impact Description]]&gt;0,Table4[[#This Row],[Impact Description]],"")</f>
        <v xml:space="preserve">1) Malicious utilization of  computer resources 2) computing power  
3) denial of service attacks, 
4) ransomware attack 
5) Bitcoin mining, etc </v>
      </c>
      <c r="I33" s="204" t="str">
        <f>IF(Table4[[#This Row],[Safety Impact 
(Risk ID'# or N/A)]]&gt;0,Table4[[#This Row],[Safety Impact 
(Risk ID'# or N/A)]],"")</f>
        <v/>
      </c>
      <c r="J33" s="199" t="str">
        <f>Table4[[#This Row],[Security 
Risk 
Level]]</f>
        <v>LOW</v>
      </c>
      <c r="K33" s="204" t="str">
        <f>IF(Table4[[#This Row],[Security Risk Control Measures]]&gt;0,Table4[[#This Row],[Security Risk Control Measures]],"")</f>
        <v xml:space="preserve">▪Asset should be behind stateful firewall
•  Use secure tunnel communications channel </v>
      </c>
      <c r="L33" s="202" t="str">
        <f>Table4[[#This Row],[Security Risk LevelP]]</f>
        <v/>
      </c>
      <c r="M33" s="204" t="str">
        <f>IF(Table4[[#This Row],[Residual Security Risk Acceptability Justification]]&gt;0,Table4[[#This Row],[Residual Security Risk Acceptability Justification]],"")</f>
        <v/>
      </c>
      <c r="N33"/>
    </row>
    <row r="34" spans="1:14" s="53" customFormat="1" ht="71.25" x14ac:dyDescent="0.25">
      <c r="A34" s="203">
        <f>Table4[[#This Row],[
ID '#]]</f>
        <v>30</v>
      </c>
      <c r="B34" s="57" t="str">
        <f>IF(Table4[[#This Row],[T ID]]&gt;0,Table4[[#This Row],[T ID]],"")</f>
        <v>T02</v>
      </c>
      <c r="C34" s="195" t="str">
        <f>Table4[[#This Row],[Threat Event(s)]]</f>
        <v>CAPEC-185</v>
      </c>
      <c r="D34" s="204" t="str">
        <f>IF(Table4[[#This Row],[V ID]]&gt;0,Table4[[#This Row],[V ID]],"")</f>
        <v>V08</v>
      </c>
      <c r="E34" s="195" t="str">
        <f>Table4[[#This Row],[Vulnerabilities]]</f>
        <v>Lack of configuration controls for IT assets in the informaion system plan</v>
      </c>
      <c r="F34" s="205" t="str">
        <f>IF(Table4[[#This Row],[A ID]]&gt;0,Table4[[#This Row],[A ID]],"")</f>
        <v>A01</v>
      </c>
      <c r="G34" s="195" t="str">
        <f>Table4[[#This Row],[Asset]]</f>
        <v>Tablet Resources - web cam, microphone, OTG devices, Removable USB, Tablet Application,</v>
      </c>
      <c r="H34" s="208" t="str">
        <f>IF(Table4[[#This Row],[Impact Description]]&gt;0,Table4[[#This Row],[Impact Description]],"")</f>
        <v xml:space="preserve">1) Malicious utilization of  computer resources 2) computing power  
3) denial of service attacks, 
4) ransomware attack 
5) Bitcoin mining, etc </v>
      </c>
      <c r="I34" s="204" t="str">
        <f>IF(Table4[[#This Row],[Safety Impact 
(Risk ID'# or N/A)]]&gt;0,Table4[[#This Row],[Safety Impact 
(Risk ID'# or N/A)]],"")</f>
        <v/>
      </c>
      <c r="J34" s="199" t="str">
        <f>Table4[[#This Row],[Security 
Risk 
Level]]</f>
        <v>LOW</v>
      </c>
      <c r="K34" s="204" t="str">
        <f>IF(Table4[[#This Row],[Security Risk Control Measures]]&gt;0,Table4[[#This Row],[Security Risk Control Measures]],"")</f>
        <v xml:space="preserve">▪Asset should be behind stateful firewall
•  Use secure tunnel communications channel </v>
      </c>
      <c r="L34" s="202" t="str">
        <f>Table4[[#This Row],[Security Risk LevelP]]</f>
        <v/>
      </c>
      <c r="M34" s="204" t="str">
        <f>IF(Table4[[#This Row],[Residual Security Risk Acceptability Justification]]&gt;0,Table4[[#This Row],[Residual Security Risk Acceptability Justification]],"")</f>
        <v/>
      </c>
      <c r="N34"/>
    </row>
    <row r="35" spans="1:14" s="53" customFormat="1" ht="85.5" x14ac:dyDescent="0.25">
      <c r="A35" s="203">
        <f>Table4[[#This Row],[
ID '#]]</f>
        <v>31</v>
      </c>
      <c r="B35" s="57" t="str">
        <f>IF(Table4[[#This Row],[T ID]]&gt;0,Table4[[#This Row],[T ID]],"")</f>
        <v>T02</v>
      </c>
      <c r="C35" s="195" t="str">
        <f>Table4[[#This Row],[Threat Event(s)]]</f>
        <v>CAPEC-185</v>
      </c>
      <c r="D35" s="204" t="str">
        <f>IF(Table4[[#This Row],[V ID]]&gt;0,Table4[[#This Row],[V ID]],"")</f>
        <v>V12</v>
      </c>
      <c r="E35" s="195" t="str">
        <f>Table4[[#This Row],[Vulnerabilities]]</f>
        <v>Assest counting system for all instances of product implementation</v>
      </c>
      <c r="F35" s="205" t="str">
        <f>IF(Table4[[#This Row],[A ID]]&gt;0,Table4[[#This Row],[A ID]],"")</f>
        <v>A03</v>
      </c>
      <c r="G35" s="195" t="str">
        <f>Table4[[#This Row],[Asset]]</f>
        <v>Smart medic (Stryker device) System Component</v>
      </c>
      <c r="H35" s="208" t="str">
        <f>IF(Table4[[#This Row],[Impact Description]]&gt;0,Table4[[#This Row],[Impact Description]],"")</f>
        <v xml:space="preserve">1) Malicious utilization of  computer resources 
2) computing power  
3) denial of service attacks, 
4) ransomware attack 
5) Bitcoin mining, etc </v>
      </c>
      <c r="I35" s="204" t="str">
        <f>IF(Table4[[#This Row],[Safety Impact 
(Risk ID'# or N/A)]]&gt;0,Table4[[#This Row],[Safety Impact 
(Risk ID'# or N/A)]],"")</f>
        <v/>
      </c>
      <c r="J35" s="199" t="str">
        <f>Table4[[#This Row],[Security 
Risk 
Level]]</f>
        <v>MEDIUM</v>
      </c>
      <c r="K35" s="204" t="str">
        <f>IF(Table4[[#This Row],[Security Risk Control Measures]]&gt;0,Table4[[#This Row],[Security Risk Control Measures]],"")</f>
        <v xml:space="preserve">▪Asset should be behind stateful firewall
•  Use secure tunnel communications channel </v>
      </c>
      <c r="L35" s="202" t="str">
        <f>Table4[[#This Row],[Security Risk LevelP]]</f>
        <v/>
      </c>
      <c r="M35" s="204" t="str">
        <f>IF(Table4[[#This Row],[Residual Security Risk Acceptability Justification]]&gt;0,Table4[[#This Row],[Residual Security Risk Acceptability Justification]],"")</f>
        <v/>
      </c>
      <c r="N35"/>
    </row>
    <row r="36" spans="1:14" s="53" customFormat="1" ht="85.5" x14ac:dyDescent="0.25">
      <c r="A36" s="203">
        <f>Table4[[#This Row],[
ID '#]]</f>
        <v>32</v>
      </c>
      <c r="B36" s="57" t="str">
        <f>IF(Table4[[#This Row],[T ID]]&gt;0,Table4[[#This Row],[T ID]],"")</f>
        <v>T02</v>
      </c>
      <c r="C36" s="195" t="str">
        <f>Table4[[#This Row],[Threat Event(s)]]</f>
        <v>CAPEC-185</v>
      </c>
      <c r="D36" s="204" t="str">
        <f>IF(Table4[[#This Row],[V ID]]&gt;0,Table4[[#This Row],[V ID]],"")</f>
        <v>V12</v>
      </c>
      <c r="E36" s="195" t="str">
        <f>Table4[[#This Row],[Vulnerabilities]]</f>
        <v>Assest counting system for all instances of product implementation</v>
      </c>
      <c r="F36" s="205" t="str">
        <f>IF(Table4[[#This Row],[A ID]]&gt;0,Table4[[#This Row],[A ID]],"")</f>
        <v>A01</v>
      </c>
      <c r="G36" s="195" t="str">
        <f>Table4[[#This Row],[Asset]]</f>
        <v>Tablet Resources - web cam, microphone, OTG devices, Removable USB, Tablet Application,</v>
      </c>
      <c r="H36" s="208" t="str">
        <f>IF(Table4[[#This Row],[Impact Description]]&gt;0,Table4[[#This Row],[Impact Description]],"")</f>
        <v xml:space="preserve">1) Malicious utilization of  computer resources 
2) computing power  
3) denial of service attacks, 
4) ransomware attack 
5) Bitcoin mining, etc </v>
      </c>
      <c r="I36" s="204" t="str">
        <f>IF(Table4[[#This Row],[Safety Impact 
(Risk ID'# or N/A)]]&gt;0,Table4[[#This Row],[Safety Impact 
(Risk ID'# or N/A)]],"")</f>
        <v/>
      </c>
      <c r="J36" s="199" t="str">
        <f>Table4[[#This Row],[Security 
Risk 
Level]]</f>
        <v>MEDIUM</v>
      </c>
      <c r="K36" s="204" t="str">
        <f>IF(Table4[[#This Row],[Security Risk Control Measures]]&gt;0,Table4[[#This Row],[Security Risk Control Measures]],"")</f>
        <v xml:space="preserve">▪Asset should be behind stateful firewall
•  Use secure tunnel communications channel </v>
      </c>
      <c r="L36" s="202" t="str">
        <f>Table4[[#This Row],[Security Risk LevelP]]</f>
        <v/>
      </c>
      <c r="M36" s="204" t="str">
        <f>IF(Table4[[#This Row],[Residual Security Risk Acceptability Justification]]&gt;0,Table4[[#This Row],[Residual Security Risk Acceptability Justification]],"")</f>
        <v/>
      </c>
      <c r="N36"/>
    </row>
    <row r="37" spans="1:14" s="53" customFormat="1" ht="85.5" x14ac:dyDescent="0.25">
      <c r="A37" s="203">
        <f>Table4[[#This Row],[
ID '#]]</f>
        <v>33</v>
      </c>
      <c r="B37" s="57" t="str">
        <f>IF(Table4[[#This Row],[T ID]]&gt;0,Table4[[#This Row],[T ID]],"")</f>
        <v>T02</v>
      </c>
      <c r="C37" s="195" t="str">
        <f>Table4[[#This Row],[Threat Event(s)]]</f>
        <v>CAPEC-185</v>
      </c>
      <c r="D37" s="204" t="str">
        <f>IF(Table4[[#This Row],[V ID]]&gt;0,Table4[[#This Row],[V ID]],"")</f>
        <v>V12</v>
      </c>
      <c r="E37" s="195" t="str">
        <f>Table4[[#This Row],[Vulnerabilities]]</f>
        <v>Assest counting system for all instances of product implementation</v>
      </c>
      <c r="F37" s="205" t="str">
        <f>IF(Table4[[#This Row],[A ID]]&gt;0,Table4[[#This Row],[A ID]],"")</f>
        <v>A08</v>
      </c>
      <c r="G37" s="195" t="str">
        <f>Table4[[#This Row],[Asset]]</f>
        <v>Wireless Network device</v>
      </c>
      <c r="H37" s="208" t="str">
        <f>IF(Table4[[#This Row],[Impact Description]]&gt;0,Table4[[#This Row],[Impact Description]],"")</f>
        <v xml:space="preserve">1) Malicious utilization of  computer resources 
2) computing power  
3) denial of service attacks, 
4) ransomware attack 
5) Bitcoin mining, etc </v>
      </c>
      <c r="I37" s="204" t="str">
        <f>IF(Table4[[#This Row],[Safety Impact 
(Risk ID'# or N/A)]]&gt;0,Table4[[#This Row],[Safety Impact 
(Risk ID'# or N/A)]],"")</f>
        <v/>
      </c>
      <c r="J37" s="199" t="str">
        <f>Table4[[#This Row],[Security 
Risk 
Level]]</f>
        <v>MEDIUM</v>
      </c>
      <c r="K37" s="204" t="str">
        <f>IF(Table4[[#This Row],[Security Risk Control Measures]]&gt;0,Table4[[#This Row],[Security Risk Control Measures]],"")</f>
        <v>• Disable the device network discoverable
• Maintain Access Control List.
• Block all unrequired ports
• Stateful firewall</v>
      </c>
      <c r="L37" s="202" t="str">
        <f>Table4[[#This Row],[Security Risk LevelP]]</f>
        <v/>
      </c>
      <c r="M37" s="204" t="str">
        <f>IF(Table4[[#This Row],[Residual Security Risk Acceptability Justification]]&gt;0,Table4[[#This Row],[Residual Security Risk Acceptability Justification]],"")</f>
        <v/>
      </c>
      <c r="N37"/>
    </row>
    <row r="38" spans="1:14" s="53" customFormat="1" ht="85.5" x14ac:dyDescent="0.25">
      <c r="A38" s="203">
        <f>Table4[[#This Row],[
ID '#]]</f>
        <v>34</v>
      </c>
      <c r="B38" s="57" t="str">
        <f>IF(Table4[[#This Row],[T ID]]&gt;0,Table4[[#This Row],[T ID]],"")</f>
        <v>T02</v>
      </c>
      <c r="C38" s="195" t="str">
        <f>Table4[[#This Row],[Threat Event(s)]]</f>
        <v>CAPEC-185</v>
      </c>
      <c r="D38" s="204" t="str">
        <f>IF(Table4[[#This Row],[V ID]]&gt;0,Table4[[#This Row],[V ID]],"")</f>
        <v>V21</v>
      </c>
      <c r="E38" s="195" t="str">
        <f>Table4[[#This Row],[Vulnerabilities]]</f>
        <v>Weak Algorthim implementation with respect cipher key size</v>
      </c>
      <c r="F38" s="205" t="str">
        <f>IF(Table4[[#This Row],[A ID]]&gt;0,Table4[[#This Row],[A ID]],"")</f>
        <v>A11</v>
      </c>
      <c r="G38" s="195" t="str">
        <f>Table4[[#This Row],[Asset]]</f>
        <v>Smart medic app (Stryker Azure Cloud Web Application)</v>
      </c>
      <c r="H38" s="208" t="str">
        <f>IF(Table4[[#This Row],[Impact Description]]&gt;0,Table4[[#This Row],[Impact Description]],"")</f>
        <v xml:space="preserve">1) Malicious utilization of  computer resources 
2) computing power  
3) denial of service attacks, 
4) ransomware attack 
5) Bitcoin mining, etc </v>
      </c>
      <c r="I38" s="204" t="str">
        <f>IF(Table4[[#This Row],[Safety Impact 
(Risk ID'# or N/A)]]&gt;0,Table4[[#This Row],[Safety Impact 
(Risk ID'# or N/A)]],"")</f>
        <v/>
      </c>
      <c r="J38" s="199" t="str">
        <f>Table4[[#This Row],[Security 
Risk 
Level]]</f>
        <v>MEDIUM</v>
      </c>
      <c r="K38" s="204" t="str">
        <f>IF(Table4[[#This Row],[Security Risk Control Measures]]&gt;0,Table4[[#This Row],[Security Risk Control Measures]],"")</f>
        <v xml:space="preserve">• Implement automated configuration monitoring systems
• Use Secure tunnel Communications channel </v>
      </c>
      <c r="L38" s="202" t="str">
        <f>Table4[[#This Row],[Security Risk LevelP]]</f>
        <v/>
      </c>
      <c r="M38" s="204" t="str">
        <f>IF(Table4[[#This Row],[Residual Security Risk Acceptability Justification]]&gt;0,Table4[[#This Row],[Residual Security Risk Acceptability Justification]],"")</f>
        <v/>
      </c>
      <c r="N38"/>
    </row>
    <row r="39" spans="1:14" s="53" customFormat="1" ht="85.5" x14ac:dyDescent="0.25">
      <c r="A39" s="203">
        <f>Table4[[#This Row],[
ID '#]]</f>
        <v>35</v>
      </c>
      <c r="B39" s="57" t="str">
        <f>IF(Table4[[#This Row],[T ID]]&gt;0,Table4[[#This Row],[T ID]],"")</f>
        <v>T02</v>
      </c>
      <c r="C39" s="195" t="str">
        <f>Table4[[#This Row],[Threat Event(s)]]</f>
        <v>CAPEC-185</v>
      </c>
      <c r="D39" s="204" t="str">
        <f>IF(Table4[[#This Row],[V ID]]&gt;0,Table4[[#This Row],[V ID]],"")</f>
        <v>V21</v>
      </c>
      <c r="E39" s="195" t="str">
        <f>Table4[[#This Row],[Vulnerabilities]]</f>
        <v>Weak Algorthim implementation with respect cipher key size</v>
      </c>
      <c r="F39" s="205" t="str">
        <f>IF(Table4[[#This Row],[A ID]]&gt;0,Table4[[#This Row],[A ID]],"")</f>
        <v>A01</v>
      </c>
      <c r="G39" s="195" t="str">
        <f>Table4[[#This Row],[Asset]]</f>
        <v>Tablet Resources - web cam, microphone, OTG devices, Removable USB, Tablet Application,</v>
      </c>
      <c r="H39" s="208" t="str">
        <f>IF(Table4[[#This Row],[Impact Description]]&gt;0,Table4[[#This Row],[Impact Description]],"")</f>
        <v xml:space="preserve">1) Malicious utilization of  computer resources 
2) computing power  
3) denial of service attacks, 
4) ransomware attack 
5) Bitcoin mining, etc </v>
      </c>
      <c r="I39" s="204" t="str">
        <f>IF(Table4[[#This Row],[Safety Impact 
(Risk ID'# or N/A)]]&gt;0,Table4[[#This Row],[Safety Impact 
(Risk ID'# or N/A)]],"")</f>
        <v/>
      </c>
      <c r="J39" s="199" t="str">
        <f>Table4[[#This Row],[Security 
Risk 
Level]]</f>
        <v>LOW</v>
      </c>
      <c r="K39" s="204" t="str">
        <f>IF(Table4[[#This Row],[Security Risk Control Measures]]&gt;0,Table4[[#This Row],[Security Risk Control Measures]],"")</f>
        <v xml:space="preserve">▪Asset should be behind stateful firewall
•  Use secure tunnel communications channel </v>
      </c>
      <c r="L39" s="202" t="str">
        <f>Table4[[#This Row],[Security Risk LevelP]]</f>
        <v/>
      </c>
      <c r="M39" s="204" t="str">
        <f>IF(Table4[[#This Row],[Residual Security Risk Acceptability Justification]]&gt;0,Table4[[#This Row],[Residual Security Risk Acceptability Justification]],"")</f>
        <v/>
      </c>
      <c r="N39"/>
    </row>
    <row r="40" spans="1:14" s="53" customFormat="1" ht="85.5" x14ac:dyDescent="0.25">
      <c r="A40" s="203">
        <f>Table4[[#This Row],[
ID '#]]</f>
        <v>36</v>
      </c>
      <c r="B40" s="57" t="str">
        <f>IF(Table4[[#This Row],[T ID]]&gt;0,Table4[[#This Row],[T ID]],"")</f>
        <v>T02</v>
      </c>
      <c r="C40" s="195" t="str">
        <f>Table4[[#This Row],[Threat Event(s)]]</f>
        <v>CAPEC-185</v>
      </c>
      <c r="D40" s="204" t="str">
        <f>IF(Table4[[#This Row],[V ID]]&gt;0,Table4[[#This Row],[V ID]],"")</f>
        <v>V16</v>
      </c>
      <c r="E40" s="195" t="str">
        <f>Table4[[#This Row],[Vulnerabilities]]</f>
        <v>Controlled Use of Administrative Privileges over the network</v>
      </c>
      <c r="F40" s="205" t="str">
        <f>IF(Table4[[#This Row],[A ID]]&gt;0,Table4[[#This Row],[A ID]],"")</f>
        <v>A01</v>
      </c>
      <c r="G40" s="195" t="str">
        <f>Table4[[#This Row],[Asset]]</f>
        <v>Tablet Resources - web cam, microphone, OTG devices, Removable USB, Tablet Application,</v>
      </c>
      <c r="H40" s="208" t="str">
        <f>IF(Table4[[#This Row],[Impact Description]]&gt;0,Table4[[#This Row],[Impact Description]],"")</f>
        <v xml:space="preserve">1) Malicious utilization of  computer resources 
2) computing power  
3) denial of service attacks, 
4) ransomware attack 
5) Bitcoin mining, etc </v>
      </c>
      <c r="I40" s="204" t="str">
        <f>IF(Table4[[#This Row],[Safety Impact 
(Risk ID'# or N/A)]]&gt;0,Table4[[#This Row],[Safety Impact 
(Risk ID'# or N/A)]],"")</f>
        <v/>
      </c>
      <c r="J40" s="199" t="str">
        <f>Table4[[#This Row],[Security 
Risk 
Level]]</f>
        <v>LOW</v>
      </c>
      <c r="K40" s="204" t="str">
        <f>IF(Table4[[#This Row],[Security Risk Control Measures]]&gt;0,Table4[[#This Row],[Security Risk Control Measures]],"")</f>
        <v xml:space="preserve">▪Asset should be behind stateful firewall
•  Use secure tunnel communications channel </v>
      </c>
      <c r="L40" s="202" t="str">
        <f>Table4[[#This Row],[Security Risk LevelP]]</f>
        <v>LOW</v>
      </c>
      <c r="M40" s="204" t="str">
        <f>IF(Table4[[#This Row],[Residual Security Risk Acceptability Justification]]&gt;0,Table4[[#This Row],[Residual Security Risk Acceptability Justification]],"")</f>
        <v/>
      </c>
      <c r="N40"/>
    </row>
    <row r="41" spans="1:14" s="53" customFormat="1" ht="85.5" x14ac:dyDescent="0.25">
      <c r="A41" s="203">
        <f>Table4[[#This Row],[
ID '#]]</f>
        <v>37</v>
      </c>
      <c r="B41" s="57" t="str">
        <f>IF(Table4[[#This Row],[T ID]]&gt;0,Table4[[#This Row],[T ID]],"")</f>
        <v>T02</v>
      </c>
      <c r="C41" s="195" t="str">
        <f>Table4[[#This Row],[Threat Event(s)]]</f>
        <v>CAPEC-185</v>
      </c>
      <c r="D41" s="204" t="str">
        <f>IF(Table4[[#This Row],[V ID]]&gt;0,Table4[[#This Row],[V ID]],"")</f>
        <v>V16</v>
      </c>
      <c r="E41" s="195" t="str">
        <f>Table4[[#This Row],[Vulnerabilities]]</f>
        <v>Controlled Use of Administrative Privileges over the network</v>
      </c>
      <c r="F41" s="205" t="str">
        <f>IF(Table4[[#This Row],[A ID]]&gt;0,Table4[[#This Row],[A ID]],"")</f>
        <v>A02</v>
      </c>
      <c r="G41" s="195" t="str">
        <f>Table4[[#This Row],[Asset]]</f>
        <v>Tablet OS/network details &amp; Tablet Application</v>
      </c>
      <c r="H41" s="208" t="str">
        <f>IF(Table4[[#This Row],[Impact Description]]&gt;0,Table4[[#This Row],[Impact Description]],"")</f>
        <v xml:space="preserve">1) Malicious utilization of  computer resources 
2) computing power  
3) denial of service attacks, 
4) ransomware attack 
5) Bitcoin mining, etc </v>
      </c>
      <c r="I41" s="204" t="str">
        <f>IF(Table4[[#This Row],[Safety Impact 
(Risk ID'# or N/A)]]&gt;0,Table4[[#This Row],[Safety Impact 
(Risk ID'# or N/A)]],"")</f>
        <v/>
      </c>
      <c r="J41" s="199" t="str">
        <f>Table4[[#This Row],[Security 
Risk 
Level]]</f>
        <v>LOW</v>
      </c>
      <c r="K41" s="204" t="str">
        <f>IF(Table4[[#This Row],[Security Risk Control Measures]]&gt;0,Table4[[#This Row],[Security Risk Control Measures]],"")</f>
        <v xml:space="preserve">▪Asset should be behind stateful firewall
•  Use secure tunnel communications channel </v>
      </c>
      <c r="L41" s="202" t="str">
        <f>Table4[[#This Row],[Security Risk LevelP]]</f>
        <v/>
      </c>
      <c r="M41" s="204" t="str">
        <f>IF(Table4[[#This Row],[Residual Security Risk Acceptability Justification]]&gt;0,Table4[[#This Row],[Residual Security Risk Acceptability Justification]],"")</f>
        <v/>
      </c>
      <c r="N41"/>
    </row>
    <row r="42" spans="1:14" s="53" customFormat="1" ht="85.5" x14ac:dyDescent="0.25">
      <c r="A42" s="203">
        <f>Table4[[#This Row],[
ID '#]]</f>
        <v>38</v>
      </c>
      <c r="B42" s="57" t="str">
        <f>IF(Table4[[#This Row],[T ID]]&gt;0,Table4[[#This Row],[T ID]],"")</f>
        <v>T02</v>
      </c>
      <c r="C42" s="195" t="str">
        <f>Table4[[#This Row],[Threat Event(s)]]</f>
        <v>CAPEC-185</v>
      </c>
      <c r="D42" s="204" t="str">
        <f>IF(Table4[[#This Row],[V ID]]&gt;0,Table4[[#This Row],[V ID]],"")</f>
        <v>V16</v>
      </c>
      <c r="E42" s="195" t="str">
        <f>Table4[[#This Row],[Vulnerabilities]]</f>
        <v>Controlled Use of Administrative Privileges over the network</v>
      </c>
      <c r="F42" s="205" t="str">
        <f>IF(Table4[[#This Row],[A ID]]&gt;0,Table4[[#This Row],[A ID]],"")</f>
        <v>A11</v>
      </c>
      <c r="G42" s="195" t="str">
        <f>Table4[[#This Row],[Asset]]</f>
        <v>Smart medic app (Stryker Azure Cloud Web Application)</v>
      </c>
      <c r="H42" s="208" t="str">
        <f>IF(Table4[[#This Row],[Impact Description]]&gt;0,Table4[[#This Row],[Impact Description]],"")</f>
        <v xml:space="preserve">1) Malicious utilization of  computer resources 
2) computing power  
3) denial of service attacks, 
4) ransomware attack 
5) Bitcoin mining, etc </v>
      </c>
      <c r="I42" s="204" t="str">
        <f>IF(Table4[[#This Row],[Safety Impact 
(Risk ID'# or N/A)]]&gt;0,Table4[[#This Row],[Safety Impact 
(Risk ID'# or N/A)]],"")</f>
        <v/>
      </c>
      <c r="J42" s="199" t="str">
        <f>Table4[[#This Row],[Security 
Risk 
Level]]</f>
        <v>LOW</v>
      </c>
      <c r="K42" s="204" t="str">
        <f>IF(Table4[[#This Row],[Security Risk Control Measures]]&gt;0,Table4[[#This Row],[Security Risk Control Measures]],"")</f>
        <v xml:space="preserve">• Encrypting the storage subsystem
• Encryption methods such as HTTPS, SSL, and TLS are often used to protect data in motion.
• Stateful firewall
•  Maintain access control list.
•  Use strong encrption algorithm </v>
      </c>
      <c r="L42" s="202" t="str">
        <f>Table4[[#This Row],[Security Risk LevelP]]</f>
        <v/>
      </c>
      <c r="M42" s="204" t="str">
        <f>IF(Table4[[#This Row],[Residual Security Risk Acceptability Justification]]&gt;0,Table4[[#This Row],[Residual Security Risk Acceptability Justification]],"")</f>
        <v/>
      </c>
      <c r="N42"/>
    </row>
    <row r="43" spans="1:14" s="53" customFormat="1" ht="71.25" x14ac:dyDescent="0.25">
      <c r="A43" s="203">
        <f>Table4[[#This Row],[
ID '#]]</f>
        <v>39</v>
      </c>
      <c r="B43" s="57" t="str">
        <f>IF(Table4[[#This Row],[T ID]]&gt;0,Table4[[#This Row],[T ID]],"")</f>
        <v>T03</v>
      </c>
      <c r="C43" s="195" t="str">
        <f>Table4[[#This Row],[Threat Event(s)]]</f>
        <v>[S]TRID[E]</v>
      </c>
      <c r="D43" s="204" t="str">
        <f>IF(Table4[[#This Row],[V ID]]&gt;0,Table4[[#This Row],[V ID]],"")</f>
        <v>V12</v>
      </c>
      <c r="E43" s="195" t="str">
        <f>Table4[[#This Row],[Vulnerabilities]]</f>
        <v>Assest counting system for all instances of product implementation</v>
      </c>
      <c r="F43" s="205" t="str">
        <f>IF(Table4[[#This Row],[A ID]]&gt;0,Table4[[#This Row],[A ID]],"")</f>
        <v>A02</v>
      </c>
      <c r="G43" s="195" t="str">
        <f>Table4[[#This Row],[Asset]]</f>
        <v>Tablet OS/network details &amp; Tablet Application</v>
      </c>
      <c r="H43" s="208" t="str">
        <f>IF(Table4[[#This Row],[Impact Description]]&gt;0,Table4[[#This Row],[Impact Description]],"")</f>
        <v>1)  Obtain knowledge about system internals
2)  Attempt to find attack vectors 
3)  Possibilities for exploitation of publicly known Vulnerabilities.</v>
      </c>
      <c r="I43" s="204" t="str">
        <f>IF(Table4[[#This Row],[Safety Impact 
(Risk ID'# or N/A)]]&gt;0,Table4[[#This Row],[Safety Impact 
(Risk ID'# or N/A)]],"")</f>
        <v/>
      </c>
      <c r="J43" s="199" t="str">
        <f>Table4[[#This Row],[Security 
Risk 
Level]]</f>
        <v>MEDIUM</v>
      </c>
      <c r="K43" s="204" t="str">
        <f>IF(Table4[[#This Row],[Security Risk Control Measures]]&gt;0,Table4[[#This Row],[Security Risk Control Measures]],"")</f>
        <v xml:space="preserve">▪Asset should be behind stateful firewall
•  Use secure tunnel communications channel </v>
      </c>
      <c r="L43" s="202" t="str">
        <f>Table4[[#This Row],[Security Risk LevelP]]</f>
        <v/>
      </c>
      <c r="M43" s="204" t="str">
        <f>IF(Table4[[#This Row],[Residual Security Risk Acceptability Justification]]&gt;0,Table4[[#This Row],[Residual Security Risk Acceptability Justification]],"")</f>
        <v/>
      </c>
      <c r="N43"/>
    </row>
    <row r="44" spans="1:14" s="53" customFormat="1" ht="71.25" x14ac:dyDescent="0.25">
      <c r="A44" s="203">
        <f>Table4[[#This Row],[
ID '#]]</f>
        <v>40</v>
      </c>
      <c r="B44" s="57" t="str">
        <f>IF(Table4[[#This Row],[T ID]]&gt;0,Table4[[#This Row],[T ID]],"")</f>
        <v>T03</v>
      </c>
      <c r="C44" s="195" t="str">
        <f>Table4[[#This Row],[Threat Event(s)]]</f>
        <v>[S]TRID[E]</v>
      </c>
      <c r="D44" s="204" t="str">
        <f>IF(Table4[[#This Row],[V ID]]&gt;0,Table4[[#This Row],[V ID]],"")</f>
        <v>V12</v>
      </c>
      <c r="E44" s="195" t="str">
        <f>Table4[[#This Row],[Vulnerabilities]]</f>
        <v>Assest counting system for all instances of product implementation</v>
      </c>
      <c r="F44" s="205" t="str">
        <f>IF(Table4[[#This Row],[A ID]]&gt;0,Table4[[#This Row],[A ID]],"")</f>
        <v>A11</v>
      </c>
      <c r="G44" s="195" t="str">
        <f>Table4[[#This Row],[Asset]]</f>
        <v>Smart medic app (Stryker Azure Cloud Web Application)</v>
      </c>
      <c r="H44" s="208" t="str">
        <f>IF(Table4[[#This Row],[Impact Description]]&gt;0,Table4[[#This Row],[Impact Description]],"")</f>
        <v>1)  Obtain knowledge about system internals
2)  Attempt to find attack vectors 
3)  Possibilities for exploitation of publicly known Vulnerabilities.</v>
      </c>
      <c r="I44" s="204" t="str">
        <f>IF(Table4[[#This Row],[Safety Impact 
(Risk ID'# or N/A)]]&gt;0,Table4[[#This Row],[Safety Impact 
(Risk ID'# or N/A)]],"")</f>
        <v/>
      </c>
      <c r="J44" s="199" t="str">
        <f>Table4[[#This Row],[Security 
Risk 
Level]]</f>
        <v>HIGH</v>
      </c>
      <c r="K44" s="204" t="str">
        <f>IF(Table4[[#This Row],[Security Risk Control Measures]]&gt;0,Table4[[#This Row],[Security Risk Control Measures]],"")</f>
        <v>• Configuring account lockout policies cannot be exploited to lock out well known service accounts.
• Ensuring application is capable of handling required volumes of traffic and that thresholds are in place to handle optimal  loads.
• Review your application's failover functionality.
• Maintain Access Control List.
• Block all unrequired ports
• Stateful firewall</v>
      </c>
      <c r="L44" s="202" t="str">
        <f>Table4[[#This Row],[Security Risk LevelP]]</f>
        <v/>
      </c>
      <c r="M44" s="204" t="str">
        <f>IF(Table4[[#This Row],[Residual Security Risk Acceptability Justification]]&gt;0,Table4[[#This Row],[Residual Security Risk Acceptability Justification]],"")</f>
        <v/>
      </c>
      <c r="N44"/>
    </row>
    <row r="45" spans="1:14" s="53" customFormat="1" ht="71.25" x14ac:dyDescent="0.25">
      <c r="A45" s="203">
        <f>Table4[[#This Row],[
ID '#]]</f>
        <v>41</v>
      </c>
      <c r="B45" s="57" t="str">
        <f>IF(Table4[[#This Row],[T ID]]&gt;0,Table4[[#This Row],[T ID]],"")</f>
        <v>T03</v>
      </c>
      <c r="C45" s="195" t="str">
        <f>Table4[[#This Row],[Threat Event(s)]]</f>
        <v>[S]TRID[E]</v>
      </c>
      <c r="D45" s="204" t="str">
        <f>IF(Table4[[#This Row],[V ID]]&gt;0,Table4[[#This Row],[V ID]],"")</f>
        <v>V12</v>
      </c>
      <c r="E45" s="195" t="str">
        <f>Table4[[#This Row],[Vulnerabilities]]</f>
        <v>Assest counting system for all instances of product implementation</v>
      </c>
      <c r="F45" s="205" t="str">
        <f>IF(Table4[[#This Row],[A ID]]&gt;0,Table4[[#This Row],[A ID]],"")</f>
        <v>A01</v>
      </c>
      <c r="G45" s="195" t="str">
        <f>Table4[[#This Row],[Asset]]</f>
        <v>Tablet Resources - web cam, microphone, OTG devices, Removable USB, Tablet Application,</v>
      </c>
      <c r="H45" s="208" t="str">
        <f>IF(Table4[[#This Row],[Impact Description]]&gt;0,Table4[[#This Row],[Impact Description]],"")</f>
        <v>1)  Obtain knowledge about system internals
2)  Attempt to find attack vectors 
3)  Possibilities for exploitation of publicly known Vulnerabilities.</v>
      </c>
      <c r="I45" s="204" t="str">
        <f>IF(Table4[[#This Row],[Safety Impact 
(Risk ID'# or N/A)]]&gt;0,Table4[[#This Row],[Safety Impact 
(Risk ID'# or N/A)]],"")</f>
        <v/>
      </c>
      <c r="J45" s="199" t="str">
        <f>Table4[[#This Row],[Security 
Risk 
Level]]</f>
        <v>MEDIUM</v>
      </c>
      <c r="K45" s="204" t="str">
        <f>IF(Table4[[#This Row],[Security Risk Control Measures]]&gt;0,Table4[[#This Row],[Security Risk Control Measures]],"")</f>
        <v xml:space="preserve">▪Asset should be behind stateful firewall
•  Use secure tunnel communications channel </v>
      </c>
      <c r="L45" s="202" t="str">
        <f>Table4[[#This Row],[Security Risk LevelP]]</f>
        <v>LOW</v>
      </c>
      <c r="M45" s="204" t="str">
        <f>IF(Table4[[#This Row],[Residual Security Risk Acceptability Justification]]&gt;0,Table4[[#This Row],[Residual Security Risk Acceptability Justification]],"")</f>
        <v/>
      </c>
      <c r="N45"/>
    </row>
    <row r="46" spans="1:14" s="53" customFormat="1" ht="71.25" x14ac:dyDescent="0.25">
      <c r="A46" s="203">
        <f>Table4[[#This Row],[
ID '#]]</f>
        <v>42</v>
      </c>
      <c r="B46" s="57" t="str">
        <f>IF(Table4[[#This Row],[T ID]]&gt;0,Table4[[#This Row],[T ID]],"")</f>
        <v>T03</v>
      </c>
      <c r="C46" s="195" t="str">
        <f>Table4[[#This Row],[Threat Event(s)]]</f>
        <v>[S]TRID[E]</v>
      </c>
      <c r="D46" s="204" t="str">
        <f>IF(Table4[[#This Row],[V ID]]&gt;0,Table4[[#This Row],[V ID]],"")</f>
        <v>V01</v>
      </c>
      <c r="E46" s="195" t="str">
        <f>Table4[[#This Row],[Vulnerabilities]]</f>
        <v>Devices with default passwords needs to be checked for bruteforce attacks</v>
      </c>
      <c r="F46" s="205" t="str">
        <f>IF(Table4[[#This Row],[A ID]]&gt;0,Table4[[#This Row],[A ID]],"")</f>
        <v>A04</v>
      </c>
      <c r="G46" s="195" t="str">
        <f>Table4[[#This Row],[Asset]]</f>
        <v xml:space="preserve">Authenication/Authorisation data </v>
      </c>
      <c r="H46" s="208" t="str">
        <f>IF(Table4[[#This Row],[Impact Description]]&gt;0,Table4[[#This Row],[Impact Description]],"")</f>
        <v>1)  Obtain knowledge about system internals
2)  Attempt to find attack vectors 
3)  Possibilities for exploitation of publicly known Vulnerabilities.</v>
      </c>
      <c r="I46" s="204" t="str">
        <f>IF(Table4[[#This Row],[Safety Impact 
(Risk ID'# or N/A)]]&gt;0,Table4[[#This Row],[Safety Impact 
(Risk ID'# or N/A)]],"")</f>
        <v/>
      </c>
      <c r="J46" s="199" t="str">
        <f>Table4[[#This Row],[Security 
Risk 
Level]]</f>
        <v>LOW</v>
      </c>
      <c r="K46" s="204" t="str">
        <f>IF(Table4[[#This Row],[Security Risk Control Measures]]&gt;0,Table4[[#This Row],[Security Risk Control Measures]],"")</f>
        <v xml:space="preserve">• Require multi-factor authentication
• limit authentication attempts (rate Limiting)
• Maintain Access Logs
</v>
      </c>
      <c r="L46" s="202" t="str">
        <f>Table4[[#This Row],[Security Risk LevelP]]</f>
        <v/>
      </c>
      <c r="M46" s="204" t="str">
        <f>IF(Table4[[#This Row],[Residual Security Risk Acceptability Justification]]&gt;0,Table4[[#This Row],[Residual Security Risk Acceptability Justification]],"")</f>
        <v/>
      </c>
      <c r="N46"/>
    </row>
    <row r="47" spans="1:14" s="53" customFormat="1" ht="71.25" x14ac:dyDescent="0.25">
      <c r="A47" s="203">
        <f>Table4[[#This Row],[
ID '#]]</f>
        <v>43</v>
      </c>
      <c r="B47" s="57" t="str">
        <f>IF(Table4[[#This Row],[T ID]]&gt;0,Table4[[#This Row],[T ID]],"")</f>
        <v>T03</v>
      </c>
      <c r="C47" s="195" t="str">
        <f>Table4[[#This Row],[Threat Event(s)]]</f>
        <v>[S]TRID[E]</v>
      </c>
      <c r="D47" s="204" t="str">
        <f>IF(Table4[[#This Row],[V ID]]&gt;0,Table4[[#This Row],[V ID]],"")</f>
        <v>V01</v>
      </c>
      <c r="E47" s="195" t="str">
        <f>Table4[[#This Row],[Vulnerabilities]]</f>
        <v>Devices with default passwords needs to be checked for bruteforce attacks</v>
      </c>
      <c r="F47" s="205" t="str">
        <f>IF(Table4[[#This Row],[A ID]]&gt;0,Table4[[#This Row],[A ID]],"")</f>
        <v>A11</v>
      </c>
      <c r="G47" s="195" t="str">
        <f>Table4[[#This Row],[Asset]]</f>
        <v>Smart medic app (Stryker Azure Cloud Web Application)</v>
      </c>
      <c r="H47" s="208" t="str">
        <f>IF(Table4[[#This Row],[Impact Description]]&gt;0,Table4[[#This Row],[Impact Description]],"")</f>
        <v>1)  Obtain knowledge about system internals
2)  Attempt to find attack vectors 
3)  Possibilities for exploitation of publicly known Vulnerabilities.</v>
      </c>
      <c r="I47" s="204" t="str">
        <f>IF(Table4[[#This Row],[Safety Impact 
(Risk ID'# or N/A)]]&gt;0,Table4[[#This Row],[Safety Impact 
(Risk ID'# or N/A)]],"")</f>
        <v/>
      </c>
      <c r="J47" s="199" t="str">
        <f>Table4[[#This Row],[Security 
Risk 
Level]]</f>
        <v>MEDIUM</v>
      </c>
      <c r="K47"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47" s="202" t="str">
        <f>Table4[[#This Row],[Security Risk LevelP]]</f>
        <v/>
      </c>
      <c r="M47" s="204" t="str">
        <f>IF(Table4[[#This Row],[Residual Security Risk Acceptability Justification]]&gt;0,Table4[[#This Row],[Residual Security Risk Acceptability Justification]],"")</f>
        <v/>
      </c>
      <c r="N47"/>
    </row>
    <row r="48" spans="1:14" s="53" customFormat="1" ht="71.25" x14ac:dyDescent="0.25">
      <c r="A48" s="203">
        <f>Table4[[#This Row],[
ID '#]]</f>
        <v>44</v>
      </c>
      <c r="B48" s="57" t="str">
        <f>IF(Table4[[#This Row],[T ID]]&gt;0,Table4[[#This Row],[T ID]],"")</f>
        <v>T03</v>
      </c>
      <c r="C48" s="195" t="str">
        <f>Table4[[#This Row],[Threat Event(s)]]</f>
        <v>[S]TRID[E]</v>
      </c>
      <c r="D48" s="204" t="str">
        <f>IF(Table4[[#This Row],[V ID]]&gt;0,Table4[[#This Row],[V ID]],"")</f>
        <v>V01</v>
      </c>
      <c r="E48" s="195" t="str">
        <f>Table4[[#This Row],[Vulnerabilities]]</f>
        <v>Devices with default passwords needs to be checked for bruteforce attacks</v>
      </c>
      <c r="F48" s="205" t="str">
        <f>IF(Table4[[#This Row],[A ID]]&gt;0,Table4[[#This Row],[A ID]],"")</f>
        <v>A07</v>
      </c>
      <c r="G48" s="195" t="str">
        <f>Table4[[#This Row],[Asset]]</f>
        <v>Interface/API Communication</v>
      </c>
      <c r="H48" s="208" t="str">
        <f>IF(Table4[[#This Row],[Impact Description]]&gt;0,Table4[[#This Row],[Impact Description]],"")</f>
        <v>1)  Obtain knowledge about system internals
2)  Attempt to find attack vectors 
3)  Possibilities for exploitation of publicly known Vulnerabilities.</v>
      </c>
      <c r="I48" s="204" t="str">
        <f>IF(Table4[[#This Row],[Safety Impact 
(Risk ID'# or N/A)]]&gt;0,Table4[[#This Row],[Safety Impact 
(Risk ID'# or N/A)]],"")</f>
        <v/>
      </c>
      <c r="J48" s="199" t="str">
        <f>Table4[[#This Row],[Security 
Risk 
Level]]</f>
        <v>LOW</v>
      </c>
      <c r="K48" s="204" t="str">
        <f>IF(Table4[[#This Row],[Security Risk Control Measures]]&gt;0,Table4[[#This Row],[Security Risk Control Measures]],"")</f>
        <v xml:space="preserve">
• Require multi-factor authentication
• limit authentication attempts (rate Limiting)
• Maintain Access Logs
• Maintain Server Security Logs
• Stronger authentication methods</v>
      </c>
      <c r="L48" s="202" t="str">
        <f>Table4[[#This Row],[Security Risk LevelP]]</f>
        <v/>
      </c>
      <c r="M48" s="204" t="str">
        <f>IF(Table4[[#This Row],[Residual Security Risk Acceptability Justification]]&gt;0,Table4[[#This Row],[Residual Security Risk Acceptability Justification]],"")</f>
        <v/>
      </c>
      <c r="N48"/>
    </row>
    <row r="49" spans="1:14" s="53" customFormat="1" ht="71.25" x14ac:dyDescent="0.25">
      <c r="A49" s="203">
        <f>Table4[[#This Row],[
ID '#]]</f>
        <v>45</v>
      </c>
      <c r="B49" s="57" t="str">
        <f>IF(Table4[[#This Row],[T ID]]&gt;0,Table4[[#This Row],[T ID]],"")</f>
        <v>T03</v>
      </c>
      <c r="C49" s="195" t="str">
        <f>Table4[[#This Row],[Threat Event(s)]]</f>
        <v>[S]TRID[E]</v>
      </c>
      <c r="D49" s="204" t="str">
        <f>IF(Table4[[#This Row],[V ID]]&gt;0,Table4[[#This Row],[V ID]],"")</f>
        <v>V03</v>
      </c>
      <c r="E49" s="195" t="str">
        <f>Table4[[#This Row],[Vulnerabilities]]</f>
        <v>Error Info containing sensitive data for Failed Authentication attempts</v>
      </c>
      <c r="F49" s="205" t="str">
        <f>IF(Table4[[#This Row],[A ID]]&gt;0,Table4[[#This Row],[A ID]],"")</f>
        <v>A04</v>
      </c>
      <c r="G49" s="195" t="str">
        <f>Table4[[#This Row],[Asset]]</f>
        <v xml:space="preserve">Authenication/Authorisation data </v>
      </c>
      <c r="H49" s="208" t="str">
        <f>IF(Table4[[#This Row],[Impact Description]]&gt;0,Table4[[#This Row],[Impact Description]],"")</f>
        <v>1)  Obtain knowledge about system internals
2)  Attempt to find attack vectors 
3)  Possibilities for exploitation of publicly known Vulnerabilities.</v>
      </c>
      <c r="I49" s="204" t="str">
        <f>IF(Table4[[#This Row],[Safety Impact 
(Risk ID'# or N/A)]]&gt;0,Table4[[#This Row],[Safety Impact 
(Risk ID'# or N/A)]],"")</f>
        <v/>
      </c>
      <c r="J49" s="199" t="str">
        <f>Table4[[#This Row],[Security 
Risk 
Level]]</f>
        <v>LOW</v>
      </c>
      <c r="K49"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49" s="202" t="str">
        <f>Table4[[#This Row],[Security Risk LevelP]]</f>
        <v/>
      </c>
      <c r="M49" s="204" t="str">
        <f>IF(Table4[[#This Row],[Residual Security Risk Acceptability Justification]]&gt;0,Table4[[#This Row],[Residual Security Risk Acceptability Justification]],"")</f>
        <v/>
      </c>
      <c r="N49"/>
    </row>
    <row r="50" spans="1:14" s="53" customFormat="1" ht="71.25" x14ac:dyDescent="0.25">
      <c r="A50" s="203">
        <f>Table4[[#This Row],[
ID '#]]</f>
        <v>46</v>
      </c>
      <c r="B50" s="57" t="str">
        <f>IF(Table4[[#This Row],[T ID]]&gt;0,Table4[[#This Row],[T ID]],"")</f>
        <v>T03</v>
      </c>
      <c r="C50" s="195" t="str">
        <f>Table4[[#This Row],[Threat Event(s)]]</f>
        <v>[S]TRID[E]</v>
      </c>
      <c r="D50" s="204" t="str">
        <f>IF(Table4[[#This Row],[V ID]]&gt;0,Table4[[#This Row],[V ID]],"")</f>
        <v>V03</v>
      </c>
      <c r="E50" s="195" t="str">
        <f>Table4[[#This Row],[Vulnerabilities]]</f>
        <v>Error Info containing sensitive data for Failed Authentication attempts</v>
      </c>
      <c r="F50" s="205" t="str">
        <f>IF(Table4[[#This Row],[A ID]]&gt;0,Table4[[#This Row],[A ID]],"")</f>
        <v>A11</v>
      </c>
      <c r="G50" s="195" t="str">
        <f>Table4[[#This Row],[Asset]]</f>
        <v>Smart medic app (Stryker Azure Cloud Web Application)</v>
      </c>
      <c r="H50" s="208" t="str">
        <f>IF(Table4[[#This Row],[Impact Description]]&gt;0,Table4[[#This Row],[Impact Description]],"")</f>
        <v>1)  Obtain knowledge about system internals
2)  Attempt to find attack vectors 
3)  Possibilities for exploitation of publicly known Vulnerabilities.</v>
      </c>
      <c r="I50" s="204" t="str">
        <f>IF(Table4[[#This Row],[Safety Impact 
(Risk ID'# or N/A)]]&gt;0,Table4[[#This Row],[Safety Impact 
(Risk ID'# or N/A)]],"")</f>
        <v/>
      </c>
      <c r="J50" s="199" t="str">
        <f>Table4[[#This Row],[Security 
Risk 
Level]]</f>
        <v>MEDIUM</v>
      </c>
      <c r="K50" s="204" t="str">
        <f>IF(Table4[[#This Row],[Security Risk Control Measures]]&gt;0,Table4[[#This Row],[Security Risk Control Measures]],"")</f>
        <v xml:space="preserve">• Require multi-factor authentication
• limit authentication attempts (rate Limiting)
• Maintain Access Logs
• Maintain Server Security Logs
• Stronger authentication methods
</v>
      </c>
      <c r="L50" s="202" t="str">
        <f>Table4[[#This Row],[Security Risk LevelP]]</f>
        <v/>
      </c>
      <c r="M50" s="204" t="str">
        <f>IF(Table4[[#This Row],[Residual Security Risk Acceptability Justification]]&gt;0,Table4[[#This Row],[Residual Security Risk Acceptability Justification]],"")</f>
        <v/>
      </c>
      <c r="N50"/>
    </row>
    <row r="51" spans="1:14" s="53" customFormat="1" ht="71.25" x14ac:dyDescent="0.25">
      <c r="A51" s="203">
        <f>Table4[[#This Row],[
ID '#]]</f>
        <v>47</v>
      </c>
      <c r="B51" s="57" t="str">
        <f>IF(Table4[[#This Row],[T ID]]&gt;0,Table4[[#This Row],[T ID]],"")</f>
        <v>T03</v>
      </c>
      <c r="C51" s="195" t="str">
        <f>Table4[[#This Row],[Threat Event(s)]]</f>
        <v>[S]TRID[E]</v>
      </c>
      <c r="D51" s="204" t="str">
        <f>IF(Table4[[#This Row],[V ID]]&gt;0,Table4[[#This Row],[V ID]],"")</f>
        <v>V03</v>
      </c>
      <c r="E51" s="195" t="str">
        <f>Table4[[#This Row],[Vulnerabilities]]</f>
        <v>Error Info containing sensitive data for Failed Authentication attempts</v>
      </c>
      <c r="F51" s="205" t="str">
        <f>IF(Table4[[#This Row],[A ID]]&gt;0,Table4[[#This Row],[A ID]],"")</f>
        <v>A12</v>
      </c>
      <c r="G51" s="195" t="str">
        <f>Table4[[#This Row],[Asset]]</f>
        <v>Smart medic app (Azure Portal Administrator)</v>
      </c>
      <c r="H51" s="208" t="str">
        <f>IF(Table4[[#This Row],[Impact Description]]&gt;0,Table4[[#This Row],[Impact Description]],"")</f>
        <v>1)  Obtain knowledge about system internals
2)  Attempt to find attack vectors 
3)  Possibilities for exploitation of publicly known Vulnerabilities.</v>
      </c>
      <c r="I51" s="204" t="str">
        <f>IF(Table4[[#This Row],[Safety Impact 
(Risk ID'# or N/A)]]&gt;0,Table4[[#This Row],[Safety Impact 
(Risk ID'# or N/A)]],"")</f>
        <v/>
      </c>
      <c r="J51" s="199" t="str">
        <f>Table4[[#This Row],[Security 
Risk 
Level]]</f>
        <v>MEDIUM</v>
      </c>
      <c r="K51" s="204" t="str">
        <f>IF(Table4[[#This Row],[Security Risk Control Measures]]&gt;0,Table4[[#This Row],[Security Risk Control Measures]],"")</f>
        <v xml:space="preserve">• Require multi-factor authentication
• limit authentication attempts (rate Limiting)
• Maintain Access Logs
• Maintain Server Security Logs
• Stronger authentication methods
</v>
      </c>
      <c r="L51" s="202" t="str">
        <f>Table4[[#This Row],[Security Risk LevelP]]</f>
        <v/>
      </c>
      <c r="M51" s="204" t="str">
        <f>IF(Table4[[#This Row],[Residual Security Risk Acceptability Justification]]&gt;0,Table4[[#This Row],[Residual Security Risk Acceptability Justification]],"")</f>
        <v/>
      </c>
      <c r="N51"/>
    </row>
    <row r="52" spans="1:14" s="53" customFormat="1" ht="71.25" x14ac:dyDescent="0.25">
      <c r="A52" s="203">
        <f>Table4[[#This Row],[
ID '#]]</f>
        <v>48</v>
      </c>
      <c r="B52" s="57" t="str">
        <f>IF(Table4[[#This Row],[T ID]]&gt;0,Table4[[#This Row],[T ID]],"")</f>
        <v>T03</v>
      </c>
      <c r="C52" s="195" t="str">
        <f>Table4[[#This Row],[Threat Event(s)]]</f>
        <v>[S]TRID[E]</v>
      </c>
      <c r="D52" s="204" t="str">
        <f>IF(Table4[[#This Row],[V ID]]&gt;0,Table4[[#This Row],[V ID]],"")</f>
        <v>V04</v>
      </c>
      <c r="E52" s="195" t="str">
        <f>Table4[[#This Row],[Vulnerabilities]]</f>
        <v>The password complexity or location vulnerability. Like weak passwords and hardcoded passwords.</v>
      </c>
      <c r="F52" s="205" t="str">
        <f>IF(Table4[[#This Row],[A ID]]&gt;0,Table4[[#This Row],[A ID]],"")</f>
        <v>A04</v>
      </c>
      <c r="G52" s="195" t="str">
        <f>Table4[[#This Row],[Asset]]</f>
        <v xml:space="preserve">Authenication/Authorisation data </v>
      </c>
      <c r="H52" s="208" t="str">
        <f>IF(Table4[[#This Row],[Impact Description]]&gt;0,Table4[[#This Row],[Impact Description]],"")</f>
        <v>1)  Obtain knowledge about system internals
2)  Attempt to find attack vectors 
3)  Possibilities for exploitation of publicly known Vulnerabilities.</v>
      </c>
      <c r="I52" s="204" t="str">
        <f>IF(Table4[[#This Row],[Safety Impact 
(Risk ID'# or N/A)]]&gt;0,Table4[[#This Row],[Safety Impact 
(Risk ID'# or N/A)]],"")</f>
        <v/>
      </c>
      <c r="J52" s="199" t="str">
        <f>Table4[[#This Row],[Security 
Risk 
Level]]</f>
        <v>LOW</v>
      </c>
      <c r="K52" s="204" t="str">
        <f>IF(Table4[[#This Row],[Security Risk Control Measures]]&gt;0,Table4[[#This Row],[Security Risk Control Measures]],"")</f>
        <v>•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v>
      </c>
      <c r="L52" s="202" t="str">
        <f>Table4[[#This Row],[Security Risk LevelP]]</f>
        <v/>
      </c>
      <c r="M52" s="204" t="str">
        <f>IF(Table4[[#This Row],[Residual Security Risk Acceptability Justification]]&gt;0,Table4[[#This Row],[Residual Security Risk Acceptability Justification]],"")</f>
        <v/>
      </c>
      <c r="N52"/>
    </row>
    <row r="53" spans="1:14" s="53" customFormat="1" ht="71.25" x14ac:dyDescent="0.25">
      <c r="A53" s="203">
        <f>Table4[[#This Row],[
ID '#]]</f>
        <v>49</v>
      </c>
      <c r="B53" s="57" t="str">
        <f>IF(Table4[[#This Row],[T ID]]&gt;0,Table4[[#This Row],[T ID]],"")</f>
        <v>T03</v>
      </c>
      <c r="C53" s="195" t="str">
        <f>Table4[[#This Row],[Threat Event(s)]]</f>
        <v>[S]TRID[E]</v>
      </c>
      <c r="D53" s="204" t="str">
        <f>IF(Table4[[#This Row],[V ID]]&gt;0,Table4[[#This Row],[V ID]],"")</f>
        <v>V04</v>
      </c>
      <c r="E53" s="195" t="str">
        <f>Table4[[#This Row],[Vulnerabilities]]</f>
        <v>The password complexity or location vulnerability. Like weak passwords and hardcoded passwords.</v>
      </c>
      <c r="F53" s="205" t="str">
        <f>IF(Table4[[#This Row],[A ID]]&gt;0,Table4[[#This Row],[A ID]],"")</f>
        <v>A11</v>
      </c>
      <c r="G53" s="195" t="str">
        <f>Table4[[#This Row],[Asset]]</f>
        <v>Smart medic app (Stryker Azure Cloud Web Application)</v>
      </c>
      <c r="H53" s="208" t="str">
        <f>IF(Table4[[#This Row],[Impact Description]]&gt;0,Table4[[#This Row],[Impact Description]],"")</f>
        <v>1)  Obtain knowledge about system internals
2)  Attempt to find attack vectors 
3)  Possibilities for exploitation of publicly known Vulnerabilities.</v>
      </c>
      <c r="I53" s="204" t="str">
        <f>IF(Table4[[#This Row],[Safety Impact 
(Risk ID'# or N/A)]]&gt;0,Table4[[#This Row],[Safety Impact 
(Risk ID'# or N/A)]],"")</f>
        <v/>
      </c>
      <c r="J53" s="199" t="str">
        <f>Table4[[#This Row],[Security 
Risk 
Level]]</f>
        <v>LOW</v>
      </c>
      <c r="K53" s="204" t="str">
        <f>IF(Table4[[#This Row],[Security Risk Control Measures]]&gt;0,Table4[[#This Row],[Security Risk Control Measures]],"")</f>
        <v>•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v>
      </c>
      <c r="L53" s="202" t="str">
        <f>Table4[[#This Row],[Security Risk LevelP]]</f>
        <v/>
      </c>
      <c r="M53" s="204" t="str">
        <f>IF(Table4[[#This Row],[Residual Security Risk Acceptability Justification]]&gt;0,Table4[[#This Row],[Residual Security Risk Acceptability Justification]],"")</f>
        <v/>
      </c>
      <c r="N53"/>
    </row>
    <row r="54" spans="1:14" s="53" customFormat="1" ht="71.25" x14ac:dyDescent="0.25">
      <c r="A54" s="203">
        <f>Table4[[#This Row],[
ID '#]]</f>
        <v>50</v>
      </c>
      <c r="B54" s="57" t="str">
        <f>IF(Table4[[#This Row],[T ID]]&gt;0,Table4[[#This Row],[T ID]],"")</f>
        <v>T03</v>
      </c>
      <c r="C54" s="195" t="str">
        <f>Table4[[#This Row],[Threat Event(s)]]</f>
        <v>[S]TRID[E]</v>
      </c>
      <c r="D54" s="204" t="str">
        <f>IF(Table4[[#This Row],[V ID]]&gt;0,Table4[[#This Row],[V ID]],"")</f>
        <v>V04</v>
      </c>
      <c r="E54" s="195" t="str">
        <f>Table4[[#This Row],[Vulnerabilities]]</f>
        <v>The password complexity or location vulnerability. Like weak passwords and hardcoded passwords.</v>
      </c>
      <c r="F54" s="205" t="str">
        <f>IF(Table4[[#This Row],[A ID]]&gt;0,Table4[[#This Row],[A ID]],"")</f>
        <v>A12</v>
      </c>
      <c r="G54" s="195" t="str">
        <f>Table4[[#This Row],[Asset]]</f>
        <v>Smart medic app (Azure Portal Administrator)</v>
      </c>
      <c r="H54" s="208" t="str">
        <f>IF(Table4[[#This Row],[Impact Description]]&gt;0,Table4[[#This Row],[Impact Description]],"")</f>
        <v>1)  Obtain knowledge about system internals
2)  Attempt to find attack vectors 
3)  Possibilities for exploitation of publicly known Vulnerabilities.</v>
      </c>
      <c r="I54" s="204" t="str">
        <f>IF(Table4[[#This Row],[Safety Impact 
(Risk ID'# or N/A)]]&gt;0,Table4[[#This Row],[Safety Impact 
(Risk ID'# or N/A)]],"")</f>
        <v/>
      </c>
      <c r="J54" s="199" t="str">
        <f>Table4[[#This Row],[Security 
Risk 
Level]]</f>
        <v>LOW</v>
      </c>
      <c r="K54" s="204" t="str">
        <f>IF(Table4[[#This Row],[Security Risk Control Measures]]&gt;0,Table4[[#This Row],[Security Risk Control Measures]],"")</f>
        <v>•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v>
      </c>
      <c r="L54" s="202" t="str">
        <f>Table4[[#This Row],[Security Risk LevelP]]</f>
        <v/>
      </c>
      <c r="M54" s="204" t="str">
        <f>IF(Table4[[#This Row],[Residual Security Risk Acceptability Justification]]&gt;0,Table4[[#This Row],[Residual Security Risk Acceptability Justification]],"")</f>
        <v/>
      </c>
      <c r="N54"/>
    </row>
    <row r="55" spans="1:14" s="53" customFormat="1" ht="114" x14ac:dyDescent="0.25">
      <c r="A55" s="203">
        <f>Table4[[#This Row],[
ID '#]]</f>
        <v>51</v>
      </c>
      <c r="B55" s="57" t="str">
        <f>IF(Table4[[#This Row],[T ID]]&gt;0,Table4[[#This Row],[T ID]],"")</f>
        <v>T03</v>
      </c>
      <c r="C55" s="195" t="str">
        <f>Table4[[#This Row],[Threat Event(s)]]</f>
        <v>[S]TRID[E]</v>
      </c>
      <c r="D55" s="204" t="str">
        <f>IF(Table4[[#This Row],[V ID]]&gt;0,Table4[[#This Row],[V ID]],"")</f>
        <v>V15</v>
      </c>
      <c r="E55" s="195" t="str">
        <f>Table4[[#This Row],[Vulnerabilities]]</f>
        <v>External communications and exposure for communciation channels from and to application and devices like tablet and smartmedic device.</v>
      </c>
      <c r="F55" s="205" t="str">
        <f>IF(Table4[[#This Row],[A ID]]&gt;0,Table4[[#This Row],[A ID]],"")</f>
        <v>A04</v>
      </c>
      <c r="G55" s="195" t="str">
        <f>Table4[[#This Row],[Asset]]</f>
        <v xml:space="preserve">Authenication/Authorisation data </v>
      </c>
      <c r="H55" s="208" t="str">
        <f>IF(Table4[[#This Row],[Impact Description]]&gt;0,Table4[[#This Row],[Impact Description]],"")</f>
        <v>1)  Obtain knowledge about system internals
2)  Attempt to find attack vectors 
3)  Possibilities for exploitation of publicly known Vulnerabilities.</v>
      </c>
      <c r="I55" s="204" t="str">
        <f>IF(Table4[[#This Row],[Safety Impact 
(Risk ID'# or N/A)]]&gt;0,Table4[[#This Row],[Safety Impact 
(Risk ID'# or N/A)]],"")</f>
        <v/>
      </c>
      <c r="J55" s="199" t="str">
        <f>Table4[[#This Row],[Security 
Risk 
Level]]</f>
        <v>LOW</v>
      </c>
      <c r="K55" s="204" t="str">
        <f>IF(Table4[[#This Row],[Security Risk Control Measures]]&gt;0,Table4[[#This Row],[Security Risk Control Measures]],"")</f>
        <v>•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55" s="202" t="str">
        <f>Table4[[#This Row],[Security Risk LevelP]]</f>
        <v/>
      </c>
      <c r="M55" s="204" t="str">
        <f>IF(Table4[[#This Row],[Residual Security Risk Acceptability Justification]]&gt;0,Table4[[#This Row],[Residual Security Risk Acceptability Justification]],"")</f>
        <v/>
      </c>
      <c r="N55"/>
    </row>
    <row r="56" spans="1:14" s="53" customFormat="1" ht="114" x14ac:dyDescent="0.25">
      <c r="A56" s="203">
        <f>Table4[[#This Row],[
ID '#]]</f>
        <v>52</v>
      </c>
      <c r="B56" s="57" t="str">
        <f>IF(Table4[[#This Row],[T ID]]&gt;0,Table4[[#This Row],[T ID]],"")</f>
        <v>T03</v>
      </c>
      <c r="C56" s="195" t="str">
        <f>Table4[[#This Row],[Threat Event(s)]]</f>
        <v>[S]TRID[E]</v>
      </c>
      <c r="D56" s="204" t="str">
        <f>IF(Table4[[#This Row],[V ID]]&gt;0,Table4[[#This Row],[V ID]],"")</f>
        <v>V15</v>
      </c>
      <c r="E56" s="195" t="str">
        <f>Table4[[#This Row],[Vulnerabilities]]</f>
        <v>External communications and exposure for communciation channels from and to application and devices like tablet and smartmedic device.</v>
      </c>
      <c r="F56" s="205" t="str">
        <f>IF(Table4[[#This Row],[A ID]]&gt;0,Table4[[#This Row],[A ID]],"")</f>
        <v>A12</v>
      </c>
      <c r="G56" s="195" t="str">
        <f>Table4[[#This Row],[Asset]]</f>
        <v>Smart medic app (Azure Portal Administrator)</v>
      </c>
      <c r="H56" s="208" t="str">
        <f>IF(Table4[[#This Row],[Impact Description]]&gt;0,Table4[[#This Row],[Impact Description]],"")</f>
        <v>1)  Obtain knowledge about system internals
2)  Attempt to find attack vectors 
3)  Possibilities for exploitation of publicly known Vulnerabilities.</v>
      </c>
      <c r="I56" s="204" t="str">
        <f>IF(Table4[[#This Row],[Safety Impact 
(Risk ID'# or N/A)]]&gt;0,Table4[[#This Row],[Safety Impact 
(Risk ID'# or N/A)]],"")</f>
        <v/>
      </c>
      <c r="J56" s="199" t="str">
        <f>Table4[[#This Row],[Security 
Risk 
Level]]</f>
        <v>LOW</v>
      </c>
      <c r="K56" s="204" t="str">
        <f>IF(Table4[[#This Row],[Security Risk Control Measures]]&gt;0,Table4[[#This Row],[Security Risk Control Measures]],"")</f>
        <v>• Require that administrators establish multi-factor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56" s="202" t="str">
        <f>Table4[[#This Row],[Security Risk LevelP]]</f>
        <v/>
      </c>
      <c r="M56" s="204" t="str">
        <f>IF(Table4[[#This Row],[Residual Security Risk Acceptability Justification]]&gt;0,Table4[[#This Row],[Residual Security Risk Acceptability Justification]],"")</f>
        <v/>
      </c>
      <c r="N56"/>
    </row>
    <row r="57" spans="1:14" s="53" customFormat="1" ht="71.25" x14ac:dyDescent="0.25">
      <c r="A57" s="203">
        <f>Table4[[#This Row],[
ID '#]]</f>
        <v>53</v>
      </c>
      <c r="B57" s="57" t="str">
        <f>IF(Table4[[#This Row],[T ID]]&gt;0,Table4[[#This Row],[T ID]],"")</f>
        <v>T03</v>
      </c>
      <c r="C57" s="195" t="str">
        <f>Table4[[#This Row],[Threat Event(s)]]</f>
        <v>[S]TRID[E]</v>
      </c>
      <c r="D57" s="204" t="str">
        <f>IF(Table4[[#This Row],[V ID]]&gt;0,Table4[[#This Row],[V ID]],"")</f>
        <v>V13</v>
      </c>
      <c r="E57" s="195" t="str">
        <f>Table4[[#This Row],[Vulnerabilities]]</f>
        <v>Unprotected external USB Port on the tablet/devices.</v>
      </c>
      <c r="F57" s="205" t="str">
        <f>IF(Table4[[#This Row],[A ID]]&gt;0,Table4[[#This Row],[A ID]],"")</f>
        <v>A01</v>
      </c>
      <c r="G57" s="195" t="str">
        <f>Table4[[#This Row],[Asset]]</f>
        <v>Tablet Resources - web cam, microphone, OTG devices, Removable USB, Tablet Application,</v>
      </c>
      <c r="H57" s="208" t="str">
        <f>IF(Table4[[#This Row],[Impact Description]]&gt;0,Table4[[#This Row],[Impact Description]],"")</f>
        <v>1)  Obtain knowledge about system internals
2)  Attempt to find attack vectors 
3)  Possibilities for exploitation of publicly known Vulnerabilities.</v>
      </c>
      <c r="I57" s="204" t="str">
        <f>IF(Table4[[#This Row],[Safety Impact 
(Risk ID'# or N/A)]]&gt;0,Table4[[#This Row],[Safety Impact 
(Risk ID'# or N/A)]],"")</f>
        <v/>
      </c>
      <c r="J57" s="199" t="str">
        <f>Table4[[#This Row],[Security 
Risk 
Level]]</f>
        <v>LOW</v>
      </c>
      <c r="K57" s="204" t="str">
        <f>IF(Table4[[#This Row],[Security Risk Control Measures]]&gt;0,Table4[[#This Row],[Security Risk Control Measures]],"")</f>
        <v xml:space="preserve">▪Asset should be behind stateful firewall
•  Use secure tunnel communications channel </v>
      </c>
      <c r="L57" s="202" t="str">
        <f>Table4[[#This Row],[Security Risk LevelP]]</f>
        <v/>
      </c>
      <c r="M57" s="204" t="str">
        <f>IF(Table4[[#This Row],[Residual Security Risk Acceptability Justification]]&gt;0,Table4[[#This Row],[Residual Security Risk Acceptability Justification]],"")</f>
        <v/>
      </c>
      <c r="N57"/>
    </row>
    <row r="58" spans="1:14" s="53" customFormat="1" ht="71.25" x14ac:dyDescent="0.25">
      <c r="A58" s="203">
        <f>Table4[[#This Row],[
ID '#]]</f>
        <v>54</v>
      </c>
      <c r="B58" s="57" t="str">
        <f>IF(Table4[[#This Row],[T ID]]&gt;0,Table4[[#This Row],[T ID]],"")</f>
        <v>T04</v>
      </c>
      <c r="C58" s="195" t="str">
        <f>Table4[[#This Row],[Threat Event(s)]]</f>
        <v>TTP</v>
      </c>
      <c r="D58" s="204" t="str">
        <f>IF(Table4[[#This Row],[V ID]]&gt;0,Table4[[#This Row],[V ID]],"")</f>
        <v>V01</v>
      </c>
      <c r="E58" s="195" t="str">
        <f>Table4[[#This Row],[Vulnerabilities]]</f>
        <v>Devices with default passwords needs to be checked for bruteforce attacks</v>
      </c>
      <c r="F58" s="205" t="str">
        <f>IF(Table4[[#This Row],[A ID]]&gt;0,Table4[[#This Row],[A ID]],"")</f>
        <v>A11</v>
      </c>
      <c r="G58" s="195" t="str">
        <f>Table4[[#This Row],[Asset]]</f>
        <v>Smart medic app (Stryker Azure Cloud Web Application)</v>
      </c>
      <c r="H58" s="208" t="str">
        <f>IF(Table4[[#This Row],[Impact Description]]&gt;0,Table4[[#This Row],[Impact Description]],"")</f>
        <v>1)  Obtain knowledge about system internals
2)  Attempt to find attack vectors 
3)  Possibilities for exploitation of publicly known Vulnerabilities.</v>
      </c>
      <c r="I58" s="204" t="str">
        <f>IF(Table4[[#This Row],[Safety Impact 
(Risk ID'# or N/A)]]&gt;0,Table4[[#This Row],[Safety Impact 
(Risk ID'# or N/A)]],"")</f>
        <v/>
      </c>
      <c r="J58" s="199" t="str">
        <f>Table4[[#This Row],[Security 
Risk 
Level]]</f>
        <v>MEDIUM</v>
      </c>
      <c r="K58"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58" s="202" t="str">
        <f>Table4[[#This Row],[Security Risk LevelP]]</f>
        <v/>
      </c>
      <c r="M58" s="204" t="str">
        <f>IF(Table4[[#This Row],[Residual Security Risk Acceptability Justification]]&gt;0,Table4[[#This Row],[Residual Security Risk Acceptability Justification]],"")</f>
        <v/>
      </c>
      <c r="N58"/>
    </row>
    <row r="59" spans="1:14" s="53" customFormat="1" ht="71.25" x14ac:dyDescent="0.25">
      <c r="A59" s="203">
        <f>Table4[[#This Row],[
ID '#]]</f>
        <v>55</v>
      </c>
      <c r="B59" s="57" t="str">
        <f>IF(Table4[[#This Row],[T ID]]&gt;0,Table4[[#This Row],[T ID]],"")</f>
        <v>T04</v>
      </c>
      <c r="C59" s="195" t="str">
        <f>Table4[[#This Row],[Threat Event(s)]]</f>
        <v>TTP</v>
      </c>
      <c r="D59" s="204" t="str">
        <f>IF(Table4[[#This Row],[V ID]]&gt;0,Table4[[#This Row],[V ID]],"")</f>
        <v>V01</v>
      </c>
      <c r="E59" s="195" t="str">
        <f>Table4[[#This Row],[Vulnerabilities]]</f>
        <v>Devices with default passwords needs to be checked for bruteforce attacks</v>
      </c>
      <c r="F59" s="205" t="str">
        <f>IF(Table4[[#This Row],[A ID]]&gt;0,Table4[[#This Row],[A ID]],"")</f>
        <v>A12</v>
      </c>
      <c r="G59" s="195" t="str">
        <f>Table4[[#This Row],[Asset]]</f>
        <v>Smart medic app (Azure Portal Administrator)</v>
      </c>
      <c r="H59" s="208" t="str">
        <f>IF(Table4[[#This Row],[Impact Description]]&gt;0,Table4[[#This Row],[Impact Description]],"")</f>
        <v>1)  Obtain knowledge about system internals
2)  Attempt to find attack vectors 
3)  Possibilities for exploitation of publicly known Vulnerabilities.</v>
      </c>
      <c r="I59" s="204" t="str">
        <f>IF(Table4[[#This Row],[Safety Impact 
(Risk ID'# or N/A)]]&gt;0,Table4[[#This Row],[Safety Impact 
(Risk ID'# or N/A)]],"")</f>
        <v/>
      </c>
      <c r="J59" s="199" t="str">
        <f>Table4[[#This Row],[Security 
Risk 
Level]]</f>
        <v>MEDIUM</v>
      </c>
      <c r="K59"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59" s="202" t="str">
        <f>Table4[[#This Row],[Security Risk LevelP]]</f>
        <v/>
      </c>
      <c r="M59" s="204" t="str">
        <f>IF(Table4[[#This Row],[Residual Security Risk Acceptability Justification]]&gt;0,Table4[[#This Row],[Residual Security Risk Acceptability Justification]],"")</f>
        <v/>
      </c>
      <c r="N59"/>
    </row>
    <row r="60" spans="1:14" s="53" customFormat="1" ht="71.25" x14ac:dyDescent="0.25">
      <c r="A60" s="203">
        <f>Table4[[#This Row],[
ID '#]]</f>
        <v>56</v>
      </c>
      <c r="B60" s="57" t="str">
        <f>IF(Table4[[#This Row],[T ID]]&gt;0,Table4[[#This Row],[T ID]],"")</f>
        <v>T04</v>
      </c>
      <c r="C60" s="195" t="str">
        <f>Table4[[#This Row],[Threat Event(s)]]</f>
        <v>TTP</v>
      </c>
      <c r="D60" s="204" t="str">
        <f>IF(Table4[[#This Row],[V ID]]&gt;0,Table4[[#This Row],[V ID]],"")</f>
        <v>V01</v>
      </c>
      <c r="E60" s="195" t="str">
        <f>Table4[[#This Row],[Vulnerabilities]]</f>
        <v>Devices with default passwords needs to be checked for bruteforce attacks</v>
      </c>
      <c r="F60" s="205" t="str">
        <f>IF(Table4[[#This Row],[A ID]]&gt;0,Table4[[#This Row],[A ID]],"")</f>
        <v>A04</v>
      </c>
      <c r="G60" s="195" t="str">
        <f>Table4[[#This Row],[Asset]]</f>
        <v xml:space="preserve">Authenication/Authorisation data </v>
      </c>
      <c r="H60" s="208" t="str">
        <f>IF(Table4[[#This Row],[Impact Description]]&gt;0,Table4[[#This Row],[Impact Description]],"")</f>
        <v>1)  Obtain knowledge about system internals
2)  Attempt to find attack vectors 
3)  Possibilities for exploitation of publicly known Vulnerabilities.</v>
      </c>
      <c r="I60" s="204" t="str">
        <f>IF(Table4[[#This Row],[Safety Impact 
(Risk ID'# or N/A)]]&gt;0,Table4[[#This Row],[Safety Impact 
(Risk ID'# or N/A)]],"")</f>
        <v/>
      </c>
      <c r="J60" s="199" t="str">
        <f>Table4[[#This Row],[Security 
Risk 
Level]]</f>
        <v>LOW</v>
      </c>
      <c r="K60"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60" s="202" t="str">
        <f>Table4[[#This Row],[Security Risk LevelP]]</f>
        <v/>
      </c>
      <c r="M60" s="204" t="str">
        <f>IF(Table4[[#This Row],[Residual Security Risk Acceptability Justification]]&gt;0,Table4[[#This Row],[Residual Security Risk Acceptability Justification]],"")</f>
        <v/>
      </c>
      <c r="N60"/>
    </row>
    <row r="61" spans="1:14" s="53" customFormat="1" ht="71.25" x14ac:dyDescent="0.25">
      <c r="A61" s="203">
        <f>Table4[[#This Row],[
ID '#]]</f>
        <v>57</v>
      </c>
      <c r="B61" s="57" t="str">
        <f>IF(Table4[[#This Row],[T ID]]&gt;0,Table4[[#This Row],[T ID]],"")</f>
        <v>T04</v>
      </c>
      <c r="C61" s="195" t="str">
        <f>Table4[[#This Row],[Threat Event(s)]]</f>
        <v>TTP</v>
      </c>
      <c r="D61" s="204" t="str">
        <f>IF(Table4[[#This Row],[V ID]]&gt;0,Table4[[#This Row],[V ID]],"")</f>
        <v>V03</v>
      </c>
      <c r="E61" s="195" t="str">
        <f>Table4[[#This Row],[Vulnerabilities]]</f>
        <v>Error Info containing sensitive data for Failed Authentication attempts</v>
      </c>
      <c r="F61" s="205" t="str">
        <f>IF(Table4[[#This Row],[A ID]]&gt;0,Table4[[#This Row],[A ID]],"")</f>
        <v>A11</v>
      </c>
      <c r="G61" s="195" t="str">
        <f>Table4[[#This Row],[Asset]]</f>
        <v>Smart medic app (Stryker Azure Cloud Web Application)</v>
      </c>
      <c r="H61" s="208" t="str">
        <f>IF(Table4[[#This Row],[Impact Description]]&gt;0,Table4[[#This Row],[Impact Description]],"")</f>
        <v>1)  Obtain knowledge about system internals
2)  Attempt to find attack vectors 
3)  Possibilities for exploitation of publicly known Vulnerabilities.</v>
      </c>
      <c r="I61" s="204" t="str">
        <f>IF(Table4[[#This Row],[Safety Impact 
(Risk ID'# or N/A)]]&gt;0,Table4[[#This Row],[Safety Impact 
(Risk ID'# or N/A)]],"")</f>
        <v/>
      </c>
      <c r="J61" s="199" t="str">
        <f>Table4[[#This Row],[Security 
Risk 
Level]]</f>
        <v>LOW</v>
      </c>
      <c r="K61" s="204" t="str">
        <f>IF(Table4[[#This Row],[Security Risk Control Measures]]&gt;0,Table4[[#This Row],[Security Risk Control Measures]],"")</f>
        <v xml:space="preserve">• Require multi-factor authentication
• limit authentication attempts (rate Limiting)
• Maintain Access Logs
• Maintain Server Security Logs
• Stronger authentication methods
</v>
      </c>
      <c r="L61" s="202" t="str">
        <f>Table4[[#This Row],[Security Risk LevelP]]</f>
        <v/>
      </c>
      <c r="M61" s="204" t="str">
        <f>IF(Table4[[#This Row],[Residual Security Risk Acceptability Justification]]&gt;0,Table4[[#This Row],[Residual Security Risk Acceptability Justification]],"")</f>
        <v/>
      </c>
      <c r="N61"/>
    </row>
    <row r="62" spans="1:14" s="53" customFormat="1" ht="71.25" x14ac:dyDescent="0.25">
      <c r="A62" s="203">
        <f>Table4[[#This Row],[
ID '#]]</f>
        <v>58</v>
      </c>
      <c r="B62" s="57" t="str">
        <f>IF(Table4[[#This Row],[T ID]]&gt;0,Table4[[#This Row],[T ID]],"")</f>
        <v>T04</v>
      </c>
      <c r="C62" s="195" t="str">
        <f>Table4[[#This Row],[Threat Event(s)]]</f>
        <v>TTP</v>
      </c>
      <c r="D62" s="204" t="str">
        <f>IF(Table4[[#This Row],[V ID]]&gt;0,Table4[[#This Row],[V ID]],"")</f>
        <v>V03</v>
      </c>
      <c r="E62" s="195" t="str">
        <f>Table4[[#This Row],[Vulnerabilities]]</f>
        <v>Error Info containing sensitive data for Failed Authentication attempts</v>
      </c>
      <c r="F62" s="205" t="str">
        <f>IF(Table4[[#This Row],[A ID]]&gt;0,Table4[[#This Row],[A ID]],"")</f>
        <v>A12</v>
      </c>
      <c r="G62" s="195" t="str">
        <f>Table4[[#This Row],[Asset]]</f>
        <v>Smart medic app (Azure Portal Administrator)</v>
      </c>
      <c r="H62" s="208" t="str">
        <f>IF(Table4[[#This Row],[Impact Description]]&gt;0,Table4[[#This Row],[Impact Description]],"")</f>
        <v>1)  Obtain knowledge about system internals
2)  Attempt to find attack vectors 
3)  Possibilities for exploitation of publicly known Vulnerabilities.</v>
      </c>
      <c r="I62" s="204" t="str">
        <f>IF(Table4[[#This Row],[Safety Impact 
(Risk ID'# or N/A)]]&gt;0,Table4[[#This Row],[Safety Impact 
(Risk ID'# or N/A)]],"")</f>
        <v/>
      </c>
      <c r="J62" s="199" t="str">
        <f>Table4[[#This Row],[Security 
Risk 
Level]]</f>
        <v>LOW</v>
      </c>
      <c r="K62"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62" s="202" t="str">
        <f>Table4[[#This Row],[Security Risk LevelP]]</f>
        <v/>
      </c>
      <c r="M62" s="204" t="str">
        <f>IF(Table4[[#This Row],[Residual Security Risk Acceptability Justification]]&gt;0,Table4[[#This Row],[Residual Security Risk Acceptability Justification]],"")</f>
        <v/>
      </c>
      <c r="N62"/>
    </row>
    <row r="63" spans="1:14" s="53" customFormat="1" ht="71.25" x14ac:dyDescent="0.25">
      <c r="A63" s="203">
        <f>Table4[[#This Row],[
ID '#]]</f>
        <v>59</v>
      </c>
      <c r="B63" s="57" t="str">
        <f>IF(Table4[[#This Row],[T ID]]&gt;0,Table4[[#This Row],[T ID]],"")</f>
        <v>T04</v>
      </c>
      <c r="C63" s="195" t="str">
        <f>Table4[[#This Row],[Threat Event(s)]]</f>
        <v>TTP</v>
      </c>
      <c r="D63" s="204" t="str">
        <f>IF(Table4[[#This Row],[V ID]]&gt;0,Table4[[#This Row],[V ID]],"")</f>
        <v>V03</v>
      </c>
      <c r="E63" s="195" t="str">
        <f>Table4[[#This Row],[Vulnerabilities]]</f>
        <v>Error Info containing sensitive data for Failed Authentication attempts</v>
      </c>
      <c r="F63" s="205" t="str">
        <f>IF(Table4[[#This Row],[A ID]]&gt;0,Table4[[#This Row],[A ID]],"")</f>
        <v>A04</v>
      </c>
      <c r="G63" s="195" t="str">
        <f>Table4[[#This Row],[Asset]]</f>
        <v xml:space="preserve">Authenication/Authorisation data </v>
      </c>
      <c r="H63" s="208" t="str">
        <f>IF(Table4[[#This Row],[Impact Description]]&gt;0,Table4[[#This Row],[Impact Description]],"")</f>
        <v>1)  Obtain knowledge about system internals
2)  Attempt to find attack vectors 
3)  Possibilities for exploitation of publicly known Vulnerabilities.</v>
      </c>
      <c r="I63" s="204" t="str">
        <f>IF(Table4[[#This Row],[Safety Impact 
(Risk ID'# or N/A)]]&gt;0,Table4[[#This Row],[Safety Impact 
(Risk ID'# or N/A)]],"")</f>
        <v/>
      </c>
      <c r="J63" s="199" t="str">
        <f>Table4[[#This Row],[Security 
Risk 
Level]]</f>
        <v>LOW</v>
      </c>
      <c r="K63"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63" s="202" t="str">
        <f>Table4[[#This Row],[Security Risk LevelP]]</f>
        <v/>
      </c>
      <c r="M63" s="204" t="str">
        <f>IF(Table4[[#This Row],[Residual Security Risk Acceptability Justification]]&gt;0,Table4[[#This Row],[Residual Security Risk Acceptability Justification]],"")</f>
        <v/>
      </c>
      <c r="N63"/>
    </row>
    <row r="64" spans="1:14" s="53" customFormat="1" ht="71.25" x14ac:dyDescent="0.25">
      <c r="A64" s="203">
        <f>Table4[[#This Row],[
ID '#]]</f>
        <v>60</v>
      </c>
      <c r="B64" s="57" t="str">
        <f>IF(Table4[[#This Row],[T ID]]&gt;0,Table4[[#This Row],[T ID]],"")</f>
        <v>T04</v>
      </c>
      <c r="C64" s="195" t="str">
        <f>Table4[[#This Row],[Threat Event(s)]]</f>
        <v>TTP</v>
      </c>
      <c r="D64" s="204" t="str">
        <f>IF(Table4[[#This Row],[V ID]]&gt;0,Table4[[#This Row],[V ID]],"")</f>
        <v>V04</v>
      </c>
      <c r="E64" s="195" t="str">
        <f>Table4[[#This Row],[Vulnerabilities]]</f>
        <v>The password complexity or location vulnerability. Like weak passwords and hardcoded passwords.</v>
      </c>
      <c r="F64" s="205" t="str">
        <f>IF(Table4[[#This Row],[A ID]]&gt;0,Table4[[#This Row],[A ID]],"")</f>
        <v>A11</v>
      </c>
      <c r="G64" s="195" t="str">
        <f>Table4[[#This Row],[Asset]]</f>
        <v>Smart medic app (Stryker Azure Cloud Web Application)</v>
      </c>
      <c r="H64" s="208" t="str">
        <f>IF(Table4[[#This Row],[Impact Description]]&gt;0,Table4[[#This Row],[Impact Description]],"")</f>
        <v>1)  Obtain knowledge about system internals
2)  Attempt to find attack vectors 
3)  Possibilities for exploitation of publicly known Vulnerabilities.</v>
      </c>
      <c r="I64" s="204" t="str">
        <f>IF(Table4[[#This Row],[Safety Impact 
(Risk ID'# or N/A)]]&gt;0,Table4[[#This Row],[Safety Impact 
(Risk ID'# or N/A)]],"")</f>
        <v/>
      </c>
      <c r="J64" s="199" t="str">
        <f>Table4[[#This Row],[Security 
Risk 
Level]]</f>
        <v>LOW</v>
      </c>
      <c r="K64" s="204" t="str">
        <f>IF(Table4[[#This Row],[Security Risk Control Measures]]&gt;0,Table4[[#This Row],[Security Risk Control Measures]],"")</f>
        <v>•Never use credentials such as date of birth, spouse, or child’s or pet’s name
•Lockout an account subjected to too many incorrect credential guesses.</v>
      </c>
      <c r="L64" s="202" t="str">
        <f>Table4[[#This Row],[Security Risk LevelP]]</f>
        <v/>
      </c>
      <c r="M64" s="204" t="str">
        <f>IF(Table4[[#This Row],[Residual Security Risk Acceptability Justification]]&gt;0,Table4[[#This Row],[Residual Security Risk Acceptability Justification]],"")</f>
        <v/>
      </c>
      <c r="N64"/>
    </row>
    <row r="65" spans="1:14" s="53" customFormat="1" ht="71.25" x14ac:dyDescent="0.25">
      <c r="A65" s="203">
        <f>Table4[[#This Row],[
ID '#]]</f>
        <v>61</v>
      </c>
      <c r="B65" s="57" t="str">
        <f>IF(Table4[[#This Row],[T ID]]&gt;0,Table4[[#This Row],[T ID]],"")</f>
        <v>T04</v>
      </c>
      <c r="C65" s="195" t="str">
        <f>Table4[[#This Row],[Threat Event(s)]]</f>
        <v>TTP</v>
      </c>
      <c r="D65" s="204" t="str">
        <f>IF(Table4[[#This Row],[V ID]]&gt;0,Table4[[#This Row],[V ID]],"")</f>
        <v>V04</v>
      </c>
      <c r="E65" s="195" t="str">
        <f>Table4[[#This Row],[Vulnerabilities]]</f>
        <v>The password complexity or location vulnerability. Like weak passwords and hardcoded passwords.</v>
      </c>
      <c r="F65" s="205" t="str">
        <f>IF(Table4[[#This Row],[A ID]]&gt;0,Table4[[#This Row],[A ID]],"")</f>
        <v>A12</v>
      </c>
      <c r="G65" s="195" t="str">
        <f>Table4[[#This Row],[Asset]]</f>
        <v>Smart medic app (Azure Portal Administrator)</v>
      </c>
      <c r="H65" s="208" t="str">
        <f>IF(Table4[[#This Row],[Impact Description]]&gt;0,Table4[[#This Row],[Impact Description]],"")</f>
        <v>1)  Obtain knowledge about system internals
2)  Attempt to find attack vectors 
3)  Possibilities for exploitation of publicly known Vulnerabilities.</v>
      </c>
      <c r="I65" s="204" t="str">
        <f>IF(Table4[[#This Row],[Safety Impact 
(Risk ID'# or N/A)]]&gt;0,Table4[[#This Row],[Safety Impact 
(Risk ID'# or N/A)]],"")</f>
        <v/>
      </c>
      <c r="J65" s="199" t="str">
        <f>Table4[[#This Row],[Security 
Risk 
Level]]</f>
        <v>LOW</v>
      </c>
      <c r="K65" s="204" t="str">
        <f>IF(Table4[[#This Row],[Security Risk Control Measures]]&gt;0,Table4[[#This Row],[Security Risk Control Measures]],"")</f>
        <v>•Never use credentials such as date of birth, spouse, or child’s or pet’s name
•Lockout an account subjected to too many incorrect credential guesses.</v>
      </c>
      <c r="L65" s="202" t="str">
        <f>Table4[[#This Row],[Security Risk LevelP]]</f>
        <v/>
      </c>
      <c r="M65" s="204" t="str">
        <f>IF(Table4[[#This Row],[Residual Security Risk Acceptability Justification]]&gt;0,Table4[[#This Row],[Residual Security Risk Acceptability Justification]],"")</f>
        <v/>
      </c>
      <c r="N65"/>
    </row>
    <row r="66" spans="1:14" s="53" customFormat="1" ht="114" x14ac:dyDescent="0.25">
      <c r="A66" s="203">
        <f>Table4[[#This Row],[
ID '#]]</f>
        <v>62</v>
      </c>
      <c r="B66" s="57" t="str">
        <f>IF(Table4[[#This Row],[T ID]]&gt;0,Table4[[#This Row],[T ID]],"")</f>
        <v>T04</v>
      </c>
      <c r="C66" s="195" t="str">
        <f>Table4[[#This Row],[Threat Event(s)]]</f>
        <v>TTP</v>
      </c>
      <c r="D66" s="204" t="str">
        <f>IF(Table4[[#This Row],[V ID]]&gt;0,Table4[[#This Row],[V ID]],"")</f>
        <v>V15</v>
      </c>
      <c r="E66" s="195" t="str">
        <f>Table4[[#This Row],[Vulnerabilities]]</f>
        <v>External communications and exposure for communciation channels from and to application and devices like tablet and smartmedic device.</v>
      </c>
      <c r="F66" s="205" t="str">
        <f>IF(Table4[[#This Row],[A ID]]&gt;0,Table4[[#This Row],[A ID]],"")</f>
        <v>A12</v>
      </c>
      <c r="G66" s="195" t="str">
        <f>Table4[[#This Row],[Asset]]</f>
        <v>Smart medic app (Azure Portal Administrator)</v>
      </c>
      <c r="H66" s="208" t="str">
        <f>IF(Table4[[#This Row],[Impact Description]]&gt;0,Table4[[#This Row],[Impact Description]],"")</f>
        <v>1)  Obtain knowledge about system internals
2)  Attempt to find attack vectors 
3)  Possibilities for exploitation of publicly known Vulnerabilities.</v>
      </c>
      <c r="I66" s="204" t="str">
        <f>IF(Table4[[#This Row],[Safety Impact 
(Risk ID'# or N/A)]]&gt;0,Table4[[#This Row],[Safety Impact 
(Risk ID'# or N/A)]],"")</f>
        <v/>
      </c>
      <c r="J66" s="199" t="str">
        <f>Table4[[#This Row],[Security 
Risk 
Level]]</f>
        <v>MEDIUM</v>
      </c>
      <c r="K66" s="204" t="str">
        <f>IF(Table4[[#This Row],[Security Risk Control Measures]]&gt;0,Table4[[#This Row],[Security Risk Control Measures]],"")</f>
        <v>•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66" s="202" t="str">
        <f>Table4[[#This Row],[Security Risk LevelP]]</f>
        <v/>
      </c>
      <c r="M66" s="204" t="str">
        <f>IF(Table4[[#This Row],[Residual Security Risk Acceptability Justification]]&gt;0,Table4[[#This Row],[Residual Security Risk Acceptability Justification]],"")</f>
        <v/>
      </c>
      <c r="N66"/>
    </row>
    <row r="67" spans="1:14" s="53" customFormat="1" ht="114" x14ac:dyDescent="0.25">
      <c r="A67" s="203">
        <f>Table4[[#This Row],[
ID '#]]</f>
        <v>63</v>
      </c>
      <c r="B67" s="57" t="str">
        <f>IF(Table4[[#This Row],[T ID]]&gt;0,Table4[[#This Row],[T ID]],"")</f>
        <v>T04</v>
      </c>
      <c r="C67" s="195" t="str">
        <f>Table4[[#This Row],[Threat Event(s)]]</f>
        <v>TTP</v>
      </c>
      <c r="D67" s="204" t="str">
        <f>IF(Table4[[#This Row],[V ID]]&gt;0,Table4[[#This Row],[V ID]],"")</f>
        <v>V15</v>
      </c>
      <c r="E67" s="195" t="str">
        <f>Table4[[#This Row],[Vulnerabilities]]</f>
        <v>External communications and exposure for communciation channels from and to application and devices like tablet and smartmedic device.</v>
      </c>
      <c r="F67" s="205" t="str">
        <f>IF(Table4[[#This Row],[A ID]]&gt;0,Table4[[#This Row],[A ID]],"")</f>
        <v>A04</v>
      </c>
      <c r="G67" s="195" t="str">
        <f>Table4[[#This Row],[Asset]]</f>
        <v xml:space="preserve">Authenication/Authorisation data </v>
      </c>
      <c r="H67" s="208" t="str">
        <f>IF(Table4[[#This Row],[Impact Description]]&gt;0,Table4[[#This Row],[Impact Description]],"")</f>
        <v>1)  Obtain knowledge about system internals
2)  Attempt to find attack vectors 
3)  Possibilities for exploitation of publicly known Vulnerabilities.</v>
      </c>
      <c r="I67" s="204" t="str">
        <f>IF(Table4[[#This Row],[Safety Impact 
(Risk ID'# or N/A)]]&gt;0,Table4[[#This Row],[Safety Impact 
(Risk ID'# or N/A)]],"")</f>
        <v/>
      </c>
      <c r="J67" s="199" t="str">
        <f>Table4[[#This Row],[Security 
Risk 
Level]]</f>
        <v>LOW</v>
      </c>
      <c r="K67" s="204" t="str">
        <f>IF(Table4[[#This Row],[Security Risk Control Measures]]&gt;0,Table4[[#This Row],[Security Risk Control Measures]],"")</f>
        <v>•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67" s="202" t="str">
        <f>Table4[[#This Row],[Security Risk LevelP]]</f>
        <v/>
      </c>
      <c r="M67" s="204" t="str">
        <f>IF(Table4[[#This Row],[Residual Security Risk Acceptability Justification]]&gt;0,Table4[[#This Row],[Residual Security Risk Acceptability Justification]],"")</f>
        <v/>
      </c>
      <c r="N67"/>
    </row>
    <row r="68" spans="1:14" s="53" customFormat="1" ht="128.25" x14ac:dyDescent="0.25">
      <c r="A68" s="203">
        <f>Table4[[#This Row],[
ID '#]]</f>
        <v>64</v>
      </c>
      <c r="B68" s="57" t="str">
        <f>IF(Table4[[#This Row],[T ID]]&gt;0,Table4[[#This Row],[T ID]],"")</f>
        <v>T05</v>
      </c>
      <c r="C68" s="195" t="str">
        <f>Table4[[#This Row],[Threat Event(s)]]</f>
        <v>TTP</v>
      </c>
      <c r="D68" s="204" t="str">
        <f>IF(Table4[[#This Row],[V ID]]&gt;0,Table4[[#This Row],[V ID]],"")</f>
        <v>V21</v>
      </c>
      <c r="E68" s="195" t="str">
        <f>Table4[[#This Row],[Vulnerabilities]]</f>
        <v>Weak Algorthim implementation with respect cipher key size</v>
      </c>
      <c r="F68" s="205" t="str">
        <f>IF(Table4[[#This Row],[A ID]]&gt;0,Table4[[#This Row],[A ID]],"")</f>
        <v>A01</v>
      </c>
      <c r="G68" s="195" t="str">
        <f>Table4[[#This Row],[Asset]]</f>
        <v>Tablet Resources - web cam, microphone, OTG devices, Removable USB, Tablet Application,</v>
      </c>
      <c r="H68"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8" s="204" t="str">
        <f>IF(Table4[[#This Row],[Safety Impact 
(Risk ID'# or N/A)]]&gt;0,Table4[[#This Row],[Safety Impact 
(Risk ID'# or N/A)]],"")</f>
        <v/>
      </c>
      <c r="J68" s="199" t="str">
        <f>Table4[[#This Row],[Security 
Risk 
Level]]</f>
        <v>LOW</v>
      </c>
      <c r="K68" s="204" t="str">
        <f>IF(Table4[[#This Row],[Security Risk Control Measures]]&gt;0,Table4[[#This Row],[Security Risk Control Measures]],"")</f>
        <v xml:space="preserve">▪Asset should be behind stateful firewall
•  Use secure tunnel communications channel </v>
      </c>
      <c r="L68" s="202" t="str">
        <f>Table4[[#This Row],[Security Risk LevelP]]</f>
        <v/>
      </c>
      <c r="M68" s="204" t="str">
        <f>IF(Table4[[#This Row],[Residual Security Risk Acceptability Justification]]&gt;0,Table4[[#This Row],[Residual Security Risk Acceptability Justification]],"")</f>
        <v/>
      </c>
      <c r="N68"/>
    </row>
    <row r="69" spans="1:14" s="53" customFormat="1" ht="128.25" x14ac:dyDescent="0.25">
      <c r="A69" s="203">
        <f>Table4[[#This Row],[
ID '#]]</f>
        <v>65</v>
      </c>
      <c r="B69" s="57" t="str">
        <f>IF(Table4[[#This Row],[T ID]]&gt;0,Table4[[#This Row],[T ID]],"")</f>
        <v>T05</v>
      </c>
      <c r="C69" s="195" t="str">
        <f>Table4[[#This Row],[Threat Event(s)]]</f>
        <v>TTP</v>
      </c>
      <c r="D69" s="204" t="str">
        <f>IF(Table4[[#This Row],[V ID]]&gt;0,Table4[[#This Row],[V ID]],"")</f>
        <v>V21</v>
      </c>
      <c r="E69" s="195" t="str">
        <f>Table4[[#This Row],[Vulnerabilities]]</f>
        <v>Weak Algorthim implementation with respect cipher key size</v>
      </c>
      <c r="F69" s="205" t="str">
        <f>IF(Table4[[#This Row],[A ID]]&gt;0,Table4[[#This Row],[A ID]],"")</f>
        <v>A11</v>
      </c>
      <c r="G69" s="195" t="str">
        <f>Table4[[#This Row],[Asset]]</f>
        <v>Smart medic app (Stryker Azure Cloud Web Application)</v>
      </c>
      <c r="H69"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9" s="204" t="str">
        <f>IF(Table4[[#This Row],[Safety Impact 
(Risk ID'# or N/A)]]&gt;0,Table4[[#This Row],[Safety Impact 
(Risk ID'# or N/A)]],"")</f>
        <v/>
      </c>
      <c r="J69" s="199" t="str">
        <f>Table4[[#This Row],[Security 
Risk 
Level]]</f>
        <v>LOW</v>
      </c>
      <c r="K69" s="204" t="str">
        <f>IF(Table4[[#This Row],[Security Risk Control Measures]]&gt;0,Table4[[#This Row],[Security Risk Control Measures]],"")</f>
        <v>• Establish secure configuration
• Deploy system configuration management tool
• Implement automated configuration monitoring systems
• Establish internal and external
information sources for threat
intelligence and vulnerability
data, monitoring them regularly
and taking appropriate action for
high-priority items
• Upgrades the software, firmware
• Never use credentials such as date of birth, spouse, or child’s or pet’s name
• Stateful Firewall</v>
      </c>
      <c r="L69" s="202" t="str">
        <f>Table4[[#This Row],[Security Risk LevelP]]</f>
        <v/>
      </c>
      <c r="M69" s="204" t="str">
        <f>IF(Table4[[#This Row],[Residual Security Risk Acceptability Justification]]&gt;0,Table4[[#This Row],[Residual Security Risk Acceptability Justification]],"")</f>
        <v/>
      </c>
      <c r="N69"/>
    </row>
    <row r="70" spans="1:14" s="53" customFormat="1" ht="128.25" x14ac:dyDescent="0.25">
      <c r="A70" s="203">
        <f>Table4[[#This Row],[
ID '#]]</f>
        <v>66</v>
      </c>
      <c r="B70" s="57" t="str">
        <f>IF(Table4[[#This Row],[T ID]]&gt;0,Table4[[#This Row],[T ID]],"")</f>
        <v>T05</v>
      </c>
      <c r="C70" s="195" t="str">
        <f>Table4[[#This Row],[Threat Event(s)]]</f>
        <v>TTP</v>
      </c>
      <c r="D70" s="204" t="str">
        <f>IF(Table4[[#This Row],[V ID]]&gt;0,Table4[[#This Row],[V ID]],"")</f>
        <v>V23</v>
      </c>
      <c r="E70" s="195" t="str">
        <f>Table4[[#This Row],[Vulnerabilities]]</f>
        <v>Legacy system identification if any</v>
      </c>
      <c r="F70" s="205" t="str">
        <f>IF(Table4[[#This Row],[A ID]]&gt;0,Table4[[#This Row],[A ID]],"")</f>
        <v>A01</v>
      </c>
      <c r="G70" s="195" t="str">
        <f>Table4[[#This Row],[Asset]]</f>
        <v>Tablet Resources - web cam, microphone, OTG devices, Removable USB, Tablet Application,</v>
      </c>
      <c r="H70"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0" s="204" t="str">
        <f>IF(Table4[[#This Row],[Safety Impact 
(Risk ID'# or N/A)]]&gt;0,Table4[[#This Row],[Safety Impact 
(Risk ID'# or N/A)]],"")</f>
        <v/>
      </c>
      <c r="J70" s="199" t="str">
        <f>Table4[[#This Row],[Security 
Risk 
Level]]</f>
        <v>LOW</v>
      </c>
      <c r="K70" s="204" t="str">
        <f>IF(Table4[[#This Row],[Security Risk Control Measures]]&gt;0,Table4[[#This Row],[Security Risk Control Measures]],"")</f>
        <v xml:space="preserve">▪Asset should be behind stateful firewall
•  Use secure tunnel communications channel </v>
      </c>
      <c r="L70" s="202" t="str">
        <f>Table4[[#This Row],[Security Risk LevelP]]</f>
        <v/>
      </c>
      <c r="M70" s="204" t="str">
        <f>IF(Table4[[#This Row],[Residual Security Risk Acceptability Justification]]&gt;0,Table4[[#This Row],[Residual Security Risk Acceptability Justification]],"")</f>
        <v/>
      </c>
      <c r="N70"/>
    </row>
    <row r="71" spans="1:14" s="53" customFormat="1" ht="128.25" x14ac:dyDescent="0.25">
      <c r="A71" s="203">
        <f>Table4[[#This Row],[
ID '#]]</f>
        <v>67</v>
      </c>
      <c r="B71" s="57" t="str">
        <f>IF(Table4[[#This Row],[T ID]]&gt;0,Table4[[#This Row],[T ID]],"")</f>
        <v>T05</v>
      </c>
      <c r="C71" s="195" t="str">
        <f>Table4[[#This Row],[Threat Event(s)]]</f>
        <v>TTP</v>
      </c>
      <c r="D71" s="204" t="str">
        <f>IF(Table4[[#This Row],[V ID]]&gt;0,Table4[[#This Row],[V ID]],"")</f>
        <v>V07</v>
      </c>
      <c r="E71" s="195" t="str">
        <f>Table4[[#This Row],[Vulnerabilities]]</f>
        <v>Lack of Authorization policies &amp; Management</v>
      </c>
      <c r="F71" s="205" t="str">
        <f>IF(Table4[[#This Row],[A ID]]&gt;0,Table4[[#This Row],[A ID]],"")</f>
        <v>A01</v>
      </c>
      <c r="G71" s="195" t="str">
        <f>Table4[[#This Row],[Asset]]</f>
        <v>Tablet Resources - web cam, microphone, OTG devices, Removable USB, Tablet Application,</v>
      </c>
      <c r="H71"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1" s="204" t="str">
        <f>IF(Table4[[#This Row],[Safety Impact 
(Risk ID'# or N/A)]]&gt;0,Table4[[#This Row],[Safety Impact 
(Risk ID'# or N/A)]],"")</f>
        <v/>
      </c>
      <c r="J71" s="199" t="str">
        <f>Table4[[#This Row],[Security 
Risk 
Level]]</f>
        <v>LOW</v>
      </c>
      <c r="K71" s="204" t="str">
        <f>IF(Table4[[#This Row],[Security Risk Control Measures]]&gt;0,Table4[[#This Row],[Security Risk Control Measures]],"")</f>
        <v xml:space="preserve">▪Asset should be behind stateful firewall
•  Use secure tunnel communications channel </v>
      </c>
      <c r="L71" s="202" t="str">
        <f>Table4[[#This Row],[Security Risk LevelP]]</f>
        <v/>
      </c>
      <c r="M71" s="204" t="str">
        <f>IF(Table4[[#This Row],[Residual Security Risk Acceptability Justification]]&gt;0,Table4[[#This Row],[Residual Security Risk Acceptability Justification]],"")</f>
        <v/>
      </c>
      <c r="N71"/>
    </row>
    <row r="72" spans="1:14" s="53" customFormat="1" ht="28.5" x14ac:dyDescent="0.25">
      <c r="A72" s="203">
        <f>Table4[[#This Row],[
ID '#]]</f>
        <v>68</v>
      </c>
      <c r="B72" s="57" t="str">
        <f>IF(Table4[[#This Row],[T ID]]&gt;0,Table4[[#This Row],[T ID]],"")</f>
        <v>T05</v>
      </c>
      <c r="C72" s="195" t="str">
        <f>Table4[[#This Row],[Threat Event(s)]]</f>
        <v>TTP</v>
      </c>
      <c r="D72" s="204" t="str">
        <f>IF(Table4[[#This Row],[V ID]]&gt;0,Table4[[#This Row],[V ID]],"")</f>
        <v>V07</v>
      </c>
      <c r="E72" s="195" t="str">
        <f>Table4[[#This Row],[Vulnerabilities]]</f>
        <v>Lack of Authorization policies &amp; Management</v>
      </c>
      <c r="F72" s="205" t="str">
        <f>IF(Table4[[#This Row],[A ID]]&gt;0,Table4[[#This Row],[A ID]],"")</f>
        <v>A05</v>
      </c>
      <c r="G72" s="195" t="str">
        <f>Table4[[#This Row],[Asset]]</f>
        <v>Device Maintainence tool (Hardware/Software)</v>
      </c>
      <c r="H72" s="208" t="str">
        <f>IF(Table4[[#This Row],[Impact Description]]&gt;0,Table4[[#This Row],[Impact Description]],"")</f>
        <v/>
      </c>
      <c r="I72" s="204" t="str">
        <f>IF(Table4[[#This Row],[Safety Impact 
(Risk ID'# or N/A)]]&gt;0,Table4[[#This Row],[Safety Impact 
(Risk ID'# or N/A)]],"")</f>
        <v/>
      </c>
      <c r="J72" s="199" t="str">
        <f>Table4[[#This Row],[Security 
Risk 
Level]]</f>
        <v>LOW</v>
      </c>
      <c r="K72" s="204" t="str">
        <f>IF(Table4[[#This Row],[Security Risk Control Measures]]&gt;0,Table4[[#This Row],[Security Risk Control Measures]],"")</f>
        <v xml:space="preserve">▪Asset should be behind stateful firewall
•  Use secure tunnel communications channel </v>
      </c>
      <c r="L72" s="202" t="str">
        <f>Table4[[#This Row],[Security Risk LevelP]]</f>
        <v/>
      </c>
      <c r="M72" s="204" t="str">
        <f>IF(Table4[[#This Row],[Residual Security Risk Acceptability Justification]]&gt;0,Table4[[#This Row],[Residual Security Risk Acceptability Justification]],"")</f>
        <v/>
      </c>
      <c r="N72"/>
    </row>
    <row r="73" spans="1:14" s="53" customFormat="1" ht="128.25" x14ac:dyDescent="0.25">
      <c r="A73" s="203">
        <f>Table4[[#This Row],[
ID '#]]</f>
        <v>69</v>
      </c>
      <c r="B73" s="57" t="str">
        <f>IF(Table4[[#This Row],[T ID]]&gt;0,Table4[[#This Row],[T ID]],"")</f>
        <v>T05</v>
      </c>
      <c r="C73" s="195" t="str">
        <f>Table4[[#This Row],[Threat Event(s)]]</f>
        <v>TTP</v>
      </c>
      <c r="D73" s="204" t="str">
        <f>IF(Table4[[#This Row],[V ID]]&gt;0,Table4[[#This Row],[V ID]],"")</f>
        <v>V08</v>
      </c>
      <c r="E73" s="195" t="str">
        <f>Table4[[#This Row],[Vulnerabilities]]</f>
        <v>Lack of configuration controls for IT assets in the informaion system plan</v>
      </c>
      <c r="F73" s="205" t="str">
        <f>IF(Table4[[#This Row],[A ID]]&gt;0,Table4[[#This Row],[A ID]],"")</f>
        <v>A01</v>
      </c>
      <c r="G73" s="195" t="str">
        <f>Table4[[#This Row],[Asset]]</f>
        <v>Tablet Resources - web cam, microphone, OTG devices, Removable USB, Tablet Application,</v>
      </c>
      <c r="H73"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3" s="204" t="str">
        <f>IF(Table4[[#This Row],[Safety Impact 
(Risk ID'# or N/A)]]&gt;0,Table4[[#This Row],[Safety Impact 
(Risk ID'# or N/A)]],"")</f>
        <v/>
      </c>
      <c r="J73" s="199" t="str">
        <f>Table4[[#This Row],[Security 
Risk 
Level]]</f>
        <v>MEDIUM</v>
      </c>
      <c r="K73" s="204" t="str">
        <f>IF(Table4[[#This Row],[Security Risk Control Measures]]&gt;0,Table4[[#This Row],[Security Risk Control Measures]],"")</f>
        <v xml:space="preserve">▪Asset should be behind stateful firewall
•  Use secure tunnel communications channel </v>
      </c>
      <c r="L73" s="202" t="str">
        <f>Table4[[#This Row],[Security Risk LevelP]]</f>
        <v/>
      </c>
      <c r="M73" s="204" t="str">
        <f>IF(Table4[[#This Row],[Residual Security Risk Acceptability Justification]]&gt;0,Table4[[#This Row],[Residual Security Risk Acceptability Justification]],"")</f>
        <v/>
      </c>
      <c r="N73"/>
    </row>
    <row r="74" spans="1:14" s="53" customFormat="1" ht="128.25" x14ac:dyDescent="0.25">
      <c r="A74" s="203">
        <f>Table4[[#This Row],[
ID '#]]</f>
        <v>70</v>
      </c>
      <c r="B74" s="57" t="str">
        <f>IF(Table4[[#This Row],[T ID]]&gt;0,Table4[[#This Row],[T ID]],"")</f>
        <v>T05</v>
      </c>
      <c r="C74" s="195" t="str">
        <f>Table4[[#This Row],[Threat Event(s)]]</f>
        <v>TTP</v>
      </c>
      <c r="D74" s="204" t="str">
        <f>IF(Table4[[#This Row],[V ID]]&gt;0,Table4[[#This Row],[V ID]],"")</f>
        <v>V08</v>
      </c>
      <c r="E74" s="195" t="str">
        <f>Table4[[#This Row],[Vulnerabilities]]</f>
        <v>Lack of configuration controls for IT assets in the informaion system plan</v>
      </c>
      <c r="F74" s="205" t="str">
        <f>IF(Table4[[#This Row],[A ID]]&gt;0,Table4[[#This Row],[A ID]],"")</f>
        <v>A05</v>
      </c>
      <c r="G74" s="195" t="str">
        <f>Table4[[#This Row],[Asset]]</f>
        <v>Device Maintainence tool (Hardware/Software)</v>
      </c>
      <c r="H74"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4" s="204" t="str">
        <f>IF(Table4[[#This Row],[Safety Impact 
(Risk ID'# or N/A)]]&gt;0,Table4[[#This Row],[Safety Impact 
(Risk ID'# or N/A)]],"")</f>
        <v/>
      </c>
      <c r="J74" s="199" t="str">
        <f>Table4[[#This Row],[Security 
Risk 
Level]]</f>
        <v>LOW</v>
      </c>
      <c r="K74" s="204" t="str">
        <f>IF(Table4[[#This Row],[Security Risk Control Measures]]&gt;0,Table4[[#This Row],[Security Risk Control Measures]],"")</f>
        <v xml:space="preserve">▪Asset should be behind stateful firewall
•  Use secure tunnel communications channel </v>
      </c>
      <c r="L74" s="202" t="str">
        <f>Table4[[#This Row],[Security Risk LevelP]]</f>
        <v/>
      </c>
      <c r="M74" s="204" t="str">
        <f>IF(Table4[[#This Row],[Residual Security Risk Acceptability Justification]]&gt;0,Table4[[#This Row],[Residual Security Risk Acceptability Justification]],"")</f>
        <v/>
      </c>
      <c r="N74"/>
    </row>
    <row r="75" spans="1:14" s="53" customFormat="1" ht="128.25" x14ac:dyDescent="0.25">
      <c r="A75" s="203">
        <f>Table4[[#This Row],[
ID '#]]</f>
        <v>71</v>
      </c>
      <c r="B75" s="57" t="str">
        <f>IF(Table4[[#This Row],[T ID]]&gt;0,Table4[[#This Row],[T ID]],"")</f>
        <v>T05</v>
      </c>
      <c r="C75" s="195" t="str">
        <f>Table4[[#This Row],[Threat Event(s)]]</f>
        <v>TTP</v>
      </c>
      <c r="D75" s="204" t="str">
        <f>IF(Table4[[#This Row],[V ID]]&gt;0,Table4[[#This Row],[V ID]],"")</f>
        <v>V08</v>
      </c>
      <c r="E75" s="195" t="str">
        <f>Table4[[#This Row],[Vulnerabilities]]</f>
        <v>Lack of configuration controls for IT assets in the informaion system plan</v>
      </c>
      <c r="F75" s="205" t="str">
        <f>IF(Table4[[#This Row],[A ID]]&gt;0,Table4[[#This Row],[A ID]],"")</f>
        <v>A02</v>
      </c>
      <c r="G75" s="195" t="str">
        <f>Table4[[#This Row],[Asset]]</f>
        <v>Tablet OS/network details &amp; Tablet Application</v>
      </c>
      <c r="H75"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5" s="204" t="str">
        <f>IF(Table4[[#This Row],[Safety Impact 
(Risk ID'# or N/A)]]&gt;0,Table4[[#This Row],[Safety Impact 
(Risk ID'# or N/A)]],"")</f>
        <v/>
      </c>
      <c r="J75" s="199" t="str">
        <f>Table4[[#This Row],[Security 
Risk 
Level]]</f>
        <v>LOW</v>
      </c>
      <c r="K75" s="204" t="str">
        <f>IF(Table4[[#This Row],[Security Risk Control Measures]]&gt;0,Table4[[#This Row],[Security Risk Control Measures]],"")</f>
        <v xml:space="preserve">▪Asset should be behind stateful firewall
•  Use secure tunnel communications channel </v>
      </c>
      <c r="L75" s="202" t="str">
        <f>Table4[[#This Row],[Security Risk LevelP]]</f>
        <v/>
      </c>
      <c r="M75" s="204" t="str">
        <f>IF(Table4[[#This Row],[Residual Security Risk Acceptability Justification]]&gt;0,Table4[[#This Row],[Residual Security Risk Acceptability Justification]],"")</f>
        <v/>
      </c>
      <c r="N75"/>
    </row>
    <row r="76" spans="1:14" s="53" customFormat="1" ht="128.25" x14ac:dyDescent="0.25">
      <c r="A76" s="203">
        <f>Table4[[#This Row],[
ID '#]]</f>
        <v>72</v>
      </c>
      <c r="B76" s="57" t="str">
        <f>IF(Table4[[#This Row],[T ID]]&gt;0,Table4[[#This Row],[T ID]],"")</f>
        <v>T05</v>
      </c>
      <c r="C76" s="195" t="str">
        <f>Table4[[#This Row],[Threat Event(s)]]</f>
        <v>TTP</v>
      </c>
      <c r="D76" s="204" t="str">
        <f>IF(Table4[[#This Row],[V ID]]&gt;0,Table4[[#This Row],[V ID]],"")</f>
        <v>V10</v>
      </c>
      <c r="E76" s="195" t="str">
        <f>Table4[[#This Row],[Vulnerabilities]]</f>
        <v xml:space="preserve">Lack of plan for periodic Software Vulnerability Management </v>
      </c>
      <c r="F76" s="205" t="str">
        <f>IF(Table4[[#This Row],[A ID]]&gt;0,Table4[[#This Row],[A ID]],"")</f>
        <v>A05</v>
      </c>
      <c r="G76" s="195" t="str">
        <f>Table4[[#This Row],[Asset]]</f>
        <v>Device Maintainence tool (Hardware/Software)</v>
      </c>
      <c r="H76"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6" s="204" t="str">
        <f>IF(Table4[[#This Row],[Safety Impact 
(Risk ID'# or N/A)]]&gt;0,Table4[[#This Row],[Safety Impact 
(Risk ID'# or N/A)]],"")</f>
        <v/>
      </c>
      <c r="J76" s="199" t="str">
        <f>Table4[[#This Row],[Security 
Risk 
Level]]</f>
        <v>LOW</v>
      </c>
      <c r="K76" s="204" t="str">
        <f>IF(Table4[[#This Row],[Security Risk Control Measures]]&gt;0,Table4[[#This Row],[Security Risk Control Measures]],"")</f>
        <v xml:space="preserve">▪Asset should be behind stateful firewall
•  Use secure tunnel communications channel </v>
      </c>
      <c r="L76" s="202" t="str">
        <f>Table4[[#This Row],[Security Risk LevelP]]</f>
        <v/>
      </c>
      <c r="M76" s="204" t="str">
        <f>IF(Table4[[#This Row],[Residual Security Risk Acceptability Justification]]&gt;0,Table4[[#This Row],[Residual Security Risk Acceptability Justification]],"")</f>
        <v/>
      </c>
      <c r="N76"/>
    </row>
    <row r="77" spans="1:14" s="53" customFormat="1" x14ac:dyDescent="0.25">
      <c r="A77" s="203"/>
      <c r="B77" s="204"/>
      <c r="C77" s="195"/>
      <c r="D77" s="204"/>
      <c r="E77" s="195"/>
      <c r="F77" s="205"/>
      <c r="G77" s="195"/>
      <c r="H77" s="208"/>
      <c r="I77" s="204"/>
      <c r="J77" s="199"/>
      <c r="K77" s="204"/>
      <c r="L77" s="202"/>
      <c r="M77" s="204"/>
      <c r="N77"/>
    </row>
    <row r="78" spans="1:14" s="53" customFormat="1" x14ac:dyDescent="0.25">
      <c r="A78" s="203"/>
      <c r="B78" s="204"/>
      <c r="C78" s="195"/>
      <c r="D78" s="204"/>
      <c r="E78" s="195"/>
      <c r="F78" s="205"/>
      <c r="G78" s="195"/>
      <c r="H78" s="208"/>
      <c r="I78" s="204"/>
      <c r="J78" s="199"/>
      <c r="K78" s="204"/>
      <c r="L78" s="202"/>
      <c r="M78" s="204"/>
      <c r="N78"/>
    </row>
    <row r="79" spans="1:14" s="53" customFormat="1" x14ac:dyDescent="0.25">
      <c r="A79" s="203"/>
      <c r="B79" s="204"/>
      <c r="C79" s="195"/>
      <c r="D79" s="204"/>
      <c r="E79" s="195"/>
      <c r="F79" s="205"/>
      <c r="G79" s="195"/>
      <c r="H79" s="208"/>
      <c r="I79" s="204"/>
      <c r="J79" s="199"/>
      <c r="K79" s="204"/>
      <c r="L79" s="202"/>
      <c r="M79" s="204"/>
      <c r="N79"/>
    </row>
    <row r="80" spans="1:14" s="53" customFormat="1" x14ac:dyDescent="0.25">
      <c r="A80" s="203"/>
      <c r="B80" s="204"/>
      <c r="C80" s="195"/>
      <c r="D80" s="204"/>
      <c r="E80" s="195"/>
      <c r="F80" s="205"/>
      <c r="G80" s="195"/>
      <c r="H80" s="208"/>
      <c r="I80" s="204"/>
      <c r="J80" s="199"/>
      <c r="K80" s="204"/>
      <c r="L80" s="202"/>
      <c r="M80" s="204"/>
      <c r="N80"/>
    </row>
    <row r="81" spans="1:14" s="53" customFormat="1" x14ac:dyDescent="0.25">
      <c r="A81" s="203"/>
      <c r="B81" s="204"/>
      <c r="C81" s="195"/>
      <c r="D81" s="204"/>
      <c r="E81" s="195"/>
      <c r="F81" s="205"/>
      <c r="G81" s="195"/>
      <c r="H81" s="208"/>
      <c r="I81" s="204"/>
      <c r="J81" s="199"/>
      <c r="K81" s="204"/>
      <c r="L81" s="202"/>
      <c r="M81" s="204"/>
      <c r="N81"/>
    </row>
    <row r="82" spans="1:14" s="53" customFormat="1" x14ac:dyDescent="0.25">
      <c r="A82" s="203"/>
      <c r="B82" s="204"/>
      <c r="C82" s="195"/>
      <c r="D82" s="204"/>
      <c r="E82" s="195"/>
      <c r="F82" s="205"/>
      <c r="G82" s="195"/>
      <c r="H82" s="208"/>
      <c r="I82" s="204"/>
      <c r="J82" s="199"/>
      <c r="K82" s="204"/>
      <c r="L82" s="202"/>
      <c r="M82" s="204"/>
      <c r="N82"/>
    </row>
    <row r="83" spans="1:14" s="53" customFormat="1" x14ac:dyDescent="0.25">
      <c r="A83" s="203"/>
      <c r="B83" s="204"/>
      <c r="C83" s="195"/>
      <c r="D83" s="204"/>
      <c r="E83" s="195"/>
      <c r="F83" s="205"/>
      <c r="G83" s="195"/>
      <c r="H83" s="208"/>
      <c r="I83" s="204"/>
      <c r="J83" s="199"/>
      <c r="K83" s="204"/>
      <c r="L83" s="202"/>
      <c r="M83" s="204"/>
      <c r="N83"/>
    </row>
    <row r="84" spans="1:14" s="53" customFormat="1" x14ac:dyDescent="0.25">
      <c r="A84" s="69"/>
      <c r="B84" s="57"/>
      <c r="C84" s="49"/>
      <c r="D84" s="59"/>
      <c r="E84" s="49"/>
      <c r="F84" s="59"/>
      <c r="G84" s="49"/>
      <c r="H84" s="49"/>
      <c r="I84" s="59"/>
      <c r="J84" s="87"/>
      <c r="K84" s="59"/>
      <c r="L84" s="157"/>
      <c r="M84" s="59"/>
      <c r="N84"/>
    </row>
    <row r="85" spans="1:14" s="53" customFormat="1" x14ac:dyDescent="0.25">
      <c r="A85"/>
      <c r="B85"/>
      <c r="C85"/>
      <c r="D85"/>
      <c r="E85" s="207"/>
      <c r="F85"/>
      <c r="G85"/>
      <c r="H85"/>
      <c r="I85"/>
      <c r="J85"/>
      <c r="K85"/>
      <c r="L85"/>
      <c r="M85"/>
      <c r="N85"/>
    </row>
    <row r="86" spans="1:14" s="53" customFormat="1" x14ac:dyDescent="0.25">
      <c r="A86" s="24"/>
      <c r="B86" s="24"/>
      <c r="C86" s="25"/>
      <c r="D86" s="24"/>
      <c r="E86" s="209"/>
      <c r="F86" s="24"/>
      <c r="G86" s="24"/>
    </row>
    <row r="87" spans="1:14" s="53" customFormat="1" ht="14.25" x14ac:dyDescent="0.15">
      <c r="A87" s="29" t="s">
        <v>165</v>
      </c>
      <c r="C87" s="62"/>
      <c r="E87" s="32"/>
    </row>
    <row r="88" spans="1:14" s="53" customFormat="1" ht="32.25" customHeight="1" x14ac:dyDescent="0.15">
      <c r="B88" s="257" t="s">
        <v>166</v>
      </c>
      <c r="C88" s="257"/>
      <c r="D88" s="257"/>
      <c r="E88" s="257"/>
      <c r="F88" s="257"/>
      <c r="G88" s="257"/>
      <c r="H88" s="257"/>
    </row>
    <row r="89" spans="1:14" s="53" customFormat="1" x14ac:dyDescent="0.25">
      <c r="A89" s="24"/>
      <c r="B89" s="24"/>
      <c r="C89" s="25"/>
      <c r="D89" s="24"/>
      <c r="E89" s="209"/>
      <c r="F89" s="24"/>
      <c r="G89" s="24"/>
    </row>
    <row r="90" spans="1:14" s="53" customFormat="1" x14ac:dyDescent="0.25">
      <c r="A90" s="24"/>
      <c r="B90" s="24"/>
      <c r="C90" s="25"/>
      <c r="D90" s="24"/>
      <c r="E90" s="209"/>
      <c r="F90" s="24"/>
      <c r="G90" s="24"/>
    </row>
    <row r="91" spans="1:14" s="53" customFormat="1" x14ac:dyDescent="0.25">
      <c r="A91" s="24"/>
      <c r="B91" s="24"/>
      <c r="C91" s="25"/>
      <c r="D91" s="24"/>
      <c r="E91" s="209"/>
      <c r="F91" s="24"/>
      <c r="G91" s="24"/>
    </row>
    <row r="92" spans="1:14" s="53" customFormat="1" ht="32.25" customHeight="1" x14ac:dyDescent="0.15">
      <c r="A92" s="24"/>
      <c r="B92" s="24"/>
      <c r="C92" s="25"/>
      <c r="D92" s="24"/>
      <c r="E92" s="209"/>
      <c r="F92" s="24"/>
      <c r="G92" s="24"/>
      <c r="H92" s="185"/>
    </row>
  </sheetData>
  <mergeCells count="1">
    <mergeCell ref="B88:H88"/>
  </mergeCells>
  <conditionalFormatting sqref="L5:L84 J5:J84">
    <cfRule type="cellIs" dxfId="50" priority="1" operator="equal">
      <formula>"Critical"</formula>
    </cfRule>
    <cfRule type="cellIs" dxfId="49" priority="2" operator="equal">
      <formula>"HIGH"</formula>
    </cfRule>
    <cfRule type="cellIs" dxfId="48" priority="3" operator="equal">
      <formula>"Medium"</formula>
    </cfRule>
    <cfRule type="cellIs" dxfId="47" priority="4" operator="equal">
      <formula>"None"</formula>
    </cfRule>
    <cfRule type="cellIs" dxfId="46" priority="5"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0"/>
  <sheetViews>
    <sheetView zoomScaleNormal="100" workbookViewId="0">
      <selection activeCell="B6" sqref="B6"/>
    </sheetView>
  </sheetViews>
  <sheetFormatPr defaultColWidth="9.140625" defaultRowHeight="15" x14ac:dyDescent="0.2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75" customFormat="1" ht="27.75" customHeight="1" x14ac:dyDescent="0.2">
      <c r="B1" s="90" t="s">
        <v>160</v>
      </c>
    </row>
    <row r="2" spans="2:18" s="75" customFormat="1" thickBot="1" x14ac:dyDescent="0.25"/>
    <row r="3" spans="2:18" s="75" customFormat="1" ht="18.75" thickBot="1" x14ac:dyDescent="0.3">
      <c r="B3" s="268" t="s">
        <v>81</v>
      </c>
      <c r="C3" s="269"/>
      <c r="D3" s="269"/>
      <c r="E3" s="269"/>
      <c r="F3" s="269"/>
      <c r="G3" s="269"/>
      <c r="H3" s="269"/>
      <c r="I3" s="269"/>
      <c r="J3" s="269"/>
      <c r="K3" s="269"/>
      <c r="L3" s="269"/>
      <c r="M3" s="269"/>
      <c r="N3" s="270"/>
      <c r="P3" s="268" t="s">
        <v>66</v>
      </c>
      <c r="Q3" s="269"/>
      <c r="R3" s="270"/>
    </row>
    <row r="4" spans="2:18" s="75" customFormat="1" ht="16.5" thickBot="1" x14ac:dyDescent="0.25">
      <c r="B4" s="275" t="s">
        <v>82</v>
      </c>
      <c r="C4" s="276"/>
      <c r="D4" s="277"/>
      <c r="E4" s="275" t="s">
        <v>83</v>
      </c>
      <c r="F4" s="276"/>
      <c r="G4" s="277"/>
      <c r="H4" s="275" t="s">
        <v>84</v>
      </c>
      <c r="I4" s="276"/>
      <c r="J4" s="276"/>
      <c r="K4" s="277"/>
      <c r="L4" s="278" t="s">
        <v>85</v>
      </c>
      <c r="M4" s="279"/>
      <c r="N4" s="280"/>
      <c r="P4" s="91"/>
      <c r="Q4" s="92" t="s">
        <v>132</v>
      </c>
      <c r="R4" s="93" t="s">
        <v>73</v>
      </c>
    </row>
    <row r="5" spans="2:18" s="75" customFormat="1" ht="16.5" thickBot="1" x14ac:dyDescent="0.25">
      <c r="B5" s="94" t="s">
        <v>86</v>
      </c>
      <c r="C5" s="94" t="s">
        <v>87</v>
      </c>
      <c r="D5" s="94" t="s">
        <v>88</v>
      </c>
      <c r="E5" s="94" t="s">
        <v>89</v>
      </c>
      <c r="F5" s="94" t="s">
        <v>87</v>
      </c>
      <c r="G5" s="94" t="s">
        <v>88</v>
      </c>
      <c r="H5" s="94" t="s">
        <v>86</v>
      </c>
      <c r="I5" s="282" t="s">
        <v>87</v>
      </c>
      <c r="J5" s="283"/>
      <c r="K5" s="94" t="s">
        <v>88</v>
      </c>
      <c r="L5" s="94" t="s">
        <v>86</v>
      </c>
      <c r="M5" s="94" t="s">
        <v>87</v>
      </c>
      <c r="N5" s="94" t="s">
        <v>88</v>
      </c>
      <c r="P5" s="95"/>
      <c r="Q5" s="96" t="s">
        <v>49</v>
      </c>
      <c r="R5" s="97">
        <v>0.04</v>
      </c>
    </row>
    <row r="6" spans="2:18" s="75" customFormat="1" ht="15.75" x14ac:dyDescent="0.2">
      <c r="B6" s="98" t="s">
        <v>78</v>
      </c>
      <c r="C6" s="99">
        <v>0.85</v>
      </c>
      <c r="D6" s="100" t="s">
        <v>58</v>
      </c>
      <c r="E6" s="98" t="s">
        <v>56</v>
      </c>
      <c r="F6" s="99">
        <v>0.77</v>
      </c>
      <c r="G6" s="101" t="s">
        <v>90</v>
      </c>
      <c r="H6" s="98" t="s">
        <v>77</v>
      </c>
      <c r="I6" s="102">
        <v>0.85</v>
      </c>
      <c r="J6" s="103">
        <v>0.85</v>
      </c>
      <c r="K6" s="100" t="s">
        <v>58</v>
      </c>
      <c r="L6" s="98" t="s">
        <v>77</v>
      </c>
      <c r="M6" s="104">
        <v>0.85</v>
      </c>
      <c r="N6" s="105" t="s">
        <v>58</v>
      </c>
      <c r="P6" s="95"/>
      <c r="Q6" s="106" t="s">
        <v>56</v>
      </c>
      <c r="R6" s="107">
        <v>0.2</v>
      </c>
    </row>
    <row r="7" spans="2:18" s="75" customFormat="1" ht="15.75" x14ac:dyDescent="0.2">
      <c r="B7" s="98" t="s">
        <v>80</v>
      </c>
      <c r="C7" s="108">
        <v>0.62</v>
      </c>
      <c r="D7" s="100" t="s">
        <v>91</v>
      </c>
      <c r="E7" s="98" t="s">
        <v>65</v>
      </c>
      <c r="F7" s="108">
        <v>0.44</v>
      </c>
      <c r="G7" s="101" t="s">
        <v>92</v>
      </c>
      <c r="H7" s="98" t="s">
        <v>56</v>
      </c>
      <c r="I7" s="109">
        <v>0.62</v>
      </c>
      <c r="J7" s="103">
        <v>0.68</v>
      </c>
      <c r="K7" s="100" t="s">
        <v>90</v>
      </c>
      <c r="L7" s="98" t="s">
        <v>76</v>
      </c>
      <c r="M7" s="110">
        <v>0.62</v>
      </c>
      <c r="N7" s="105" t="s">
        <v>93</v>
      </c>
      <c r="P7" s="95"/>
      <c r="Q7" s="111" t="s">
        <v>55</v>
      </c>
      <c r="R7" s="107">
        <v>0.5</v>
      </c>
    </row>
    <row r="8" spans="2:18" s="75" customFormat="1" ht="15.75" x14ac:dyDescent="0.2">
      <c r="B8" s="98" t="s">
        <v>79</v>
      </c>
      <c r="C8" s="108">
        <v>0.55000000000000004</v>
      </c>
      <c r="D8" s="100" t="s">
        <v>90</v>
      </c>
      <c r="E8" s="98"/>
      <c r="F8" s="108"/>
      <c r="G8" s="100"/>
      <c r="H8" s="98" t="s">
        <v>65</v>
      </c>
      <c r="I8" s="109">
        <v>0.27</v>
      </c>
      <c r="J8" s="103">
        <v>0.5</v>
      </c>
      <c r="K8" s="100" t="s">
        <v>92</v>
      </c>
      <c r="L8" s="98"/>
      <c r="M8" s="103"/>
      <c r="N8" s="105"/>
      <c r="P8" s="95"/>
      <c r="Q8" s="112" t="s">
        <v>65</v>
      </c>
      <c r="R8" s="107">
        <v>0.8</v>
      </c>
    </row>
    <row r="9" spans="2:18" s="75" customFormat="1" ht="15.75" x14ac:dyDescent="0.2">
      <c r="B9" s="98" t="s">
        <v>75</v>
      </c>
      <c r="C9" s="108">
        <v>0.2</v>
      </c>
      <c r="D9" s="105" t="s">
        <v>94</v>
      </c>
      <c r="E9" s="129"/>
      <c r="F9" s="128"/>
      <c r="G9" s="184"/>
      <c r="H9" s="98"/>
      <c r="I9" s="109"/>
      <c r="J9" s="103"/>
      <c r="K9" s="105"/>
      <c r="L9" s="98"/>
      <c r="M9" s="103"/>
      <c r="N9" s="105"/>
      <c r="P9" s="95"/>
      <c r="Q9" s="122" t="s">
        <v>105</v>
      </c>
      <c r="R9" s="107">
        <v>1</v>
      </c>
    </row>
    <row r="10" spans="2:18" s="75" customFormat="1" ht="16.5" thickBot="1" x14ac:dyDescent="0.25">
      <c r="B10" s="113"/>
      <c r="C10" s="114"/>
      <c r="D10" s="115"/>
      <c r="E10" s="116"/>
      <c r="F10" s="117"/>
      <c r="G10" s="118"/>
      <c r="H10" s="113"/>
      <c r="I10" s="119"/>
      <c r="J10" s="120"/>
      <c r="K10" s="115"/>
      <c r="L10" s="113"/>
      <c r="M10" s="120"/>
      <c r="N10" s="115"/>
      <c r="P10" s="121"/>
      <c r="R10" s="107"/>
    </row>
    <row r="11" spans="2:18" s="75" customFormat="1" thickBot="1" x14ac:dyDescent="0.25"/>
    <row r="12" spans="2:18" s="75" customFormat="1" ht="18.75" thickBot="1" x14ac:dyDescent="0.3">
      <c r="B12" s="268" t="s">
        <v>95</v>
      </c>
      <c r="C12" s="269"/>
      <c r="D12" s="269"/>
      <c r="E12" s="269"/>
      <c r="F12" s="269"/>
      <c r="G12" s="269"/>
      <c r="H12" s="269"/>
      <c r="I12" s="269"/>
      <c r="J12" s="269"/>
      <c r="K12" s="269"/>
      <c r="L12" s="269"/>
      <c r="M12" s="269"/>
      <c r="N12" s="270"/>
      <c r="P12" s="160" t="s">
        <v>171</v>
      </c>
      <c r="Q12" s="124" t="s">
        <v>130</v>
      </c>
    </row>
    <row r="13" spans="2:18" s="75" customFormat="1" ht="16.5" thickBot="1" x14ac:dyDescent="0.25">
      <c r="B13" s="271" t="s">
        <v>96</v>
      </c>
      <c r="C13" s="272"/>
      <c r="D13" s="272"/>
      <c r="E13" s="272"/>
      <c r="F13" s="272"/>
      <c r="G13" s="273"/>
      <c r="H13" s="272"/>
      <c r="I13" s="272"/>
      <c r="J13" s="272"/>
      <c r="K13" s="272"/>
      <c r="L13" s="272"/>
      <c r="M13" s="272"/>
      <c r="N13" s="274"/>
      <c r="P13" s="98"/>
      <c r="Q13" s="103" t="s">
        <v>172</v>
      </c>
    </row>
    <row r="14" spans="2:18" s="75" customFormat="1" thickBot="1" x14ac:dyDescent="0.25">
      <c r="B14" s="94" t="s">
        <v>86</v>
      </c>
      <c r="C14" s="94" t="s">
        <v>87</v>
      </c>
      <c r="D14" s="94" t="s">
        <v>88</v>
      </c>
      <c r="E14" s="123"/>
      <c r="F14" s="123"/>
      <c r="G14" s="123"/>
      <c r="H14" s="123"/>
      <c r="I14" s="123"/>
      <c r="J14" s="123"/>
      <c r="K14" s="123"/>
      <c r="L14" s="123"/>
      <c r="M14" s="123"/>
      <c r="N14" s="124"/>
      <c r="P14" s="113"/>
      <c r="Q14" s="120"/>
    </row>
    <row r="15" spans="2:18" s="75" customFormat="1" ht="17.25" x14ac:dyDescent="0.3">
      <c r="B15" s="125" t="s">
        <v>77</v>
      </c>
      <c r="C15" s="99">
        <v>0</v>
      </c>
      <c r="D15" s="126" t="s">
        <v>58</v>
      </c>
      <c r="E15" s="127" t="s">
        <v>167</v>
      </c>
      <c r="F15" s="128"/>
      <c r="G15" s="128"/>
      <c r="H15" s="128"/>
      <c r="J15" s="128"/>
      <c r="K15" s="128"/>
      <c r="L15" s="128"/>
      <c r="M15" s="128"/>
      <c r="N15" s="103"/>
    </row>
    <row r="16" spans="2:18" s="75" customFormat="1" ht="14.25" x14ac:dyDescent="0.2">
      <c r="B16" s="129" t="s">
        <v>56</v>
      </c>
      <c r="C16" s="108">
        <v>0.22</v>
      </c>
      <c r="D16" s="130" t="s">
        <v>90</v>
      </c>
      <c r="E16" s="128"/>
      <c r="F16" s="128"/>
      <c r="G16" s="128"/>
      <c r="H16" s="128"/>
      <c r="I16" s="128"/>
      <c r="J16" s="128"/>
      <c r="K16" s="128"/>
      <c r="L16" s="128"/>
      <c r="M16" s="128"/>
      <c r="N16" s="103"/>
    </row>
    <row r="17" spans="2:17" s="75" customFormat="1" ht="14.25" x14ac:dyDescent="0.2">
      <c r="B17" s="129" t="s">
        <v>65</v>
      </c>
      <c r="C17" s="108">
        <v>0.56000000000000005</v>
      </c>
      <c r="D17" s="130" t="s">
        <v>92</v>
      </c>
      <c r="E17" s="128"/>
      <c r="F17" s="128"/>
      <c r="G17" s="128"/>
      <c r="H17" s="128"/>
      <c r="I17" s="128"/>
      <c r="J17" s="128"/>
      <c r="K17" s="128"/>
      <c r="L17" s="128"/>
      <c r="M17" s="128"/>
      <c r="N17" s="103"/>
    </row>
    <row r="18" spans="2:17" s="75" customFormat="1" thickBot="1" x14ac:dyDescent="0.25">
      <c r="B18" s="116"/>
      <c r="C18" s="114"/>
      <c r="D18" s="131"/>
      <c r="E18" s="117"/>
      <c r="F18" s="117"/>
      <c r="G18" s="117"/>
      <c r="H18" s="117"/>
      <c r="I18" s="117"/>
      <c r="J18" s="117"/>
      <c r="K18" s="117"/>
      <c r="L18" s="117"/>
      <c r="M18" s="117"/>
      <c r="N18" s="120"/>
    </row>
    <row r="19" spans="2:17" s="75" customFormat="1" thickBot="1" x14ac:dyDescent="0.25"/>
    <row r="20" spans="2:17" s="75" customFormat="1" ht="18.75" thickBot="1" x14ac:dyDescent="0.3">
      <c r="B20" s="268" t="s">
        <v>69</v>
      </c>
      <c r="C20" s="269"/>
      <c r="D20" s="269"/>
      <c r="E20" s="269"/>
      <c r="F20" s="269"/>
      <c r="G20" s="269"/>
      <c r="H20" s="269"/>
      <c r="I20" s="269"/>
      <c r="J20" s="269"/>
      <c r="K20" s="269"/>
      <c r="L20" s="269"/>
      <c r="M20" s="269"/>
      <c r="N20" s="270"/>
    </row>
    <row r="21" spans="2:17" s="75" customFormat="1" ht="42.6" customHeight="1" thickBot="1" x14ac:dyDescent="0.25">
      <c r="B21" s="132" t="s">
        <v>74</v>
      </c>
      <c r="C21" s="284" t="s">
        <v>97</v>
      </c>
      <c r="D21" s="285"/>
      <c r="E21" s="285"/>
      <c r="F21" s="285"/>
      <c r="G21" s="285"/>
      <c r="H21" s="285"/>
      <c r="I21" s="285"/>
      <c r="J21" s="285"/>
      <c r="K21" s="285"/>
      <c r="L21" s="285"/>
      <c r="M21" s="286"/>
      <c r="N21" s="133" t="s">
        <v>98</v>
      </c>
    </row>
    <row r="22" spans="2:17" s="75" customFormat="1" ht="43.9" customHeight="1" thickBot="1" x14ac:dyDescent="0.25">
      <c r="B22" s="134" t="s">
        <v>99</v>
      </c>
      <c r="C22" s="287" t="s">
        <v>100</v>
      </c>
      <c r="D22" s="285"/>
      <c r="E22" s="285"/>
      <c r="F22" s="285"/>
      <c r="G22" s="285"/>
      <c r="H22" s="285"/>
      <c r="I22" s="285"/>
      <c r="J22" s="285"/>
      <c r="K22" s="285"/>
      <c r="L22" s="285"/>
      <c r="M22" s="286"/>
      <c r="N22" s="135" t="s">
        <v>101</v>
      </c>
      <c r="O22" s="136"/>
      <c r="P22" s="136"/>
      <c r="Q22" s="136"/>
    </row>
    <row r="23" spans="2:17" s="75" customFormat="1" ht="16.5" thickBot="1" x14ac:dyDescent="0.25">
      <c r="B23" s="134"/>
      <c r="C23" s="287"/>
      <c r="D23" s="285"/>
      <c r="E23" s="285"/>
      <c r="F23" s="285"/>
      <c r="G23" s="285"/>
      <c r="H23" s="285"/>
      <c r="I23" s="285"/>
      <c r="J23" s="285"/>
      <c r="K23" s="285"/>
      <c r="L23" s="285"/>
      <c r="M23" s="286"/>
      <c r="N23" s="135"/>
    </row>
    <row r="24" spans="2:17" s="75" customFormat="1" ht="14.25" x14ac:dyDescent="0.2"/>
    <row r="25" spans="2:17" s="75" customFormat="1" ht="14.25" x14ac:dyDescent="0.2">
      <c r="B25" s="75" t="s">
        <v>102</v>
      </c>
    </row>
    <row r="26" spans="2:17" s="75" customFormat="1" ht="262.5" customHeight="1" x14ac:dyDescent="0.2">
      <c r="B26" s="53" t="s">
        <v>103</v>
      </c>
      <c r="C26" s="281" t="s">
        <v>104</v>
      </c>
      <c r="D26" s="281"/>
      <c r="E26" s="281"/>
      <c r="F26" s="281"/>
      <c r="G26" s="281"/>
      <c r="H26" s="281"/>
      <c r="I26" s="281"/>
      <c r="J26" s="281"/>
    </row>
    <row r="29" spans="2:17" x14ac:dyDescent="0.25">
      <c r="B29" s="29" t="s">
        <v>165</v>
      </c>
    </row>
    <row r="30" spans="2:17" ht="48" customHeight="1" x14ac:dyDescent="0.25">
      <c r="C30" s="257" t="s">
        <v>166</v>
      </c>
      <c r="D30" s="257"/>
      <c r="E30" s="257"/>
      <c r="F30" s="257"/>
      <c r="G30" s="257"/>
      <c r="H30" s="257"/>
      <c r="I30" s="257"/>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C7" sqref="C7"/>
    </sheetView>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53" customFormat="1" ht="14.25" x14ac:dyDescent="0.25">
      <c r="A1" s="90" t="s">
        <v>161</v>
      </c>
      <c r="C1" s="62"/>
    </row>
    <row r="2" spans="1:8" s="53" customFormat="1" thickBot="1" x14ac:dyDescent="0.3">
      <c r="C2" s="62"/>
    </row>
    <row r="3" spans="1:8" s="53" customFormat="1" thickBot="1" x14ac:dyDescent="0.3">
      <c r="A3" s="288" t="s">
        <v>24</v>
      </c>
      <c r="B3" s="289"/>
      <c r="C3" s="289"/>
      <c r="E3" s="290" t="s">
        <v>26</v>
      </c>
      <c r="F3" s="291"/>
      <c r="G3" s="291"/>
    </row>
    <row r="4" spans="1:8" s="53" customFormat="1" ht="14.25" x14ac:dyDescent="0.25">
      <c r="A4" s="137" t="s">
        <v>40</v>
      </c>
      <c r="B4" s="138" t="s">
        <v>15</v>
      </c>
      <c r="C4" s="139" t="s">
        <v>25</v>
      </c>
      <c r="E4" s="140" t="s">
        <v>40</v>
      </c>
      <c r="F4" s="141" t="s">
        <v>27</v>
      </c>
      <c r="G4" s="142" t="s">
        <v>25</v>
      </c>
    </row>
    <row r="5" spans="1:8" s="53" customFormat="1" ht="57" x14ac:dyDescent="0.25">
      <c r="A5" s="143" t="s">
        <v>47</v>
      </c>
      <c r="B5" s="144" t="s">
        <v>28</v>
      </c>
      <c r="C5" s="145" t="s">
        <v>57</v>
      </c>
      <c r="E5" s="143" t="s">
        <v>59</v>
      </c>
      <c r="F5" s="146" t="s">
        <v>34</v>
      </c>
      <c r="G5" s="147" t="s">
        <v>57</v>
      </c>
    </row>
    <row r="6" spans="1:8" s="53" customFormat="1" ht="28.5" x14ac:dyDescent="0.25">
      <c r="A6" s="42" t="s">
        <v>50</v>
      </c>
      <c r="B6" s="144" t="s">
        <v>29</v>
      </c>
      <c r="C6" s="145" t="s">
        <v>57</v>
      </c>
      <c r="E6" s="42" t="s">
        <v>60</v>
      </c>
      <c r="F6" s="146" t="s">
        <v>35</v>
      </c>
      <c r="G6" s="148" t="s">
        <v>57</v>
      </c>
    </row>
    <row r="7" spans="1:8" s="53" customFormat="1" ht="42.75" x14ac:dyDescent="0.25">
      <c r="A7" s="42" t="s">
        <v>51</v>
      </c>
      <c r="B7" s="144" t="s">
        <v>30</v>
      </c>
      <c r="C7" s="145" t="s">
        <v>57</v>
      </c>
      <c r="E7" s="42" t="s">
        <v>61</v>
      </c>
      <c r="F7" s="146" t="s">
        <v>36</v>
      </c>
      <c r="G7" s="148" t="s">
        <v>57</v>
      </c>
    </row>
    <row r="8" spans="1:8" s="53" customFormat="1" ht="28.5" x14ac:dyDescent="0.25">
      <c r="A8" s="149" t="s">
        <v>52</v>
      </c>
      <c r="B8" s="150" t="s">
        <v>31</v>
      </c>
      <c r="C8" s="145" t="s">
        <v>58</v>
      </c>
      <c r="E8" s="42" t="s">
        <v>62</v>
      </c>
      <c r="F8" s="146" t="s">
        <v>37</v>
      </c>
      <c r="G8" s="148" t="s">
        <v>57</v>
      </c>
    </row>
    <row r="9" spans="1:8" s="53" customFormat="1" ht="42.75" x14ac:dyDescent="0.25">
      <c r="A9" s="149" t="s">
        <v>53</v>
      </c>
      <c r="B9" s="150" t="s">
        <v>32</v>
      </c>
      <c r="C9" s="145" t="s">
        <v>58</v>
      </c>
      <c r="E9" s="42" t="s">
        <v>63</v>
      </c>
      <c r="F9" s="146" t="s">
        <v>38</v>
      </c>
      <c r="G9" s="148" t="s">
        <v>57</v>
      </c>
    </row>
    <row r="10" spans="1:8" s="53" customFormat="1" ht="57" x14ac:dyDescent="0.25">
      <c r="A10" s="151" t="s">
        <v>54</v>
      </c>
      <c r="B10" s="152" t="s">
        <v>33</v>
      </c>
      <c r="C10" s="153" t="s">
        <v>58</v>
      </c>
      <c r="E10" s="154" t="s">
        <v>64</v>
      </c>
      <c r="F10" s="155" t="s">
        <v>39</v>
      </c>
      <c r="G10" s="156" t="s">
        <v>58</v>
      </c>
    </row>
    <row r="11" spans="1:8" s="53" customFormat="1" ht="14.25" x14ac:dyDescent="0.25">
      <c r="C11" s="62"/>
    </row>
    <row r="12" spans="1:8" s="53" customFormat="1" ht="14.25" x14ac:dyDescent="0.25">
      <c r="C12" s="62"/>
    </row>
    <row r="13" spans="1:8" s="53" customFormat="1" ht="14.25" x14ac:dyDescent="0.25">
      <c r="C13" s="62"/>
    </row>
    <row r="14" spans="1:8" s="53" customFormat="1" ht="14.25" x14ac:dyDescent="0.15">
      <c r="A14" s="29" t="s">
        <v>165</v>
      </c>
      <c r="C14" s="62"/>
    </row>
    <row r="15" spans="1:8" s="53" customFormat="1" ht="32.25" customHeight="1" x14ac:dyDescent="0.15">
      <c r="B15" s="257" t="s">
        <v>166</v>
      </c>
      <c r="C15" s="257"/>
      <c r="D15" s="257"/>
      <c r="E15" s="257"/>
      <c r="F15" s="257"/>
      <c r="G15" s="257"/>
      <c r="H15" s="257"/>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x14ac:dyDescent="0.25">
      <c r="A1" s="292" t="s">
        <v>19</v>
      </c>
      <c r="B1" s="292"/>
      <c r="C1" s="292"/>
      <c r="D1" s="292"/>
      <c r="E1" s="292"/>
      <c r="F1" s="292"/>
      <c r="G1" s="292"/>
      <c r="H1" s="292"/>
    </row>
    <row r="2" spans="1:8" ht="60" x14ac:dyDescent="0.25">
      <c r="A2" s="12" t="s">
        <v>20</v>
      </c>
      <c r="B2" s="12" t="s">
        <v>23</v>
      </c>
      <c r="C2" s="12" t="s">
        <v>21</v>
      </c>
      <c r="D2" s="13" t="s">
        <v>15</v>
      </c>
      <c r="E2" s="21" t="s">
        <v>41</v>
      </c>
      <c r="F2" s="14" t="s">
        <v>42</v>
      </c>
      <c r="G2" s="14" t="s">
        <v>43</v>
      </c>
      <c r="H2" s="14" t="s">
        <v>22</v>
      </c>
    </row>
    <row r="3" spans="1:8" s="19" customFormat="1" ht="48" x14ac:dyDescent="0.25">
      <c r="A3" s="15" t="s">
        <v>44</v>
      </c>
      <c r="B3" s="16" t="s">
        <v>45</v>
      </c>
      <c r="C3" s="16" t="s">
        <v>46</v>
      </c>
      <c r="D3" s="17" t="s">
        <v>47</v>
      </c>
      <c r="E3" s="22" t="s">
        <v>48</v>
      </c>
      <c r="F3" s="18" t="s">
        <v>49</v>
      </c>
      <c r="G3" s="18" t="s">
        <v>49</v>
      </c>
      <c r="H3" s="20" t="s">
        <v>49</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formula1>"Very High, High, Moderate, Low, Very Low"</formula1>
    </dataValidation>
    <dataValidation type="list" allowBlank="1" showInputMessage="1" showErrorMessage="1" sqref="E3">
      <formula1>"Confirmed, Expected, Anticipated, Predicted, Possible, N/A"</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H13" sqref="H13"/>
    </sheetView>
  </sheetViews>
  <sheetFormatPr defaultColWidth="9.140625" defaultRowHeight="15" x14ac:dyDescent="0.25"/>
  <cols>
    <col min="1" max="1" width="27.710937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293"/>
      <c r="B4" s="9"/>
    </row>
    <row r="5" spans="1:2" x14ac:dyDescent="0.25">
      <c r="A5" s="294"/>
      <c r="B5" s="10"/>
    </row>
    <row r="6" spans="1:2" x14ac:dyDescent="0.25">
      <c r="A6" s="294"/>
      <c r="B6" s="10"/>
    </row>
    <row r="7" spans="1:2" ht="15.75" thickBot="1" x14ac:dyDescent="0.3">
      <c r="A7" s="295"/>
      <c r="B7" s="11"/>
    </row>
    <row r="8" spans="1:2" ht="19.5" thickBot="1" x14ac:dyDescent="0.3">
      <c r="A8" s="3"/>
      <c r="B8" s="4"/>
    </row>
    <row r="9" spans="1:2" x14ac:dyDescent="0.25">
      <c r="A9" s="293"/>
      <c r="B9" s="9"/>
    </row>
    <row r="10" spans="1:2" x14ac:dyDescent="0.25">
      <c r="A10" s="294"/>
      <c r="B10" s="10"/>
    </row>
    <row r="11" spans="1:2" x14ac:dyDescent="0.25">
      <c r="A11" s="294"/>
      <c r="B11" s="10"/>
    </row>
    <row r="12" spans="1:2" x14ac:dyDescent="0.25">
      <c r="A12" s="294"/>
      <c r="B12" s="10"/>
    </row>
    <row r="13" spans="1:2" ht="15.75" thickBot="1" x14ac:dyDescent="0.3">
      <c r="A13" s="295"/>
      <c r="B13" s="11"/>
    </row>
  </sheetData>
  <mergeCells count="2">
    <mergeCell ref="A4:A7"/>
    <mergeCell ref="A9:A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663BCAEFF285478CCB19485035D25B" ma:contentTypeVersion="2" ma:contentTypeDescription="Create a new document." ma:contentTypeScope="" ma:versionID="40a457a9a8ae7e4d30f2856779b60ee9">
  <xsd:schema xmlns:xsd="http://www.w3.org/2001/XMLSchema" xmlns:xs="http://www.w3.org/2001/XMLSchema" xmlns:p="http://schemas.microsoft.com/office/2006/metadata/properties" xmlns:ns2="f2d8b341-c2fb-4100-be3a-cc1ff4af97bd" targetNamespace="http://schemas.microsoft.com/office/2006/metadata/properties" ma:root="true" ma:fieldsID="720f323119dbbd08dc253d42adc2a2d3" ns2:_="">
    <xsd:import namespace="f2d8b341-c2fb-4100-be3a-cc1ff4af97b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d8b341-c2fb-4100-be3a-cc1ff4af9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AF7F02-150C-44AA-ACFE-3054112CF8E2}">
  <ds:schemaRefs>
    <ds:schemaRef ds:uri="http://www.w3.org/XML/1998/namespace"/>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3.xml><?xml version="1.0" encoding="utf-8"?>
<ds:datastoreItem xmlns:ds="http://schemas.openxmlformats.org/officeDocument/2006/customXml" ds:itemID="{6E7A5100-0A0E-47AB-B112-8934D4A660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d8b341-c2fb-4100-be3a-cc1ff4af9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Campana, Jose</dc:creator>
  <cp:lastModifiedBy>Sai Praneetha Bhaskaruni</cp:lastModifiedBy>
  <cp:lastPrinted>2018-12-18T12:40:04Z</cp:lastPrinted>
  <dcterms:created xsi:type="dcterms:W3CDTF">2017-03-06T20:58:36Z</dcterms:created>
  <dcterms:modified xsi:type="dcterms:W3CDTF">2022-01-31T12:54:52Z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0x010100F9663BCAEFF285478CCB19485035D25B</vt:lpwstr>
  </property>
  <property fmtid="{D5CDD505-2E9C-101B-9397-08002B2CF9AE}" pid="3" name="MSIP_Label_3bb46c77-3b58-4101-b463-cd3b3d516e4a_Enabled">
    <vt:lpwstr>true</vt:lpwstr>
  </property>
  <property fmtid="{D5CDD505-2E9C-101B-9397-08002B2CF9AE}" pid="4" name="MSIP_Label_3bb46c77-3b58-4101-b463-cd3b3d516e4a_SetDate">
    <vt:lpwstr>2022-01-25T06:12:59Z</vt:lpwstr>
  </property>
  <property fmtid="{D5CDD505-2E9C-101B-9397-08002B2CF9AE}" pid="5" name="MSIP_Label_3bb46c77-3b58-4101-b463-cd3b3d516e4a_Method">
    <vt:lpwstr>Privileged</vt:lpwstr>
  </property>
  <property fmtid="{D5CDD505-2E9C-101B-9397-08002B2CF9AE}" pid="6" name="MSIP_Label_3bb46c77-3b58-4101-b463-cd3b3d516e4a_Name">
    <vt:lpwstr>Non-Business</vt:lpwstr>
  </property>
  <property fmtid="{D5CDD505-2E9C-101B-9397-08002B2CF9AE}" pid="7" name="MSIP_Label_3bb46c77-3b58-4101-b463-cd3b3d516e4a_SiteId">
    <vt:lpwstr>311b3378-8e8a-4b5e-a33f-e80a3d8ba60a</vt:lpwstr>
  </property>
  <property fmtid="{D5CDD505-2E9C-101B-9397-08002B2CF9AE}" pid="8" name="MSIP_Label_3bb46c77-3b58-4101-b463-cd3b3d516e4a_ActionId">
    <vt:lpwstr>c08c83d7-706e-48fe-bd30-2faa9e05883c</vt:lpwstr>
  </property>
  <property fmtid="{D5CDD505-2E9C-101B-9397-08002B2CF9AE}" pid="9" name="MSIP_Label_3bb46c77-3b58-4101-b463-cd3b3d516e4a_ContentBits">
    <vt:lpwstr>0</vt:lpwstr>
  </property>
</Properties>
</file>