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Stryker\Smart Medic\Docs to recheck\"/>
    </mc:Choice>
  </mc:AlternateContent>
  <xr:revisionPtr revIDLastSave="0" documentId="13_ncr:1_{E248D0EE-7F44-4426-AA2E-45BABECFEE7C}" xr6:coauthVersionLast="47" xr6:coauthVersionMax="47" xr10:uidLastSave="{00000000-0000-0000-0000-000000000000}"/>
  <bookViews>
    <workbookView xWindow="-110" yWindow="-110" windowWidth="19420" windowHeight="10420" tabRatio="500" firstSheet="2" activeTab="4"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CVSSv3.0'!$B$7:$B$10</definedName>
    <definedName name="CIA" localSheetId="6">'Reference - CVSSv3.0'!$B$16:$B$18</definedName>
    <definedName name="Comp" localSheetId="6">'Reference - CVSSv3.0'!$E$7:$E$8</definedName>
    <definedName name="_xlnm.Print_Titles" localSheetId="4">'Security Risk Assess'!$3:$4</definedName>
    <definedName name="_xlnm.Print_Titles" localSheetId="5">Summary!$8:$8</definedName>
    <definedName name="Priv" localSheetId="6">'Reference - CVSSv3.0'!$H$7:$H$9</definedName>
    <definedName name="Scope" localSheetId="6">'Reference - CVSSv3.0'!$B$22:$B$23</definedName>
    <definedName name="Ux" localSheetId="6">'Reference - CVSSv3.0'!$L$7:$L$8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91" i="4" l="1"/>
  <c r="G37" i="4"/>
  <c r="M80" i="5"/>
  <c r="K80" i="5"/>
  <c r="I80" i="5"/>
  <c r="H80" i="5"/>
  <c r="F80" i="5"/>
  <c r="D80" i="5"/>
  <c r="B80" i="5"/>
  <c r="A80" i="5"/>
  <c r="M79" i="5"/>
  <c r="K79" i="5"/>
  <c r="I79" i="5"/>
  <c r="H79" i="5"/>
  <c r="F79" i="5"/>
  <c r="D79" i="5"/>
  <c r="B79" i="5"/>
  <c r="A79" i="5"/>
  <c r="M78" i="5"/>
  <c r="K78" i="5"/>
  <c r="I78" i="5"/>
  <c r="H78" i="5"/>
  <c r="F78" i="5"/>
  <c r="D78" i="5"/>
  <c r="B78" i="5"/>
  <c r="A78" i="5"/>
  <c r="M77" i="5"/>
  <c r="K77" i="5"/>
  <c r="I77" i="5"/>
  <c r="H77" i="5"/>
  <c r="F77" i="5"/>
  <c r="D77" i="5"/>
  <c r="B77" i="5"/>
  <c r="A77" i="5"/>
  <c r="M76" i="5"/>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S99" i="4"/>
  <c r="T99" i="4" s="1"/>
  <c r="R99" i="4"/>
  <c r="G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AL76" i="4"/>
  <c r="AK76" i="4"/>
  <c r="W76" i="4"/>
  <c r="S76" i="4"/>
  <c r="T76" i="4" s="1"/>
  <c r="R76" i="4"/>
  <c r="G76" i="4"/>
  <c r="E76" i="4"/>
  <c r="E80" i="5" s="1"/>
  <c r="C76" i="4"/>
  <c r="C80" i="5" s="1"/>
  <c r="AM75" i="4"/>
  <c r="AO75" i="4" s="1"/>
  <c r="AP75" i="4" s="1"/>
  <c r="L79" i="5" s="1"/>
  <c r="AL75" i="4"/>
  <c r="AK75" i="4"/>
  <c r="W75" i="4"/>
  <c r="S75" i="4"/>
  <c r="T75" i="4" s="1"/>
  <c r="R75" i="4"/>
  <c r="G75" i="4"/>
  <c r="G79" i="5" s="1"/>
  <c r="E75" i="4"/>
  <c r="E79" i="5" s="1"/>
  <c r="C75" i="4"/>
  <c r="C79" i="5" s="1"/>
  <c r="AM74" i="4"/>
  <c r="AO74" i="4" s="1"/>
  <c r="AP74" i="4" s="1"/>
  <c r="L78" i="5" s="1"/>
  <c r="AL74" i="4"/>
  <c r="AK74" i="4"/>
  <c r="W74" i="4"/>
  <c r="S74" i="4"/>
  <c r="T74" i="4" s="1"/>
  <c r="R74" i="4"/>
  <c r="G74" i="4"/>
  <c r="G78" i="5" s="1"/>
  <c r="E74" i="4"/>
  <c r="E78" i="5" s="1"/>
  <c r="C74" i="4"/>
  <c r="C78" i="5" s="1"/>
  <c r="AM73" i="4"/>
  <c r="AO73" i="4" s="1"/>
  <c r="AP73" i="4" s="1"/>
  <c r="L77" i="5" s="1"/>
  <c r="AL73" i="4"/>
  <c r="AK73" i="4"/>
  <c r="W73" i="4"/>
  <c r="S73" i="4"/>
  <c r="T73" i="4" s="1"/>
  <c r="R73" i="4"/>
  <c r="G73" i="4"/>
  <c r="G77" i="5" s="1"/>
  <c r="E73" i="4"/>
  <c r="E77" i="5" s="1"/>
  <c r="C73" i="4"/>
  <c r="C77" i="5" s="1"/>
  <c r="AM72" i="4"/>
  <c r="AO72" i="4" s="1"/>
  <c r="AP72" i="4" s="1"/>
  <c r="L76" i="5" s="1"/>
  <c r="AL72" i="4"/>
  <c r="AK72" i="4"/>
  <c r="W72" i="4"/>
  <c r="S72" i="4"/>
  <c r="T72" i="4" s="1"/>
  <c r="R72" i="4"/>
  <c r="G72" i="4"/>
  <c r="G76" i="5" s="1"/>
  <c r="E72" i="4"/>
  <c r="C72" i="4"/>
  <c r="AM71" i="4"/>
  <c r="AO71" i="4" s="1"/>
  <c r="AP71" i="4" s="1"/>
  <c r="AL71" i="4"/>
  <c r="AK71" i="4"/>
  <c r="W71" i="4"/>
  <c r="S71" i="4"/>
  <c r="T71" i="4" s="1"/>
  <c r="R71" i="4"/>
  <c r="G71" i="4"/>
  <c r="E71" i="4"/>
  <c r="E75" i="5" s="1"/>
  <c r="C71" i="4"/>
  <c r="AM70" i="4"/>
  <c r="AO70" i="4" s="1"/>
  <c r="AP70" i="4" s="1"/>
  <c r="AL70" i="4"/>
  <c r="AK70" i="4"/>
  <c r="W70" i="4"/>
  <c r="S70" i="4"/>
  <c r="T70" i="4" s="1"/>
  <c r="R70" i="4"/>
  <c r="G70" i="4"/>
  <c r="E70" i="4"/>
  <c r="C70" i="4"/>
  <c r="AM69" i="4"/>
  <c r="AO69" i="4" s="1"/>
  <c r="AP69" i="4" s="1"/>
  <c r="L73" i="5" s="1"/>
  <c r="AL69" i="4"/>
  <c r="AK69" i="4"/>
  <c r="W69" i="4"/>
  <c r="S69" i="4"/>
  <c r="T69" i="4" s="1"/>
  <c r="R69" i="4"/>
  <c r="G69" i="4"/>
  <c r="E69" i="4"/>
  <c r="C69" i="4"/>
  <c r="AM68" i="4"/>
  <c r="AO68" i="4" s="1"/>
  <c r="AP68" i="4" s="1"/>
  <c r="L72" i="5" s="1"/>
  <c r="AL68" i="4"/>
  <c r="AK68" i="4"/>
  <c r="W68" i="4"/>
  <c r="S68" i="4"/>
  <c r="T68" i="4" s="1"/>
  <c r="R68" i="4"/>
  <c r="G68" i="4"/>
  <c r="E68" i="4"/>
  <c r="E72" i="5" s="1"/>
  <c r="C68" i="4"/>
  <c r="C72" i="5" s="1"/>
  <c r="AM67" i="4"/>
  <c r="AO67" i="4" s="1"/>
  <c r="AP67" i="4" s="1"/>
  <c r="AL67" i="4"/>
  <c r="AK67" i="4"/>
  <c r="W67" i="4"/>
  <c r="S67" i="4"/>
  <c r="T67" i="4" s="1"/>
  <c r="R67" i="4"/>
  <c r="G67" i="4"/>
  <c r="G71" i="5" s="1"/>
  <c r="E67" i="4"/>
  <c r="E71" i="5" s="1"/>
  <c r="C67" i="4"/>
  <c r="C71" i="5" s="1"/>
  <c r="AM66" i="4"/>
  <c r="AO66" i="4" s="1"/>
  <c r="AP66" i="4" s="1"/>
  <c r="L70" i="5" s="1"/>
  <c r="AL66" i="4"/>
  <c r="AK66" i="4"/>
  <c r="W66" i="4"/>
  <c r="S66" i="4"/>
  <c r="T66" i="4" s="1"/>
  <c r="R66" i="4"/>
  <c r="G66" i="4"/>
  <c r="G70" i="5" s="1"/>
  <c r="E66" i="4"/>
  <c r="E70" i="5" s="1"/>
  <c r="C66" i="4"/>
  <c r="C70" i="5" s="1"/>
  <c r="AM65" i="4"/>
  <c r="AO65" i="4" s="1"/>
  <c r="AP65" i="4" s="1"/>
  <c r="L69" i="5" s="1"/>
  <c r="AL65" i="4"/>
  <c r="AK65" i="4"/>
  <c r="W65" i="4"/>
  <c r="S65" i="4"/>
  <c r="T65" i="4" s="1"/>
  <c r="R65" i="4"/>
  <c r="G65" i="4"/>
  <c r="G69" i="5" s="1"/>
  <c r="E65" i="4"/>
  <c r="E69" i="5" s="1"/>
  <c r="C65" i="4"/>
  <c r="C69" i="5" s="1"/>
  <c r="AM64" i="4"/>
  <c r="AO64" i="4" s="1"/>
  <c r="AP64" i="4" s="1"/>
  <c r="L68" i="5" s="1"/>
  <c r="AL64" i="4"/>
  <c r="AK64" i="4"/>
  <c r="W64" i="4"/>
  <c r="S64" i="4"/>
  <c r="T64" i="4" s="1"/>
  <c r="R64" i="4"/>
  <c r="G64" i="4"/>
  <c r="G68" i="5" s="1"/>
  <c r="E64" i="4"/>
  <c r="C64" i="4"/>
  <c r="C68" i="5" s="1"/>
  <c r="AM63" i="4"/>
  <c r="AO63" i="4" s="1"/>
  <c r="AP63" i="4" s="1"/>
  <c r="L67" i="5" s="1"/>
  <c r="AL63" i="4"/>
  <c r="AK63" i="4"/>
  <c r="W63" i="4"/>
  <c r="S63" i="4"/>
  <c r="T63" i="4" s="1"/>
  <c r="R63" i="4"/>
  <c r="G63" i="4"/>
  <c r="E63" i="4"/>
  <c r="E67" i="5" s="1"/>
  <c r="C63" i="4"/>
  <c r="AM62" i="4"/>
  <c r="AO62" i="4" s="1"/>
  <c r="AP62" i="4" s="1"/>
  <c r="L66" i="5" s="1"/>
  <c r="AL62" i="4"/>
  <c r="AK62" i="4"/>
  <c r="W62" i="4"/>
  <c r="S62" i="4"/>
  <c r="T62" i="4" s="1"/>
  <c r="R62" i="4"/>
  <c r="G62" i="4"/>
  <c r="E62" i="4"/>
  <c r="C62" i="4"/>
  <c r="AM61" i="4"/>
  <c r="AO61" i="4" s="1"/>
  <c r="AP61" i="4" s="1"/>
  <c r="L65" i="5" s="1"/>
  <c r="AL61" i="4"/>
  <c r="AK61" i="4"/>
  <c r="W61" i="4"/>
  <c r="S61" i="4"/>
  <c r="T61" i="4" s="1"/>
  <c r="R61" i="4"/>
  <c r="G61" i="4"/>
  <c r="E61" i="4"/>
  <c r="C61" i="4"/>
  <c r="AM60" i="4"/>
  <c r="AO60" i="4" s="1"/>
  <c r="AP60" i="4" s="1"/>
  <c r="L64" i="5" s="1"/>
  <c r="AL60" i="4"/>
  <c r="AK60" i="4"/>
  <c r="W60" i="4"/>
  <c r="S60" i="4"/>
  <c r="T60" i="4" s="1"/>
  <c r="R60" i="4"/>
  <c r="G60" i="4"/>
  <c r="E60" i="4"/>
  <c r="E64" i="5" s="1"/>
  <c r="C60" i="4"/>
  <c r="C64" i="5" s="1"/>
  <c r="AM59" i="4"/>
  <c r="AO59" i="4" s="1"/>
  <c r="AP59" i="4" s="1"/>
  <c r="AL59" i="4"/>
  <c r="AK59" i="4"/>
  <c r="W59" i="4"/>
  <c r="S59" i="4"/>
  <c r="T59" i="4" s="1"/>
  <c r="R59" i="4"/>
  <c r="G59" i="4"/>
  <c r="G63" i="5" s="1"/>
  <c r="E59" i="4"/>
  <c r="E63" i="5" s="1"/>
  <c r="C59" i="4"/>
  <c r="C63" i="5" s="1"/>
  <c r="AM58" i="4"/>
  <c r="AO58" i="4" s="1"/>
  <c r="AP58" i="4" s="1"/>
  <c r="AL58" i="4"/>
  <c r="AK58" i="4"/>
  <c r="W58" i="4"/>
  <c r="S58" i="4"/>
  <c r="T58" i="4" s="1"/>
  <c r="R58" i="4"/>
  <c r="G58" i="4"/>
  <c r="G62" i="5" s="1"/>
  <c r="E58" i="4"/>
  <c r="E62" i="5" s="1"/>
  <c r="C58" i="4"/>
  <c r="C62" i="5" s="1"/>
  <c r="AM57" i="4"/>
  <c r="AO57" i="4" s="1"/>
  <c r="AP57" i="4" s="1"/>
  <c r="L61" i="5" s="1"/>
  <c r="AL57" i="4"/>
  <c r="AK57" i="4"/>
  <c r="W57" i="4"/>
  <c r="S57" i="4"/>
  <c r="T57" i="4" s="1"/>
  <c r="R57" i="4"/>
  <c r="G57" i="4"/>
  <c r="G61" i="5" s="1"/>
  <c r="E57" i="4"/>
  <c r="E61" i="5" s="1"/>
  <c r="C57" i="4"/>
  <c r="C61" i="5" s="1"/>
  <c r="AM56" i="4"/>
  <c r="AO56" i="4" s="1"/>
  <c r="AP56" i="4" s="1"/>
  <c r="L60" i="5" s="1"/>
  <c r="AL56" i="4"/>
  <c r="AK56" i="4"/>
  <c r="W56" i="4"/>
  <c r="S56" i="4"/>
  <c r="T56" i="4" s="1"/>
  <c r="R56" i="4"/>
  <c r="G56" i="4"/>
  <c r="G60" i="5" s="1"/>
  <c r="E56" i="4"/>
  <c r="C56" i="4"/>
  <c r="AM55" i="4"/>
  <c r="AO55" i="4" s="1"/>
  <c r="AP55" i="4" s="1"/>
  <c r="L59" i="5" s="1"/>
  <c r="AL55" i="4"/>
  <c r="AK55" i="4"/>
  <c r="W55" i="4"/>
  <c r="S55" i="4"/>
  <c r="T55" i="4" s="1"/>
  <c r="R55" i="4"/>
  <c r="G55" i="4"/>
  <c r="E55" i="4"/>
  <c r="E59" i="5" s="1"/>
  <c r="C55" i="4"/>
  <c r="AM54" i="4"/>
  <c r="AO54" i="4" s="1"/>
  <c r="AP54" i="4" s="1"/>
  <c r="L58" i="5" s="1"/>
  <c r="AL54" i="4"/>
  <c r="AK54" i="4"/>
  <c r="W54" i="4"/>
  <c r="S54" i="4"/>
  <c r="T54" i="4" s="1"/>
  <c r="R54" i="4"/>
  <c r="G54" i="4"/>
  <c r="E54" i="4"/>
  <c r="C54" i="4"/>
  <c r="AM53" i="4"/>
  <c r="AO53" i="4" s="1"/>
  <c r="AP53" i="4" s="1"/>
  <c r="L57" i="5" s="1"/>
  <c r="AL53" i="4"/>
  <c r="AK53" i="4"/>
  <c r="W53" i="4"/>
  <c r="S53" i="4"/>
  <c r="T53" i="4" s="1"/>
  <c r="R53" i="4"/>
  <c r="G53" i="4"/>
  <c r="E53" i="4"/>
  <c r="C53" i="4"/>
  <c r="AM52" i="4"/>
  <c r="AO52" i="4" s="1"/>
  <c r="AP52" i="4" s="1"/>
  <c r="L56" i="5" s="1"/>
  <c r="AL52" i="4"/>
  <c r="AK52" i="4"/>
  <c r="W52" i="4"/>
  <c r="S52" i="4"/>
  <c r="T52" i="4" s="1"/>
  <c r="R52" i="4"/>
  <c r="G52" i="4"/>
  <c r="E52" i="4"/>
  <c r="E56" i="5" s="1"/>
  <c r="C52" i="4"/>
  <c r="C56" i="5" s="1"/>
  <c r="AM51" i="4"/>
  <c r="AO51" i="4" s="1"/>
  <c r="AP51" i="4" s="1"/>
  <c r="AL51" i="4"/>
  <c r="AK51" i="4"/>
  <c r="W51" i="4"/>
  <c r="S51" i="4"/>
  <c r="T51" i="4" s="1"/>
  <c r="R51" i="4"/>
  <c r="G51" i="4"/>
  <c r="G55" i="5" s="1"/>
  <c r="E51" i="4"/>
  <c r="C51" i="4"/>
  <c r="C55" i="5" s="1"/>
  <c r="AM50" i="4"/>
  <c r="AO50" i="4" s="1"/>
  <c r="AP50" i="4" s="1"/>
  <c r="AL50" i="4"/>
  <c r="AK50" i="4"/>
  <c r="W50" i="4"/>
  <c r="S50" i="4"/>
  <c r="T50" i="4" s="1"/>
  <c r="R50" i="4"/>
  <c r="G50" i="4"/>
  <c r="G54" i="5" s="1"/>
  <c r="E50" i="4"/>
  <c r="E54" i="5" s="1"/>
  <c r="C50" i="4"/>
  <c r="C54" i="5" s="1"/>
  <c r="AM49" i="4"/>
  <c r="AO49" i="4" s="1"/>
  <c r="AP49" i="4" s="1"/>
  <c r="L53" i="5" s="1"/>
  <c r="AL49" i="4"/>
  <c r="AK49" i="4"/>
  <c r="W49" i="4"/>
  <c r="S49" i="4"/>
  <c r="T49" i="4" s="1"/>
  <c r="R49" i="4"/>
  <c r="G49" i="4"/>
  <c r="G53" i="5" s="1"/>
  <c r="E49" i="4"/>
  <c r="E53" i="5" s="1"/>
  <c r="C49" i="4"/>
  <c r="C53" i="5" s="1"/>
  <c r="AM48" i="4"/>
  <c r="AO48" i="4" s="1"/>
  <c r="AP48" i="4" s="1"/>
  <c r="AL48" i="4"/>
  <c r="AK48" i="4"/>
  <c r="W48" i="4"/>
  <c r="S48" i="4"/>
  <c r="T48" i="4" s="1"/>
  <c r="R48" i="4"/>
  <c r="G48" i="4"/>
  <c r="G52" i="5" s="1"/>
  <c r="E48" i="4"/>
  <c r="C48" i="4"/>
  <c r="AM47" i="4"/>
  <c r="AO47" i="4" s="1"/>
  <c r="AP47" i="4" s="1"/>
  <c r="L51" i="5" s="1"/>
  <c r="AL47" i="4"/>
  <c r="AK47" i="4"/>
  <c r="W47" i="4"/>
  <c r="S47" i="4"/>
  <c r="T47" i="4" s="1"/>
  <c r="R47" i="4"/>
  <c r="G47" i="4"/>
  <c r="E47" i="4"/>
  <c r="E51" i="5" s="1"/>
  <c r="C47" i="4"/>
  <c r="AM46" i="4"/>
  <c r="AO46" i="4" s="1"/>
  <c r="AP46" i="4" s="1"/>
  <c r="L50" i="5" s="1"/>
  <c r="AL46" i="4"/>
  <c r="AK46" i="4"/>
  <c r="W46" i="4"/>
  <c r="S46" i="4"/>
  <c r="T46" i="4" s="1"/>
  <c r="R46" i="4"/>
  <c r="G46" i="4"/>
  <c r="E46" i="4"/>
  <c r="C46" i="4"/>
  <c r="AM45" i="4"/>
  <c r="AO45" i="4" s="1"/>
  <c r="AP45" i="4" s="1"/>
  <c r="L49" i="5" s="1"/>
  <c r="AL45" i="4"/>
  <c r="AK45" i="4"/>
  <c r="W45" i="4"/>
  <c r="S45" i="4"/>
  <c r="T45" i="4" s="1"/>
  <c r="R45" i="4"/>
  <c r="G45" i="4"/>
  <c r="E45" i="4"/>
  <c r="C45" i="4"/>
  <c r="AL44" i="4"/>
  <c r="AM44" i="4" s="1"/>
  <c r="AK44" i="4"/>
  <c r="W44" i="4"/>
  <c r="S44" i="4"/>
  <c r="T44" i="4" s="1"/>
  <c r="R44" i="4"/>
  <c r="G44" i="4"/>
  <c r="E44" i="4"/>
  <c r="C44" i="4"/>
  <c r="C48" i="5" s="1"/>
  <c r="AM43" i="4"/>
  <c r="AO43" i="4" s="1"/>
  <c r="AP43" i="4" s="1"/>
  <c r="AL43" i="4"/>
  <c r="AK43" i="4"/>
  <c r="W43" i="4"/>
  <c r="S43" i="4"/>
  <c r="T43" i="4" s="1"/>
  <c r="R43" i="4"/>
  <c r="G43" i="4"/>
  <c r="G47" i="5" s="1"/>
  <c r="E43" i="4"/>
  <c r="E47" i="5" s="1"/>
  <c r="C43" i="4"/>
  <c r="AM42" i="4"/>
  <c r="AO42" i="4" s="1"/>
  <c r="AP42" i="4" s="1"/>
  <c r="AL42" i="4"/>
  <c r="AK42" i="4"/>
  <c r="W42" i="4"/>
  <c r="S42" i="4"/>
  <c r="T42" i="4" s="1"/>
  <c r="R42" i="4"/>
  <c r="G42" i="4"/>
  <c r="G46" i="5" s="1"/>
  <c r="E42" i="4"/>
  <c r="E46" i="5" s="1"/>
  <c r="C42" i="4"/>
  <c r="C46" i="5" s="1"/>
  <c r="AM41" i="4"/>
  <c r="AO41" i="4" s="1"/>
  <c r="AP41" i="4" s="1"/>
  <c r="L45" i="5" s="1"/>
  <c r="AL41" i="4"/>
  <c r="AK41" i="4"/>
  <c r="W41" i="4"/>
  <c r="S41" i="4"/>
  <c r="T41" i="4" s="1"/>
  <c r="R41" i="4"/>
  <c r="G41" i="4"/>
  <c r="G45" i="5" s="1"/>
  <c r="E41" i="4"/>
  <c r="E45" i="5" s="1"/>
  <c r="C41" i="4"/>
  <c r="C45" i="5" s="1"/>
  <c r="AM40" i="4"/>
  <c r="AO40" i="4" s="1"/>
  <c r="AP40" i="4" s="1"/>
  <c r="AL40" i="4"/>
  <c r="AK40" i="4"/>
  <c r="W40" i="4"/>
  <c r="S40" i="4"/>
  <c r="T40" i="4" s="1"/>
  <c r="R40" i="4"/>
  <c r="G40" i="4"/>
  <c r="G44" i="5" s="1"/>
  <c r="E40" i="4"/>
  <c r="E44" i="5" s="1"/>
  <c r="C40" i="4"/>
  <c r="C44" i="5" s="1"/>
  <c r="AL39" i="4"/>
  <c r="AM39" i="4" s="1"/>
  <c r="AK39" i="4"/>
  <c r="W39" i="4"/>
  <c r="S39" i="4"/>
  <c r="T39" i="4" s="1"/>
  <c r="R39" i="4"/>
  <c r="G39" i="4"/>
  <c r="G43" i="5" s="1"/>
  <c r="E39" i="4"/>
  <c r="E43" i="5" s="1"/>
  <c r="C39" i="4"/>
  <c r="C43" i="5" s="1"/>
  <c r="AM38" i="4"/>
  <c r="AO38" i="4" s="1"/>
  <c r="AP38" i="4" s="1"/>
  <c r="AL38" i="4"/>
  <c r="AK38" i="4"/>
  <c r="W38" i="4"/>
  <c r="S38" i="4"/>
  <c r="T38" i="4" s="1"/>
  <c r="R38" i="4"/>
  <c r="G38" i="4"/>
  <c r="G42" i="5" s="1"/>
  <c r="E38" i="4"/>
  <c r="E42" i="5" s="1"/>
  <c r="C38" i="4"/>
  <c r="AM37" i="4"/>
  <c r="AO37" i="4" s="1"/>
  <c r="AP37" i="4" s="1"/>
  <c r="L41" i="5" s="1"/>
  <c r="AL37" i="4"/>
  <c r="AK37" i="4"/>
  <c r="W37" i="4"/>
  <c r="S37" i="4"/>
  <c r="T37" i="4" s="1"/>
  <c r="R37" i="4"/>
  <c r="E37" i="4"/>
  <c r="E41" i="5" s="1"/>
  <c r="C37" i="4"/>
  <c r="AM36" i="4"/>
  <c r="AO36" i="4" s="1"/>
  <c r="AP36" i="4" s="1"/>
  <c r="L40" i="5" s="1"/>
  <c r="AL36" i="4"/>
  <c r="AK36" i="4"/>
  <c r="W36" i="4"/>
  <c r="S36" i="4"/>
  <c r="T36" i="4" s="1"/>
  <c r="R36" i="4"/>
  <c r="G36" i="4"/>
  <c r="E36" i="4"/>
  <c r="C36" i="4"/>
  <c r="AM35" i="4"/>
  <c r="AO35" i="4" s="1"/>
  <c r="AP35" i="4" s="1"/>
  <c r="AL35" i="4"/>
  <c r="AK35" i="4"/>
  <c r="W35" i="4"/>
  <c r="S35" i="4"/>
  <c r="T35" i="4" s="1"/>
  <c r="R35" i="4"/>
  <c r="G35" i="4"/>
  <c r="E35" i="4"/>
  <c r="C35" i="4"/>
  <c r="AM34" i="4"/>
  <c r="AO34" i="4" s="1"/>
  <c r="AP34" i="4" s="1"/>
  <c r="L38" i="5" s="1"/>
  <c r="AL34" i="4"/>
  <c r="AK34" i="4"/>
  <c r="W34" i="4"/>
  <c r="S34" i="4"/>
  <c r="T34" i="4" s="1"/>
  <c r="R34" i="4"/>
  <c r="G34" i="4"/>
  <c r="E34" i="4"/>
  <c r="C34" i="4"/>
  <c r="C38" i="5" s="1"/>
  <c r="AM33" i="4"/>
  <c r="AO33" i="4" s="1"/>
  <c r="AP33" i="4" s="1"/>
  <c r="L37" i="5" s="1"/>
  <c r="AL33" i="4"/>
  <c r="AK33" i="4"/>
  <c r="W33" i="4"/>
  <c r="S33" i="4"/>
  <c r="T33" i="4" s="1"/>
  <c r="R33" i="4"/>
  <c r="G33" i="4"/>
  <c r="G37" i="5" s="1"/>
  <c r="E33" i="4"/>
  <c r="C33" i="4"/>
  <c r="C37" i="5" s="1"/>
  <c r="AM32" i="4"/>
  <c r="AO32" i="4" s="1"/>
  <c r="AP32" i="4" s="1"/>
  <c r="AL32" i="4"/>
  <c r="AK32" i="4"/>
  <c r="W32" i="4"/>
  <c r="S32" i="4"/>
  <c r="T32" i="4" s="1"/>
  <c r="R32" i="4"/>
  <c r="G32" i="4"/>
  <c r="G36" i="5" s="1"/>
  <c r="E32" i="4"/>
  <c r="C32" i="4"/>
  <c r="C36" i="5" s="1"/>
  <c r="AM31" i="4"/>
  <c r="AO31" i="4" s="1"/>
  <c r="AP31" i="4" s="1"/>
  <c r="AL31" i="4"/>
  <c r="AK31" i="4"/>
  <c r="W31" i="4"/>
  <c r="S31" i="4"/>
  <c r="T31" i="4" s="1"/>
  <c r="R31" i="4"/>
  <c r="G31" i="4"/>
  <c r="G35" i="5" s="1"/>
  <c r="E31" i="4"/>
  <c r="E35" i="5" s="1"/>
  <c r="C31" i="4"/>
  <c r="C35" i="5" s="1"/>
  <c r="AM30" i="4"/>
  <c r="AO30" i="4" s="1"/>
  <c r="AP30" i="4" s="1"/>
  <c r="L34" i="5" s="1"/>
  <c r="AL30" i="4"/>
  <c r="AK30" i="4"/>
  <c r="W30" i="4"/>
  <c r="S30" i="4"/>
  <c r="T30" i="4" s="1"/>
  <c r="R30" i="4"/>
  <c r="G30" i="4"/>
  <c r="G34" i="5" s="1"/>
  <c r="E30" i="4"/>
  <c r="E34" i="5" s="1"/>
  <c r="C30" i="4"/>
  <c r="C34" i="5" s="1"/>
  <c r="AM29" i="4"/>
  <c r="AO29" i="4" s="1"/>
  <c r="AP29" i="4" s="1"/>
  <c r="AL29" i="4"/>
  <c r="AK29" i="4"/>
  <c r="W29" i="4"/>
  <c r="S29" i="4"/>
  <c r="T29" i="4" s="1"/>
  <c r="R29" i="4"/>
  <c r="G29" i="4"/>
  <c r="G33" i="5" s="1"/>
  <c r="E29" i="4"/>
  <c r="E33" i="5" s="1"/>
  <c r="C29" i="4"/>
  <c r="AM28" i="4"/>
  <c r="AO28" i="4" s="1"/>
  <c r="AP28" i="4" s="1"/>
  <c r="L32" i="5" s="1"/>
  <c r="AL28" i="4"/>
  <c r="AK28" i="4"/>
  <c r="W28" i="4"/>
  <c r="S28" i="4"/>
  <c r="T28" i="4" s="1"/>
  <c r="R28" i="4"/>
  <c r="G28" i="4"/>
  <c r="E28" i="4"/>
  <c r="E32" i="5" s="1"/>
  <c r="C28" i="4"/>
  <c r="AM27" i="4"/>
  <c r="AO27" i="4" s="1"/>
  <c r="AP27" i="4" s="1"/>
  <c r="L31" i="5" s="1"/>
  <c r="AL27" i="4"/>
  <c r="AK27" i="4"/>
  <c r="W27" i="4"/>
  <c r="S27" i="4"/>
  <c r="T27" i="4" s="1"/>
  <c r="R27" i="4"/>
  <c r="G27" i="4"/>
  <c r="E27" i="4"/>
  <c r="C27" i="4"/>
  <c r="AM26" i="4"/>
  <c r="AO26" i="4" s="1"/>
  <c r="AP26" i="4" s="1"/>
  <c r="AL26" i="4"/>
  <c r="AK26" i="4"/>
  <c r="W26" i="4"/>
  <c r="S26" i="4"/>
  <c r="T26" i="4" s="1"/>
  <c r="R26" i="4"/>
  <c r="G26" i="4"/>
  <c r="E26" i="4"/>
  <c r="C26" i="4"/>
  <c r="AL25" i="4"/>
  <c r="AM25" i="4" s="1"/>
  <c r="AK25" i="4"/>
  <c r="W25" i="4"/>
  <c r="S25" i="4"/>
  <c r="T25" i="4" s="1"/>
  <c r="R25" i="4"/>
  <c r="G25" i="4"/>
  <c r="E25" i="4"/>
  <c r="C25" i="4"/>
  <c r="C29" i="5" s="1"/>
  <c r="AM24" i="4"/>
  <c r="AO24" i="4" s="1"/>
  <c r="AP24" i="4" s="1"/>
  <c r="L28" i="5" s="1"/>
  <c r="AL24" i="4"/>
  <c r="AK24" i="4"/>
  <c r="W24" i="4"/>
  <c r="S24" i="4"/>
  <c r="T24" i="4" s="1"/>
  <c r="R24" i="4"/>
  <c r="G24" i="4"/>
  <c r="G28" i="5" s="1"/>
  <c r="E24" i="4"/>
  <c r="E28" i="5" s="1"/>
  <c r="C24" i="4"/>
  <c r="AM23" i="4"/>
  <c r="AO23" i="4" s="1"/>
  <c r="AP23" i="4" s="1"/>
  <c r="AL23" i="4"/>
  <c r="AK23" i="4"/>
  <c r="W23" i="4"/>
  <c r="S23" i="4"/>
  <c r="T23" i="4" s="1"/>
  <c r="R23" i="4"/>
  <c r="G23" i="4"/>
  <c r="G27" i="5" s="1"/>
  <c r="E23" i="4"/>
  <c r="E27" i="5" s="1"/>
  <c r="C23" i="4"/>
  <c r="C27" i="5" s="1"/>
  <c r="AM22" i="4"/>
  <c r="AO22" i="4" s="1"/>
  <c r="AP22" i="4" s="1"/>
  <c r="L26" i="5" s="1"/>
  <c r="AL22" i="4"/>
  <c r="AK22" i="4"/>
  <c r="W22" i="4"/>
  <c r="S22" i="4"/>
  <c r="T22" i="4" s="1"/>
  <c r="R22" i="4"/>
  <c r="G22" i="4"/>
  <c r="G26" i="5" s="1"/>
  <c r="E22" i="4"/>
  <c r="E26" i="5" s="1"/>
  <c r="C22" i="4"/>
  <c r="C26" i="5" s="1"/>
  <c r="AM21" i="4"/>
  <c r="AO21" i="4" s="1"/>
  <c r="AP21" i="4" s="1"/>
  <c r="AL21" i="4"/>
  <c r="AK21" i="4"/>
  <c r="W21" i="4"/>
  <c r="S21" i="4"/>
  <c r="T21" i="4" s="1"/>
  <c r="R21" i="4"/>
  <c r="G21" i="4"/>
  <c r="G25" i="5" s="1"/>
  <c r="E21" i="4"/>
  <c r="E25" i="5" s="1"/>
  <c r="C21" i="4"/>
  <c r="C25" i="5" s="1"/>
  <c r="AM20" i="4"/>
  <c r="AO20" i="4" s="1"/>
  <c r="AP20" i="4" s="1"/>
  <c r="AL20" i="4"/>
  <c r="AK20" i="4"/>
  <c r="W20" i="4"/>
  <c r="S20" i="4"/>
  <c r="T20" i="4" s="1"/>
  <c r="R20" i="4"/>
  <c r="G20" i="4"/>
  <c r="G24" i="5" s="1"/>
  <c r="E20" i="4"/>
  <c r="E24" i="5" s="1"/>
  <c r="C20" i="4"/>
  <c r="AM19" i="4"/>
  <c r="AO19" i="4" s="1"/>
  <c r="AP19" i="4" s="1"/>
  <c r="L23" i="5" s="1"/>
  <c r="AL19" i="4"/>
  <c r="AK19" i="4"/>
  <c r="W19" i="4"/>
  <c r="S19" i="4"/>
  <c r="T19" i="4" s="1"/>
  <c r="R19" i="4"/>
  <c r="G19" i="4"/>
  <c r="E19" i="4"/>
  <c r="E23" i="5" s="1"/>
  <c r="C19" i="4"/>
  <c r="AM18" i="4"/>
  <c r="AO18" i="4" s="1"/>
  <c r="AP18" i="4" s="1"/>
  <c r="L22" i="5" s="1"/>
  <c r="AL18" i="4"/>
  <c r="AK18" i="4"/>
  <c r="W18" i="4"/>
  <c r="S18" i="4"/>
  <c r="T18" i="4" s="1"/>
  <c r="R18" i="4"/>
  <c r="G18" i="4"/>
  <c r="G22" i="5" s="1"/>
  <c r="E18" i="4"/>
  <c r="C18" i="4"/>
  <c r="AM17" i="4"/>
  <c r="AO17" i="4" s="1"/>
  <c r="AP17" i="4" s="1"/>
  <c r="AL17" i="4"/>
  <c r="AK17" i="4"/>
  <c r="W17" i="4"/>
  <c r="S17" i="4"/>
  <c r="T17" i="4" s="1"/>
  <c r="R17" i="4"/>
  <c r="G17" i="4"/>
  <c r="E17" i="4"/>
  <c r="C17" i="4"/>
  <c r="AM16" i="4"/>
  <c r="AO16" i="4" s="1"/>
  <c r="AP16" i="4" s="1"/>
  <c r="L20" i="5" s="1"/>
  <c r="AL16" i="4"/>
  <c r="AK16" i="4"/>
  <c r="W16" i="4"/>
  <c r="S16" i="4"/>
  <c r="T16" i="4" s="1"/>
  <c r="R16" i="4"/>
  <c r="G16" i="4"/>
  <c r="E16" i="4"/>
  <c r="C16" i="4"/>
  <c r="C20" i="5" s="1"/>
  <c r="AM15" i="4"/>
  <c r="AO15" i="4" s="1"/>
  <c r="AP15" i="4" s="1"/>
  <c r="AL15" i="4"/>
  <c r="AK15" i="4"/>
  <c r="W15" i="4"/>
  <c r="S15" i="4"/>
  <c r="T15" i="4" s="1"/>
  <c r="R15" i="4"/>
  <c r="G15" i="4"/>
  <c r="G19" i="5" s="1"/>
  <c r="E15" i="4"/>
  <c r="C15" i="4"/>
  <c r="C19" i="5" s="1"/>
  <c r="AM14" i="4"/>
  <c r="AO14" i="4" s="1"/>
  <c r="AP14" i="4" s="1"/>
  <c r="AL14" i="4"/>
  <c r="AK14" i="4"/>
  <c r="W14" i="4"/>
  <c r="S14" i="4"/>
  <c r="T14" i="4" s="1"/>
  <c r="R14" i="4"/>
  <c r="G14" i="4"/>
  <c r="G18" i="5" s="1"/>
  <c r="E14" i="4"/>
  <c r="E18" i="5" s="1"/>
  <c r="C14" i="4"/>
  <c r="C18" i="5" s="1"/>
  <c r="AM13" i="4"/>
  <c r="AO13" i="4" s="1"/>
  <c r="AP13" i="4" s="1"/>
  <c r="L17" i="5" s="1"/>
  <c r="AL13" i="4"/>
  <c r="AK13" i="4"/>
  <c r="W13" i="4"/>
  <c r="S13" i="4"/>
  <c r="T13" i="4" s="1"/>
  <c r="R13" i="4"/>
  <c r="G13" i="4"/>
  <c r="G17" i="5" s="1"/>
  <c r="E13" i="4"/>
  <c r="E17" i="5" s="1"/>
  <c r="C13" i="4"/>
  <c r="C17" i="5" s="1"/>
  <c r="AM12" i="4"/>
  <c r="AO12" i="4" s="1"/>
  <c r="AP12" i="4" s="1"/>
  <c r="AL12" i="4"/>
  <c r="AK12" i="4"/>
  <c r="W12" i="4"/>
  <c r="S12" i="4"/>
  <c r="T12" i="4" s="1"/>
  <c r="R12" i="4"/>
  <c r="G12" i="4"/>
  <c r="G16" i="5" s="1"/>
  <c r="E12" i="4"/>
  <c r="E16" i="5" s="1"/>
  <c r="C12" i="4"/>
  <c r="AM11" i="4"/>
  <c r="AO11" i="4" s="1"/>
  <c r="AP11" i="4" s="1"/>
  <c r="L15" i="5" s="1"/>
  <c r="AL11" i="4"/>
  <c r="AK11" i="4"/>
  <c r="W11" i="4"/>
  <c r="S11" i="4"/>
  <c r="T11" i="4" s="1"/>
  <c r="R11" i="4"/>
  <c r="G11" i="4"/>
  <c r="E11" i="4"/>
  <c r="E15" i="5" s="1"/>
  <c r="C11" i="4"/>
  <c r="AM10" i="4"/>
  <c r="AO10" i="4" s="1"/>
  <c r="AP10" i="4" s="1"/>
  <c r="L14" i="5" s="1"/>
  <c r="AL10" i="4"/>
  <c r="AK10" i="4"/>
  <c r="W10" i="4"/>
  <c r="S10" i="4"/>
  <c r="T10" i="4" s="1"/>
  <c r="R10" i="4"/>
  <c r="G10" i="4"/>
  <c r="G14" i="5" s="1"/>
  <c r="E10" i="4"/>
  <c r="C10" i="4"/>
  <c r="AM9" i="4"/>
  <c r="AO9" i="4" s="1"/>
  <c r="AP9" i="4" s="1"/>
  <c r="AL9" i="4"/>
  <c r="AK9" i="4"/>
  <c r="W9" i="4"/>
  <c r="S9" i="4"/>
  <c r="T9" i="4" s="1"/>
  <c r="R9" i="4"/>
  <c r="G9" i="4"/>
  <c r="E9" i="4"/>
  <c r="C9" i="4"/>
  <c r="AM8" i="4"/>
  <c r="AO8" i="4" s="1"/>
  <c r="AP8" i="4" s="1"/>
  <c r="L12" i="5" s="1"/>
  <c r="AL8" i="4"/>
  <c r="AK8" i="4"/>
  <c r="W8" i="4"/>
  <c r="S8" i="4"/>
  <c r="T8" i="4" s="1"/>
  <c r="R8" i="4"/>
  <c r="G8" i="4"/>
  <c r="E8" i="4"/>
  <c r="C8" i="4"/>
  <c r="C12" i="5" s="1"/>
  <c r="AM7" i="4"/>
  <c r="AO7" i="4" s="1"/>
  <c r="AP7" i="4" s="1"/>
  <c r="AL7" i="4"/>
  <c r="AK7" i="4"/>
  <c r="W7" i="4"/>
  <c r="S7" i="4"/>
  <c r="T7" i="4" s="1"/>
  <c r="R7" i="4"/>
  <c r="G7" i="4"/>
  <c r="G11" i="5" s="1"/>
  <c r="E7" i="4"/>
  <c r="C7" i="4"/>
  <c r="C11" i="5" s="1"/>
  <c r="AM6" i="4"/>
  <c r="AN6" i="4" s="1"/>
  <c r="AL6" i="4"/>
  <c r="AK6" i="4"/>
  <c r="W6" i="4"/>
  <c r="S6" i="4"/>
  <c r="T6" i="4" s="1"/>
  <c r="R6" i="4"/>
  <c r="G6" i="4"/>
  <c r="G10" i="5" s="1"/>
  <c r="E6" i="4"/>
  <c r="E10" i="5" s="1"/>
  <c r="C6" i="4"/>
  <c r="C10" i="5" s="1"/>
  <c r="AL5" i="4"/>
  <c r="AM5" i="4" s="1"/>
  <c r="AK5" i="4"/>
  <c r="W5" i="4"/>
  <c r="S5" i="4"/>
  <c r="T5" i="4" s="1"/>
  <c r="R5" i="4"/>
  <c r="G5" i="4"/>
  <c r="G9" i="5" s="1"/>
  <c r="E5" i="4"/>
  <c r="E9" i="5" s="1"/>
  <c r="C5" i="4"/>
  <c r="C9" i="5" s="1"/>
  <c r="G12" i="5" l="1"/>
  <c r="G64" i="5"/>
  <c r="G80" i="5"/>
  <c r="G13" i="5"/>
  <c r="G21" i="5"/>
  <c r="G29" i="5"/>
  <c r="G30" i="5"/>
  <c r="G38" i="5"/>
  <c r="G48" i="5"/>
  <c r="G49" i="5"/>
  <c r="G57" i="5"/>
  <c r="G65" i="5"/>
  <c r="G73" i="5"/>
  <c r="G20" i="5"/>
  <c r="G56" i="5"/>
  <c r="G72" i="5"/>
  <c r="G31" i="5"/>
  <c r="G39" i="5"/>
  <c r="G50" i="5"/>
  <c r="G58" i="5"/>
  <c r="G66" i="5"/>
  <c r="G74" i="5"/>
  <c r="G41" i="5"/>
  <c r="G15" i="5"/>
  <c r="G23" i="5"/>
  <c r="G32" i="5"/>
  <c r="G40" i="5"/>
  <c r="G51" i="5"/>
  <c r="G59" i="5"/>
  <c r="G67" i="5"/>
  <c r="G75" i="5"/>
  <c r="E11" i="5"/>
  <c r="E19" i="5"/>
  <c r="E36" i="5"/>
  <c r="E55" i="5"/>
  <c r="E21" i="5"/>
  <c r="E29" i="5"/>
  <c r="E30" i="5"/>
  <c r="E38" i="5"/>
  <c r="E48" i="5"/>
  <c r="E49" i="5"/>
  <c r="E57" i="5"/>
  <c r="E65" i="5"/>
  <c r="E73" i="5"/>
  <c r="E20" i="5"/>
  <c r="E37" i="5"/>
  <c r="E13" i="5"/>
  <c r="E14" i="5"/>
  <c r="E22" i="5"/>
  <c r="E31" i="5"/>
  <c r="E39" i="5"/>
  <c r="E50" i="5"/>
  <c r="E58" i="5"/>
  <c r="E66" i="5"/>
  <c r="E74" i="5"/>
  <c r="E12" i="5"/>
  <c r="E40" i="5"/>
  <c r="E52" i="5"/>
  <c r="E60" i="5"/>
  <c r="E68" i="5"/>
  <c r="E76" i="5"/>
  <c r="C28" i="5"/>
  <c r="C47" i="5"/>
  <c r="C13" i="5"/>
  <c r="C21" i="5"/>
  <c r="C30" i="5"/>
  <c r="C49" i="5"/>
  <c r="C57" i="5"/>
  <c r="C65" i="5"/>
  <c r="C73" i="5"/>
  <c r="C14" i="5"/>
  <c r="C66" i="5"/>
  <c r="C31" i="5"/>
  <c r="C50" i="5"/>
  <c r="C74" i="5"/>
  <c r="C15" i="5"/>
  <c r="C40" i="5"/>
  <c r="C59" i="5"/>
  <c r="C75" i="5"/>
  <c r="C22" i="5"/>
  <c r="C39" i="5"/>
  <c r="C58" i="5"/>
  <c r="C23" i="5"/>
  <c r="C32" i="5"/>
  <c r="C51" i="5"/>
  <c r="C67" i="5"/>
  <c r="C16" i="5"/>
  <c r="C24" i="5"/>
  <c r="C33" i="5"/>
  <c r="C41" i="5"/>
  <c r="C42" i="5"/>
  <c r="C52" i="5"/>
  <c r="C60" i="5"/>
  <c r="C76" i="5"/>
  <c r="L80" i="5"/>
  <c r="L71" i="5"/>
  <c r="L52" i="5"/>
  <c r="L18" i="5"/>
  <c r="L35" i="5"/>
  <c r="L54" i="5"/>
  <c r="L62" i="5"/>
  <c r="L11" i="5"/>
  <c r="L19" i="5"/>
  <c r="L27" i="5"/>
  <c r="L36" i="5"/>
  <c r="L46" i="5"/>
  <c r="L55" i="5"/>
  <c r="L63" i="5"/>
  <c r="L47" i="5"/>
  <c r="L13" i="5"/>
  <c r="L21" i="5"/>
  <c r="L30" i="5"/>
  <c r="L74" i="5"/>
  <c r="L75" i="5"/>
  <c r="L16" i="5"/>
  <c r="L24" i="5"/>
  <c r="L33" i="5"/>
  <c r="L42" i="5"/>
  <c r="L44" i="5"/>
  <c r="U27" i="4"/>
  <c r="U44" i="4"/>
  <c r="AN53" i="4"/>
  <c r="U11" i="4"/>
  <c r="U19" i="4"/>
  <c r="U51" i="4"/>
  <c r="X86" i="4"/>
  <c r="Y86" i="4" s="1"/>
  <c r="U99" i="4"/>
  <c r="AN36" i="4"/>
  <c r="X90" i="4"/>
  <c r="Y90" i="4" s="1"/>
  <c r="U101" i="4"/>
  <c r="AN56" i="4"/>
  <c r="U59" i="4"/>
  <c r="U73" i="4"/>
  <c r="U103" i="4"/>
  <c r="AN95" i="4"/>
  <c r="U23" i="4"/>
  <c r="U43" i="4"/>
  <c r="U56" i="4"/>
  <c r="U68" i="4"/>
  <c r="X75" i="4"/>
  <c r="Y75" i="4" s="1"/>
  <c r="J79" i="5" s="1"/>
  <c r="AN78" i="4"/>
  <c r="AN84" i="4"/>
  <c r="AN66" i="4"/>
  <c r="AN73" i="4"/>
  <c r="AN97" i="4"/>
  <c r="U48" i="4"/>
  <c r="X48" i="4"/>
  <c r="Y48" i="4" s="1"/>
  <c r="U32" i="4"/>
  <c r="X32" i="4"/>
  <c r="Y32" i="4" s="1"/>
  <c r="J36" i="5" s="1"/>
  <c r="U39" i="4"/>
  <c r="AN41" i="4"/>
  <c r="AN87" i="4"/>
  <c r="X94" i="4"/>
  <c r="Y94" i="4" s="1"/>
  <c r="AN99" i="4"/>
  <c r="U35" i="4"/>
  <c r="U31" i="4"/>
  <c r="AN83" i="4"/>
  <c r="X45" i="4"/>
  <c r="Y45" i="4" s="1"/>
  <c r="J49" i="5" s="1"/>
  <c r="X67" i="4"/>
  <c r="Y67" i="4" s="1"/>
  <c r="AN75" i="4"/>
  <c r="U15" i="4"/>
  <c r="AO39" i="4"/>
  <c r="AP39" i="4" s="1"/>
  <c r="L43" i="5" s="1"/>
  <c r="AN44" i="4"/>
  <c r="AN52" i="4"/>
  <c r="U69" i="4"/>
  <c r="AN72" i="4"/>
  <c r="X74" i="4"/>
  <c r="Y74" i="4" s="1"/>
  <c r="J78" i="5" s="1"/>
  <c r="AN76" i="4"/>
  <c r="AN89" i="4"/>
  <c r="X92" i="4"/>
  <c r="Y92" i="4" s="1"/>
  <c r="X29" i="4"/>
  <c r="Y29" i="4" s="1"/>
  <c r="J33" i="5" s="1"/>
  <c r="AN40" i="4"/>
  <c r="U47" i="4"/>
  <c r="AN82" i="4"/>
  <c r="U24" i="4"/>
  <c r="X24" i="4"/>
  <c r="Y24" i="4" s="1"/>
  <c r="J28" i="5" s="1"/>
  <c r="U12" i="4"/>
  <c r="X12" i="4"/>
  <c r="Y12" i="4" s="1"/>
  <c r="J16" i="5" s="1"/>
  <c r="U36" i="4"/>
  <c r="X36" i="4"/>
  <c r="Y36" i="4" s="1"/>
  <c r="J40" i="5" s="1"/>
  <c r="U60" i="4"/>
  <c r="X60" i="4"/>
  <c r="Y60" i="4" s="1"/>
  <c r="J64" i="5" s="1"/>
  <c r="U9" i="4"/>
  <c r="X9" i="4"/>
  <c r="Y9" i="4" s="1"/>
  <c r="J13" i="5" s="1"/>
  <c r="U41" i="4"/>
  <c r="X41" i="4"/>
  <c r="Y41" i="4" s="1"/>
  <c r="J45" i="5" s="1"/>
  <c r="U49" i="4"/>
  <c r="X49" i="4"/>
  <c r="Y49" i="4" s="1"/>
  <c r="J53" i="5" s="1"/>
  <c r="U52" i="4"/>
  <c r="X52" i="4"/>
  <c r="Y52" i="4" s="1"/>
  <c r="J56" i="5" s="1"/>
  <c r="U16" i="4"/>
  <c r="X16" i="4"/>
  <c r="Y16" i="4" s="1"/>
  <c r="J20" i="5" s="1"/>
  <c r="U21" i="4"/>
  <c r="X21" i="4"/>
  <c r="Y21" i="4" s="1"/>
  <c r="J25" i="5" s="1"/>
  <c r="U13" i="4"/>
  <c r="X13" i="4"/>
  <c r="Y13" i="4" s="1"/>
  <c r="J17" i="5" s="1"/>
  <c r="U37" i="4"/>
  <c r="X37" i="4"/>
  <c r="U8" i="4"/>
  <c r="X8" i="4"/>
  <c r="Y8" i="4" s="1"/>
  <c r="J12" i="5" s="1"/>
  <c r="U25" i="4"/>
  <c r="X25" i="4"/>
  <c r="Y25" i="4" s="1"/>
  <c r="J29" i="5" s="1"/>
  <c r="U20" i="4"/>
  <c r="X20" i="4"/>
  <c r="Y20" i="4" s="1"/>
  <c r="J24" i="5" s="1"/>
  <c r="U28" i="4"/>
  <c r="X28" i="4"/>
  <c r="Y28" i="4" s="1"/>
  <c r="J32" i="5" s="1"/>
  <c r="U17" i="4"/>
  <c r="X17" i="4"/>
  <c r="Y17" i="4" s="1"/>
  <c r="J21" i="5" s="1"/>
  <c r="U33" i="4"/>
  <c r="X33" i="4"/>
  <c r="Y33" i="4" s="1"/>
  <c r="J37" i="5" s="1"/>
  <c r="AN5" i="4"/>
  <c r="U29" i="4"/>
  <c r="AO44" i="4"/>
  <c r="AP44" i="4" s="1"/>
  <c r="L48" i="5" s="1"/>
  <c r="U45" i="4"/>
  <c r="U55" i="4"/>
  <c r="AN91" i="4"/>
  <c r="U98" i="4"/>
  <c r="AN102" i="4"/>
  <c r="AO6" i="4"/>
  <c r="AP6" i="4" s="1"/>
  <c r="L10" i="5" s="1"/>
  <c r="AN37" i="4"/>
  <c r="AN81" i="4"/>
  <c r="AN86" i="4"/>
  <c r="X88" i="4"/>
  <c r="Y88" i="4" s="1"/>
  <c r="X96" i="4"/>
  <c r="Y96" i="4" s="1"/>
  <c r="AN33" i="4"/>
  <c r="AN49" i="4"/>
  <c r="AN57" i="4"/>
  <c r="AN60" i="4"/>
  <c r="X63" i="4"/>
  <c r="Y63" i="4" s="1"/>
  <c r="J67" i="5" s="1"/>
  <c r="AN64" i="4"/>
  <c r="AN74" i="4"/>
  <c r="AN79" i="4"/>
  <c r="U86" i="4"/>
  <c r="AN103" i="4"/>
  <c r="U40" i="4"/>
  <c r="X44" i="4"/>
  <c r="Y44" i="4" s="1"/>
  <c r="J48" i="5" s="1"/>
  <c r="X56" i="4"/>
  <c r="Y56" i="4" s="1"/>
  <c r="J60" i="5" s="1"/>
  <c r="X71" i="4"/>
  <c r="Y71" i="4" s="1"/>
  <c r="J75" i="5" s="1"/>
  <c r="X100" i="4"/>
  <c r="Y100" i="4" s="1"/>
  <c r="AN29" i="4"/>
  <c r="AN45" i="4"/>
  <c r="AN65" i="4"/>
  <c r="AN68" i="4"/>
  <c r="AN77" i="4"/>
  <c r="AN85" i="4"/>
  <c r="AN101" i="4"/>
  <c r="AN32" i="4"/>
  <c r="X40" i="4"/>
  <c r="Y40" i="4" s="1"/>
  <c r="J44" i="5" s="1"/>
  <c r="AN48" i="4"/>
  <c r="AN61" i="4"/>
  <c r="AN80" i="4"/>
  <c r="AN93" i="4"/>
  <c r="AN104" i="4"/>
  <c r="U72" i="4"/>
  <c r="X72" i="4"/>
  <c r="Y72" i="4" s="1"/>
  <c r="J76" i="5" s="1"/>
  <c r="U10" i="4"/>
  <c r="X10" i="4"/>
  <c r="Y10" i="4" s="1"/>
  <c r="J14" i="5" s="1"/>
  <c r="U18" i="4"/>
  <c r="X18" i="4"/>
  <c r="Y18" i="4" s="1"/>
  <c r="J22" i="5" s="1"/>
  <c r="U58" i="4"/>
  <c r="X58" i="4"/>
  <c r="Y58" i="4" s="1"/>
  <c r="J62" i="5" s="1"/>
  <c r="U65" i="4"/>
  <c r="X65" i="4"/>
  <c r="Y65" i="4" s="1"/>
  <c r="J69" i="5" s="1"/>
  <c r="U34" i="4"/>
  <c r="X34" i="4"/>
  <c r="Y34" i="4" s="1"/>
  <c r="J38" i="5" s="1"/>
  <c r="U50" i="4"/>
  <c r="X50" i="4"/>
  <c r="Y50" i="4" s="1"/>
  <c r="J54" i="5" s="1"/>
  <c r="U61" i="4"/>
  <c r="X61" i="4"/>
  <c r="Y61" i="4" s="1"/>
  <c r="J65" i="5" s="1"/>
  <c r="AO25" i="4"/>
  <c r="AP25" i="4" s="1"/>
  <c r="L29" i="5" s="1"/>
  <c r="AN25" i="4"/>
  <c r="U53" i="4"/>
  <c r="X53" i="4"/>
  <c r="Y53" i="4" s="1"/>
  <c r="J57" i="5" s="1"/>
  <c r="U66" i="4"/>
  <c r="X66" i="4"/>
  <c r="Y66" i="4" s="1"/>
  <c r="X5" i="4"/>
  <c r="Y5" i="4" s="1"/>
  <c r="J9" i="5" s="1"/>
  <c r="U5" i="4"/>
  <c r="U30" i="4"/>
  <c r="X30" i="4"/>
  <c r="Y30" i="4" s="1"/>
  <c r="J34" i="5" s="1"/>
  <c r="U46" i="4"/>
  <c r="X46" i="4"/>
  <c r="Y46" i="4" s="1"/>
  <c r="J50" i="5" s="1"/>
  <c r="U62" i="4"/>
  <c r="X62" i="4"/>
  <c r="Y62" i="4" s="1"/>
  <c r="J66" i="5" s="1"/>
  <c r="U22" i="4"/>
  <c r="X22" i="4"/>
  <c r="Y22" i="4" s="1"/>
  <c r="J26" i="5" s="1"/>
  <c r="U70" i="4"/>
  <c r="X70" i="4"/>
  <c r="Y70" i="4" s="1"/>
  <c r="J74" i="5" s="1"/>
  <c r="U38" i="4"/>
  <c r="X38" i="4"/>
  <c r="Y38" i="4" s="1"/>
  <c r="J42" i="5" s="1"/>
  <c r="U42" i="4"/>
  <c r="X42" i="4"/>
  <c r="Y42" i="4" s="1"/>
  <c r="J46" i="5" s="1"/>
  <c r="U54" i="4"/>
  <c r="X54" i="4"/>
  <c r="Y54" i="4" s="1"/>
  <c r="J58" i="5" s="1"/>
  <c r="U6" i="4"/>
  <c r="X6" i="4"/>
  <c r="Y6" i="4" s="1"/>
  <c r="J10" i="5" s="1"/>
  <c r="U14" i="4"/>
  <c r="X14" i="4"/>
  <c r="Y14" i="4" s="1"/>
  <c r="J18" i="5" s="1"/>
  <c r="U7" i="4"/>
  <c r="X7" i="4"/>
  <c r="Y7" i="4" s="1"/>
  <c r="J11" i="5" s="1"/>
  <c r="U26" i="4"/>
  <c r="X26" i="4"/>
  <c r="Y26" i="4" s="1"/>
  <c r="U57" i="4"/>
  <c r="X57" i="4"/>
  <c r="Y57" i="4" s="1"/>
  <c r="J61" i="5" s="1"/>
  <c r="U64" i="4"/>
  <c r="X64" i="4"/>
  <c r="Y64" i="4" s="1"/>
  <c r="J68" i="5" s="1"/>
  <c r="AO5" i="4"/>
  <c r="AP5" i="4" s="1"/>
  <c r="L9"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U84" i="4"/>
  <c r="X84" i="4"/>
  <c r="Y84" i="4" s="1"/>
  <c r="X11" i="4"/>
  <c r="Y11" i="4" s="1"/>
  <c r="J15" i="5" s="1"/>
  <c r="X15" i="4"/>
  <c r="Y15" i="4" s="1"/>
  <c r="J19" i="5" s="1"/>
  <c r="X19" i="4"/>
  <c r="Y19" i="4" s="1"/>
  <c r="J23" i="5" s="1"/>
  <c r="X23" i="4"/>
  <c r="Y23" i="4" s="1"/>
  <c r="J27" i="5" s="1"/>
  <c r="X27" i="4"/>
  <c r="Y27" i="4" s="1"/>
  <c r="J31" i="5" s="1"/>
  <c r="X31" i="4"/>
  <c r="Y31" i="4" s="1"/>
  <c r="J35" i="5" s="1"/>
  <c r="X35" i="4"/>
  <c r="Y35" i="4" s="1"/>
  <c r="J39" i="5" s="1"/>
  <c r="X39" i="4"/>
  <c r="Y39" i="4" s="1"/>
  <c r="J43" i="5" s="1"/>
  <c r="X43" i="4"/>
  <c r="Y43" i="4" s="1"/>
  <c r="J47" i="5" s="1"/>
  <c r="X47" i="4"/>
  <c r="Y47" i="4" s="1"/>
  <c r="J51" i="5" s="1"/>
  <c r="X51" i="4"/>
  <c r="Y51" i="4" s="1"/>
  <c r="J55" i="5" s="1"/>
  <c r="X55" i="4"/>
  <c r="Y55" i="4" s="1"/>
  <c r="J59" i="5" s="1"/>
  <c r="X59" i="4"/>
  <c r="Y59" i="4" s="1"/>
  <c r="AN67" i="4"/>
  <c r="X68" i="4"/>
  <c r="Y68" i="4" s="1"/>
  <c r="J72" i="5"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J77" i="5"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J73" i="5" s="1"/>
  <c r="U71" i="4"/>
  <c r="AO96" i="4"/>
  <c r="AP96" i="4" s="1"/>
  <c r="AN96" i="4"/>
  <c r="AN98" i="4"/>
  <c r="X99" i="4"/>
  <c r="Y99" i="4" s="1"/>
  <c r="X103" i="4"/>
  <c r="Y103" i="4" s="1"/>
  <c r="U88" i="4"/>
  <c r="U92" i="4"/>
  <c r="U96" i="4"/>
  <c r="U100" i="4"/>
  <c r="X101" i="4"/>
  <c r="Y101" i="4" s="1"/>
  <c r="J80" i="5" l="1"/>
  <c r="J70" i="5"/>
  <c r="J71" i="5"/>
  <c r="J63" i="5"/>
  <c r="J52" i="5"/>
  <c r="J30" i="5"/>
  <c r="L25" i="5"/>
  <c r="L39" i="5"/>
  <c r="Y37" i="4"/>
  <c r="J4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tc={A0285513-3402-4DD5-8A92-7E2F2CEF71D3}</author>
  </authors>
  <commentList>
    <comment ref="AB50" authorId="0" shapeId="0" xr:uid="{A0285513-3402-4DD5-8A92-7E2F2CEF71D3}">
      <text>
        <t>[Threaded comment]
Your version of Excel allows you to read this threaded comment; however, any edits to it will get removed if the file is opened in a newer version of Excel. Learn more: https://go.microsoft.com/fwlink/?linkid=870924
Comment:
    The published configuration document shall be verified for ensuring all the measures properly implemented</t>
      </text>
    </comment>
  </commentList>
</comments>
</file>

<file path=xl/sharedStrings.xml><?xml version="1.0" encoding="utf-8"?>
<sst xmlns="http://schemas.openxmlformats.org/spreadsheetml/2006/main" count="2254" uniqueCount="515">
  <si>
    <t>Document Title</t>
  </si>
  <si>
    <t>Product security Risk Table</t>
  </si>
  <si>
    <t>Document number / Revision</t>
  </si>
  <si>
    <t>D001020017 / 01</t>
  </si>
  <si>
    <t>Date</t>
  </si>
  <si>
    <t>Project</t>
  </si>
  <si>
    <t>SmartMedic</t>
  </si>
  <si>
    <t>Project number</t>
  </si>
  <si>
    <t>SGTC-NPD-001 </t>
  </si>
  <si>
    <t>Product Security Risk Table approval</t>
  </si>
  <si>
    <t>Approvals</t>
  </si>
  <si>
    <t>Name</t>
  </si>
  <si>
    <t>Title</t>
  </si>
  <si>
    <t>Signature</t>
  </si>
  <si>
    <t>Author</t>
  </si>
  <si>
    <t>Deepak Sharma</t>
  </si>
  <si>
    <r>
      <rPr>
        <b/>
        <sz val="11"/>
        <color theme="1"/>
        <rFont val="Calibri"/>
        <family val="2"/>
        <scheme val="minor"/>
      </rPr>
      <t>Approvers</t>
    </r>
    <r>
      <rPr>
        <sz val="11"/>
        <color rgb="FF000000"/>
        <rFont val="Calibri"/>
        <family val="2"/>
        <charset val="1"/>
      </rPr>
      <t xml:space="preserve"> 
</t>
    </r>
  </si>
  <si>
    <t>Vikram Puri</t>
  </si>
  <si>
    <t xml:space="preserve">Advanced Operations (Mfg &amp; QA) </t>
  </si>
  <si>
    <t>Sreejith Viswam</t>
  </si>
  <si>
    <t>Advance Quality Engineer</t>
  </si>
  <si>
    <t>Document Revision History:</t>
  </si>
  <si>
    <t>REV#</t>
  </si>
  <si>
    <t>Revision Date</t>
  </si>
  <si>
    <t xml:space="preserve">Author </t>
  </si>
  <si>
    <t>Description of Revision</t>
  </si>
  <si>
    <t>00</t>
  </si>
  <si>
    <t>01</t>
  </si>
  <si>
    <t>System &amp; Asset Identification</t>
  </si>
  <si>
    <t xml:space="preserve">Medical Device / System: </t>
  </si>
  <si>
    <t>Scope:</t>
  </si>
  <si>
    <t>SmartMedic -001-02-A-00-00-00</t>
  </si>
  <si>
    <t>Date:</t>
  </si>
  <si>
    <t xml:space="preserve">Conducted by: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</si>
  <si>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</si>
  <si>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</si>
  <si>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</si>
  <si>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</si>
  <si>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</si>
  <si>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</si>
  <si>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</si>
  <si>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</si>
  <si>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</si>
  <si>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</si>
  <si>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</si>
  <si>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</si>
  <si>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</si>
  <si>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</si>
  <si>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</si>
  <si>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</si>
  <si>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</si>
  <si>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</si>
  <si>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</si>
  <si>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</si>
  <si>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</si>
  <si>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</si>
  <si>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</si>
  <si>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</si>
  <si>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</si>
  <si>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</si>
  <si>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</si>
  <si>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</si>
  <si>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</si>
  <si>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</si>
  <si>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</si>
  <si>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</si>
  <si>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</si>
  <si>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</si>
  <si>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</si>
  <si>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</si>
  <si>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</si>
  <si>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</si>
  <si>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</si>
  <si>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</si>
  <si>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</si>
  <si>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</si>
  <si>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</si>
  <si>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</si>
  <si>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</si>
  <si>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</si>
  <si>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</si>
  <si>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</si>
  <si>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</si>
  <si>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</si>
  <si>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</si>
  <si>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</si>
  <si>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</si>
  <si>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</si>
  <si>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</si>
  <si>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</si>
  <si>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</si>
  <si>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</si>
  <si>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</si>
  <si>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</si>
  <si>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</si>
  <si>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</si>
  <si>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</si>
  <si>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</si>
  <si>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</si>
  <si>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</si>
  <si>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</si>
  <si>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</si>
  <si>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</si>
  <si>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</si>
  <si>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</si>
  <si>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</si>
  <si>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</si>
  <si>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</si>
  <si>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</si>
  <si>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</si>
  <si>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</si>
  <si>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</si>
  <si>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</si>
  <si>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</si>
  <si>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</si>
  <si>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</si>
  <si>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</si>
  <si>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</si>
  <si>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</si>
  <si>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</si>
  <si>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</si>
  <si>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</si>
  <si>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</si>
  <si>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</si>
  <si>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</si>
  <si>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</si>
  <si>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</si>
  <si>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</si>
  <si>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</si>
  <si>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</si>
  <si>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</si>
  <si>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</si>
  <si>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</si>
  <si>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</si>
  <si>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</si>
  <si>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</si>
  <si>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</si>
  <si>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</si>
  <si>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</si>
  <si>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</si>
  <si>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</si>
  <si>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</si>
  <si>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</si>
  <si>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</si>
  <si>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</si>
  <si>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</si>
  <si>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</si>
  <si>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</si>
  <si>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</si>
  <si>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</si>
  <si>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</si>
  <si>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</si>
  <si>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</si>
  <si>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</si>
  <si>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</si>
  <si>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</si>
  <si>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</si>
  <si>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</si>
  <si>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</si>
  <si>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</si>
  <si>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</si>
  <si>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</si>
  <si>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</si>
  <si>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</si>
  <si>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</si>
  <si>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</si>
  <si>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</si>
  <si>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</si>
  <si>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</si>
  <si>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</si>
  <si>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</si>
  <si>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</si>
  <si>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</si>
  <si>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</si>
  <si>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</si>
  <si>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</si>
  <si>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</si>
  <si>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</si>
  <si>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</si>
  <si>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</si>
  <si>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</si>
  <si>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</si>
  <si>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</si>
  <si>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</si>
  <si>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</si>
  <si>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</si>
  <si>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</si>
  <si>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</si>
  <si>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</si>
  <si>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</si>
  <si>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</si>
  <si>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</si>
  <si>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</si>
  <si>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</si>
  <si>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</si>
  <si>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</si>
  <si>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</si>
  <si>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</si>
  <si>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</si>
  <si>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</si>
  <si>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</si>
  <si>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</si>
  <si>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</si>
  <si>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</si>
  <si>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</si>
  <si>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</si>
  <si>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</si>
  <si>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</si>
  <si>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</si>
  <si>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</si>
  <si>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</si>
  <si>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</si>
  <si>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</si>
  <si>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</si>
  <si>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</si>
  <si>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</si>
  <si>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</si>
  <si>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</si>
  <si>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</si>
  <si>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</si>
  <si>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</si>
  <si>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</si>
  <si>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</si>
  <si>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</si>
  <si>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</si>
  <si>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</si>
  <si>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</si>
  <si>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</si>
  <si>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</si>
  <si>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</si>
  <si>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</si>
  <si>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</si>
  <si>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</si>
  <si>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</si>
  <si>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</si>
  <si>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</si>
  <si>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</si>
  <si>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</si>
  <si>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</si>
  <si>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</si>
  <si>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</si>
  <si>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</si>
  <si>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</si>
  <si>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</si>
  <si>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</si>
  <si>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</si>
  <si>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</si>
  <si>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</si>
  <si>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</si>
  <si>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</si>
  <si>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</si>
  <si>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</si>
  <si>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</si>
  <si>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</si>
  <si>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</si>
  <si>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</si>
  <si>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</si>
  <si>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</si>
  <si>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</si>
  <si>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</si>
  <si>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</si>
  <si>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</si>
  <si>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</si>
  <si>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</si>
  <si>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</si>
  <si>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</si>
  <si>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</si>
  <si>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</si>
  <si>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</si>
  <si>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</si>
  <si>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</si>
  <si>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 xml:space="preserve">1. Asset should be behind stateful firewall
2. Anti-virus with updated virus definitions
3. Audit/System log capturing any abnormal activity identified/reported by the application
4.  Use hardened interfaces (n/w) &amp; secure tunnel communications channel </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</si>
  <si>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</si>
  <si>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Network</t>
  </si>
  <si>
    <t>None</t>
  </si>
  <si>
    <t>Local</t>
  </si>
  <si>
    <t>High</t>
  </si>
  <si>
    <t>Moderate</t>
  </si>
  <si>
    <t>SOM responsibility
1. Statefull Firewall
2. Maintain access control (read/modify) permission list for any sensitive &amp; unencrypted data if present.</t>
  </si>
  <si>
    <t>1. SOM D001020115 - 23. Malware Detection/Protection
2. SOM D001020115 - 05. Access control policy and management</t>
  </si>
  <si>
    <t xml:space="preserve">1) Malicious utilization of  computer resources 
2) computing power  
3) denial of service attacks, 
4) ransomware attack 
5) Bitcoin mining, etc </t>
  </si>
  <si>
    <t>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</si>
  <si>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</si>
  <si>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t>
  </si>
  <si>
    <t>1)  Obtain knowledge about system internals
2)  Attempt to find attack vectors 
3)  Possibilities for exploitation of publicly known Vulnerabilities.</t>
  </si>
  <si>
    <t xml:space="preserve">1.During the access providing, if default password is provided then immediately changing the password is needed. 
Also ensure:
2. Require multi-factor authentication
3. Limit authentication attempts (rate Limiting)
4. Maintain Access Logs
</t>
  </si>
  <si>
    <t>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</si>
  <si>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</si>
  <si>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</si>
  <si>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</si>
  <si>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SOM D001020115 - 23. Malware Detection/Protection
2. SRS D001020024 -2.17.6The Application shall support the use of anti-malware mechanism
3. SRS D001020024 -2.23.1 The Application shall have logs of tablet application and firmware (SmartMedic devices).                                                                                 
4. SRS D001020024 -2.17.2The Application shall provide secure tunnel Communications channel</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</si>
  <si>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</si>
  <si>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Tampering of forensic data
2) This involves modifying/corrupting/deleting the values of Logs, 
3) Modifying registry values 
4) Uninstalling all malcious applications/tools   
5) Deleting all folders which were created</t>
  </si>
  <si>
    <t>B-L2(Reference Risk Table and Risk Matrix SmartMedic Document # D001020010)</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</si>
  <si>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</si>
  <si>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1) Gaining access to the portal 
2) Accessing confidential data, 
3) Lead misuse of confidential data
4)  Company defamation</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</si>
  <si>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</si>
  <si>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t>1) Bring down the service availability 
2) Blocking the end user usage</t>
  </si>
  <si>
    <t xml:space="preserve">1. Asset should be behind stateful firewall
2. Anti-virus with updated virus definitions
3. System log capturing any abnormal activity identified/reported by the application
4.  Use hardened interfaces (n/w) &amp; secure tunnel communications channel </t>
  </si>
  <si>
    <t>Information of health data can be exploit and disclose with various means like network, tablet etc.  .</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</si>
  <si>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t>
  </si>
  <si>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</si>
  <si>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</si>
  <si>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Statefull firewall
2. Configure and upgrade routers for the n/w security
3. Configure firewalls to reject any packets with spoofed addresses.
4. Use secure tunnel communication channel</t>
  </si>
  <si>
    <t>1. SOM D001020115 - 23. Malware Detection/Protection
2. SOM D001020115 - 16. Transmission confidentiality and integrity
3. SOM D001020115 - 23. Malware Detection/Protection
4. SRS D001020024 -2.17.2The Application shall provide secure tunnel Communications channel</t>
  </si>
  <si>
    <t xml:space="preserve">1. Weak algorithms such as DES, RC4, etc.. should be avoided and usage of  strong algorithms such as AES, RSA, etc.. are recomended
2. Typical key lengths are 128 and 256 bits for private keys and 2048 for public keys are recommended.
</t>
  </si>
  <si>
    <t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</si>
  <si>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</si>
  <si>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t>
  </si>
  <si>
    <t>1. Secure communication with Secure Sockets Layer (SSL) or TLS protocols that provide message confidentiality 
2. Secure sensitive data in the channel flow using strong encryption
3. Statefull firewall
4. Proper way of network access control</t>
  </si>
  <si>
    <t>1. SRS D001020024 -2.17.2The Application shall provide secure tunnel Communications channel
2. SAD/SDD-D001020099-6.7 Security
3. SOM D001020115 - 23. Malware Detection/Protection
4. SOM D001020115 - 05. Access control policy and management</t>
  </si>
  <si>
    <t>1) Allowing application or script to perform abnormal activites on the system.
2) Modifying the data, tampering the confidential data making it unavailable or challenging the integrity of data.</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</si>
  <si>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</si>
  <si>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</si>
  <si>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</si>
  <si>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</si>
  <si>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</si>
  <si>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</si>
  <si>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</si>
  <si>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SOM D001020115 - 23. Malware Detection/Protection
2. SOM D001020115 -11. Configuration settings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</si>
  <si>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</si>
  <si>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</si>
  <si>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An attacker may attempt to discover a weak credential by systematically trying every possible combination of letters, numbers, and symbols until it discovers the one correct combination that works.</t>
  </si>
  <si>
    <t xml:space="preserve">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t>
  </si>
  <si>
    <t xml:space="preserve">1. Strong password strength practices is recommended in azure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</si>
  <si>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</si>
  <si>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</si>
  <si>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r>
      <t xml:space="preserve">1. SOM D001020115 - 23. Malware Detection/Protection
2. SOM D001020115 - 16. Transmission confidentiality and integrity
3. SOM D001020115 - 23. Malware Detection/Protection
4. </t>
    </r>
    <r>
      <rPr>
        <sz val="11"/>
        <color rgb="FF000000"/>
        <rFont val="Cambria"/>
        <family val="1"/>
      </rPr>
      <t xml:space="preserve"> </t>
    </r>
    <r>
      <rPr>
        <sz val="11"/>
        <color rgb="FF00000A"/>
        <rFont val="Cambria"/>
        <family val="1"/>
      </rPr>
      <t>SRS D001020024 -2.17.2The Application shall provide secure tunnel Communications channel</t>
    </r>
  </si>
  <si>
    <t>1) This threat may hamper digital or physical resources, infractructure and end points
2) Get the user (employee/ client/ customer) to download malware, send money or perform actions that are dangerous.</t>
  </si>
  <si>
    <t>Adjacent Network</t>
  </si>
  <si>
    <t>Stryker IT team responsibility
1. Ignore/Delete any request seeking for personal info from 3rd parties
2. Statefull firewall
3. Disable device network discoverable
4. Maintain access control (read/modify) permission list for any sensitive &amp; unencrypted data if present.</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</si>
  <si>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</si>
  <si>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</si>
  <si>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</si>
  <si>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Audit/System log:
All the information needed for identifying the threat (malicious) activity and adversary information needed to be logged for determining the attack vector and attack surface. This helps to make the system less vulnerable in future by correcting those issues.</t>
  </si>
  <si>
    <t>Audit/System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Audit/System log should be secured from unauthorized access.</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</si>
  <si>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</si>
  <si>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</si>
  <si>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</si>
  <si>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</si>
  <si>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</si>
  <si>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</si>
  <si>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</si>
  <si>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</si>
  <si>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</si>
  <si>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</si>
  <si>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</si>
  <si>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</si>
  <si>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</si>
  <si>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</si>
  <si>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</si>
  <si>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</si>
  <si>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</si>
  <si>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</si>
  <si>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</si>
  <si>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</si>
  <si>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</si>
  <si>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</si>
  <si>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</si>
  <si>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</si>
  <si>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</si>
  <si>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</si>
  <si>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</si>
  <si>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</si>
  <si>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</si>
  <si>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</si>
  <si>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</si>
  <si>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</si>
  <si>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</si>
  <si>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</si>
  <si>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</si>
  <si>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</si>
  <si>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</si>
  <si>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</si>
  <si>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</si>
  <si>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</si>
  <si>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</si>
  <si>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</si>
  <si>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</si>
  <si>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</si>
  <si>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</si>
  <si>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</si>
  <si>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</si>
  <si>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</si>
  <si>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</si>
  <si>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</si>
  <si>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</si>
  <si>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</si>
  <si>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</si>
  <si>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</si>
  <si>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</si>
  <si>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</si>
  <si>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</si>
  <si>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</si>
  <si>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</si>
  <si>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</si>
  <si>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</si>
  <si>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</si>
  <si>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</si>
  <si>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</si>
  <si>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</si>
  <si>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</si>
  <si>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</si>
  <si>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</si>
  <si>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</si>
  <si>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</si>
  <si>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</si>
  <si>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</si>
  <si>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</si>
  <si>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</si>
  <si>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</si>
  <si>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</si>
  <si>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</si>
  <si>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</si>
  <si>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</si>
  <si>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</si>
  <si>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</si>
  <si>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</si>
  <si>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</si>
  <si>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</si>
  <si>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</si>
  <si>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t xml:space="preserve">1. Only stryker made/authenticated devices should communicate with smart medic device &amp; tablet
2. Asset should be behind stateful firewall
3.  Use secure tunnel communications channel </t>
  </si>
  <si>
    <t>1. SRS D001020024 - 2.17.8 - Only Stryker made/ authenticated devices should be able to communicate with SM device and tablet.
2. SOM D001020115 - 23. Malware Detection/Protection
3. SRS D001020024 -2.17.2The Application shall provide secure tunnel Communications channel</t>
  </si>
  <si>
    <t xml:space="preserve">1. Only Stryker/HDO authenticated devices should communicate with smart medic device &amp; tablet
2. Asset should be behind stateful firewall
3. Use secure tunnel communications channel </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</si>
  <si>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t>
  </si>
  <si>
    <t xml:space="preserve">1. SRS D001020097 –  2.1.2.3The Application shall have the ‘Remember me’ feature for login credentials and all the data which we shall store inside local storage shall be encrypted.
SAD/SDD-D001020099-6.7 Security
2.SAD/SDD-D001020099-6.7 Security
SRS D001020023-2.13.2System shall store patient id in anonymized fashion.
                                                                                           3.  SRS D001020097 – 2.1.2.1.1 Invalid email or password, only 3 attempts left. 
SRS D001020023-2.1.2.1.1 Invalid hospital code, only 3 attempts left. 
4.SRS D001020097 –2.1.7.1.1 Something went wrong with API operation try again / contact API admin.
SRS D001020023-2.1.4.1.1 Something went wrong with API operation try again / contact API admin.                      </t>
  </si>
  <si>
    <r>
      <t>1. SRS D001020097 –  2.1.2.3The Application shall have the ‘Remember me’ feature for login credentials and all the data which we shall store inside local storage shall be encrypted.
SAD/SDD-D001020099-6.7 Security
2.SAD/SDD-D001020099-6.7 Security
                                                                                           3.  SRS D001020097 – 2.1.2.1.1 Invalid email or password, only 3 attempts left. 
4.SRS D001020097 –2.1.7.1.1 Something went wrong with API operation try again / contact API admin.</t>
    </r>
    <r>
      <rPr>
        <sz val="11"/>
        <color rgb="FF00B0F0"/>
        <rFont val="Cambria"/>
        <family val="1"/>
      </rPr>
      <t xml:space="preserve">
</t>
    </r>
    <r>
      <rPr>
        <sz val="11"/>
        <rFont val="Cambria"/>
        <family val="1"/>
      </rPr>
      <t xml:space="preserve">
          </t>
    </r>
  </si>
  <si>
    <r>
      <t>1.</t>
    </r>
    <r>
      <rPr>
        <sz val="11"/>
        <color rgb="FF00B0F0"/>
        <rFont val="Cambria"/>
        <family val="1"/>
      </rPr>
      <t xml:space="preserve"> </t>
    </r>
    <r>
      <rPr>
        <sz val="11"/>
        <rFont val="Cambria"/>
        <family val="1"/>
      </rPr>
      <t>SRS D001020097 –  2.1.2.3The Application shall have the ‘Remember me’ feature for login credentials and all the data which we shall store inside local storage shall be encrypted.
2. SOM D001020115 - 23. Malware Detection/Protection
3. SAD/SDD-D001020099-6.7 Security
4. SRS D001020097 : 2.25.1 :Application shall have the User Management Screen to configure and manage the users as per the roles.
5.SAD/SDD-D001020099-6.7 Security</t>
    </r>
  </si>
  <si>
    <t>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t>
  </si>
  <si>
    <t xml:space="preserve">1. SRS D001020097 –2.8.1Application shall use APIs to communicate between browser application and the backend.
2. SRS D001020097 –2.8.1Application shall use APIs to communicate between browser application and the backend.
</t>
  </si>
  <si>
    <r>
      <rPr>
        <sz val="11"/>
        <rFont val="Cambria"/>
        <family val="1"/>
      </rPr>
      <t>1. SAD/SDD-D001020099-6.7 Security</t>
    </r>
    <r>
      <rPr>
        <sz val="11"/>
        <color rgb="FF000000"/>
        <rFont val="Cambria"/>
        <family val="1"/>
      </rPr>
      <t xml:space="preserve">
2. SOM D001020115 - 23. Malware Detection/Protection
3. SAD/SDD-D001020099-6.7 Security
4. SOM D001020115 - 05 Access control policy and management
5. SAD/SDD-D001020099-6.7 Security</t>
    </r>
  </si>
  <si>
    <t>1. SOM D001020115 - 23. Malware Detection/Protection
2,3,4. SRS D001020025</t>
  </si>
  <si>
    <t xml:space="preserve">1. SOM D001020115 - 23. Malware Detection/Protection
2,3,4. SRS D001020025
</t>
  </si>
  <si>
    <t>1. SRS D001020025
2. SOM D001020115 - 23. Malware Detection/Protection
3. SRS D001020025</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</si>
  <si>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</si>
  <si>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</si>
  <si>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1.SRS D001020023- 2.1.6.21The application shall allow to assign and edit  patient reference ID to patient.
2. SAD/SDD-D001020099-6.7 Security
Tablet-SDD-D001020040-6.7-Security
NSA-SAD-D001020031-6.7-Security
3.SRS D001020024 -2.23.1 The Application shall have logs of tablet application and firmware (SmartMedic devices).
4.SRS D001020024 -2.23.1 The Application shall have logs of tablet application and firmware (SmartMedic devices).</t>
  </si>
  <si>
    <t>&lt;08 April 2022&gt;</t>
  </si>
  <si>
    <t>Using web app the admin can able to view the functionality of different components existing in the SM platform. Admin app doesnt control any of the system components. Hence the risk associated to the SM platform with admin web app can be ignored.</t>
  </si>
  <si>
    <t>1. SOM D001020115 - 23. Malware Detection/Protection
2. Using web app the admin can able to view the functionality of different components existing in the SM platform. Admin app doesnt control any of the system components. Hence the risk associated to the SM platform with admin web app can be ignored.
3.SRS D001020097 – 2.23.2The Application shall provide facility of audit logs for storing the user activity details.
4.SRS D001020097 –2.17.5The Application shall provide secure tunnel Communications channel</t>
  </si>
  <si>
    <t>The setup &amp; configuration process of azure cloud admin shall be documented and published within the organization for the corresponding teams using the admin portal</t>
  </si>
  <si>
    <t>1,2. SAD - D001020031 - 2.2.1.7 - Cosmos DB
3. Have to be closed before DR-8</t>
  </si>
  <si>
    <t>1. SRS D001020023- 2.17.3 Generic messages should be displayed upon validation of credentials to mitigate the risk of account harvesting and enumeration.
2. SAD - D001020031 - 2.2.1.7 - Cosmos DB                                                                                          3. Have to be closed before DR-8</t>
  </si>
  <si>
    <t>1. SAD - D001020031 - 2.2.1.7 - Cosmos DB
2. SAD - D001020031 - 2.2.1.7 - Cosmos DB                                                                                        3. Have to be closed before DR-8</t>
  </si>
  <si>
    <t>1. Using web app the admin can able to view the functionality of different components existing in the SM platform. Admin app doesnt control any of the system components. Hence the risk associated to the SM platform with admin web app can be ignored.
2. SOM D001020115 - 23. Malware Detection/Protection
3.SRS D001020097 –2.1.7.2
The application shall allow to upgrade the tablet application.
4. SRS D001020097 - 2.1.2.4 - Never create/use credentials with personal details such as date of birth, spouse, or child’s or pet’s name
5.SOM D001020115 - 23. Malware Detection/Protection</t>
  </si>
  <si>
    <r>
      <rPr>
        <sz val="11"/>
        <rFont val="Cambria"/>
        <family val="1"/>
      </rPr>
      <t>1. Have to be closed before DR-8</t>
    </r>
    <r>
      <rPr>
        <sz val="11"/>
        <color rgb="FF000000"/>
        <rFont val="Cambria"/>
        <family val="1"/>
      </rPr>
      <t xml:space="preserve">
2. SAD/SDD-D001020099-6.7 Security
3. SRS D001020097  -2.17.4 The Application shall establish technical controls to mitigate the potential for compromise to the integrity and confidentiality of health data stored on the product or removable media
Since admin application shall be hosted as an independent azure web app and it shall have no open ports until there is explicit requirement.
4. SRS D001020097 : 2.25.1 :Application shall have the User Management Screen to configure and manage the users as per the roles.
5. SOM D001020115 - 23. Malware Detection/Protection</t>
    </r>
  </si>
  <si>
    <r>
      <rPr>
        <sz val="11"/>
        <rFont val="Cambria"/>
        <family val="1"/>
      </rPr>
      <t>1. Have to be closed before DR-8</t>
    </r>
    <r>
      <rPr>
        <sz val="11"/>
        <color rgb="FF000000"/>
        <rFont val="Cambria"/>
        <family val="1"/>
        <charset val="1"/>
      </rPr>
      <t xml:space="preserve">
2. SRS D001020097 – 2.1.2.6 The Application shall be validated by using invisible captcha during login.
3. SRS D001020097 – 2.1.2.1.1 Invalid email or password, only 3 attempts left. </t>
    </r>
    <r>
      <rPr>
        <sz val="11"/>
        <color rgb="FF00B0F0"/>
        <rFont val="Cambria"/>
        <family val="1"/>
      </rPr>
      <t xml:space="preserve">
</t>
    </r>
    <r>
      <rPr>
        <sz val="11"/>
        <color rgb="FF000000"/>
        <rFont val="Cambria"/>
        <family val="1"/>
        <charset val="1"/>
      </rPr>
      <t xml:space="preserve">
4. SRS D001020097 - 2.23.2 - Audit logs 
5. SRS D001020097 - 2.23.2 - Audit logs                                                                                     
                                                                                           6. SAD/SDD-D001020099-6.7 Security"</t>
    </r>
  </si>
  <si>
    <t>Have to be closed before DR-8</t>
  </si>
  <si>
    <t>1. Have to be closed before DR-8
2. SRS D001020024 - 2.17.8 - Only Stryker made/ authenticated devices should be able to communicate with SM device and tablet.
3. SRS D001020024 - 2.17.8 - Only Stryker made/ authenticated devices should be able to communicate with SM device and tablet.</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</si>
  <si>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6.SAD/SDD-D001020099-6.7 Security</t>
  </si>
  <si>
    <t>1.Have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</si>
  <si>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1. Have to be closed before DR-8
2.SRS D001020023-2.1.2.2 If the Hospital Code is valid, then on pressing the PROCEED button, the application shall be validated by the invisible captcha
SRS D001020097 – 2.1.2.6 The Application shall be validated by using invisible captcha during login.
3.SRS D001020097 – 2.1.2.1.1 Invalid email or password, only 3 attempts left. 
SRS D001020023-2.1.2.1.1 Invalid hospital code, only 3 attempts left. 
4. SRS D001020097 - 2.23.2 - Audit logs 
5. SRS D001020097 - 2.23.2 - Audit logs 
6.SAD/SDD-D001020099-6.7 Security</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</si>
  <si>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</si>
  <si>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r>
      <rPr>
        <sz val="11"/>
        <rFont val="Cambria"/>
        <family val="1"/>
      </rPr>
      <t>1. Have to be closed before DR-8</t>
    </r>
    <r>
      <rPr>
        <sz val="11"/>
        <color rgb="FF000000"/>
        <rFont val="Cambria"/>
        <family val="1"/>
        <charset val="1"/>
      </rPr>
      <t xml:space="preserv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r>
  </si>
  <si>
    <t>Device maintainence tool not implemented/existing in the SM platform.</t>
  </si>
  <si>
    <t>The setup &amp; configuration process of azure cloud &amp; admin shall be documented and published within the organization for the corresponding teams using the admin portal</t>
  </si>
  <si>
    <t>1. The setup &amp; configuration process of azure cloud &amp; admin shall be documented and published within the organization for the corresponding teams using the admin portal
2 - SAD - D001020031 - 2.2.1.7 - Cosmos DB                                                                                          3. The setup &amp; configuration process of azure cloud &amp; admin shall be documented and published within the organization for the corresponding teams using the admin portal</t>
  </si>
  <si>
    <t xml:space="preserve">1. Have to be closed before DR-8
2.SRS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4.SRS D001020097 – 2.23.2 The Application shall provide facility of audit logs for storing the user activity details.
</t>
  </si>
  <si>
    <r>
      <rPr>
        <sz val="11"/>
        <rFont val="Cambria"/>
        <family val="1"/>
      </rPr>
      <t xml:space="preserve">1.SRS D001020023-2.1.2.2 If the Hospital Code is valid, then on pressing the PROCEED button, the application shall be validated by the invisible captcha
SRS D001020097 – 2.1.2.6 The Application shall be validated by using invisible captcha during login
</t>
    </r>
    <r>
      <rPr>
        <sz val="11"/>
        <color rgb="FF000000"/>
        <rFont val="Cambria"/>
        <family val="1"/>
      </rPr>
      <t xml:space="preserve">
2. SAD D001020032 5.3 TCP/IP Communication 
3. Have to be closed before DR-8</t>
    </r>
  </si>
  <si>
    <t>1. Have to be closed before DR-8
2. SOM D001020115 - 23. Malware Detection/Protection
3.  SAD/SDD-D001020099-6.7 Security
SRS D001020023-2.13.2System shall store patient id in anonymized fashion.
4.SAD/SDD-D001020099-6.7 Security
5.SAD/SDD-D001020099-6.7 Security
SRS D001020023-2.13.2System shall store patient id in anonymized fashion.</t>
  </si>
  <si>
    <t xml:space="preserve">1. Have to be closed before DR-8
2. SRS D001020097 – 2.1.2.6 The Application shall be validated by using an invisible captcha during login.
3. SRS D001020097 – 2.1.2.1.1 Invalid email or password, only 3 attempts left. 
SRS D001020023-2.1.2.1.1 Invalid hospital code, only 3 attempts left. 
4. SRS D001020097 - 2.23.2 - Audit logs 
5. SRS D001020097 - 2.23.2 - Audit logs                                                                                     
</t>
  </si>
  <si>
    <t>Pragya Nidhi</t>
  </si>
  <si>
    <t xml:space="preserve">Test Engineering </t>
  </si>
  <si>
    <t>Design Engineering R&amp;D (Software)</t>
  </si>
  <si>
    <t>Initial Release DR1-4 Document was reviewed but not approved and archived, thus archiving</t>
  </si>
  <si>
    <t>NA</t>
  </si>
  <si>
    <t>SmartMedic Phase II</t>
  </si>
  <si>
    <t xml:space="preserve">&lt;Author Name / Function / Organization&gt; Deepak Sharma / Design Engineering R&amp;D  Software
&lt;Author Name / Function / Organization&gt; </t>
  </si>
  <si>
    <t>Document updated as per DR5-7 requirements
-Security Controls/Mitigations
-Security Risk Control Measures
-Implementation of Risk Control Measures
-Verification of Risk Control Measures
(Effectiveness)</t>
  </si>
  <si>
    <t>Penetration Testing Protocol Document #: D001020037: 
1) DSTC001: GSL-STC-001 
2) DSTC001: GSL-STC-002
3) DSTC001: GSL-STC-003
4) DSTC001 - GSL-STC-004</t>
  </si>
  <si>
    <t>Penetration Testing Protocol Document #: D001020037: 
1) DSTC001: GSL-STC-001
NA</t>
  </si>
  <si>
    <t>Penetration Testing Protocol Document #: D001020037: 
1) DSTC001: GSL-STC-001
NA</t>
  </si>
  <si>
    <t>Penetration Testing Protocol Document #: D001020037: 
1) DSTC001: GSL-STC-001 
2) DSTC001: GSL-STC-002
3) DSTC001: GSL-STC-003
4) DSTC001 - GSL-STC-004</t>
  </si>
  <si>
    <t>Penetration Testing Protocol Document #: D001020037: 
1) DSTC001: GSL-STC-028</t>
  </si>
  <si>
    <t>Penetration Testing Protocol Document #: D001020037: 
1) DSTC001: GSL-STC-001 
2) DSTC001: GSL-STC-002
3) DSTC001: GSL-STC-003
4) DSTC001 - GSL-STC-004</t>
  </si>
  <si>
    <t>Penetration Testing Protocol Document #: D001020037: 
1) DSTC001: GSL-STC-001 
1) DSTC001: GSL-STC-017</t>
  </si>
  <si>
    <t xml:space="preserve">Penetration Testing Protocol Document #: D001020037: 
1) DSTC001: GSL-STC-001
2) DSTC001: GSL-STC-029
3) DSTC001: GSL-STC-019
4) DSTC001: GSL-STC-004
</t>
  </si>
  <si>
    <t xml:space="preserve">Penetration Testing Protocol Document #: D001020037: 
1) DSTC001: GSL-STC-010
2) DSTC001: GSL-STC-001
3) DSTC001: GSL-STC-004
</t>
  </si>
  <si>
    <t>Penetration Testing Protocol Document #: D001020037: 
NA
2) DSTC001: GSL-STC-001
NA</t>
  </si>
  <si>
    <t xml:space="preserve">Penetration Testing Protocol Document #: D001020037: 
1) DSTC001: GSL-STC-029
2) DSTC001: GSL-STC-001
3) DSTC001: GSL-STC-022
4) DSTC001: GSL-STC-023
5) DSTC001: GSL-STC-001
</t>
  </si>
  <si>
    <t xml:space="preserve">Penetration Testing Protocol Document #: D001020037: 
1) DSTC001: GSL-STC-006
2) DSTC001: GSL-STC-001
3) DSTC001: GSL-STC-006
4) DSTC001: GSL-STC-017
5) DSTC001: GSL-STC-006
</t>
  </si>
  <si>
    <t xml:space="preserve">Penetration Testing Protocol Document #: D001020037: 
1) DSTC001: GSL-STC-033
2) DSTC001: GSL-STC-006
3) DSTC001: GSL-STC-007
4) DSTC001: GSL-STC-008
5) DSTC001: GSL-STC-001
</t>
  </si>
  <si>
    <t xml:space="preserve">Penetration Testing Protocol Document #: D001020037: 
1) DSTC001: GSL-STC-029
2) DSTC001: GSL-STC-024
3) DSTC001: GSL-STC-025
4) DSTC001: GSL-STC-009
5) DSTC001: GSL-STC-014
6) DSTC001: GSL-STC-019
</t>
  </si>
  <si>
    <t xml:space="preserve">Penetration Testing Protocol Document #: D001020037: 
1) DSTC001: GSL-STC-029
2) DSTC001: GSL-STC-024
3) DSTC001: GSL-STC-025
4) DSTC001: GSL-STC-009
5) DSTC001: GSL-STC-014
6) DSTC001: GSL-STC-031
7) DSTC001: GSL-STC-006
</t>
  </si>
  <si>
    <t>Penetration Testing Protocol Document #: D001020037: 
1) DSTC001: GSL-STC-012
2) DSTC001: GSL-STC-006
3) DSTC001: GSL-STC-006
4) DSTC001: GSL-STC-013
5) DSTC001: GSL-STC-009
6) DSTC001: GSL-STC-014
7) DSTC001: GSL-STC-015
8)DSTC001: GSL-STC-015</t>
  </si>
  <si>
    <t xml:space="preserve">Penetration Testing Protocol Document #: D001020037: 
1) DSTC001: GSL-STC-012
2) DSTC001: GSL-STC-006
3) DSTC001: GSL-STC-006
4) DSTC001: GSL-STC-009
5) DSTC001: GSL-STC-015
</t>
  </si>
  <si>
    <t xml:space="preserve">Penetration Testing Protocol Document #: D001020037: 
1) DSTC001: GSL-STC-029
</t>
  </si>
  <si>
    <t>Penetration Testing Protocol Document #: D001020037: 
1) DSTC001: GSL-STC-001 
2) DSTC001: GSL-STC-002
3) DSTC001: GSL-STC-003
4) DSTC001: GSL-STC-004</t>
  </si>
  <si>
    <t xml:space="preserve">Penetration Testing Protocol Document #: D001020037: 
1) DSTC001: GSL-STC-029
2) DSTC001: GSL-STC-024
3) DSTC001: GSL-STC-025
4) DSTC001: GSL-STC-009
5) DSTC001: GSL-STC-014
6) DSTC001: GSL-STC-031
7) DSTC001: GSL-STC-031
8) DSTC001: GSL-STC-006
</t>
  </si>
  <si>
    <t xml:space="preserve">Penetration Testing Protocol Document #: D001020037: 
1) DSTC001: GSL-STC-033
2) DSTC001: GSL-STC-024
3) DSTC001: GSL-STC-025
4) DSTC001: GSL-STC-009
5) DSTC001: GSL-STC-014
6) DSTC001: GSL-STC-031
7) DSTC001: GSL-STC-031
8) DSTC001: GSL-STC-006
</t>
  </si>
  <si>
    <t>Penetration Testing Protocol Document #: D001020037: 
1) DSTC001: GSL-STC-001 
2) DSTC001: GSL-STC-002
3) DSTC001: GSL-STC-003
4) DSTC001 - GSL-STC-004</t>
  </si>
  <si>
    <t>Penetration Testing Protocol Document #: D001020037: 
1) DSTC001: GSL-STC-024
2) DSTC001: GSL-STC-025
3) DSTC001: GSL-STC-026
4) DSTC001: GSL-STC-029</t>
  </si>
  <si>
    <t>Penetration Testing Protocol Document #: D001020037: 
1) DSTC001: GSL-STC-029</t>
  </si>
  <si>
    <t>Penetration Testing Protocol Document #: D001020037: 
1) DSTC001: GSL-STC-001 
2) DSTC001: GSL-STC-002
3) DSTC001: GSL-STC-003
4) DSTC001 - GSL-STC-004</t>
  </si>
  <si>
    <t xml:space="preserve">Penetration Testing Protocol Document #: D001020037: 
1) DSTC001: GSL-STC-012
2) DSTC001: GSL-STC-001
3) DSTC001: GSL-STC-006
4) DSTC001: GSL-STC-008
5) DSTC001: GSL-STC-006
</t>
  </si>
  <si>
    <t xml:space="preserve">Penetration Testing Protocol Document #: D001020037: 
1) DSTC001: GSL-STC-004
2) DSTC001: GSL-STC-004
3) DSTC001: GSL-STC-016
4) DSTC001: GSL-STC-001
5) DSTC001: GSL-STC-017
6) DSTC001: GSL-STC-006
</t>
  </si>
  <si>
    <t xml:space="preserve">Penetration Testing Protocol Document #: D001020037: 
1) DSTC001: GSL-STC-020
2) DSTC001: GSL-STC-017
3) DSTC001: GSL-STC-006
4) DSTC001: GSL-STC-006
5) DSTC001: GSL-STC-006
6) DSTC001: GSL-STC-004
7) DSTC001: GSL-STC-004
8) DSTC001: GSL-STC-021
9) DSTC001: GSL-STC-006
</t>
  </si>
  <si>
    <t xml:space="preserve">Penetration Testing Protocol Document #: D001020037: 
1) DSTC001: GSL-STC-001
2) DSTC001: GSL-STC-016
3) DSTC001: GSL-STC-001
4) DSTC001: GSL-STC-004
</t>
  </si>
  <si>
    <t xml:space="preserve">Penetration Testing Protocol Document #: D001020037: 
1) DSTC001: GSL-STC-011
2) DSTC001: GSL-STC-011
</t>
  </si>
  <si>
    <t xml:space="preserve">Penetration Testing Protocol Document #: D001020037: 
1) DSTC001: GSL-STC-005
2) DSTC001: GSL-STC-006
3) DSTC001: GSL-STC-006
4) DSTC001: GSL-STC-006
5) DSTC001: GSL-STC-003
6) DSTC001: GSL-STC-003
</t>
  </si>
  <si>
    <t xml:space="preserve">Penetration Testing Protocol Document #: D001020037: 
1) DSTC001: GSL-STC-004
2) DSTC001: GSL-STC-006
3) DSTC001: GSL-STC-001
4) DSTC001: GSL-STC-017
</t>
  </si>
  <si>
    <t xml:space="preserve">Penetration Testing Protocol Document #: D001020037: 
1) DSTC001: GSL-STC-029
2) DSTC001: GSL-STC-001
3) DSTC001: GSL-STC-006
4) DSTC001: GSL-STC-013
5) DSTC001: GSL-STC-006
6) DSTC001: GSL-STC-006
7) DSTC001: GSL-STC-013
</t>
  </si>
  <si>
    <t xml:space="preserve">Penetration Testing Protocol Document #: D001020037: 
1) DSTC001: GSL-STC-033
2) DSTC001: GSL-STC-02
3) DSTC001: GSL-STC-025
4) DSTC001: GSL-STC-009
5) DSTC001: GSL-STC-014
6) DSTC001: GSL-STC-031
7) DSTC001: GSL-STC-031
8) DSTC001: GSL-STC-006
</t>
  </si>
  <si>
    <t>Penetration Testing Protocol Document #: D001020037: 
1) DSTC001: GSL-STC-001
1) DSTC001: GSL-STC-032</t>
  </si>
  <si>
    <t xml:space="preserve">Penetration Testing Protocol Document #: D001020037: 
1) DSTC001: GSL-STC-004
2) DSTC001: GSL-STC-004
3) DSTC001: GSL-STC-016
4) DSTC001: GSL-STC-001
5) DSTC001: GSL-STC-017
6) DSTC001: GSL-STC-006
</t>
  </si>
  <si>
    <t xml:space="preserve">Penetration Testing Protocol Document #: D001020037: 
1) DSTC001: GSL-STC-029
2) DSTC001: GSL-STC-025
3) DSTC001: GSL-STC-009
4) DSTC001: GSL-STC-014
5) DSTC001: GSL-STC-031
6) DSTC001: GSL-STC-031
</t>
  </si>
  <si>
    <t xml:space="preserve">Penetration Testing Protocol Document #: D001020037: 
1) DSTC001: GSL-STC-033
2) DSTC001: GSL-STC-024
3) DSTC001: GSL-STC-025
4) DSTC001: GSL-STC-031
5) DSTC001: GSL-STC-031
6) DSTC001: GSL-STC-006
</t>
  </si>
  <si>
    <t xml:space="preserve">Penetration Testing Protocol Document #: D001020037: 
1) DSTC001: GSL-STC-027
2) DSTC001: GSL-STC-029
</t>
  </si>
  <si>
    <t xml:space="preserve">Penetration Testing Protocol Document #: D001020037: 
1) DSTC001: GSL-STC-027
2) DSTC001: GSL-STC-027
3) DSTC001: GSL-STC-029
</t>
  </si>
  <si>
    <t xml:space="preserve">Penetration Testing Protocol Document #: D001020037: 
1) DSTC001: GSL-STC-018
2) DSTC001: GSL-STC-027
3) DSTC001: GSL-STC-029
</t>
  </si>
  <si>
    <t xml:space="preserve">Penetration Testing Protocol Document #: D001020037: 
1) DSTC001: GSL-STC-026 </t>
  </si>
  <si>
    <t xml:space="preserve">Penetration Testing Protocol Document #: D001020037: 
1) DSTC001: GSL-STC-030
2) DSTC001: GSL-STC-010
3) DSTC001: GSL-STC-010
</t>
  </si>
  <si>
    <t>Penetration Testing Protocol Document #: D001020037:
1) DSTC001: GSL-STC-001 
2) DSTC001: GSL-STC-002
3) DSTC001: GSL-STC-003
4) DSTC001 - GSL-STC-004</t>
  </si>
  <si>
    <t xml:space="preserve">Penetration Testing Protocol Document #: D001020037: 
1) DSTC001: GSL-STC-033
2) DSTC001: GSL-STC-024
3) DSTC001: GSL-STC-025
4) DSTC001: GSL-STC-009
5) DSTC001: GSL-STC-014
6) DSTC001: GSL-STC-031
7) DSTC001: GSL-STC-031
8) DSTC001: GSL-STC-006
</t>
  </si>
  <si>
    <t xml:space="preserve">1) Malicious utilization of  computer resources
2) computing power  
3) denial of service attacks, 
4) ransomware attack 
5) Bitcoin mining,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</si>
</sst>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color rgb="FF00000A"/>
      <name val="Cambria"/>
      <family val="1"/>
    </font>
    <font>
      <sz val="11"/>
      <name val="Cambria"/>
      <family val="1"/>
      <charset val="1"/>
    </font>
    <font>
      <sz val="11"/>
      <color rgb="FF000000"/>
      <name val="Cambria"/>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
      <sz val="11"/>
      <color rgb="FF00B0F0"/>
      <name val="Cambria"/>
      <family val="1"/>
    </font>
  </fonts>
  <fills count="29">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C65911"/>
        <bgColor indexed="64"/>
      </patternFill>
    </fill>
    <fill>
      <patternFill patternType="solid">
        <fgColor rgb="FFFFFFFF"/>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6" fillId="0" borderId="0"/>
    <xf numFmtId="0" fontId="36" fillId="0" borderId="0"/>
    <xf numFmtId="0" fontId="3" fillId="0" borderId="0"/>
    <xf numFmtId="0" fontId="3" fillId="0" borderId="0"/>
  </cellStyleXfs>
  <cellXfs count="270">
    <xf numFmtId="0" fontId="0" fillId="0" borderId="0" xfId="0"/>
    <xf numFmtId="0" fontId="4" fillId="0" borderId="0" xfId="0" applyFont="1" applyAlignment="1">
      <alignment vertical="top" wrapText="1"/>
    </xf>
    <xf numFmtId="0" fontId="5" fillId="0" borderId="0" xfId="0" applyFont="1" applyAlignment="1">
      <alignment vertical="top"/>
    </xf>
    <xf numFmtId="0" fontId="6" fillId="0" borderId="0" xfId="0" applyFont="1" applyAlignment="1">
      <alignment vertical="top" wrapText="1"/>
    </xf>
    <xf numFmtId="0" fontId="5" fillId="2" borderId="1" xfId="0" applyFont="1" applyFill="1" applyBorder="1" applyAlignment="1">
      <alignment vertical="top"/>
    </xf>
    <xf numFmtId="0" fontId="5" fillId="2" borderId="2" xfId="0" applyFont="1" applyFill="1" applyBorder="1" applyAlignment="1">
      <alignment vertical="top" wrapText="1"/>
    </xf>
    <xf numFmtId="0" fontId="6" fillId="0" borderId="3" xfId="0" applyFont="1" applyBorder="1" applyAlignment="1">
      <alignment horizontal="left" vertical="top" wrapText="1"/>
    </xf>
    <xf numFmtId="0" fontId="5" fillId="2" borderId="4" xfId="0" applyFont="1" applyFill="1" applyBorder="1" applyAlignment="1">
      <alignment vertical="top"/>
    </xf>
    <xf numFmtId="0" fontId="5" fillId="2" borderId="5" xfId="0" applyFont="1" applyFill="1" applyBorder="1" applyAlignment="1">
      <alignment vertical="top" wrapText="1"/>
    </xf>
    <xf numFmtId="0" fontId="7" fillId="3" borderId="3" xfId="0" applyFont="1" applyFill="1" applyBorder="1" applyAlignment="1">
      <alignment horizontal="left" vertical="top"/>
    </xf>
    <xf numFmtId="0" fontId="6" fillId="2" borderId="2" xfId="0" applyFont="1" applyFill="1" applyBorder="1" applyAlignment="1">
      <alignment vertical="top" wrapText="1"/>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4" xfId="0" applyFont="1" applyFill="1" applyBorder="1" applyAlignment="1">
      <alignment horizontal="center" vertical="top" wrapText="1"/>
    </xf>
    <xf numFmtId="0" fontId="6" fillId="0" borderId="2" xfId="0" applyFont="1" applyBorder="1" applyAlignment="1">
      <alignment horizontal="center" vertical="top" wrapText="1"/>
    </xf>
    <xf numFmtId="0" fontId="8" fillId="0" borderId="3" xfId="0" applyFont="1" applyBorder="1" applyAlignment="1">
      <alignment horizontal="center" vertical="top" wrapText="1"/>
    </xf>
    <xf numFmtId="0" fontId="8" fillId="0" borderId="3" xfId="0" applyFont="1" applyBorder="1" applyAlignment="1">
      <alignment horizontal="left" vertical="top" wrapText="1"/>
    </xf>
    <xf numFmtId="0" fontId="8" fillId="0" borderId="3" xfId="0" applyFont="1" applyBorder="1" applyAlignment="1">
      <alignment vertical="top" wrapText="1"/>
    </xf>
    <xf numFmtId="0" fontId="6" fillId="0" borderId="3" xfId="0" applyFont="1" applyBorder="1" applyAlignment="1">
      <alignment horizontal="center" vertical="top" wrapText="1"/>
    </xf>
    <xf numFmtId="0" fontId="6" fillId="0" borderId="3" xfId="0" applyFont="1" applyBorder="1" applyAlignment="1">
      <alignment vertical="top" wrapText="1"/>
    </xf>
    <xf numFmtId="0" fontId="6" fillId="0" borderId="7" xfId="0" applyFont="1" applyBorder="1" applyAlignment="1">
      <alignment horizontal="center" vertical="top" wrapText="1"/>
    </xf>
    <xf numFmtId="0" fontId="6" fillId="0" borderId="7" xfId="0" applyFont="1" applyBorder="1" applyAlignment="1">
      <alignment vertical="top" wrapText="1"/>
    </xf>
    <xf numFmtId="0" fontId="9" fillId="0" borderId="0" xfId="0" applyFont="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0" fontId="6" fillId="0" borderId="0" xfId="0" applyFont="1" applyAlignment="1">
      <alignment vertical="top"/>
    </xf>
    <xf numFmtId="0" fontId="7" fillId="5" borderId="5" xfId="0" applyFont="1" applyFill="1" applyBorder="1" applyAlignment="1">
      <alignment vertical="top"/>
    </xf>
    <xf numFmtId="0" fontId="7" fillId="5" borderId="6" xfId="0" applyFont="1" applyFill="1" applyBorder="1" applyAlignment="1">
      <alignment horizontal="center" vertical="top" wrapText="1"/>
    </xf>
    <xf numFmtId="0" fontId="7" fillId="5" borderId="6" xfId="0" applyFont="1" applyFill="1" applyBorder="1" applyAlignment="1">
      <alignment horizontal="center" vertical="top"/>
    </xf>
    <xf numFmtId="0" fontId="6" fillId="0" borderId="5" xfId="0" applyFont="1" applyBorder="1" applyAlignment="1">
      <alignment vertical="top"/>
    </xf>
    <xf numFmtId="0" fontId="6" fillId="0" borderId="6" xfId="0" applyFont="1" applyBorder="1" applyAlignment="1">
      <alignment vertical="top" wrapText="1"/>
    </xf>
    <xf numFmtId="0" fontId="6" fillId="0" borderId="2" xfId="0" applyFont="1" applyBorder="1" applyAlignment="1">
      <alignment vertical="top"/>
    </xf>
    <xf numFmtId="0" fontId="6" fillId="6" borderId="10" xfId="0" applyFont="1" applyFill="1" applyBorder="1" applyAlignment="1">
      <alignment horizontal="left" vertical="top"/>
    </xf>
    <xf numFmtId="0" fontId="6" fillId="6" borderId="10" xfId="0" applyFont="1" applyFill="1" applyBorder="1" applyAlignment="1">
      <alignment horizontal="left" vertical="top" wrapText="1"/>
    </xf>
    <xf numFmtId="0" fontId="6" fillId="0" borderId="2" xfId="0" applyFont="1" applyBorder="1" applyAlignment="1">
      <alignment vertical="top" wrapText="1"/>
    </xf>
    <xf numFmtId="0" fontId="6" fillId="0" borderId="3" xfId="0" applyFont="1" applyBorder="1" applyAlignment="1">
      <alignment vertical="top"/>
    </xf>
    <xf numFmtId="0" fontId="6" fillId="0" borderId="9" xfId="0" applyFont="1" applyBorder="1" applyAlignment="1">
      <alignment vertical="top" wrapText="1"/>
    </xf>
    <xf numFmtId="0" fontId="6" fillId="0" borderId="7" xfId="0" applyFont="1" applyBorder="1" applyAlignment="1">
      <alignment vertical="top"/>
    </xf>
    <xf numFmtId="0" fontId="6" fillId="4" borderId="9" xfId="0" applyFont="1" applyFill="1" applyBorder="1" applyAlignment="1">
      <alignment vertical="top"/>
    </xf>
    <xf numFmtId="0" fontId="6" fillId="4" borderId="2" xfId="0" applyFont="1" applyFill="1" applyBorder="1" applyAlignment="1">
      <alignment vertical="top"/>
    </xf>
    <xf numFmtId="0" fontId="6" fillId="6" borderId="2" xfId="0" applyFont="1" applyFill="1" applyBorder="1" applyAlignment="1">
      <alignment horizontal="left" vertical="top"/>
    </xf>
    <xf numFmtId="0" fontId="6" fillId="6" borderId="3" xfId="0" applyFont="1" applyFill="1" applyBorder="1" applyAlignment="1">
      <alignment horizontal="left" vertical="top" wrapText="1"/>
    </xf>
    <xf numFmtId="0" fontId="6" fillId="6" borderId="3" xfId="0" applyFont="1" applyFill="1" applyBorder="1" applyAlignment="1">
      <alignment horizontal="left" vertical="top"/>
    </xf>
    <xf numFmtId="0" fontId="0" fillId="0" borderId="0" xfId="0" applyAlignment="1">
      <alignment horizontal="center" vertical="top"/>
    </xf>
    <xf numFmtId="0" fontId="6" fillId="0" borderId="0" xfId="0" applyFont="1" applyAlignment="1">
      <alignment horizontal="center" vertical="top"/>
    </xf>
    <xf numFmtId="0" fontId="7" fillId="5" borderId="4" xfId="0" applyFont="1" applyFill="1" applyBorder="1" applyAlignment="1">
      <alignment horizontal="center" vertical="top" wrapText="1"/>
    </xf>
    <xf numFmtId="0" fontId="6" fillId="0" borderId="11" xfId="0" applyFont="1" applyBorder="1" applyAlignment="1">
      <alignment horizontal="center" vertical="top" wrapText="1"/>
    </xf>
    <xf numFmtId="0" fontId="6" fillId="0" borderId="3" xfId="2" applyFont="1" applyBorder="1" applyAlignment="1">
      <alignment vertical="top" wrapText="1"/>
    </xf>
    <xf numFmtId="0" fontId="6" fillId="0" borderId="3" xfId="0" applyFont="1" applyBorder="1" applyAlignment="1">
      <alignment horizontal="center" vertical="top"/>
    </xf>
    <xf numFmtId="0" fontId="6" fillId="0" borderId="1" xfId="0" applyFont="1" applyBorder="1" applyAlignment="1">
      <alignment vertical="top"/>
    </xf>
    <xf numFmtId="0" fontId="8" fillId="0" borderId="0" xfId="0" applyFont="1" applyAlignment="1">
      <alignment vertical="top"/>
    </xf>
    <xf numFmtId="0" fontId="6" fillId="4" borderId="11" xfId="0" applyFont="1" applyFill="1" applyBorder="1" applyAlignment="1">
      <alignment horizontal="center" vertical="top" wrapText="1"/>
    </xf>
    <xf numFmtId="0" fontId="6" fillId="4" borderId="3" xfId="0" applyFont="1" applyFill="1" applyBorder="1" applyAlignment="1">
      <alignment vertical="top" wrapText="1"/>
    </xf>
    <xf numFmtId="0" fontId="6" fillId="4" borderId="7" xfId="0" applyFont="1" applyFill="1" applyBorder="1" applyAlignment="1">
      <alignment horizontal="center" vertical="top" wrapText="1"/>
    </xf>
    <xf numFmtId="0" fontId="6" fillId="0" borderId="7" xfId="0" applyFont="1" applyBorder="1" applyAlignment="1">
      <alignment horizontal="center" vertical="top"/>
    </xf>
    <xf numFmtId="0" fontId="6"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6" fillId="0" borderId="0" xfId="0" applyFont="1" applyAlignment="1">
      <alignment horizontal="center" vertical="center"/>
    </xf>
    <xf numFmtId="0" fontId="6" fillId="0" borderId="0" xfId="0" applyFont="1"/>
    <xf numFmtId="0" fontId="6" fillId="0" borderId="0" xfId="0" applyFont="1" applyAlignment="1">
      <alignment wrapText="1"/>
    </xf>
    <xf numFmtId="0" fontId="5" fillId="7" borderId="7" xfId="0" applyFont="1" applyFill="1" applyBorder="1" applyAlignment="1">
      <alignment vertical="center" wrapText="1"/>
    </xf>
    <xf numFmtId="0" fontId="5" fillId="7" borderId="12" xfId="0" applyFont="1" applyFill="1" applyBorder="1" applyAlignment="1">
      <alignment horizontal="center" vertical="center" wrapText="1"/>
    </xf>
    <xf numFmtId="0" fontId="5" fillId="7" borderId="12" xfId="0" applyFont="1" applyFill="1" applyBorder="1" applyAlignment="1">
      <alignment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vertical="center" wrapText="1"/>
    </xf>
    <xf numFmtId="0" fontId="7" fillId="10" borderId="3" xfId="0" applyFont="1" applyFill="1" applyBorder="1" applyAlignment="1">
      <alignment horizontal="center" vertical="center" wrapText="1"/>
    </xf>
    <xf numFmtId="0" fontId="7" fillId="7" borderId="6" xfId="0" applyFont="1" applyFill="1" applyBorder="1" applyAlignment="1">
      <alignment vertical="center" wrapText="1"/>
    </xf>
    <xf numFmtId="0" fontId="10" fillId="7" borderId="13"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11" fillId="8" borderId="15" xfId="0" applyFont="1" applyFill="1" applyBorder="1" applyAlignment="1">
      <alignment horizontal="center" vertical="center" textRotation="90" wrapText="1"/>
    </xf>
    <xf numFmtId="0" fontId="7" fillId="8" borderId="15"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11" fillId="10" borderId="9" xfId="0" applyFont="1" applyFill="1" applyBorder="1" applyAlignment="1">
      <alignment horizontal="center" vertical="center" textRotation="90" wrapText="1"/>
    </xf>
    <xf numFmtId="0" fontId="7" fillId="10" borderId="8" xfId="0" applyFont="1" applyFill="1" applyBorder="1" applyAlignment="1">
      <alignment horizontal="center" vertical="center" wrapText="1"/>
    </xf>
    <xf numFmtId="0" fontId="6" fillId="0" borderId="6" xfId="0" applyFont="1" applyBorder="1" applyAlignment="1">
      <alignment horizontal="center" vertical="top"/>
    </xf>
    <xf numFmtId="0" fontId="6" fillId="0" borderId="6" xfId="0" applyFont="1" applyBorder="1" applyAlignment="1">
      <alignment horizontal="center" vertical="center"/>
    </xf>
    <xf numFmtId="0" fontId="6" fillId="11" borderId="6" xfId="0" applyFont="1" applyFill="1" applyBorder="1" applyAlignment="1">
      <alignment vertical="top" wrapText="1"/>
    </xf>
    <xf numFmtId="0" fontId="6" fillId="0" borderId="3" xfId="0" applyFont="1" applyBorder="1" applyAlignment="1">
      <alignment horizontal="center" vertical="center"/>
    </xf>
    <xf numFmtId="0" fontId="6" fillId="11" borderId="3" xfId="0" applyFont="1" applyFill="1" applyBorder="1" applyAlignment="1">
      <alignment vertical="top" wrapText="1"/>
    </xf>
    <xf numFmtId="0" fontId="6"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164" fontId="14" fillId="11" borderId="3" xfId="0" applyNumberFormat="1" applyFont="1" applyFill="1" applyBorder="1" applyAlignment="1">
      <alignment horizontal="center" vertical="center" wrapText="1"/>
    </xf>
    <xf numFmtId="2" fontId="14" fillId="11" borderId="3" xfId="0" applyNumberFormat="1" applyFont="1" applyFill="1" applyBorder="1" applyAlignment="1">
      <alignment horizontal="center" vertical="center" wrapText="1"/>
    </xf>
    <xf numFmtId="164" fontId="6" fillId="11" borderId="3" xfId="0" applyNumberFormat="1" applyFont="1" applyFill="1" applyBorder="1" applyAlignment="1">
      <alignment horizontal="center" vertical="center" wrapText="1"/>
    </xf>
    <xf numFmtId="0" fontId="14" fillId="13" borderId="3" xfId="0" applyFont="1" applyFill="1" applyBorder="1" applyAlignment="1">
      <alignment horizontal="center" vertical="center" wrapText="1"/>
    </xf>
    <xf numFmtId="0" fontId="6" fillId="4" borderId="6" xfId="0" applyFont="1" applyFill="1" applyBorder="1" applyAlignment="1">
      <alignment horizontal="center" vertical="top"/>
    </xf>
    <xf numFmtId="0" fontId="6" fillId="0" borderId="7" xfId="0" applyFont="1" applyBorder="1" applyAlignment="1">
      <alignment horizontal="center" vertical="center"/>
    </xf>
    <xf numFmtId="0" fontId="6" fillId="4" borderId="7" xfId="0" applyFont="1" applyFill="1" applyBorder="1" applyAlignment="1">
      <alignment horizontal="center" vertical="top"/>
    </xf>
    <xf numFmtId="0" fontId="6" fillId="4" borderId="7" xfId="0" applyFont="1" applyFill="1" applyBorder="1" applyAlignment="1">
      <alignment horizontal="center" vertical="center" wrapText="1"/>
    </xf>
    <xf numFmtId="164" fontId="6" fillId="11" borderId="7" xfId="0" applyNumberFormat="1" applyFont="1" applyFill="1" applyBorder="1" applyAlignment="1">
      <alignment horizontal="center" vertical="center" wrapText="1"/>
    </xf>
    <xf numFmtId="164" fontId="14" fillId="11" borderId="7" xfId="0" applyNumberFormat="1" applyFont="1" applyFill="1" applyBorder="1" applyAlignment="1">
      <alignment horizontal="center" vertical="center" wrapText="1"/>
    </xf>
    <xf numFmtId="164" fontId="14" fillId="4" borderId="7" xfId="0" applyNumberFormat="1" applyFont="1" applyFill="1" applyBorder="1" applyAlignment="1">
      <alignment horizontal="center" vertical="center" wrapText="1"/>
    </xf>
    <xf numFmtId="164" fontId="14" fillId="4" borderId="3" xfId="0" applyNumberFormat="1" applyFont="1" applyFill="1" applyBorder="1" applyAlignment="1">
      <alignment horizontal="center" vertical="center" wrapText="1"/>
    </xf>
    <xf numFmtId="0" fontId="16" fillId="7" borderId="6" xfId="0" applyFont="1" applyFill="1" applyBorder="1" applyAlignment="1">
      <alignment vertical="center" wrapText="1"/>
    </xf>
    <xf numFmtId="0" fontId="19" fillId="7" borderId="13" xfId="0" applyFont="1" applyFill="1" applyBorder="1" applyAlignment="1">
      <alignment vertical="center" wrapText="1"/>
    </xf>
    <xf numFmtId="0" fontId="16" fillId="7" borderId="13" xfId="0" applyFont="1" applyFill="1" applyBorder="1" applyAlignment="1">
      <alignment horizontal="center" vertical="center" wrapText="1"/>
    </xf>
    <xf numFmtId="0" fontId="19" fillId="7" borderId="4" xfId="0" applyFont="1" applyFill="1" applyBorder="1" applyAlignment="1">
      <alignment vertical="center" wrapText="1"/>
    </xf>
    <xf numFmtId="0" fontId="16" fillId="7" borderId="5" xfId="0" applyFont="1" applyFill="1" applyBorder="1" applyAlignment="1">
      <alignment horizontal="center" vertical="center" wrapText="1"/>
    </xf>
    <xf numFmtId="0" fontId="19" fillId="7" borderId="12" xfId="0" applyFont="1" applyFill="1" applyBorder="1" applyAlignment="1">
      <alignment vertical="center" wrapText="1"/>
    </xf>
    <xf numFmtId="0" fontId="16" fillId="7" borderId="9"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16" fillId="8"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10" borderId="8" xfId="0" applyFont="1" applyFill="1" applyBorder="1" applyAlignment="1">
      <alignment horizontal="center" vertical="center" wrapText="1"/>
    </xf>
    <xf numFmtId="0" fontId="6" fillId="0" borderId="6" xfId="0" applyFont="1" applyBorder="1" applyAlignment="1">
      <alignment vertical="top"/>
    </xf>
    <xf numFmtId="0" fontId="6" fillId="12" borderId="3" xfId="0" applyFont="1" applyFill="1" applyBorder="1" applyAlignment="1">
      <alignment vertical="top"/>
    </xf>
    <xf numFmtId="0" fontId="5" fillId="0" borderId="0" xfId="0" applyFont="1" applyAlignment="1">
      <alignment vertical="center"/>
    </xf>
    <xf numFmtId="0" fontId="21" fillId="14" borderId="17" xfId="0" applyFont="1" applyFill="1" applyBorder="1" applyAlignment="1">
      <alignment horizontal="center" vertical="center"/>
    </xf>
    <xf numFmtId="0" fontId="21" fillId="14" borderId="18" xfId="0" applyFont="1" applyFill="1" applyBorder="1" applyAlignment="1">
      <alignment horizontal="center" vertical="center"/>
    </xf>
    <xf numFmtId="0" fontId="16" fillId="11" borderId="0" xfId="0" applyFont="1" applyFill="1" applyAlignment="1">
      <alignment horizontal="center" vertical="center"/>
    </xf>
    <xf numFmtId="2" fontId="16" fillId="0" borderId="0" xfId="0" applyNumberFormat="1" applyFont="1" applyAlignment="1">
      <alignment horizontal="center" vertical="center"/>
    </xf>
    <xf numFmtId="0" fontId="5" fillId="15" borderId="16" xfId="0" applyFont="1" applyFill="1" applyBorder="1" applyAlignment="1">
      <alignment horizontal="center" vertical="center"/>
    </xf>
    <xf numFmtId="0" fontId="21" fillId="14" borderId="19" xfId="0" applyFont="1" applyFill="1" applyBorder="1" applyAlignment="1">
      <alignment horizontal="center" vertical="center"/>
    </xf>
    <xf numFmtId="0" fontId="6" fillId="11" borderId="20" xfId="0" applyFont="1" applyFill="1" applyBorder="1" applyAlignment="1">
      <alignment horizontal="center" vertical="center"/>
    </xf>
    <xf numFmtId="2" fontId="6" fillId="0" borderId="20" xfId="0" applyNumberFormat="1" applyFont="1" applyBorder="1" applyAlignment="1">
      <alignment horizontal="center" vertical="center"/>
    </xf>
    <xf numFmtId="0" fontId="6" fillId="0" borderId="21" xfId="0" applyFont="1" applyBorder="1"/>
    <xf numFmtId="0" fontId="6" fillId="0" borderId="22" xfId="0" applyFont="1" applyBorder="1"/>
    <xf numFmtId="0" fontId="6" fillId="0" borderId="23" xfId="0" applyFont="1" applyBorder="1"/>
    <xf numFmtId="0" fontId="6" fillId="0" borderId="24" xfId="0" applyFont="1" applyBorder="1"/>
    <xf numFmtId="0" fontId="6" fillId="0" borderId="25" xfId="0" applyFont="1" applyBorder="1"/>
    <xf numFmtId="0" fontId="6" fillId="0" borderId="24" xfId="0" applyFont="1" applyBorder="1" applyAlignment="1">
      <alignment horizontal="center" vertical="center"/>
    </xf>
    <xf numFmtId="0" fontId="6" fillId="16" borderId="0" xfId="0" applyFont="1" applyFill="1" applyAlignment="1">
      <alignment horizontal="center" vertical="center"/>
    </xf>
    <xf numFmtId="2" fontId="6" fillId="0" borderId="0" xfId="0" applyNumberFormat="1" applyFont="1" applyAlignment="1">
      <alignment horizontal="center" vertical="center"/>
    </xf>
    <xf numFmtId="0" fontId="6" fillId="0" borderId="14" xfId="0" applyFont="1" applyBorder="1"/>
    <xf numFmtId="0" fontId="6" fillId="0" borderId="26" xfId="0" applyFont="1" applyBorder="1"/>
    <xf numFmtId="0" fontId="6" fillId="0" borderId="27" xfId="0" applyFont="1" applyBorder="1"/>
    <xf numFmtId="0" fontId="6" fillId="17" borderId="0" xfId="0" applyFont="1" applyFill="1" applyAlignment="1">
      <alignment horizontal="center" vertical="center"/>
    </xf>
    <xf numFmtId="0" fontId="6" fillId="18" borderId="0" xfId="0" applyFont="1" applyFill="1" applyAlignment="1">
      <alignment horizontal="center" vertical="center"/>
    </xf>
    <xf numFmtId="0" fontId="6" fillId="0" borderId="28" xfId="0" applyFont="1" applyBorder="1"/>
    <xf numFmtId="0" fontId="6" fillId="0" borderId="27" xfId="0" applyFont="1" applyBorder="1" applyAlignment="1">
      <alignment horizontal="center" vertical="center"/>
    </xf>
    <xf numFmtId="0" fontId="22" fillId="19" borderId="0" xfId="0" applyFont="1" applyFill="1" applyAlignment="1">
      <alignment horizontal="center" vertical="center"/>
    </xf>
    <xf numFmtId="0" fontId="6" fillId="0" borderId="29" xfId="0" applyFont="1" applyBorder="1"/>
    <xf numFmtId="0" fontId="6" fillId="0" borderId="30" xfId="0" applyFont="1" applyBorder="1"/>
    <xf numFmtId="0" fontId="6" fillId="0" borderId="31" xfId="0" applyFont="1" applyBorder="1" applyAlignment="1">
      <alignment horizontal="center" vertical="center"/>
    </xf>
    <xf numFmtId="0" fontId="6" fillId="0" borderId="32" xfId="0" applyFont="1" applyBorder="1"/>
    <xf numFmtId="0" fontId="6" fillId="0" borderId="33" xfId="0" applyFont="1" applyBorder="1"/>
    <xf numFmtId="0" fontId="6" fillId="0" borderId="34" xfId="0" applyFont="1" applyBorder="1" applyAlignment="1">
      <alignment horizontal="center" vertical="center"/>
    </xf>
    <xf numFmtId="0" fontId="6" fillId="0" borderId="35" xfId="0" applyFont="1" applyBorder="1"/>
    <xf numFmtId="0" fontId="6" fillId="0" borderId="31" xfId="0" applyFont="1" applyBorder="1"/>
    <xf numFmtId="0" fontId="20" fillId="20" borderId="36" xfId="0" applyFont="1" applyFill="1" applyBorder="1"/>
    <xf numFmtId="0" fontId="6" fillId="0" borderId="37" xfId="0" applyFont="1" applyBorder="1"/>
    <xf numFmtId="0" fontId="6" fillId="0" borderId="20" xfId="0" applyFont="1" applyBorder="1"/>
    <xf numFmtId="0" fontId="6" fillId="0" borderId="38" xfId="0" applyFont="1" applyBorder="1"/>
    <xf numFmtId="0" fontId="6" fillId="0" borderId="22" xfId="0" applyFont="1" applyBorder="1" applyAlignment="1">
      <alignment horizontal="center" vertical="center"/>
    </xf>
    <xf numFmtId="0" fontId="23" fillId="0" borderId="0" xfId="0" applyFont="1"/>
    <xf numFmtId="0" fontId="6" fillId="0" borderId="14" xfId="0" applyFont="1" applyBorder="1" applyAlignment="1">
      <alignment horizontal="center" vertical="center"/>
    </xf>
    <xf numFmtId="0" fontId="6" fillId="0" borderId="30" xfId="0" applyFont="1" applyBorder="1" applyAlignment="1">
      <alignment horizontal="center" vertical="center"/>
    </xf>
    <xf numFmtId="0" fontId="25" fillId="0" borderId="16" xfId="0" applyFont="1" applyBorder="1" applyAlignment="1">
      <alignment horizontal="center" vertical="center"/>
    </xf>
    <xf numFmtId="0" fontId="6" fillId="0" borderId="16" xfId="0" applyFont="1" applyBorder="1" applyAlignment="1">
      <alignment horizontal="center" vertical="center"/>
    </xf>
    <xf numFmtId="0" fontId="25" fillId="0" borderId="40" xfId="0" applyFont="1" applyBorder="1" applyAlignment="1">
      <alignment horizontal="center" vertical="center"/>
    </xf>
    <xf numFmtId="0" fontId="9" fillId="0" borderId="17" xfId="0" applyFont="1" applyBorder="1" applyAlignment="1">
      <alignment horizontal="center" vertical="center"/>
    </xf>
    <xf numFmtId="0" fontId="7" fillId="5" borderId="5" xfId="0" applyFont="1" applyFill="1" applyBorder="1" applyAlignment="1">
      <alignment horizontal="center" vertical="top" wrapText="1"/>
    </xf>
    <xf numFmtId="0" fontId="7" fillId="5" borderId="14" xfId="0" applyFont="1" applyFill="1" applyBorder="1" applyAlignment="1">
      <alignment horizontal="center" vertical="top" wrapText="1"/>
    </xf>
    <xf numFmtId="0" fontId="7" fillId="5" borderId="26" xfId="0" applyFont="1" applyFill="1" applyBorder="1" applyAlignment="1">
      <alignment horizontal="center" vertical="top" wrapText="1"/>
    </xf>
    <xf numFmtId="0" fontId="7" fillId="21" borderId="5" xfId="0" applyFont="1" applyFill="1" applyBorder="1" applyAlignment="1">
      <alignment horizontal="center" vertical="top" wrapText="1"/>
    </xf>
    <xf numFmtId="0" fontId="7" fillId="21" borderId="14" xfId="0" applyFont="1" applyFill="1" applyBorder="1" applyAlignment="1">
      <alignment horizontal="center" vertical="top" wrapText="1"/>
    </xf>
    <xf numFmtId="0" fontId="7" fillId="21" borderId="4" xfId="0" applyFont="1" applyFill="1" applyBorder="1" applyAlignment="1">
      <alignment horizontal="center" vertical="top" wrapText="1"/>
    </xf>
    <xf numFmtId="0" fontId="6" fillId="0" borderId="5" xfId="0" applyFont="1" applyBorder="1" applyAlignment="1">
      <alignment horizontal="center" vertical="top" wrapText="1"/>
    </xf>
    <xf numFmtId="0" fontId="6" fillId="0" borderId="1" xfId="0" applyFont="1" applyBorder="1" applyAlignment="1">
      <alignment horizontal="center" vertical="top"/>
    </xf>
    <xf numFmtId="0" fontId="16" fillId="0" borderId="3" xfId="0" applyFont="1" applyBorder="1" applyAlignment="1">
      <alignment horizontal="left"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6" fillId="0" borderId="9" xfId="0" applyFont="1" applyBorder="1" applyAlignment="1">
      <alignment horizontal="center" vertical="top" wrapText="1"/>
    </xf>
    <xf numFmtId="0" fontId="6" fillId="0" borderId="7" xfId="0" applyFont="1" applyBorder="1" applyAlignment="1">
      <alignment horizontal="left" vertical="top" wrapText="1"/>
    </xf>
    <xf numFmtId="0" fontId="6" fillId="0" borderId="8" xfId="0" applyFont="1" applyBorder="1" applyAlignment="1">
      <alignment horizontal="center" vertical="top"/>
    </xf>
    <xf numFmtId="0" fontId="16" fillId="0" borderId="7" xfId="0" applyFont="1" applyBorder="1" applyAlignment="1">
      <alignment horizontal="left" vertical="top" wrapText="1"/>
    </xf>
    <xf numFmtId="0" fontId="6" fillId="0" borderId="8" xfId="0" applyFont="1" applyBorder="1" applyAlignment="1">
      <alignment horizontal="center" vertical="top" wrapText="1"/>
    </xf>
    <xf numFmtId="0" fontId="27" fillId="5" borderId="3"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29" fillId="0" borderId="11" xfId="0" applyFont="1" applyBorder="1" applyAlignment="1">
      <alignment horizontal="center" vertical="center" wrapText="1"/>
    </xf>
    <xf numFmtId="0" fontId="29" fillId="0" borderId="3" xfId="0" applyFont="1" applyBorder="1" applyAlignment="1">
      <alignment vertical="center" wrapText="1"/>
    </xf>
    <xf numFmtId="0" fontId="29" fillId="0" borderId="3" xfId="0" applyFont="1" applyBorder="1" applyAlignment="1">
      <alignment horizontal="center" vertical="center" wrapText="1"/>
    </xf>
    <xf numFmtId="0" fontId="30" fillId="0" borderId="2" xfId="0" applyFont="1" applyBorder="1" applyAlignment="1">
      <alignment horizontal="center" vertical="center" wrapText="1"/>
    </xf>
    <xf numFmtId="0" fontId="31" fillId="0" borderId="3" xfId="0" applyFont="1" applyBorder="1" applyAlignment="1">
      <alignment horizontal="center" vertical="center" wrapText="1"/>
    </xf>
    <xf numFmtId="0" fontId="32" fillId="0" borderId="3" xfId="0" applyFont="1" applyBorder="1" applyAlignment="1">
      <alignment horizontal="center" vertical="center" wrapText="1"/>
    </xf>
    <xf numFmtId="0" fontId="31" fillId="0" borderId="0" xfId="0" applyFont="1"/>
    <xf numFmtId="0" fontId="0" fillId="0" borderId="3" xfId="0" applyBorder="1"/>
    <xf numFmtId="0" fontId="0" fillId="0" borderId="2" xfId="0" applyBorder="1"/>
    <xf numFmtId="0" fontId="33" fillId="0" borderId="0" xfId="0" applyFont="1" applyAlignment="1">
      <alignment horizontal="center" vertical="center" wrapText="1"/>
    </xf>
    <xf numFmtId="0" fontId="0" fillId="0" borderId="0" xfId="0" applyAlignment="1">
      <alignment horizontal="left" vertical="center" wrapText="1"/>
    </xf>
    <xf numFmtId="0" fontId="34" fillId="22" borderId="40" xfId="0" applyFont="1" applyFill="1" applyBorder="1" applyAlignment="1">
      <alignment horizontal="center" vertical="center" wrapText="1"/>
    </xf>
    <xf numFmtId="0" fontId="35" fillId="22" borderId="16" xfId="0" applyFont="1" applyFill="1" applyBorder="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7" fillId="23" borderId="3" xfId="3" applyFont="1" applyFill="1" applyBorder="1" applyAlignment="1">
      <alignment horizontal="left" vertical="center" wrapText="1"/>
    </xf>
    <xf numFmtId="0" fontId="37" fillId="23" borderId="3" xfId="3" applyFont="1" applyFill="1" applyBorder="1" applyAlignment="1">
      <alignment horizontal="center" vertical="center" wrapText="1"/>
    </xf>
    <xf numFmtId="0" fontId="37" fillId="24" borderId="3" xfId="3" applyFont="1" applyFill="1" applyBorder="1" applyAlignment="1">
      <alignment horizontal="left" vertical="center" wrapText="1"/>
    </xf>
    <xf numFmtId="0" fontId="3" fillId="0" borderId="3" xfId="3" applyBorder="1" applyAlignment="1">
      <alignment horizontal="center" vertical="center" wrapText="1"/>
    </xf>
    <xf numFmtId="0" fontId="39" fillId="0" borderId="0" xfId="3" applyFont="1"/>
    <xf numFmtId="0" fontId="40" fillId="0" borderId="0" xfId="3" applyFont="1"/>
    <xf numFmtId="0" fontId="3" fillId="0" borderId="0" xfId="3"/>
    <xf numFmtId="0" fontId="41" fillId="25" borderId="3" xfId="3" applyFont="1" applyFill="1" applyBorder="1"/>
    <xf numFmtId="0" fontId="37" fillId="26" borderId="3" xfId="3" applyFont="1" applyFill="1" applyBorder="1" applyAlignment="1">
      <alignment horizontal="center"/>
    </xf>
    <xf numFmtId="0" fontId="3" fillId="0" borderId="3" xfId="3" applyBorder="1"/>
    <xf numFmtId="0" fontId="6" fillId="28" borderId="6" xfId="0" applyFont="1" applyFill="1" applyBorder="1" applyAlignment="1">
      <alignment horizontal="center" vertical="top"/>
    </xf>
    <xf numFmtId="0" fontId="6" fillId="28" borderId="6" xfId="0" applyFont="1" applyFill="1" applyBorder="1" applyAlignment="1">
      <alignment horizontal="center" vertical="center"/>
    </xf>
    <xf numFmtId="0" fontId="6" fillId="28" borderId="3" xfId="0" applyFont="1" applyFill="1" applyBorder="1" applyAlignment="1">
      <alignment vertical="top" wrapText="1"/>
    </xf>
    <xf numFmtId="0" fontId="6" fillId="28" borderId="3" xfId="0" applyFont="1" applyFill="1" applyBorder="1" applyAlignment="1">
      <alignment horizontal="center" vertical="center" wrapText="1"/>
    </xf>
    <xf numFmtId="164" fontId="14" fillId="28" borderId="3" xfId="0" applyNumberFormat="1" applyFont="1" applyFill="1" applyBorder="1" applyAlignment="1">
      <alignment horizontal="center" vertical="center" wrapText="1"/>
    </xf>
    <xf numFmtId="0" fontId="6" fillId="28" borderId="3" xfId="0" applyFont="1" applyFill="1" applyBorder="1" applyAlignment="1">
      <alignment horizontal="center" vertical="top" wrapText="1"/>
    </xf>
    <xf numFmtId="0" fontId="6" fillId="28" borderId="3" xfId="0" applyFont="1" applyFill="1" applyBorder="1" applyAlignment="1">
      <alignment vertical="top"/>
    </xf>
    <xf numFmtId="0" fontId="0" fillId="28" borderId="0" xfId="0" applyFill="1"/>
    <xf numFmtId="164" fontId="14" fillId="27" borderId="3" xfId="0" applyNumberFormat="1" applyFont="1" applyFill="1" applyBorder="1" applyAlignment="1">
      <alignment horizontal="center" vertical="center" wrapText="1"/>
    </xf>
    <xf numFmtId="0" fontId="6" fillId="27" borderId="3" xfId="0" applyFont="1" applyFill="1" applyBorder="1" applyAlignment="1">
      <alignment horizontal="center" vertical="top" wrapText="1"/>
    </xf>
    <xf numFmtId="0" fontId="6" fillId="0" borderId="6" xfId="0" applyFont="1" applyFill="1" applyBorder="1" applyAlignment="1">
      <alignment horizontal="center" vertical="top"/>
    </xf>
    <xf numFmtId="0" fontId="6" fillId="0" borderId="6" xfId="0" applyFont="1" applyFill="1" applyBorder="1" applyAlignment="1">
      <alignment horizontal="center" vertical="center"/>
    </xf>
    <xf numFmtId="0" fontId="6" fillId="0" borderId="3" xfId="0" applyFont="1" applyFill="1" applyBorder="1" applyAlignment="1">
      <alignment vertical="top" wrapText="1"/>
    </xf>
    <xf numFmtId="0" fontId="6" fillId="0" borderId="3" xfId="0" applyFont="1" applyFill="1" applyBorder="1" applyAlignment="1">
      <alignment horizontal="center" vertical="center"/>
    </xf>
    <xf numFmtId="0" fontId="6" fillId="0" borderId="3" xfId="0" applyFont="1" applyFill="1" applyBorder="1" applyAlignment="1">
      <alignment vertical="top"/>
    </xf>
    <xf numFmtId="0" fontId="6" fillId="0" borderId="3" xfId="0" applyFont="1" applyFill="1" applyBorder="1" applyAlignment="1">
      <alignment horizontal="center" vertical="center" wrapText="1"/>
    </xf>
    <xf numFmtId="164" fontId="14" fillId="0" borderId="3" xfId="0" applyNumberFormat="1" applyFont="1" applyFill="1" applyBorder="1" applyAlignment="1">
      <alignment horizontal="center" vertical="center" wrapText="1"/>
    </xf>
    <xf numFmtId="0" fontId="6" fillId="0" borderId="0" xfId="0" applyFont="1" applyFill="1" applyAlignment="1">
      <alignment vertical="top"/>
    </xf>
    <xf numFmtId="0" fontId="6" fillId="0" borderId="7" xfId="0" applyFont="1" applyFill="1" applyBorder="1" applyAlignment="1">
      <alignment horizontal="center" vertical="top"/>
    </xf>
    <xf numFmtId="0" fontId="6" fillId="0" borderId="7" xfId="0" applyFont="1" applyFill="1" applyBorder="1" applyAlignment="1">
      <alignment horizontal="center" vertical="center"/>
    </xf>
    <xf numFmtId="0" fontId="6" fillId="0" borderId="7" xfId="0" applyFont="1" applyFill="1" applyBorder="1" applyAlignment="1">
      <alignment vertical="top" wrapText="1"/>
    </xf>
    <xf numFmtId="0" fontId="6" fillId="0" borderId="7" xfId="0" applyFont="1" applyFill="1" applyBorder="1" applyAlignment="1">
      <alignment vertical="top"/>
    </xf>
    <xf numFmtId="0" fontId="6" fillId="0" borderId="7" xfId="0" applyFont="1" applyFill="1" applyBorder="1" applyAlignment="1">
      <alignment horizontal="center" vertical="center" wrapText="1"/>
    </xf>
    <xf numFmtId="164" fontId="14" fillId="0" borderId="7" xfId="0" applyNumberFormat="1" applyFont="1" applyFill="1" applyBorder="1" applyAlignment="1">
      <alignment horizontal="center" vertical="center" wrapText="1"/>
    </xf>
    <xf numFmtId="0" fontId="6" fillId="0" borderId="7" xfId="0" applyFont="1" applyFill="1" applyBorder="1" applyAlignment="1">
      <alignment horizontal="center" vertical="top" wrapText="1"/>
    </xf>
    <xf numFmtId="0" fontId="0" fillId="0" borderId="0" xfId="0" applyFill="1"/>
    <xf numFmtId="0" fontId="6" fillId="0" borderId="3" xfId="0" applyFont="1" applyFill="1" applyBorder="1" applyAlignment="1">
      <alignment horizontal="center" vertical="top"/>
    </xf>
    <xf numFmtId="0" fontId="6" fillId="0" borderId="3" xfId="0" applyFont="1" applyFill="1" applyBorder="1" applyAlignment="1">
      <alignment horizontal="center" vertical="top" wrapText="1"/>
    </xf>
    <xf numFmtId="15" fontId="39" fillId="0" borderId="3" xfId="4" applyNumberFormat="1" applyFont="1" applyBorder="1" applyAlignment="1">
      <alignment horizontal="center" vertical="center"/>
    </xf>
    <xf numFmtId="0" fontId="2" fillId="0" borderId="3" xfId="3" applyFont="1" applyBorder="1" applyAlignment="1">
      <alignment horizontal="center" vertical="center" wrapText="1"/>
    </xf>
    <xf numFmtId="0" fontId="39" fillId="0" borderId="3" xfId="4" quotePrefix="1" applyFont="1" applyBorder="1" applyAlignment="1">
      <alignment horizontal="center" vertical="center"/>
    </xf>
    <xf numFmtId="0" fontId="3" fillId="0" borderId="3" xfId="3" applyBorder="1" applyAlignment="1">
      <alignment vertical="center"/>
    </xf>
    <xf numFmtId="0" fontId="3" fillId="24" borderId="3" xfId="3" applyFill="1" applyBorder="1" applyAlignment="1">
      <alignment horizontal="left" vertical="center" wrapText="1"/>
    </xf>
    <xf numFmtId="0" fontId="3" fillId="0" borderId="3" xfId="3" applyBorder="1" applyAlignment="1">
      <alignment horizontal="left" vertical="center" wrapText="1"/>
    </xf>
    <xf numFmtId="15" fontId="3" fillId="0" borderId="3" xfId="3" applyNumberFormat="1" applyBorder="1" applyAlignment="1">
      <alignment horizontal="left" vertical="center" wrapText="1"/>
    </xf>
    <xf numFmtId="0" fontId="1" fillId="0" borderId="3" xfId="3" applyFont="1" applyBorder="1" applyAlignment="1">
      <alignment horizontal="left" vertical="center" wrapText="1"/>
    </xf>
    <xf numFmtId="0" fontId="38" fillId="0" borderId="1" xfId="3" applyFont="1" applyBorder="1" applyAlignment="1">
      <alignment horizontal="center" vertical="center"/>
    </xf>
    <xf numFmtId="0" fontId="38" fillId="0" borderId="10" xfId="3" applyFont="1" applyBorder="1" applyAlignment="1">
      <alignment horizontal="center" vertical="center"/>
    </xf>
    <xf numFmtId="0" fontId="38" fillId="0" borderId="2" xfId="3" applyFont="1" applyBorder="1" applyAlignment="1">
      <alignment horizontal="center" vertical="center"/>
    </xf>
    <xf numFmtId="0" fontId="41" fillId="25" borderId="3" xfId="3" applyFont="1" applyFill="1" applyBorder="1" applyAlignment="1">
      <alignment horizontal="center"/>
    </xf>
    <xf numFmtId="0" fontId="39" fillId="0" borderId="3" xfId="4" applyFont="1" applyBorder="1" applyAlignment="1">
      <alignment horizontal="left" vertical="center" wrapText="1"/>
    </xf>
    <xf numFmtId="0" fontId="39" fillId="0" borderId="3" xfId="4" applyFont="1" applyBorder="1" applyAlignment="1">
      <alignment horizontal="left" vertical="center"/>
    </xf>
    <xf numFmtId="0" fontId="39" fillId="0" borderId="3" xfId="4" applyFont="1" applyBorder="1" applyAlignment="1">
      <alignment horizontal="center"/>
    </xf>
    <xf numFmtId="0" fontId="6" fillId="0" borderId="3" xfId="0" applyFont="1" applyBorder="1" applyAlignment="1">
      <alignment horizontal="left" vertical="top" wrapText="1"/>
    </xf>
    <xf numFmtId="0" fontId="9" fillId="0" borderId="0" xfId="0" applyFont="1" applyAlignment="1">
      <alignment wrapText="1"/>
    </xf>
    <xf numFmtId="0" fontId="5" fillId="7" borderId="10"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26" fillId="0" borderId="16" xfId="0" applyFont="1" applyBorder="1" applyAlignment="1">
      <alignment horizontal="left" vertical="center" wrapText="1"/>
    </xf>
    <xf numFmtId="0" fontId="6" fillId="0" borderId="0" xfId="0" applyFont="1" applyAlignment="1">
      <alignment horizontal="left" vertical="top" wrapText="1"/>
    </xf>
    <xf numFmtId="0" fontId="5" fillId="15" borderId="16" xfId="0" applyFont="1" applyFill="1" applyBorder="1" applyAlignment="1">
      <alignment horizontal="center" vertical="center"/>
    </xf>
    <xf numFmtId="0" fontId="20" fillId="3" borderId="16" xfId="0" applyFont="1" applyFill="1" applyBorder="1" applyAlignment="1">
      <alignment horizontal="center"/>
    </xf>
    <xf numFmtId="0" fontId="21" fillId="14" borderId="16" xfId="0" applyFont="1" applyFill="1" applyBorder="1" applyAlignment="1">
      <alignment horizontal="left" vertical="center"/>
    </xf>
    <xf numFmtId="0" fontId="26" fillId="0" borderId="39" xfId="0" applyFont="1" applyBorder="1" applyAlignment="1">
      <alignment horizontal="left" vertical="center" wrapText="1"/>
    </xf>
    <xf numFmtId="0" fontId="21" fillId="14" borderId="17" xfId="0" applyFont="1" applyFill="1" applyBorder="1" applyAlignment="1">
      <alignment horizontal="center" vertical="center"/>
    </xf>
    <xf numFmtId="0" fontId="21" fillId="14" borderId="16" xfId="0" applyFont="1" applyFill="1" applyBorder="1" applyAlignment="1">
      <alignment horizontal="center" vertical="center"/>
    </xf>
    <xf numFmtId="0" fontId="5" fillId="9" borderId="41" xfId="0" applyFont="1" applyFill="1" applyBorder="1" applyAlignment="1">
      <alignment horizontal="center" vertical="top" wrapText="1"/>
    </xf>
    <xf numFmtId="0" fontId="5" fillId="8" borderId="38" xfId="0" applyFont="1" applyFill="1" applyBorder="1" applyAlignment="1">
      <alignment horizontal="center" vertical="top" wrapText="1"/>
    </xf>
    <xf numFmtId="0" fontId="27" fillId="9" borderId="3" xfId="0" applyFont="1" applyFill="1" applyBorder="1" applyAlignment="1">
      <alignment horizontal="center" vertical="center" wrapText="1"/>
    </xf>
    <xf numFmtId="0" fontId="33" fillId="0" borderId="16" xfId="0" applyFont="1" applyBorder="1" applyAlignment="1">
      <alignment horizontal="center" vertical="center" wrapText="1"/>
    </xf>
  </cellXfs>
  <cellStyles count="5">
    <cellStyle name="Excel Built-in Normal" xfId="2" xr:uid="{00000000-0005-0000-0000-000000000000}"/>
    <cellStyle name="Normal" xfId="0" builtinId="0"/>
    <cellStyle name="Normal 2" xfId="1" xr:uid="{00000000-0005-0000-0000-000002000000}"/>
    <cellStyle name="Normal 2 2" xfId="4" xr:uid="{00000000-0005-0000-0000-000003000000}"/>
    <cellStyle name="Normal 3" xfId="3" xr:uid="{00000000-0005-0000-0000-000004000000}"/>
  </cellStyles>
  <dxfs count="23">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name val="Cambria"/>
        <family val="1"/>
        <charset val="1"/>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mbria"/>
        <family val="1"/>
        <charset val="1"/>
        <scheme val="none"/>
      </font>
      <alignment horizontal="center" vertical="center" textRotation="0" wrapText="0" indent="0" justifyLastLine="0" shrinkToFit="0" readingOrder="0"/>
      <border diagonalUp="0" diagonalDown="0">
        <left style="thin">
          <color auto="1"/>
        </left>
        <right style="thin">
          <color auto="1"/>
        </right>
        <top/>
        <bottom style="thin">
          <color auto="1"/>
        </bottom>
        <vertical/>
        <horizontal/>
      </border>
    </dxf>
    <dxf>
      <font>
        <name val="Cambria"/>
        <family val="1"/>
        <charset val="1"/>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bottom style="thin">
          <color auto="1"/>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scheme val="none"/>
      </font>
      <alignment horizontal="general" vertical="top" textRotation="0" wrapText="0" indent="0" justifyLastLine="0" shrinkToFit="0" readingOrder="0"/>
      <border diagonalUp="0" diagonalDown="0">
        <left style="thin">
          <color auto="1"/>
        </left>
        <right style="thin">
          <color auto="1"/>
        </right>
        <top style="thin">
          <color auto="1"/>
        </top>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person displayName="Sai Praneetha Bhaskaruni" id="{D01B337B-4C28-4CC2-B0D5-F0986E0D0ADF}" userId="S::praneetha.bhaskaruni@ltts.com::48ebe0ba-01a1-4a38-a734-61898a0c907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10:D25" totalsRowShown="0">
  <autoFilter ref="A10:D25"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dataDxfId="2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5:D44" totalsRowShown="0">
  <autoFilter ref="A5:D44"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4:F18" totalsRowShown="0">
  <autoFilter ref="A4:F18"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tableColumns count="43">
    <tableColumn id="1" xr3:uid="{00000000-0010-0000-0300-000001000000}" name="_x000a_ID #"/>
    <tableColumn id="2" xr3:uid="{00000000-0010-0000-0300-000002000000}" name="T ID" dataDxfId="5"/>
    <tableColumn id="3" xr3:uid="{00000000-0010-0000-0300-000003000000}" name="Threat Event(s)" dataDxfId="8"/>
    <tableColumn id="4" xr3:uid="{00000000-0010-0000-0300-000004000000}" name="V ID" dataDxfId="4"/>
    <tableColumn id="5" xr3:uid="{00000000-0010-0000-0300-000005000000}" name="Vulnerabilities" dataDxfId="7"/>
    <tableColumn id="6" xr3:uid="{00000000-0010-0000-0300-000006000000}" name="A ID" dataDxfId="3"/>
    <tableColumn id="7" xr3:uid="{00000000-0010-0000-0300-000007000000}" name="Asset" dataDxfId="6"/>
    <tableColumn id="8" xr3:uid="{00000000-0010-0000-0300-000008000000}" name="Impact Description"/>
    <tableColumn id="9" xr3:uid="{00000000-0010-0000-0300-000009000000}" name="Safety Impact _x000a_(Risk ID# or N/A)" dataDxfId="16"/>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dataDxfId="2"/>
    <tableColumn id="27" xr3:uid="{00000000-0010-0000-0300-00001B000000}" name="Implementation of Risk Control Measures " dataDxfId="1"/>
    <tableColumn id="28" xr3:uid="{00000000-0010-0000-0300-00001C000000}" name="Verification of Risk Control Measures (Effectiveness)" dataDxfId="0"/>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dataDxfId="15"/>
    <tableColumn id="41" xr3:uid="{00000000-0010-0000-0300-000029000000}" name="Overall Risk ScoreP" dataDxfId="14"/>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8:M88" totalsRowShown="0">
  <autoFilter ref="A8:M88"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5:R11" totalsRowShown="0">
  <autoFilter ref="Q5:R11"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5:C11" totalsRowShown="0">
  <autoFilter ref="A5:C11"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5:G11" totalsRowShown="0">
  <autoFilter ref="E5:G11"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B50" dT="2022-04-14T04:32:01.73" personId="{D01B337B-4C28-4CC2-B0D5-F0986E0D0ADF}" id="{A0285513-3402-4DD5-8A92-7E2F2CEF71D3}">
    <text>The published configuration document shall be verified for ensuring all the measures properly implemented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F28"/>
  <sheetViews>
    <sheetView view="pageBreakPreview" topLeftCell="A17" zoomScale="112" zoomScaleNormal="90" zoomScaleSheetLayoutView="112" workbookViewId="0">
      <selection activeCell="C9" sqref="C9"/>
    </sheetView>
  </sheetViews>
  <sheetFormatPr defaultRowHeight="14.5"/>
  <cols>
    <col min="2" max="2" width="13.453125" customWidth="1"/>
    <col min="3" max="3" width="15.453125" customWidth="1"/>
    <col min="4" max="4" width="28.81640625" customWidth="1"/>
    <col min="5" max="5" width="19.1796875" customWidth="1"/>
    <col min="6" max="6" width="24.1796875" customWidth="1"/>
  </cols>
  <sheetData>
    <row r="3" spans="2:6" ht="32.15" customHeight="1">
      <c r="B3" s="242" t="s">
        <v>0</v>
      </c>
      <c r="C3" s="242"/>
      <c r="D3" s="242" t="s">
        <v>1</v>
      </c>
      <c r="E3" s="242"/>
      <c r="F3" s="242"/>
    </row>
    <row r="4" spans="2:6" ht="32.15" customHeight="1">
      <c r="B4" s="242" t="s">
        <v>2</v>
      </c>
      <c r="C4" s="242"/>
      <c r="D4" s="242" t="s">
        <v>3</v>
      </c>
      <c r="E4" s="242"/>
      <c r="F4" s="242"/>
    </row>
    <row r="5" spans="2:6" ht="32.15" customHeight="1">
      <c r="B5" s="242" t="s">
        <v>4</v>
      </c>
      <c r="C5" s="242"/>
      <c r="D5" s="243">
        <v>44659</v>
      </c>
      <c r="E5" s="242"/>
      <c r="F5" s="242"/>
    </row>
    <row r="6" spans="2:6" ht="32.15" customHeight="1">
      <c r="B6" s="242" t="s">
        <v>5</v>
      </c>
      <c r="C6" s="242"/>
      <c r="D6" s="244" t="s">
        <v>466</v>
      </c>
      <c r="E6" s="242"/>
      <c r="F6" s="242"/>
    </row>
    <row r="7" spans="2:6" ht="32.15" customHeight="1">
      <c r="B7" s="242" t="s">
        <v>7</v>
      </c>
      <c r="C7" s="242"/>
      <c r="D7" s="242" t="s">
        <v>8</v>
      </c>
      <c r="E7" s="242"/>
      <c r="F7" s="242"/>
    </row>
    <row r="13" spans="2:6" ht="33.65" customHeight="1">
      <c r="B13" s="245" t="s">
        <v>9</v>
      </c>
      <c r="C13" s="246"/>
      <c r="D13" s="246"/>
      <c r="E13" s="246"/>
      <c r="F13" s="247"/>
    </row>
    <row r="14" spans="2:6" ht="14.5" customHeight="1">
      <c r="B14" s="199" t="s">
        <v>10</v>
      </c>
      <c r="C14" s="200" t="s">
        <v>11</v>
      </c>
      <c r="D14" s="200" t="s">
        <v>12</v>
      </c>
      <c r="E14" s="200" t="s">
        <v>13</v>
      </c>
      <c r="F14" s="200" t="s">
        <v>4</v>
      </c>
    </row>
    <row r="15" spans="2:6" ht="45" customHeight="1">
      <c r="B15" s="201" t="s">
        <v>14</v>
      </c>
      <c r="C15" s="202" t="s">
        <v>15</v>
      </c>
      <c r="D15" s="238" t="s">
        <v>463</v>
      </c>
      <c r="E15" s="202"/>
      <c r="F15" s="202"/>
    </row>
    <row r="16" spans="2:6" ht="45" customHeight="1">
      <c r="B16" s="241" t="s">
        <v>16</v>
      </c>
      <c r="C16" s="238" t="s">
        <v>461</v>
      </c>
      <c r="D16" s="238" t="s">
        <v>462</v>
      </c>
      <c r="E16" s="202"/>
      <c r="F16" s="202"/>
    </row>
    <row r="17" spans="2:6" ht="45" customHeight="1">
      <c r="B17" s="241"/>
      <c r="C17" s="202" t="s">
        <v>17</v>
      </c>
      <c r="D17" s="202" t="s">
        <v>18</v>
      </c>
      <c r="E17" s="202"/>
      <c r="F17" s="202"/>
    </row>
    <row r="18" spans="2:6" ht="45" customHeight="1">
      <c r="B18" s="241"/>
      <c r="C18" s="202" t="s">
        <v>19</v>
      </c>
      <c r="D18" s="202" t="s">
        <v>20</v>
      </c>
      <c r="E18" s="202"/>
      <c r="F18" s="202"/>
    </row>
    <row r="23" spans="2:6">
      <c r="B23" s="203" t="s">
        <v>21</v>
      </c>
      <c r="C23" s="204"/>
      <c r="D23" s="205"/>
      <c r="E23" s="204"/>
      <c r="F23" s="204"/>
    </row>
    <row r="24" spans="2:6">
      <c r="B24" s="206" t="s">
        <v>22</v>
      </c>
      <c r="C24" s="206" t="s">
        <v>23</v>
      </c>
      <c r="D24" s="207" t="s">
        <v>24</v>
      </c>
      <c r="E24" s="248" t="s">
        <v>25</v>
      </c>
      <c r="F24" s="248"/>
    </row>
    <row r="25" spans="2:6" ht="39" customHeight="1">
      <c r="B25" s="239" t="s">
        <v>26</v>
      </c>
      <c r="C25" s="237">
        <v>44438</v>
      </c>
      <c r="D25" s="240" t="s">
        <v>15</v>
      </c>
      <c r="E25" s="249" t="s">
        <v>464</v>
      </c>
      <c r="F25" s="250"/>
    </row>
    <row r="26" spans="2:6" ht="90.65" customHeight="1">
      <c r="B26" s="239" t="s">
        <v>27</v>
      </c>
      <c r="C26" s="237">
        <v>44659</v>
      </c>
      <c r="D26" s="240" t="s">
        <v>15</v>
      </c>
      <c r="E26" s="249" t="s">
        <v>468</v>
      </c>
      <c r="F26" s="250"/>
    </row>
    <row r="27" spans="2:6">
      <c r="B27" s="208"/>
      <c r="C27" s="208"/>
      <c r="D27" s="208"/>
      <c r="E27" s="251"/>
      <c r="F27" s="251"/>
    </row>
    <row r="28" spans="2:6">
      <c r="B28" s="208"/>
      <c r="C28" s="208"/>
      <c r="D28" s="208"/>
      <c r="E28" s="251"/>
      <c r="F28" s="251"/>
    </row>
  </sheetData>
  <mergeCells count="17">
    <mergeCell ref="E24:F24"/>
    <mergeCell ref="E25:F25"/>
    <mergeCell ref="E26:F26"/>
    <mergeCell ref="E27:F27"/>
    <mergeCell ref="E28:F28"/>
    <mergeCell ref="B16:B18"/>
    <mergeCell ref="B3:C3"/>
    <mergeCell ref="D3:F3"/>
    <mergeCell ref="B4:C4"/>
    <mergeCell ref="D4:F4"/>
    <mergeCell ref="B5:C5"/>
    <mergeCell ref="D5:F5"/>
    <mergeCell ref="B6:C6"/>
    <mergeCell ref="D6:F6"/>
    <mergeCell ref="B7:C7"/>
    <mergeCell ref="D7:F7"/>
    <mergeCell ref="B13:F13"/>
  </mergeCells>
  <pageMargins left="0.25" right="0.25" top="0.75" bottom="0.75" header="0.3" footer="0.3"/>
  <pageSetup paperSize="9" scale="90" fitToHeight="0" orientation="portrait" r:id="rId1"/>
  <headerFooter>
    <oddFooter>&amp;L&amp;"Cambria,Regular"&amp;8Stryker Confidential&amp;R&amp;"Cambria,Regular"&amp;8Page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3"/>
  <sheetViews>
    <sheetView zoomScale="95" zoomScaleNormal="95" workbookViewId="0">
      <selection activeCell="H13" sqref="H13"/>
    </sheetView>
  </sheetViews>
  <sheetFormatPr defaultColWidth="9.1796875" defaultRowHeight="14.5"/>
  <cols>
    <col min="1" max="1" width="27.81640625" customWidth="1"/>
    <col min="2" max="2" width="102.1796875" customWidth="1"/>
  </cols>
  <sheetData>
    <row r="1" spans="1:2" ht="18.5">
      <c r="A1" s="190"/>
      <c r="B1" s="191"/>
    </row>
    <row r="2" spans="1:2" ht="18.5">
      <c r="A2" s="192" t="s">
        <v>419</v>
      </c>
      <c r="B2" s="193" t="s">
        <v>420</v>
      </c>
    </row>
    <row r="3" spans="1:2" ht="18.5">
      <c r="A3" s="194"/>
      <c r="B3" s="195"/>
    </row>
    <row r="4" spans="1:2">
      <c r="A4" s="269"/>
      <c r="B4" s="196"/>
    </row>
    <row r="5" spans="1:2">
      <c r="A5" s="269"/>
      <c r="B5" s="197"/>
    </row>
    <row r="6" spans="1:2">
      <c r="A6" s="269"/>
      <c r="B6" s="197"/>
    </row>
    <row r="7" spans="1:2">
      <c r="A7" s="269"/>
      <c r="B7" s="198"/>
    </row>
    <row r="8" spans="1:2" ht="18.5">
      <c r="A8" s="190"/>
      <c r="B8" s="191"/>
    </row>
    <row r="9" spans="1:2">
      <c r="A9" s="269"/>
      <c r="B9" s="196"/>
    </row>
    <row r="10" spans="1:2">
      <c r="A10" s="269"/>
      <c r="B10" s="197"/>
    </row>
    <row r="11" spans="1:2">
      <c r="A11" s="269"/>
      <c r="B11" s="197"/>
    </row>
    <row r="12" spans="1:2">
      <c r="A12" s="269"/>
      <c r="B12" s="197"/>
    </row>
    <row r="13" spans="1:2">
      <c r="A13" s="269"/>
      <c r="B13" s="198"/>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31"/>
  <sheetViews>
    <sheetView view="pageBreakPreview" zoomScale="60" zoomScaleNormal="95" workbookViewId="0">
      <selection activeCell="C9" sqref="C9"/>
    </sheetView>
  </sheetViews>
  <sheetFormatPr defaultColWidth="9.1796875" defaultRowHeight="14.5"/>
  <cols>
    <col min="1" max="1" width="7.81640625" style="1" customWidth="1"/>
    <col min="2" max="2" width="30.81640625" style="1" customWidth="1"/>
    <col min="3" max="3" width="40.81640625" style="1" customWidth="1"/>
    <col min="4" max="4" width="51.1796875" style="1" customWidth="1"/>
    <col min="5" max="5" width="16.1796875" style="1" customWidth="1"/>
    <col min="6" max="6" width="14.1796875" style="1" customWidth="1"/>
    <col min="7" max="1024" width="9.1796875" style="1"/>
  </cols>
  <sheetData>
    <row r="1" spans="1:4" ht="53.4" customHeight="1"/>
    <row r="2" spans="1:4" s="3" customFormat="1" ht="14">
      <c r="A2" s="117" t="s">
        <v>28</v>
      </c>
    </row>
    <row r="3" spans="1:4" s="3" customFormat="1" ht="14"/>
    <row r="4" spans="1:4" s="3" customFormat="1" ht="14">
      <c r="A4" s="4" t="s">
        <v>29</v>
      </c>
      <c r="B4" s="5"/>
      <c r="C4" s="252" t="s">
        <v>6</v>
      </c>
      <c r="D4" s="252"/>
    </row>
    <row r="5" spans="1:4" s="3" customFormat="1" ht="14">
      <c r="A5" s="7" t="s">
        <v>30</v>
      </c>
      <c r="B5" s="8"/>
      <c r="C5" s="252" t="s">
        <v>31</v>
      </c>
      <c r="D5" s="252"/>
    </row>
    <row r="6" spans="1:4" s="3" customFormat="1" ht="13.75" customHeight="1">
      <c r="A6" s="7" t="s">
        <v>32</v>
      </c>
      <c r="B6" s="8"/>
      <c r="C6" s="252" t="s">
        <v>437</v>
      </c>
      <c r="D6" s="252"/>
    </row>
    <row r="7" spans="1:4" s="3" customFormat="1" ht="30" customHeight="1">
      <c r="A7" s="9" t="s">
        <v>33</v>
      </c>
      <c r="B7" s="10"/>
      <c r="C7" s="252" t="s">
        <v>467</v>
      </c>
      <c r="D7" s="252"/>
    </row>
    <row r="8" spans="1:4" s="3" customFormat="1" ht="14"/>
    <row r="9" spans="1:4" s="3" customFormat="1" ht="14"/>
    <row r="10" spans="1:4" s="3" customFormat="1" ht="28">
      <c r="A10" s="11" t="s">
        <v>34</v>
      </c>
      <c r="B10" s="12" t="s">
        <v>35</v>
      </c>
      <c r="C10" s="12" t="s">
        <v>36</v>
      </c>
      <c r="D10" s="13" t="s">
        <v>37</v>
      </c>
    </row>
    <row r="11" spans="1:4" s="3" customFormat="1" ht="56">
      <c r="A11" s="14" t="s">
        <v>38</v>
      </c>
      <c r="B11" s="15" t="s">
        <v>39</v>
      </c>
      <c r="C11" s="16" t="s">
        <v>40</v>
      </c>
      <c r="D11" s="16" t="s">
        <v>41</v>
      </c>
    </row>
    <row r="12" spans="1:4" s="3" customFormat="1" ht="42">
      <c r="A12" s="14" t="s">
        <v>42</v>
      </c>
      <c r="B12" s="15" t="s">
        <v>43</v>
      </c>
      <c r="C12" s="16" t="s">
        <v>44</v>
      </c>
      <c r="D12" s="16" t="s">
        <v>45</v>
      </c>
    </row>
    <row r="13" spans="1:4" s="3" customFormat="1" ht="42">
      <c r="A13" s="14" t="s">
        <v>46</v>
      </c>
      <c r="B13" s="15" t="s">
        <v>47</v>
      </c>
      <c r="C13" s="16" t="s">
        <v>48</v>
      </c>
      <c r="D13" s="16" t="s">
        <v>49</v>
      </c>
    </row>
    <row r="14" spans="1:4" s="3" customFormat="1" ht="28">
      <c r="A14" s="14" t="s">
        <v>50</v>
      </c>
      <c r="B14" s="15" t="s">
        <v>43</v>
      </c>
      <c r="C14" s="16" t="s">
        <v>51</v>
      </c>
      <c r="D14" s="16" t="s">
        <v>52</v>
      </c>
    </row>
    <row r="15" spans="1:4" s="3" customFormat="1" ht="42">
      <c r="A15" s="14" t="s">
        <v>53</v>
      </c>
      <c r="B15" s="15" t="s">
        <v>47</v>
      </c>
      <c r="C15" s="16" t="s">
        <v>54</v>
      </c>
      <c r="D15" s="16" t="s">
        <v>55</v>
      </c>
    </row>
    <row r="16" spans="1:4" s="3" customFormat="1" ht="28">
      <c r="A16" s="14" t="s">
        <v>56</v>
      </c>
      <c r="B16" s="15" t="s">
        <v>43</v>
      </c>
      <c r="C16" s="17" t="s">
        <v>57</v>
      </c>
      <c r="D16" s="16" t="s">
        <v>58</v>
      </c>
    </row>
    <row r="17" spans="1:8" s="3" customFormat="1" ht="28">
      <c r="A17" s="14" t="s">
        <v>59</v>
      </c>
      <c r="B17" s="15" t="s">
        <v>43</v>
      </c>
      <c r="C17" s="16" t="s">
        <v>60</v>
      </c>
      <c r="D17" s="19" t="s">
        <v>61</v>
      </c>
    </row>
    <row r="18" spans="1:8" s="3" customFormat="1" ht="28">
      <c r="A18" s="14" t="s">
        <v>62</v>
      </c>
      <c r="B18" s="18" t="s">
        <v>47</v>
      </c>
      <c r="C18" s="19" t="s">
        <v>63</v>
      </c>
      <c r="D18" s="19" t="s">
        <v>64</v>
      </c>
    </row>
    <row r="19" spans="1:8" s="3" customFormat="1" ht="28">
      <c r="A19" s="14" t="s">
        <v>65</v>
      </c>
      <c r="B19" s="18" t="s">
        <v>43</v>
      </c>
      <c r="C19" s="19" t="s">
        <v>66</v>
      </c>
      <c r="D19" s="19" t="s">
        <v>67</v>
      </c>
    </row>
    <row r="20" spans="1:8" s="3" customFormat="1" ht="28">
      <c r="A20" s="14" t="s">
        <v>68</v>
      </c>
      <c r="B20" s="18" t="s">
        <v>43</v>
      </c>
      <c r="C20" s="19" t="s">
        <v>69</v>
      </c>
      <c r="D20" s="19" t="s">
        <v>70</v>
      </c>
    </row>
    <row r="21" spans="1:8" s="3" customFormat="1" ht="28">
      <c r="A21" s="14" t="s">
        <v>71</v>
      </c>
      <c r="B21" s="18" t="s">
        <v>43</v>
      </c>
      <c r="C21" s="19" t="s">
        <v>72</v>
      </c>
      <c r="D21" s="19" t="s">
        <v>73</v>
      </c>
    </row>
    <row r="22" spans="1:8" s="3" customFormat="1" ht="28">
      <c r="A22" s="14" t="s">
        <v>74</v>
      </c>
      <c r="B22" s="18" t="s">
        <v>43</v>
      </c>
      <c r="C22" s="19" t="s">
        <v>75</v>
      </c>
      <c r="D22" s="19" t="s">
        <v>76</v>
      </c>
    </row>
    <row r="23" spans="1:8" s="3" customFormat="1" ht="14">
      <c r="A23" s="14" t="s">
        <v>77</v>
      </c>
      <c r="B23" s="18" t="s">
        <v>43</v>
      </c>
      <c r="C23" s="19" t="s">
        <v>78</v>
      </c>
      <c r="D23" s="19" t="s">
        <v>79</v>
      </c>
    </row>
    <row r="24" spans="1:8" s="3" customFormat="1" ht="28">
      <c r="A24" s="14" t="s">
        <v>80</v>
      </c>
      <c r="B24" s="20" t="s">
        <v>43</v>
      </c>
      <c r="C24" s="21" t="s">
        <v>81</v>
      </c>
      <c r="D24" s="19" t="s">
        <v>82</v>
      </c>
    </row>
    <row r="25" spans="1:8" ht="28">
      <c r="A25" s="90" t="s">
        <v>83</v>
      </c>
      <c r="B25" s="18" t="s">
        <v>43</v>
      </c>
      <c r="C25" s="19" t="s">
        <v>84</v>
      </c>
      <c r="D25" s="19" t="s">
        <v>85</v>
      </c>
    </row>
    <row r="28" spans="1:8">
      <c r="A28" s="22" t="s">
        <v>86</v>
      </c>
    </row>
    <row r="29" spans="1:8" ht="34.5" customHeight="1">
      <c r="B29" s="253" t="s">
        <v>87</v>
      </c>
      <c r="C29" s="253"/>
      <c r="D29" s="23"/>
      <c r="E29" s="23"/>
      <c r="F29" s="23"/>
      <c r="G29" s="23"/>
      <c r="H29" s="23"/>
    </row>
    <row r="31" spans="1:8">
      <c r="B31" s="3" t="s">
        <v>88</v>
      </c>
    </row>
  </sheetData>
  <mergeCells count="5">
    <mergeCell ref="C4:D4"/>
    <mergeCell ref="C5:D5"/>
    <mergeCell ref="C6:D6"/>
    <mergeCell ref="C7:D7"/>
    <mergeCell ref="B29:C29"/>
  </mergeCells>
  <pageMargins left="0.25" right="0.25" top="0.75" bottom="0.75" header="0.3" footer="0.3"/>
  <pageSetup paperSize="9" scale="75" firstPageNumber="0" fitToHeight="0" orientation="portrait" r:id="rId1"/>
  <headerFooter>
    <oddFooter>&amp;L&amp;"Cambria,Regular"&amp;8Stryker Confidential&amp;R&amp;"Cambria,Regular"&amp;8Page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47"/>
  <sheetViews>
    <sheetView view="pageBreakPreview" topLeftCell="A37" zoomScale="60" zoomScaleNormal="95" workbookViewId="0">
      <selection activeCell="D67" sqref="D67"/>
    </sheetView>
  </sheetViews>
  <sheetFormatPr defaultColWidth="9.1796875" defaultRowHeight="14.5"/>
  <cols>
    <col min="1" max="1" width="31.81640625" style="24" customWidth="1"/>
    <col min="2" max="2" width="58.453125" style="25" customWidth="1"/>
    <col min="3" max="3" width="20.81640625" style="24" customWidth="1"/>
    <col min="4" max="4" width="42.81640625" style="24" customWidth="1"/>
    <col min="5" max="1024" width="9.1796875" style="24"/>
  </cols>
  <sheetData>
    <row r="1" spans="1:4" ht="53.4" customHeight="1"/>
    <row r="2" spans="1:4" s="26" customFormat="1" ht="15" customHeight="1">
      <c r="A2" s="2" t="s">
        <v>89</v>
      </c>
      <c r="B2" s="3"/>
    </row>
    <row r="3" spans="1:4" s="26" customFormat="1" ht="15" customHeight="1">
      <c r="A3" s="2"/>
      <c r="B3" s="3"/>
    </row>
    <row r="4" spans="1:4" s="26" customFormat="1" ht="14" hidden="1">
      <c r="B4" s="3"/>
    </row>
    <row r="5" spans="1:4" s="26" customFormat="1" ht="14">
      <c r="A5" s="27" t="s">
        <v>90</v>
      </c>
      <c r="B5" s="28" t="s">
        <v>91</v>
      </c>
      <c r="C5" s="29" t="s">
        <v>92</v>
      </c>
      <c r="D5" s="29" t="s">
        <v>93</v>
      </c>
    </row>
    <row r="6" spans="1:4" s="26" customFormat="1" ht="28">
      <c r="A6" s="30" t="s">
        <v>94</v>
      </c>
      <c r="B6" s="31" t="s">
        <v>95</v>
      </c>
      <c r="C6" s="19" t="s">
        <v>96</v>
      </c>
      <c r="D6" s="19" t="s">
        <v>97</v>
      </c>
    </row>
    <row r="7" spans="1:4" s="26" customFormat="1" ht="42">
      <c r="A7" s="32" t="s">
        <v>98</v>
      </c>
      <c r="B7" s="31" t="s">
        <v>99</v>
      </c>
      <c r="C7" s="19" t="s">
        <v>96</v>
      </c>
      <c r="D7" s="19" t="s">
        <v>97</v>
      </c>
    </row>
    <row r="8" spans="1:4" s="26" customFormat="1" ht="28">
      <c r="A8" s="32" t="s">
        <v>100</v>
      </c>
      <c r="B8" s="19" t="s">
        <v>101</v>
      </c>
      <c r="C8" s="19" t="s">
        <v>96</v>
      </c>
      <c r="D8" s="19" t="s">
        <v>97</v>
      </c>
    </row>
    <row r="9" spans="1:4" s="26" customFormat="1" ht="14">
      <c r="A9" s="32" t="s">
        <v>102</v>
      </c>
      <c r="B9" s="19" t="s">
        <v>103</v>
      </c>
      <c r="C9" s="19" t="s">
        <v>96</v>
      </c>
      <c r="D9" s="19" t="s">
        <v>97</v>
      </c>
    </row>
    <row r="10" spans="1:4" s="26" customFormat="1" ht="14">
      <c r="A10" s="32" t="s">
        <v>104</v>
      </c>
      <c r="B10" s="19" t="s">
        <v>105</v>
      </c>
      <c r="C10" s="19" t="s">
        <v>96</v>
      </c>
      <c r="D10" s="19" t="s">
        <v>97</v>
      </c>
    </row>
    <row r="11" spans="1:4" s="26" customFormat="1" ht="14">
      <c r="A11" s="33" t="s">
        <v>106</v>
      </c>
      <c r="B11" s="34"/>
      <c r="C11" s="33"/>
      <c r="D11" s="33"/>
    </row>
    <row r="12" spans="1:4" s="26" customFormat="1" ht="14">
      <c r="A12" s="35" t="s">
        <v>107</v>
      </c>
      <c r="B12" s="35" t="s">
        <v>108</v>
      </c>
      <c r="C12" s="19" t="s">
        <v>96</v>
      </c>
      <c r="D12" s="19" t="s">
        <v>97</v>
      </c>
    </row>
    <row r="13" spans="1:4" s="26" customFormat="1" ht="28">
      <c r="A13" s="35" t="s">
        <v>109</v>
      </c>
      <c r="B13" s="19" t="s">
        <v>110</v>
      </c>
      <c r="C13" s="19" t="s">
        <v>96</v>
      </c>
      <c r="D13" s="19" t="s">
        <v>97</v>
      </c>
    </row>
    <row r="14" spans="1:4" s="26" customFormat="1" ht="28">
      <c r="A14" s="35" t="s">
        <v>111</v>
      </c>
      <c r="B14" s="19" t="s">
        <v>112</v>
      </c>
      <c r="C14" s="19" t="s">
        <v>96</v>
      </c>
      <c r="D14" s="19" t="s">
        <v>97</v>
      </c>
    </row>
    <row r="15" spans="1:4" s="26" customFormat="1" ht="14">
      <c r="A15" s="35" t="s">
        <v>113</v>
      </c>
      <c r="B15" s="19" t="s">
        <v>114</v>
      </c>
      <c r="C15" s="19" t="s">
        <v>96</v>
      </c>
      <c r="D15" s="19" t="s">
        <v>97</v>
      </c>
    </row>
    <row r="16" spans="1:4" s="26" customFormat="1" ht="28">
      <c r="A16" s="35" t="s">
        <v>115</v>
      </c>
      <c r="B16" s="19" t="s">
        <v>116</v>
      </c>
      <c r="C16" s="19" t="s">
        <v>96</v>
      </c>
      <c r="D16" s="19" t="s">
        <v>97</v>
      </c>
    </row>
    <row r="17" spans="1:4" s="26" customFormat="1" ht="28">
      <c r="A17" s="35" t="s">
        <v>117</v>
      </c>
      <c r="B17" s="19" t="s">
        <v>118</v>
      </c>
      <c r="C17" s="19" t="s">
        <v>96</v>
      </c>
      <c r="D17" s="19" t="s">
        <v>97</v>
      </c>
    </row>
    <row r="18" spans="1:4" s="26" customFormat="1" ht="14">
      <c r="A18" s="33" t="s">
        <v>119</v>
      </c>
      <c r="B18" s="34"/>
      <c r="C18" s="33"/>
      <c r="D18" s="33"/>
    </row>
    <row r="19" spans="1:4" s="26" customFormat="1" ht="28">
      <c r="A19" s="35" t="s">
        <v>120</v>
      </c>
      <c r="B19" s="19" t="s">
        <v>121</v>
      </c>
      <c r="C19" s="19" t="s">
        <v>96</v>
      </c>
      <c r="D19" s="19" t="s">
        <v>97</v>
      </c>
    </row>
    <row r="20" spans="1:4" s="26" customFormat="1" ht="14">
      <c r="A20" s="35" t="s">
        <v>122</v>
      </c>
      <c r="B20" s="19" t="s">
        <v>123</v>
      </c>
      <c r="C20" s="19" t="s">
        <v>96</v>
      </c>
      <c r="D20" s="19" t="s">
        <v>97</v>
      </c>
    </row>
    <row r="21" spans="1:4" s="26" customFormat="1" ht="14">
      <c r="A21" s="35" t="s">
        <v>124</v>
      </c>
      <c r="B21" s="19" t="s">
        <v>125</v>
      </c>
      <c r="C21" s="19" t="s">
        <v>96</v>
      </c>
      <c r="D21" s="19" t="s">
        <v>97</v>
      </c>
    </row>
    <row r="22" spans="1:4" s="26" customFormat="1" ht="14">
      <c r="A22" s="35" t="s">
        <v>126</v>
      </c>
      <c r="B22" s="19" t="s">
        <v>127</v>
      </c>
      <c r="C22" s="19" t="s">
        <v>96</v>
      </c>
      <c r="D22" s="19" t="s">
        <v>97</v>
      </c>
    </row>
    <row r="23" spans="1:4" s="26" customFormat="1" ht="14">
      <c r="A23" s="33" t="s">
        <v>128</v>
      </c>
      <c r="B23" s="34"/>
      <c r="C23" s="33"/>
      <c r="D23" s="33"/>
    </row>
    <row r="24" spans="1:4" s="26" customFormat="1" ht="14">
      <c r="A24" s="35" t="s">
        <v>129</v>
      </c>
      <c r="B24" s="19" t="s">
        <v>130</v>
      </c>
      <c r="C24" s="19" t="s">
        <v>96</v>
      </c>
      <c r="D24" s="36" t="s">
        <v>97</v>
      </c>
    </row>
    <row r="25" spans="1:4" s="26" customFormat="1" ht="14">
      <c r="A25" s="35" t="s">
        <v>131</v>
      </c>
      <c r="B25" s="19" t="s">
        <v>132</v>
      </c>
      <c r="C25" s="19" t="s">
        <v>96</v>
      </c>
      <c r="D25" s="36" t="s">
        <v>97</v>
      </c>
    </row>
    <row r="26" spans="1:4" s="26" customFormat="1" ht="28">
      <c r="A26" s="35" t="s">
        <v>133</v>
      </c>
      <c r="B26" s="19" t="s">
        <v>134</v>
      </c>
      <c r="C26" s="19" t="s">
        <v>96</v>
      </c>
      <c r="D26" s="36" t="s">
        <v>97</v>
      </c>
    </row>
    <row r="27" spans="1:4" s="26" customFormat="1" ht="14">
      <c r="A27" s="35" t="s">
        <v>135</v>
      </c>
      <c r="B27" s="19" t="s">
        <v>136</v>
      </c>
      <c r="C27" s="19" t="s">
        <v>96</v>
      </c>
      <c r="D27" s="36" t="s">
        <v>97</v>
      </c>
    </row>
    <row r="28" spans="1:4" s="26" customFormat="1" ht="14">
      <c r="A28" s="33" t="s">
        <v>137</v>
      </c>
      <c r="B28" s="34"/>
      <c r="C28" s="33"/>
      <c r="D28" s="33"/>
    </row>
    <row r="29" spans="1:4" s="26" customFormat="1" ht="28">
      <c r="A29" s="35" t="s">
        <v>138</v>
      </c>
      <c r="B29" s="19" t="s">
        <v>139</v>
      </c>
      <c r="C29" s="19" t="s">
        <v>96</v>
      </c>
      <c r="D29" s="36" t="s">
        <v>97</v>
      </c>
    </row>
    <row r="30" spans="1:4" s="26" customFormat="1" ht="28">
      <c r="A30" s="35" t="s">
        <v>140</v>
      </c>
      <c r="B30" s="19" t="s">
        <v>141</v>
      </c>
      <c r="C30" s="19" t="s">
        <v>96</v>
      </c>
      <c r="D30" s="36" t="s">
        <v>97</v>
      </c>
    </row>
    <row r="31" spans="1:4" s="26" customFormat="1" ht="14">
      <c r="A31" s="35" t="s">
        <v>142</v>
      </c>
      <c r="B31" s="21" t="s">
        <v>143</v>
      </c>
      <c r="C31" s="19" t="s">
        <v>96</v>
      </c>
      <c r="D31" s="36" t="s">
        <v>97</v>
      </c>
    </row>
    <row r="32" spans="1:4" s="26" customFormat="1" ht="14">
      <c r="A32" s="37" t="s">
        <v>144</v>
      </c>
      <c r="B32" s="21" t="s">
        <v>145</v>
      </c>
      <c r="C32" s="19" t="s">
        <v>96</v>
      </c>
      <c r="D32" s="38" t="s">
        <v>97</v>
      </c>
    </row>
    <row r="33" spans="1:8" s="26" customFormat="1" ht="14">
      <c r="A33" s="35" t="s">
        <v>146</v>
      </c>
      <c r="B33" s="19" t="s">
        <v>147</v>
      </c>
      <c r="C33" s="19" t="s">
        <v>96</v>
      </c>
      <c r="D33" s="38" t="s">
        <v>97</v>
      </c>
    </row>
    <row r="34" spans="1:8" s="26" customFormat="1" ht="23.5" customHeight="1">
      <c r="A34" s="35" t="s">
        <v>148</v>
      </c>
      <c r="B34" s="19" t="s">
        <v>149</v>
      </c>
      <c r="C34" s="19" t="s">
        <v>96</v>
      </c>
      <c r="D34" s="38" t="s">
        <v>97</v>
      </c>
    </row>
    <row r="35" spans="1:8" s="26" customFormat="1" ht="14">
      <c r="A35" s="33" t="s">
        <v>150</v>
      </c>
      <c r="B35" s="34"/>
      <c r="C35" s="33"/>
      <c r="D35" s="33"/>
    </row>
    <row r="36" spans="1:8" s="26" customFormat="1" ht="28">
      <c r="A36" s="39" t="s">
        <v>151</v>
      </c>
      <c r="B36" s="21" t="s">
        <v>152</v>
      </c>
      <c r="C36" s="21" t="s">
        <v>96</v>
      </c>
      <c r="D36" s="38" t="s">
        <v>97</v>
      </c>
    </row>
    <row r="37" spans="1:8" s="26" customFormat="1" ht="28">
      <c r="A37" s="40" t="s">
        <v>153</v>
      </c>
      <c r="B37" s="19" t="s">
        <v>154</v>
      </c>
      <c r="C37" s="19" t="s">
        <v>96</v>
      </c>
      <c r="D37" s="36" t="s">
        <v>97</v>
      </c>
    </row>
    <row r="38" spans="1:8" s="26" customFormat="1" ht="14">
      <c r="A38" s="40" t="s">
        <v>155</v>
      </c>
      <c r="B38" s="19" t="s">
        <v>156</v>
      </c>
      <c r="C38" s="19" t="s">
        <v>96</v>
      </c>
      <c r="D38" s="36" t="s">
        <v>97</v>
      </c>
    </row>
    <row r="39" spans="1:8" s="26" customFormat="1" ht="14">
      <c r="A39" s="40" t="s">
        <v>157</v>
      </c>
      <c r="B39" s="19" t="s">
        <v>158</v>
      </c>
      <c r="C39" s="19" t="s">
        <v>96</v>
      </c>
      <c r="D39" s="36" t="s">
        <v>97</v>
      </c>
    </row>
    <row r="40" spans="1:8" s="26" customFormat="1" ht="14">
      <c r="A40" s="41" t="s">
        <v>159</v>
      </c>
      <c r="B40" s="42"/>
      <c r="C40" s="43"/>
      <c r="D40" s="43"/>
    </row>
    <row r="41" spans="1:8" s="26" customFormat="1" ht="14">
      <c r="A41" s="40" t="s">
        <v>160</v>
      </c>
      <c r="B41" s="19" t="s">
        <v>161</v>
      </c>
      <c r="C41" s="19" t="s">
        <v>96</v>
      </c>
      <c r="D41" s="36" t="s">
        <v>97</v>
      </c>
      <c r="E41" s="23"/>
      <c r="F41" s="23"/>
      <c r="G41" s="23"/>
      <c r="H41" s="23"/>
    </row>
    <row r="42" spans="1:8" s="26" customFormat="1" ht="28">
      <c r="A42" s="40" t="s">
        <v>162</v>
      </c>
      <c r="B42" s="19" t="s">
        <v>163</v>
      </c>
      <c r="C42" s="19" t="s">
        <v>96</v>
      </c>
      <c r="D42" s="36" t="s">
        <v>97</v>
      </c>
    </row>
    <row r="43" spans="1:8">
      <c r="A43" s="41" t="s">
        <v>164</v>
      </c>
      <c r="B43" s="42"/>
      <c r="C43" s="43"/>
      <c r="D43" s="43"/>
    </row>
    <row r="44" spans="1:8" ht="28">
      <c r="A44" s="39" t="s">
        <v>165</v>
      </c>
      <c r="B44" s="21" t="s">
        <v>166</v>
      </c>
      <c r="C44" s="21" t="s">
        <v>96</v>
      </c>
      <c r="D44" s="38" t="s">
        <v>97</v>
      </c>
    </row>
    <row r="45" spans="1:8">
      <c r="A45" s="22" t="s">
        <v>86</v>
      </c>
      <c r="B45" s="3"/>
      <c r="C45" s="26"/>
      <c r="D45" s="26"/>
    </row>
    <row r="46" spans="1:8" ht="43">
      <c r="A46" s="26"/>
      <c r="B46" s="23" t="s">
        <v>87</v>
      </c>
      <c r="C46" s="23"/>
      <c r="D46" s="23"/>
    </row>
    <row r="47" spans="1:8">
      <c r="A47" s="26"/>
      <c r="B47" s="3"/>
      <c r="C47" s="26"/>
      <c r="D47" s="26"/>
    </row>
  </sheetData>
  <pageMargins left="0.25" right="0.25" top="0.75" bottom="0.75" header="0.3" footer="0.3"/>
  <pageSetup paperSize="9" scale="64" firstPageNumber="0" fitToHeight="0" orientation="portrait"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CVSSv3.0'!$Q$13:$Q$15</xm:f>
          </x14:formula1>
          <x14:formula2>
            <xm:f>0</xm:f>
          </x14:formula2>
          <xm:sqref>C6:C10 C12:C17 C19:C22 C24:C27 C29:C34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6"/>
  <sheetViews>
    <sheetView view="pageBreakPreview" topLeftCell="A16" zoomScale="60" zoomScaleNormal="60" workbookViewId="0">
      <selection activeCell="C23" sqref="C23"/>
    </sheetView>
  </sheetViews>
  <sheetFormatPr defaultColWidth="9.1796875" defaultRowHeight="14.5"/>
  <cols>
    <col min="1" max="1" width="6.1796875" style="24" customWidth="1"/>
    <col min="2" max="2" width="38.1796875" style="24" customWidth="1"/>
    <col min="3" max="3" width="49.453125" style="24" customWidth="1"/>
    <col min="4" max="4" width="27.81640625" style="24" customWidth="1"/>
    <col min="5" max="5" width="15.1796875" style="44" customWidth="1"/>
    <col min="6" max="6" width="24.81640625" style="24" customWidth="1"/>
    <col min="7" max="1024" width="9.1796875" style="24"/>
  </cols>
  <sheetData>
    <row r="1" spans="1:6" ht="41.4" customHeight="1"/>
    <row r="2" spans="1:6" s="26" customFormat="1" ht="14">
      <c r="A2" s="2" t="s">
        <v>167</v>
      </c>
      <c r="E2" s="45"/>
    </row>
    <row r="3" spans="1:6" s="26" customFormat="1" ht="14">
      <c r="E3" s="45"/>
    </row>
    <row r="4" spans="1:6" s="26" customFormat="1" ht="28">
      <c r="A4" s="28" t="s">
        <v>168</v>
      </c>
      <c r="B4" s="28" t="s">
        <v>169</v>
      </c>
      <c r="C4" s="28" t="s">
        <v>170</v>
      </c>
      <c r="D4" s="28" t="s">
        <v>171</v>
      </c>
      <c r="E4" s="28" t="s">
        <v>172</v>
      </c>
      <c r="F4" s="46" t="s">
        <v>173</v>
      </c>
    </row>
    <row r="5" spans="1:6" s="51" customFormat="1" ht="112">
      <c r="A5" s="47" t="s">
        <v>174</v>
      </c>
      <c r="B5" s="19" t="s">
        <v>175</v>
      </c>
      <c r="C5" s="48" t="s">
        <v>176</v>
      </c>
      <c r="D5" s="18" t="s">
        <v>177</v>
      </c>
      <c r="E5" s="49" t="s">
        <v>96</v>
      </c>
      <c r="F5" s="50" t="s">
        <v>97</v>
      </c>
    </row>
    <row r="6" spans="1:6" s="26" customFormat="1" ht="70">
      <c r="A6" s="47" t="s">
        <v>178</v>
      </c>
      <c r="B6" s="19" t="s">
        <v>179</v>
      </c>
      <c r="C6" s="48" t="s">
        <v>180</v>
      </c>
      <c r="D6" s="18" t="s">
        <v>181</v>
      </c>
      <c r="E6" s="49" t="s">
        <v>96</v>
      </c>
      <c r="F6" s="50" t="s">
        <v>97</v>
      </c>
    </row>
    <row r="7" spans="1:6" s="26" customFormat="1" ht="70">
      <c r="A7" s="47" t="s">
        <v>182</v>
      </c>
      <c r="B7" s="19" t="s">
        <v>183</v>
      </c>
      <c r="C7" s="19" t="s">
        <v>184</v>
      </c>
      <c r="D7" s="18" t="s">
        <v>181</v>
      </c>
      <c r="E7" s="49" t="s">
        <v>96</v>
      </c>
      <c r="F7" s="50" t="s">
        <v>97</v>
      </c>
    </row>
    <row r="8" spans="1:6" s="26" customFormat="1" ht="42">
      <c r="A8" s="52" t="s">
        <v>185</v>
      </c>
      <c r="B8" s="53" t="s">
        <v>186</v>
      </c>
      <c r="C8" s="53" t="s">
        <v>187</v>
      </c>
      <c r="D8" s="18" t="s">
        <v>181</v>
      </c>
      <c r="E8" s="49" t="s">
        <v>96</v>
      </c>
      <c r="F8" s="50" t="s">
        <v>97</v>
      </c>
    </row>
    <row r="9" spans="1:6" s="26" customFormat="1" ht="56">
      <c r="A9" s="47" t="s">
        <v>188</v>
      </c>
      <c r="B9" s="53" t="s">
        <v>189</v>
      </c>
      <c r="C9" s="53" t="s">
        <v>190</v>
      </c>
      <c r="D9" s="18" t="s">
        <v>181</v>
      </c>
      <c r="E9" s="49" t="s">
        <v>96</v>
      </c>
      <c r="F9" s="50" t="s">
        <v>97</v>
      </c>
    </row>
    <row r="10" spans="1:6" s="26" customFormat="1" ht="28">
      <c r="A10" s="47" t="s">
        <v>191</v>
      </c>
      <c r="B10" s="53" t="s">
        <v>192</v>
      </c>
      <c r="C10" s="53" t="s">
        <v>193</v>
      </c>
      <c r="D10" s="18" t="s">
        <v>181</v>
      </c>
      <c r="E10" s="49" t="s">
        <v>96</v>
      </c>
      <c r="F10" s="50" t="s">
        <v>97</v>
      </c>
    </row>
    <row r="11" spans="1:6" s="26" customFormat="1" ht="28">
      <c r="A11" s="47" t="s">
        <v>194</v>
      </c>
      <c r="B11" s="53" t="s">
        <v>195</v>
      </c>
      <c r="C11" s="53" t="s">
        <v>196</v>
      </c>
      <c r="D11" s="18" t="s">
        <v>177</v>
      </c>
      <c r="E11" s="49" t="s">
        <v>96</v>
      </c>
      <c r="F11" s="50" t="s">
        <v>97</v>
      </c>
    </row>
    <row r="12" spans="1:6" s="26" customFormat="1" ht="140">
      <c r="A12" s="47" t="s">
        <v>197</v>
      </c>
      <c r="B12" s="53" t="s">
        <v>198</v>
      </c>
      <c r="C12" s="53" t="s">
        <v>199</v>
      </c>
      <c r="D12" s="18" t="s">
        <v>181</v>
      </c>
      <c r="E12" s="49" t="s">
        <v>96</v>
      </c>
      <c r="F12" s="50" t="s">
        <v>97</v>
      </c>
    </row>
    <row r="13" spans="1:6" s="26" customFormat="1" ht="28">
      <c r="A13" s="47" t="s">
        <v>200</v>
      </c>
      <c r="B13" s="53" t="s">
        <v>201</v>
      </c>
      <c r="C13" s="53" t="s">
        <v>202</v>
      </c>
      <c r="D13" s="18" t="s">
        <v>177</v>
      </c>
      <c r="E13" s="49" t="s">
        <v>96</v>
      </c>
      <c r="F13" s="50" t="s">
        <v>97</v>
      </c>
    </row>
    <row r="14" spans="1:6" s="26" customFormat="1" ht="28">
      <c r="A14" s="47" t="s">
        <v>203</v>
      </c>
      <c r="B14" s="53" t="s">
        <v>204</v>
      </c>
      <c r="C14" s="53" t="s">
        <v>205</v>
      </c>
      <c r="D14" s="18" t="s">
        <v>177</v>
      </c>
      <c r="E14" s="49" t="s">
        <v>96</v>
      </c>
      <c r="F14" s="50" t="s">
        <v>97</v>
      </c>
    </row>
    <row r="15" spans="1:6" s="26" customFormat="1" ht="42">
      <c r="A15" s="47" t="s">
        <v>206</v>
      </c>
      <c r="B15" s="53" t="s">
        <v>207</v>
      </c>
      <c r="C15" s="53" t="s">
        <v>208</v>
      </c>
      <c r="D15" s="18" t="s">
        <v>181</v>
      </c>
      <c r="E15" s="49" t="s">
        <v>96</v>
      </c>
      <c r="F15" s="50" t="s">
        <v>97</v>
      </c>
    </row>
    <row r="16" spans="1:6" s="26" customFormat="1" ht="28">
      <c r="A16" s="47" t="s">
        <v>209</v>
      </c>
      <c r="B16" s="19" t="s">
        <v>210</v>
      </c>
      <c r="C16" s="36" t="s">
        <v>211</v>
      </c>
      <c r="D16" s="49" t="s">
        <v>177</v>
      </c>
      <c r="E16" s="49" t="s">
        <v>96</v>
      </c>
      <c r="F16" s="50" t="s">
        <v>97</v>
      </c>
    </row>
    <row r="17" spans="1:6" s="26" customFormat="1" ht="42">
      <c r="A17" s="54" t="s">
        <v>212</v>
      </c>
      <c r="B17" s="21" t="s">
        <v>213</v>
      </c>
      <c r="C17" s="3" t="s">
        <v>214</v>
      </c>
      <c r="D17" s="18" t="s">
        <v>181</v>
      </c>
      <c r="E17" s="55" t="s">
        <v>96</v>
      </c>
      <c r="F17" s="56" t="s">
        <v>97</v>
      </c>
    </row>
    <row r="18" spans="1:6" s="26" customFormat="1" ht="56">
      <c r="A18" s="54" t="s">
        <v>215</v>
      </c>
      <c r="B18" s="19" t="s">
        <v>216</v>
      </c>
      <c r="C18" s="53" t="s">
        <v>217</v>
      </c>
      <c r="D18" s="18" t="s">
        <v>181</v>
      </c>
      <c r="E18" s="55" t="s">
        <v>96</v>
      </c>
      <c r="F18" s="56" t="s">
        <v>97</v>
      </c>
    </row>
    <row r="19" spans="1:6" s="26" customFormat="1" ht="14">
      <c r="A19" s="22" t="s">
        <v>86</v>
      </c>
      <c r="E19" s="45"/>
    </row>
    <row r="20" spans="1:6" s="26" customFormat="1" ht="31.5" customHeight="1">
      <c r="B20" s="253" t="s">
        <v>87</v>
      </c>
      <c r="C20" s="253"/>
      <c r="D20" s="253"/>
      <c r="E20" s="23"/>
      <c r="F20" s="23"/>
    </row>
    <row r="21" spans="1:6" s="26" customFormat="1" ht="14">
      <c r="E21" s="45"/>
    </row>
    <row r="22" spans="1:6" s="26" customFormat="1" ht="14">
      <c r="E22" s="45"/>
    </row>
    <row r="23" spans="1:6" s="26" customFormat="1" ht="14">
      <c r="E23" s="45"/>
    </row>
    <row r="24" spans="1:6" s="26" customFormat="1" ht="14">
      <c r="E24" s="45"/>
    </row>
    <row r="25" spans="1:6" s="26" customFormat="1" ht="14">
      <c r="E25" s="45"/>
    </row>
    <row r="26" spans="1:6" s="26" customFormat="1" ht="14">
      <c r="E26" s="45"/>
    </row>
    <row r="27" spans="1:6" s="26" customFormat="1" ht="14">
      <c r="E27" s="45"/>
    </row>
    <row r="28" spans="1:6" s="26" customFormat="1" ht="14">
      <c r="E28" s="45"/>
    </row>
    <row r="29" spans="1:6" s="26" customFormat="1" ht="14">
      <c r="E29" s="45"/>
    </row>
    <row r="30" spans="1:6" s="26" customFormat="1" ht="14">
      <c r="E30" s="45"/>
    </row>
    <row r="31" spans="1:6" s="26" customFormat="1" ht="14">
      <c r="E31" s="45"/>
    </row>
    <row r="32" spans="1:6" s="26" customFormat="1" ht="14">
      <c r="E32" s="45"/>
    </row>
    <row r="33" spans="5:5" s="26" customFormat="1" ht="14">
      <c r="E33" s="45"/>
    </row>
    <row r="34" spans="5:5" s="26" customFormat="1" ht="14">
      <c r="E34" s="45"/>
    </row>
    <row r="35" spans="5:5" s="26" customFormat="1" ht="14">
      <c r="E35" s="45"/>
    </row>
    <row r="36" spans="5:5" s="26" customFormat="1" ht="14">
      <c r="E36" s="45"/>
    </row>
    <row r="37" spans="5:5" s="26" customFormat="1" ht="14">
      <c r="E37" s="45"/>
    </row>
    <row r="38" spans="5:5" s="26" customFormat="1" ht="14">
      <c r="E38" s="45"/>
    </row>
    <row r="39" spans="5:5" s="26" customFormat="1" ht="14">
      <c r="E39" s="45"/>
    </row>
    <row r="40" spans="5:5" s="26" customFormat="1" ht="14">
      <c r="E40" s="45"/>
    </row>
    <row r="41" spans="5:5" s="26" customFormat="1" ht="14">
      <c r="E41" s="45"/>
    </row>
    <row r="42" spans="5:5" s="26" customFormat="1" ht="14">
      <c r="E42" s="45"/>
    </row>
    <row r="43" spans="5:5" s="26" customFormat="1" ht="14">
      <c r="E43" s="45"/>
    </row>
    <row r="44" spans="5:5" s="26" customFormat="1" ht="14">
      <c r="E44" s="45"/>
    </row>
    <row r="45" spans="5:5" s="26" customFormat="1" ht="14">
      <c r="E45" s="45"/>
    </row>
    <row r="46" spans="5:5" s="26" customFormat="1" ht="14">
      <c r="E46" s="45"/>
    </row>
    <row r="47" spans="5:5" s="26" customFormat="1" ht="14">
      <c r="E47" s="45"/>
    </row>
    <row r="48" spans="5:5" s="26" customFormat="1" ht="14">
      <c r="E48" s="45"/>
    </row>
    <row r="49" spans="5:5" s="26" customFormat="1" ht="14">
      <c r="E49" s="45"/>
    </row>
    <row r="50" spans="5:5" s="26" customFormat="1" ht="14">
      <c r="E50" s="45"/>
    </row>
    <row r="51" spans="5:5" s="26" customFormat="1" ht="14">
      <c r="E51" s="45"/>
    </row>
    <row r="52" spans="5:5" s="26" customFormat="1" ht="14">
      <c r="E52" s="45"/>
    </row>
    <row r="53" spans="5:5" s="26" customFormat="1" ht="14">
      <c r="E53" s="45"/>
    </row>
    <row r="54" spans="5:5" s="26" customFormat="1" ht="14">
      <c r="E54" s="45"/>
    </row>
    <row r="55" spans="5:5" s="26" customFormat="1" ht="14">
      <c r="E55" s="45"/>
    </row>
    <row r="56" spans="5:5" s="26" customFormat="1" ht="14">
      <c r="E56" s="45"/>
    </row>
    <row r="57" spans="5:5" s="26" customFormat="1" ht="14">
      <c r="E57" s="45"/>
    </row>
    <row r="58" spans="5:5" s="26" customFormat="1" ht="14">
      <c r="E58" s="45"/>
    </row>
    <row r="59" spans="5:5" s="26" customFormat="1" ht="14">
      <c r="E59" s="45"/>
    </row>
    <row r="60" spans="5:5" s="26" customFormat="1" ht="14">
      <c r="E60" s="45"/>
    </row>
    <row r="61" spans="5:5" s="26" customFormat="1" ht="14">
      <c r="E61" s="45"/>
    </row>
    <row r="62" spans="5:5" s="26" customFormat="1" ht="14">
      <c r="E62" s="45"/>
    </row>
    <row r="63" spans="5:5" s="26" customFormat="1" ht="14">
      <c r="E63" s="45"/>
    </row>
    <row r="64" spans="5:5" s="26" customFormat="1" ht="14">
      <c r="E64" s="45"/>
    </row>
    <row r="65" spans="1:6">
      <c r="A65" s="26"/>
      <c r="B65" s="26"/>
      <c r="C65" s="26"/>
      <c r="D65" s="26"/>
      <c r="E65" s="45"/>
      <c r="F65" s="26"/>
    </row>
    <row r="66" spans="1:6">
      <c r="A66" s="26"/>
      <c r="B66" s="26"/>
      <c r="C66" s="26"/>
      <c r="D66" s="26"/>
      <c r="E66" s="45"/>
      <c r="F66" s="26"/>
    </row>
  </sheetData>
  <mergeCells count="1">
    <mergeCell ref="B20:D20"/>
  </mergeCells>
  <pageMargins left="0.25" right="0.25" top="0.75" bottom="0.75" header="0.3" footer="0.3"/>
  <pageSetup paperSize="9" scale="61" firstPageNumber="0" fitToHeight="0" orientation="portrait"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'Reference - CVSSv3.0'!$Q$13:$Q$15</xm:f>
          </x14:formula1>
          <x14:formula2>
            <xm:f>0</xm:f>
          </x14:formula2>
          <xm:sqref>E5:E18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104"/>
  <sheetViews>
    <sheetView tabSelected="1" view="pageBreakPreview" topLeftCell="A102" zoomScale="50" zoomScaleNormal="70" zoomScaleSheetLayoutView="50" workbookViewId="0">
      <selection activeCell="H105" sqref="H105"/>
    </sheetView>
  </sheetViews>
  <sheetFormatPr defaultColWidth="9.1796875" defaultRowHeight="14.5"/>
  <cols>
    <col min="2" max="2" width="4.81640625" style="57" customWidth="1"/>
    <col min="3" max="3" width="25.453125" customWidth="1"/>
    <col min="4" max="4" width="5" style="57" customWidth="1"/>
    <col min="5" max="5" width="29" style="58" customWidth="1"/>
    <col min="6" max="6" width="6.1796875" style="57" customWidth="1"/>
    <col min="7" max="7" width="28.81640625" style="58" customWidth="1"/>
    <col min="8" max="8" width="59.36328125" customWidth="1"/>
    <col min="9" max="9" width="13.36328125" bestFit="1" customWidth="1"/>
    <col min="10" max="10" width="12.90625" style="57" bestFit="1" customWidth="1"/>
    <col min="11" max="12" width="10.1796875" style="57" bestFit="1" customWidth="1"/>
    <col min="13" max="13" width="19.81640625" bestFit="1" customWidth="1"/>
    <col min="14" max="14" width="24.1796875" bestFit="1" customWidth="1"/>
    <col min="15" max="15" width="16.81640625" bestFit="1" customWidth="1"/>
    <col min="16" max="16" width="22.453125" bestFit="1" customWidth="1"/>
    <col min="17" max="17" width="12.90625" bestFit="1" customWidth="1"/>
    <col min="18" max="18" width="29.54296875" bestFit="1" customWidth="1"/>
    <col min="19" max="19" width="9.1796875" bestFit="1" customWidth="1"/>
    <col min="20" max="20" width="23.1796875" bestFit="1" customWidth="1"/>
    <col min="21" max="21" width="26.81640625" bestFit="1" customWidth="1"/>
    <col min="22" max="22" width="19.1796875" bestFit="1" customWidth="1"/>
    <col min="23" max="23" width="28.36328125" bestFit="1" customWidth="1"/>
    <col min="24" max="24" width="18.81640625" bestFit="1" customWidth="1"/>
    <col min="25" max="25" width="14.54296875" bestFit="1" customWidth="1"/>
    <col min="26" max="26" width="35.81640625" style="58" customWidth="1"/>
    <col min="27" max="27" width="32.81640625" customWidth="1"/>
    <col min="28" max="28" width="28.1796875" customWidth="1"/>
    <col min="32" max="36" width="15.81640625" customWidth="1"/>
    <col min="37" max="39" width="15.81640625" hidden="1" customWidth="1"/>
    <col min="40" max="42" width="15.81640625" customWidth="1"/>
    <col min="43" max="43" width="40.81640625" customWidth="1"/>
    <col min="44" max="44" width="13.1796875" customWidth="1"/>
    <col min="45" max="45" width="24.81640625" customWidth="1"/>
  </cols>
  <sheetData>
    <row r="1" spans="1:45" s="60" customFormat="1" ht="14">
      <c r="A1" s="2" t="s">
        <v>218</v>
      </c>
      <c r="B1" s="59"/>
      <c r="D1" s="59"/>
      <c r="E1" s="61"/>
      <c r="F1" s="59"/>
      <c r="G1" s="61"/>
      <c r="J1" s="59"/>
      <c r="K1" s="59"/>
      <c r="L1" s="59"/>
      <c r="Z1" s="61"/>
    </row>
    <row r="2" spans="1:45" s="60" customFormat="1" ht="14">
      <c r="A2" s="60" t="s">
        <v>219</v>
      </c>
      <c r="B2" s="59"/>
      <c r="D2" s="59"/>
      <c r="E2" s="61"/>
      <c r="F2" s="59"/>
      <c r="G2" s="61"/>
      <c r="J2" s="59"/>
      <c r="K2" s="59"/>
      <c r="L2" s="59"/>
      <c r="Z2" s="61"/>
    </row>
    <row r="3" spans="1:45" s="60" customFormat="1" ht="23.25" customHeight="1">
      <c r="A3" s="62"/>
      <c r="B3" s="63"/>
      <c r="C3" s="64"/>
      <c r="D3" s="65"/>
      <c r="E3" s="66"/>
      <c r="F3" s="254" t="s">
        <v>220</v>
      </c>
      <c r="G3" s="254"/>
      <c r="H3" s="254"/>
      <c r="I3" s="254"/>
      <c r="J3" s="255" t="s">
        <v>221</v>
      </c>
      <c r="K3" s="255"/>
      <c r="L3" s="255"/>
      <c r="M3" s="255"/>
      <c r="N3" s="255"/>
      <c r="O3" s="255"/>
      <c r="P3" s="255"/>
      <c r="Q3" s="255"/>
      <c r="R3" s="255"/>
      <c r="S3" s="255"/>
      <c r="T3" s="255"/>
      <c r="U3" s="255"/>
      <c r="V3" s="255"/>
      <c r="W3" s="255"/>
      <c r="X3" s="255"/>
      <c r="Y3" s="255"/>
      <c r="Z3" s="256" t="s">
        <v>222</v>
      </c>
      <c r="AA3" s="256"/>
      <c r="AB3" s="256"/>
      <c r="AC3" s="257" t="s">
        <v>223</v>
      </c>
      <c r="AD3" s="257"/>
      <c r="AE3" s="257"/>
      <c r="AF3" s="257"/>
      <c r="AG3" s="257"/>
      <c r="AH3" s="257"/>
      <c r="AI3" s="257"/>
      <c r="AJ3" s="257"/>
      <c r="AK3" s="257"/>
      <c r="AL3" s="257"/>
      <c r="AM3" s="257"/>
      <c r="AN3" s="257"/>
      <c r="AO3" s="257"/>
      <c r="AP3" s="257"/>
      <c r="AQ3" s="257"/>
      <c r="AR3" s="61"/>
      <c r="AS3" s="61"/>
    </row>
    <row r="4" spans="1:45" s="60" customFormat="1" ht="88.5" customHeight="1">
      <c r="A4" s="68" t="s">
        <v>224</v>
      </c>
      <c r="B4" s="69" t="s">
        <v>225</v>
      </c>
      <c r="C4" s="70" t="s">
        <v>226</v>
      </c>
      <c r="D4" s="71" t="s">
        <v>227</v>
      </c>
      <c r="E4" s="72" t="s">
        <v>228</v>
      </c>
      <c r="F4" s="73" t="s">
        <v>229</v>
      </c>
      <c r="G4" s="74" t="s">
        <v>36</v>
      </c>
      <c r="H4" s="74" t="s">
        <v>230</v>
      </c>
      <c r="I4" s="75" t="s">
        <v>231</v>
      </c>
      <c r="J4" s="76" t="s">
        <v>232</v>
      </c>
      <c r="K4" s="76" t="s">
        <v>233</v>
      </c>
      <c r="L4" s="76" t="s">
        <v>234</v>
      </c>
      <c r="M4" s="77" t="s">
        <v>235</v>
      </c>
      <c r="N4" s="77" t="s">
        <v>236</v>
      </c>
      <c r="O4" s="77" t="s">
        <v>237</v>
      </c>
      <c r="P4" s="77" t="s">
        <v>238</v>
      </c>
      <c r="Q4" s="77" t="s">
        <v>239</v>
      </c>
      <c r="R4" s="77" t="s">
        <v>240</v>
      </c>
      <c r="S4" s="77" t="s">
        <v>241</v>
      </c>
      <c r="T4" s="77" t="s">
        <v>242</v>
      </c>
      <c r="U4" s="77" t="s">
        <v>243</v>
      </c>
      <c r="V4" s="78" t="s">
        <v>244</v>
      </c>
      <c r="W4" s="78" t="s">
        <v>245</v>
      </c>
      <c r="X4" s="79" t="s">
        <v>246</v>
      </c>
      <c r="Y4" s="80" t="s">
        <v>247</v>
      </c>
      <c r="Z4" s="81" t="s">
        <v>248</v>
      </c>
      <c r="AA4" s="81" t="s">
        <v>249</v>
      </c>
      <c r="AB4" s="81" t="s">
        <v>250</v>
      </c>
      <c r="AC4" s="82" t="s">
        <v>251</v>
      </c>
      <c r="AD4" s="82" t="s">
        <v>252</v>
      </c>
      <c r="AE4" s="82" t="s">
        <v>253</v>
      </c>
      <c r="AF4" s="67" t="s">
        <v>254</v>
      </c>
      <c r="AG4" s="67" t="s">
        <v>255</v>
      </c>
      <c r="AH4" s="67" t="s">
        <v>256</v>
      </c>
      <c r="AI4" s="67" t="s">
        <v>257</v>
      </c>
      <c r="AJ4" s="67" t="s">
        <v>258</v>
      </c>
      <c r="AK4" s="67" t="s">
        <v>259</v>
      </c>
      <c r="AL4" s="67" t="s">
        <v>260</v>
      </c>
      <c r="AM4" s="67" t="s">
        <v>261</v>
      </c>
      <c r="AN4" s="67" t="s">
        <v>262</v>
      </c>
      <c r="AO4" s="67" t="s">
        <v>263</v>
      </c>
      <c r="AP4" s="67" t="s">
        <v>264</v>
      </c>
      <c r="AQ4" s="83" t="s">
        <v>265</v>
      </c>
      <c r="AR4" s="61"/>
      <c r="AS4" s="61"/>
    </row>
    <row r="5" spans="1:45" s="26" customFormat="1" ht="240.75" customHeight="1">
      <c r="A5" s="84">
        <v>1</v>
      </c>
      <c r="B5" s="85" t="s">
        <v>174</v>
      </c>
      <c r="C5" s="86" t="str">
        <f>IF(VLOOKUP(Table4[[#This Row],[T ID]],Table5[#All],5,FALSE())="No","Not in scope",VLOOKUP(Table4[[#This Row],[T ID]],Table5[#All],2,FALSE()))</f>
        <v>Deliver undirected malware
(CAPEC-185)</v>
      </c>
      <c r="D5" s="57" t="s">
        <v>122</v>
      </c>
      <c r="E5" s="86" t="str">
        <f>IF(VLOOKUP(Table4[[#This Row],[V ID]],Vulnerabilities[#All],3,FALSE())="No","Not in scope",VLOOKUP(Table4[[#This Row],[V ID]],Vulnerabilities[#All],2,FALSE()))</f>
        <v>Unprotected external USB Port on the tablet/devices.</v>
      </c>
      <c r="F5" s="87" t="s">
        <v>38</v>
      </c>
      <c r="G5" s="88" t="str">
        <f>VLOOKUP(Table4[[#This Row],[A ID]],Assets[#All],3,FALSE())</f>
        <v>Tablet Resources - web cam, microphone, OTG devices, Removable USB, Tablet Application, Network interfaces (Bluetooth, Wifi)</v>
      </c>
      <c r="H5" s="19" t="s">
        <v>280</v>
      </c>
      <c r="I5" s="19" t="s">
        <v>465</v>
      </c>
      <c r="J5" s="89" t="s">
        <v>267</v>
      </c>
      <c r="K5" s="89" t="s">
        <v>267</v>
      </c>
      <c r="L5" s="89" t="s">
        <v>267</v>
      </c>
      <c r="M5" s="90" t="s">
        <v>268</v>
      </c>
      <c r="N5" s="90" t="s">
        <v>267</v>
      </c>
      <c r="O5" s="90" t="s">
        <v>267</v>
      </c>
      <c r="P5" s="90" t="s">
        <v>269</v>
      </c>
      <c r="Q5" s="90" t="s">
        <v>270</v>
      </c>
      <c r="R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 s="91">
        <f>(1 - ((1 - VLOOKUP(Table4[[#This Row],[Confidentiality]],'Reference - CVSSv3.0'!$B$16:$C$18,2,FALSE())) * (1 - VLOOKUP(Table4[[#This Row],[Integrity]],'Reference - CVSSv3.0'!$B$16:$C$18,2,FALSE())) *  (1 - VLOOKUP(Table4[[#This Row],[Availability]],'Reference - CVSSv3.0'!$B$16:$C$18,2,FALSE()))))</f>
        <v>0.52544799999999992</v>
      </c>
      <c r="T5" s="91">
        <f>IF(Table4[[#This Row],[Scope]]="Unchanged",6.42*Table4[[#This Row],[ISC Base]],IF(Table4[[#This Row],[Scope]]="Changed",7.52*(Table4[[#This Row],[ISC Base]] - 0.029) - 3.25 * POWER(Table4[[#This Row],[ISC Base]] - 0.02,15),NA()))</f>
        <v>3.3733761599999994</v>
      </c>
      <c r="U5"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 s="85" t="s">
        <v>267</v>
      </c>
      <c r="W5" s="92">
        <f>VLOOKUP(Table4[[#This Row],[Threat Event Initiation]],NIST_Scale_LOAI[],2,FALSE())</f>
        <v>0.2</v>
      </c>
      <c r="X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19" t="s">
        <v>271</v>
      </c>
      <c r="AA5" s="19" t="s">
        <v>272</v>
      </c>
      <c r="AB5" s="19" t="s">
        <v>469</v>
      </c>
      <c r="AC5" s="89"/>
      <c r="AD5" s="89"/>
      <c r="AE5" s="89"/>
      <c r="AF5" s="90"/>
      <c r="AG5" s="90"/>
      <c r="AH5" s="90"/>
      <c r="AI5" s="90"/>
      <c r="AJ5" s="90"/>
      <c r="AK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 s="91" t="e">
        <f>(1 - ((1 - VLOOKUP(Table4[[#This Row],[ConfidentialityP]],'Reference - CVSSv3.0'!$B$16:$C$18,2,FALSE())) * (1 - VLOOKUP(Table4[[#This Row],[IntegrityP]],'Reference - CVSSv3.0'!$B$16:$C$18,2,FALSE())) *  (1 - VLOOKUP(Table4[[#This Row],[AvailabilityP]],'Reference - CVSSv3.0'!$B$16:$C$18,2,FALSE()))))</f>
        <v>#N/A</v>
      </c>
      <c r="AM5" s="91" t="e">
        <f>IF(Table4[[#This Row],[ScopeP]]="Unchanged",6.42*Table4[[#This Row],[ISC BaseP]],IF(Table4[[#This Row],[ScopeP]]="Changed",7.52*(Table4[[#This Row],[ISC BaseP]] - 0.029) - 3.25 * POWER(Table4[[#This Row],[ISC BaseP]] - 0.02,15),NA()))</f>
        <v>#N/A</v>
      </c>
      <c r="AN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36" t="s">
        <v>219</v>
      </c>
    </row>
    <row r="6" spans="1:45" s="26" customFormat="1" ht="126">
      <c r="A6" s="84">
        <v>2</v>
      </c>
      <c r="B6" s="85" t="s">
        <v>174</v>
      </c>
      <c r="C6" s="86" t="str">
        <f>IF(VLOOKUP(Table4[[#This Row],[T ID]],Table5[#All],5,FALSE())="No","Not in scope",VLOOKUP(Table4[[#This Row],[T ID]],Table5[#All],2,FALSE()))</f>
        <v>Deliver undirected malware
(CAPEC-185)</v>
      </c>
      <c r="D6" s="57" t="s">
        <v>122</v>
      </c>
      <c r="E6" s="86" t="str">
        <f>IF(VLOOKUP(Table4[[#This Row],[V ID]],Vulnerabilities[#All],3,FALSE())="No","Not in scope",VLOOKUP(Table4[[#This Row],[V ID]],Vulnerabilities[#All],2,FALSE()))</f>
        <v>Unprotected external USB Port on the tablet/devices.</v>
      </c>
      <c r="F6" s="87" t="s">
        <v>46</v>
      </c>
      <c r="G6" s="88" t="str">
        <f>VLOOKUP(Table4[[#This Row],[A ID]],Assets[#All],3,FALSE())</f>
        <v>Smart medic (Stryker device) System Component</v>
      </c>
      <c r="H6" s="19" t="s">
        <v>514</v>
      </c>
      <c r="I6" s="19" t="s">
        <v>465</v>
      </c>
      <c r="J6" s="89" t="s">
        <v>267</v>
      </c>
      <c r="K6" s="89" t="s">
        <v>267</v>
      </c>
      <c r="L6" s="89" t="s">
        <v>267</v>
      </c>
      <c r="M6" s="90" t="s">
        <v>268</v>
      </c>
      <c r="N6" s="90" t="s">
        <v>267</v>
      </c>
      <c r="O6" s="90" t="s">
        <v>267</v>
      </c>
      <c r="P6" s="90" t="s">
        <v>269</v>
      </c>
      <c r="Q6" s="90" t="s">
        <v>270</v>
      </c>
      <c r="R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6" s="91">
        <f>(1 - ((1 - VLOOKUP(Table4[[#This Row],[Confidentiality]],'Reference - CVSSv3.0'!$B$16:$C$18,2,FALSE())) * (1 - VLOOKUP(Table4[[#This Row],[Integrity]],'Reference - CVSSv3.0'!$B$16:$C$18,2,FALSE())) *  (1 - VLOOKUP(Table4[[#This Row],[Availability]],'Reference - CVSSv3.0'!$B$16:$C$18,2,FALSE()))))</f>
        <v>0.52544799999999992</v>
      </c>
      <c r="T6" s="91">
        <f>IF(Table4[[#This Row],[Scope]]="Unchanged",6.42*Table4[[#This Row],[ISC Base]],IF(Table4[[#This Row],[Scope]]="Changed",7.52*(Table4[[#This Row],[ISC Base]] - 0.029) - 3.25 * POWER(Table4[[#This Row],[ISC Base]] - 0.02,15),NA()))</f>
        <v>3.3733761599999994</v>
      </c>
      <c r="U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 s="85" t="s">
        <v>267</v>
      </c>
      <c r="W6" s="91">
        <f>VLOOKUP(Table4[[#This Row],[Threat Event Initiation]],NIST_Scale_LOAI[],2,FALSE())</f>
        <v>0.2</v>
      </c>
      <c r="X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19" t="s">
        <v>271</v>
      </c>
      <c r="AA6" s="19" t="s">
        <v>431</v>
      </c>
      <c r="AB6" s="19" t="s">
        <v>471</v>
      </c>
      <c r="AC6" s="36"/>
      <c r="AD6" s="36"/>
      <c r="AE6" s="36"/>
      <c r="AF6" s="90"/>
      <c r="AG6" s="90"/>
      <c r="AH6" s="90"/>
      <c r="AI6" s="90"/>
      <c r="AJ6" s="90"/>
      <c r="AK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 s="91" t="e">
        <f>(1 - ((1 - VLOOKUP(Table4[[#This Row],[ConfidentialityP]],'Reference - CVSSv3.0'!$B$16:$C$18,2,FALSE())) * (1 - VLOOKUP(Table4[[#This Row],[IntegrityP]],'Reference - CVSSv3.0'!$B$16:$C$18,2,FALSE())) *  (1 - VLOOKUP(Table4[[#This Row],[AvailabilityP]],'Reference - CVSSv3.0'!$B$16:$C$18,2,FALSE()))))</f>
        <v>#N/A</v>
      </c>
      <c r="AM6" s="91" t="e">
        <f>IF(Table4[[#This Row],[ScopeP]]="Unchanged",6.42*Table4[[#This Row],[ISC BaseP]],IF(Table4[[#This Row],[ScopeP]]="Changed",7.52*(Table4[[#This Row],[ISC BaseP]] - 0.029) - 3.25 * POWER(Table4[[#This Row],[ISC BaseP]] - 0.02,15),NA()))</f>
        <v>#N/A</v>
      </c>
      <c r="AN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36"/>
    </row>
    <row r="7" spans="1:45" s="26" customFormat="1" ht="126">
      <c r="A7" s="84">
        <v>3</v>
      </c>
      <c r="B7" s="85" t="s">
        <v>174</v>
      </c>
      <c r="C7" s="86" t="str">
        <f>IF(VLOOKUP(Table4[[#This Row],[T ID]],Table5[#All],5,FALSE())="No","Not in scope",VLOOKUP(Table4[[#This Row],[T ID]],Table5[#All],2,FALSE()))</f>
        <v>Deliver undirected malware
(CAPEC-185)</v>
      </c>
      <c r="D7" s="57" t="s">
        <v>98</v>
      </c>
      <c r="E7" s="86" t="str">
        <f>IF(VLOOKUP(Table4[[#This Row],[V ID]],Vulnerabilities[#All],3,FALSE())="No","Not in scope",VLOOKUP(Table4[[#This Row],[V ID]],Vulnerabilities[#All],2,FALSE()))</f>
        <v>External communications and exposure for communciation channels from and to application and devices like tablet and smartmedic device.</v>
      </c>
      <c r="F7" s="87" t="s">
        <v>46</v>
      </c>
      <c r="G7" s="88" t="str">
        <f>VLOOKUP(Table4[[#This Row],[A ID]],Assets[#All],3,FALSE())</f>
        <v>Smart medic (Stryker device) System Component</v>
      </c>
      <c r="H7" s="19" t="s">
        <v>280</v>
      </c>
      <c r="I7" s="19" t="s">
        <v>465</v>
      </c>
      <c r="J7" s="89" t="s">
        <v>267</v>
      </c>
      <c r="K7" s="89" t="s">
        <v>267</v>
      </c>
      <c r="L7" s="89" t="s">
        <v>267</v>
      </c>
      <c r="M7" s="90" t="s">
        <v>273</v>
      </c>
      <c r="N7" s="90" t="s">
        <v>267</v>
      </c>
      <c r="O7" s="90" t="s">
        <v>267</v>
      </c>
      <c r="P7" s="90" t="s">
        <v>269</v>
      </c>
      <c r="Q7" s="90" t="s">
        <v>270</v>
      </c>
      <c r="R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7" s="91">
        <f>(1 - ((1 - VLOOKUP(Table4[[#This Row],[Confidentiality]],'Reference - CVSSv3.0'!$B$16:$C$18,2,FALSE())) * (1 - VLOOKUP(Table4[[#This Row],[Integrity]],'Reference - CVSSv3.0'!$B$16:$C$18,2,FALSE())) *  (1 - VLOOKUP(Table4[[#This Row],[Availability]],'Reference - CVSSv3.0'!$B$16:$C$18,2,FALSE()))))</f>
        <v>0.52544799999999992</v>
      </c>
      <c r="T7" s="91">
        <f>IF(Table4[[#This Row],[Scope]]="Unchanged",6.42*Table4[[#This Row],[ISC Base]],IF(Table4[[#This Row],[Scope]]="Changed",7.52*(Table4[[#This Row],[ISC Base]] - 0.029) - 3.25 * POWER(Table4[[#This Row],[ISC Base]] - 0.02,15),NA()))</f>
        <v>3.3733761599999994</v>
      </c>
      <c r="U7"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7" s="85" t="s">
        <v>267</v>
      </c>
      <c r="W7" s="91">
        <f>VLOOKUP(Table4[[#This Row],[Threat Event Initiation]],NIST_Scale_LOAI[],2,FALSE())</f>
        <v>0.2</v>
      </c>
      <c r="X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19" t="s">
        <v>271</v>
      </c>
      <c r="AA7" s="19" t="s">
        <v>431</v>
      </c>
      <c r="AB7" s="19" t="s">
        <v>471</v>
      </c>
      <c r="AC7" s="36"/>
      <c r="AD7" s="36"/>
      <c r="AE7" s="36"/>
      <c r="AF7" s="90"/>
      <c r="AG7" s="90"/>
      <c r="AH7" s="90"/>
      <c r="AI7" s="90"/>
      <c r="AJ7" s="90"/>
      <c r="AK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 s="91" t="e">
        <f>(1 - ((1 - VLOOKUP(Table4[[#This Row],[ConfidentialityP]],'Reference - CVSSv3.0'!$B$16:$C$18,2,FALSE())) * (1 - VLOOKUP(Table4[[#This Row],[IntegrityP]],'Reference - CVSSv3.0'!$B$16:$C$18,2,FALSE())) *  (1 - VLOOKUP(Table4[[#This Row],[AvailabilityP]],'Reference - CVSSv3.0'!$B$16:$C$18,2,FALSE()))))</f>
        <v>#N/A</v>
      </c>
      <c r="AM7" s="91" t="e">
        <f>IF(Table4[[#This Row],[ScopeP]]="Unchanged",6.42*Table4[[#This Row],[ISC BaseP]],IF(Table4[[#This Row],[ScopeP]]="Changed",7.52*(Table4[[#This Row],[ISC BaseP]] - 0.029) - 3.25 * POWER(Table4[[#This Row],[ISC BaseP]] - 0.02,15),NA()))</f>
        <v>#N/A</v>
      </c>
      <c r="AN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36"/>
    </row>
    <row r="8" spans="1:45" s="26" customFormat="1" ht="210">
      <c r="A8" s="84">
        <v>4</v>
      </c>
      <c r="B8" s="85" t="s">
        <v>174</v>
      </c>
      <c r="C8" s="86" t="str">
        <f>IF(VLOOKUP(Table4[[#This Row],[T ID]],Table5[#All],5,FALSE())="No","Not in scope",VLOOKUP(Table4[[#This Row],[T ID]],Table5[#All],2,FALSE()))</f>
        <v>Deliver undirected malware
(CAPEC-185)</v>
      </c>
      <c r="D8" s="57" t="s">
        <v>98</v>
      </c>
      <c r="E8" s="86" t="str">
        <f>IF(VLOOKUP(Table4[[#This Row],[V ID]],Vulnerabilities[#All],3,FALSE())="No","Not in scope",VLOOKUP(Table4[[#This Row],[V ID]],Vulnerabilities[#All],2,FALSE()))</f>
        <v>External communications and exposure for communciation channels from and to application and devices like tablet and smartmedic device.</v>
      </c>
      <c r="F8" s="87" t="s">
        <v>38</v>
      </c>
      <c r="G8" s="88" t="str">
        <f>VLOOKUP(Table4[[#This Row],[A ID]],Assets[#All],3,FALSE())</f>
        <v>Tablet Resources - web cam, microphone, OTG devices, Removable USB, Tablet Application, Network interfaces (Bluetooth, Wifi)</v>
      </c>
      <c r="H8" s="19" t="s">
        <v>280</v>
      </c>
      <c r="I8" s="19" t="s">
        <v>465</v>
      </c>
      <c r="J8" s="89" t="s">
        <v>267</v>
      </c>
      <c r="K8" s="89" t="s">
        <v>267</v>
      </c>
      <c r="L8" s="89" t="s">
        <v>267</v>
      </c>
      <c r="M8" s="90" t="s">
        <v>273</v>
      </c>
      <c r="N8" s="90" t="s">
        <v>267</v>
      </c>
      <c r="O8" s="90" t="s">
        <v>267</v>
      </c>
      <c r="P8" s="90" t="s">
        <v>269</v>
      </c>
      <c r="Q8" s="90" t="s">
        <v>270</v>
      </c>
      <c r="R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8" s="91">
        <f>(1 - ((1 - VLOOKUP(Table4[[#This Row],[Confidentiality]],'Reference - CVSSv3.0'!$B$16:$C$18,2,FALSE())) * (1 - VLOOKUP(Table4[[#This Row],[Integrity]],'Reference - CVSSv3.0'!$B$16:$C$18,2,FALSE())) *  (1 - VLOOKUP(Table4[[#This Row],[Availability]],'Reference - CVSSv3.0'!$B$16:$C$18,2,FALSE()))))</f>
        <v>0.52544799999999992</v>
      </c>
      <c r="T8" s="91">
        <f>IF(Table4[[#This Row],[Scope]]="Unchanged",6.42*Table4[[#This Row],[ISC Base]],IF(Table4[[#This Row],[Scope]]="Changed",7.52*(Table4[[#This Row],[ISC Base]] - 0.029) - 3.25 * POWER(Table4[[#This Row],[ISC Base]] - 0.02,15),NA()))</f>
        <v>3.3733761599999994</v>
      </c>
      <c r="U8"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8" s="85" t="s">
        <v>267</v>
      </c>
      <c r="W8" s="91">
        <f>VLOOKUP(Table4[[#This Row],[Threat Event Initiation]],NIST_Scale_LOAI[],2,FALSE())</f>
        <v>0.2</v>
      </c>
      <c r="X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19" t="s">
        <v>271</v>
      </c>
      <c r="AA8" s="19" t="s">
        <v>272</v>
      </c>
      <c r="AB8" s="19" t="s">
        <v>469</v>
      </c>
      <c r="AC8" s="36"/>
      <c r="AD8" s="36"/>
      <c r="AE8" s="36"/>
      <c r="AF8" s="90"/>
      <c r="AG8" s="90"/>
      <c r="AH8" s="90"/>
      <c r="AI8" s="90"/>
      <c r="AJ8" s="90"/>
      <c r="AK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 s="91" t="e">
        <f>(1 - ((1 - VLOOKUP(Table4[[#This Row],[ConfidentialityP]],'Reference - CVSSv3.0'!$B$16:$C$18,2,FALSE())) * (1 - VLOOKUP(Table4[[#This Row],[IntegrityP]],'Reference - CVSSv3.0'!$B$16:$C$18,2,FALSE())) *  (1 - VLOOKUP(Table4[[#This Row],[AvailabilityP]],'Reference - CVSSv3.0'!$B$16:$C$18,2,FALSE()))))</f>
        <v>#N/A</v>
      </c>
      <c r="AM8" s="91" t="e">
        <f>IF(Table4[[#This Row],[ScopeP]]="Unchanged",6.42*Table4[[#This Row],[ISC BaseP]],IF(Table4[[#This Row],[ScopeP]]="Changed",7.52*(Table4[[#This Row],[ISC BaseP]] - 0.029) - 3.25 * POWER(Table4[[#This Row],[ISC BaseP]] - 0.02,15),NA()))</f>
        <v>#N/A</v>
      </c>
      <c r="AN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36"/>
    </row>
    <row r="9" spans="1:45" s="26" customFormat="1" ht="126">
      <c r="A9" s="84">
        <v>5</v>
      </c>
      <c r="B9" s="85" t="s">
        <v>174</v>
      </c>
      <c r="C9" s="86" t="str">
        <f>IF(VLOOKUP(Table4[[#This Row],[T ID]],Table5[#All],5,FALSE())="No","Not in scope",VLOOKUP(Table4[[#This Row],[T ID]],Table5[#All],2,FALSE()))</f>
        <v>Deliver undirected malware
(CAPEC-185)</v>
      </c>
      <c r="D9" s="57" t="s">
        <v>142</v>
      </c>
      <c r="E9" s="86" t="str">
        <f>IF(VLOOKUP(Table4[[#This Row],[V ID]],Vulnerabilities[#All],3,FALSE())="No","Not in scope",VLOOKUP(Table4[[#This Row],[V ID]],Vulnerabilities[#All],2,FALSE()))</f>
        <v>Legacy system identification if any</v>
      </c>
      <c r="F9" s="87" t="s">
        <v>46</v>
      </c>
      <c r="G9" s="88" t="str">
        <f>VLOOKUP(Table4[[#This Row],[A ID]],Assets[#All],3,FALSE())</f>
        <v>Smart medic (Stryker device) System Component</v>
      </c>
      <c r="H9" s="19" t="s">
        <v>280</v>
      </c>
      <c r="I9" s="19" t="s">
        <v>465</v>
      </c>
      <c r="J9" s="89" t="s">
        <v>267</v>
      </c>
      <c r="K9" s="89" t="s">
        <v>267</v>
      </c>
      <c r="L9" s="89" t="s">
        <v>267</v>
      </c>
      <c r="M9" s="90" t="s">
        <v>268</v>
      </c>
      <c r="N9" s="90" t="s">
        <v>267</v>
      </c>
      <c r="O9" s="90" t="s">
        <v>267</v>
      </c>
      <c r="P9" s="90" t="s">
        <v>274</v>
      </c>
      <c r="Q9" s="90" t="s">
        <v>270</v>
      </c>
      <c r="R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9" s="91">
        <f>(1 - ((1 - VLOOKUP(Table4[[#This Row],[Confidentiality]],'Reference - CVSSv3.0'!$B$16:$C$18,2,FALSE())) * (1 - VLOOKUP(Table4[[#This Row],[Integrity]],'Reference - CVSSv3.0'!$B$16:$C$18,2,FALSE())) *  (1 - VLOOKUP(Table4[[#This Row],[Availability]],'Reference - CVSSv3.0'!$B$16:$C$18,2,FALSE()))))</f>
        <v>0.52544799999999992</v>
      </c>
      <c r="T9" s="91">
        <f>IF(Table4[[#This Row],[Scope]]="Unchanged",6.42*Table4[[#This Row],[ISC Base]],IF(Table4[[#This Row],[Scope]]="Changed",7.52*(Table4[[#This Row],[ISC Base]] - 0.029) - 3.25 * POWER(Table4[[#This Row],[ISC Base]] - 0.02,15),NA()))</f>
        <v>3.3733761599999994</v>
      </c>
      <c r="U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85" t="s">
        <v>267</v>
      </c>
      <c r="W9" s="91">
        <f>VLOOKUP(Table4[[#This Row],[Threat Event Initiation]],NIST_Scale_LOAI[],2,FALSE())</f>
        <v>0.2</v>
      </c>
      <c r="X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19" t="s">
        <v>271</v>
      </c>
      <c r="AA9" s="19" t="s">
        <v>431</v>
      </c>
      <c r="AB9" s="19" t="s">
        <v>470</v>
      </c>
      <c r="AC9" s="36"/>
      <c r="AD9" s="36"/>
      <c r="AE9" s="36"/>
      <c r="AF9" s="90"/>
      <c r="AG9" s="90"/>
      <c r="AH9" s="90"/>
      <c r="AI9" s="90"/>
      <c r="AJ9" s="90"/>
      <c r="AK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 s="91" t="e">
        <f>(1 - ((1 - VLOOKUP(Table4[[#This Row],[ConfidentialityP]],'Reference - CVSSv3.0'!$B$16:$C$18,2,FALSE())) * (1 - VLOOKUP(Table4[[#This Row],[IntegrityP]],'Reference - CVSSv3.0'!$B$16:$C$18,2,FALSE())) *  (1 - VLOOKUP(Table4[[#This Row],[AvailabilityP]],'Reference - CVSSv3.0'!$B$16:$C$18,2,FALSE()))))</f>
        <v>#N/A</v>
      </c>
      <c r="AM9" s="91" t="e">
        <f>IF(Table4[[#This Row],[ScopeP]]="Unchanged",6.42*Table4[[#This Row],[ISC BaseP]],IF(Table4[[#This Row],[ScopeP]]="Changed",7.52*(Table4[[#This Row],[ISC BaseP]] - 0.029) - 3.25 * POWER(Table4[[#This Row],[ISC BaseP]] - 0.02,15),NA()))</f>
        <v>#N/A</v>
      </c>
      <c r="AN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36"/>
    </row>
    <row r="10" spans="1:45" s="26" customFormat="1" ht="210">
      <c r="A10" s="84">
        <v>6</v>
      </c>
      <c r="B10" s="85" t="s">
        <v>174</v>
      </c>
      <c r="C10" s="86" t="str">
        <f>IF(VLOOKUP(Table4[[#This Row],[T ID]],Table5[#All],5,FALSE())="No","Not in scope",VLOOKUP(Table4[[#This Row],[T ID]],Table5[#All],2,FALSE()))</f>
        <v>Deliver undirected malware
(CAPEC-185)</v>
      </c>
      <c r="D10" s="57" t="s">
        <v>142</v>
      </c>
      <c r="E10" s="86" t="str">
        <f>IF(VLOOKUP(Table4[[#This Row],[V ID]],Vulnerabilities[#All],3,FALSE())="No","Not in scope",VLOOKUP(Table4[[#This Row],[V ID]],Vulnerabilities[#All],2,FALSE()))</f>
        <v>Legacy system identification if any</v>
      </c>
      <c r="F10" s="87" t="s">
        <v>38</v>
      </c>
      <c r="G10" s="88" t="str">
        <f>VLOOKUP(Table4[[#This Row],[A ID]],Assets[#All],3,FALSE())</f>
        <v>Tablet Resources - web cam, microphone, OTG devices, Removable USB, Tablet Application, Network interfaces (Bluetooth, Wifi)</v>
      </c>
      <c r="H10" s="19" t="s">
        <v>280</v>
      </c>
      <c r="I10" s="19" t="s">
        <v>465</v>
      </c>
      <c r="J10" s="89" t="s">
        <v>267</v>
      </c>
      <c r="K10" s="89" t="s">
        <v>267</v>
      </c>
      <c r="L10" s="89" t="s">
        <v>267</v>
      </c>
      <c r="M10" s="90" t="s">
        <v>268</v>
      </c>
      <c r="N10" s="90" t="s">
        <v>267</v>
      </c>
      <c r="O10" s="90" t="s">
        <v>267</v>
      </c>
      <c r="P10" s="90" t="s">
        <v>274</v>
      </c>
      <c r="Q10" s="90" t="s">
        <v>270</v>
      </c>
      <c r="R1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10" s="91">
        <f>(1 - ((1 - VLOOKUP(Table4[[#This Row],[Confidentiality]],'Reference - CVSSv3.0'!$B$16:$C$18,2,FALSE())) * (1 - VLOOKUP(Table4[[#This Row],[Integrity]],'Reference - CVSSv3.0'!$B$16:$C$18,2,FALSE())) *  (1 - VLOOKUP(Table4[[#This Row],[Availability]],'Reference - CVSSv3.0'!$B$16:$C$18,2,FALSE()))))</f>
        <v>0.52544799999999992</v>
      </c>
      <c r="T10" s="91">
        <f>IF(Table4[[#This Row],[Scope]]="Unchanged",6.42*Table4[[#This Row],[ISC Base]],IF(Table4[[#This Row],[Scope]]="Changed",7.52*(Table4[[#This Row],[ISC Base]] - 0.029) - 3.25 * POWER(Table4[[#This Row],[ISC Base]] - 0.02,15),NA()))</f>
        <v>3.3733761599999994</v>
      </c>
      <c r="U1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85" t="s">
        <v>267</v>
      </c>
      <c r="W10" s="91">
        <f>VLOOKUP(Table4[[#This Row],[Threat Event Initiation]],NIST_Scale_LOAI[],2,FALSE())</f>
        <v>0.2</v>
      </c>
      <c r="X1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19" t="s">
        <v>271</v>
      </c>
      <c r="AA10" s="19" t="s">
        <v>272</v>
      </c>
      <c r="AB10" s="19" t="s">
        <v>474</v>
      </c>
      <c r="AC10" s="36"/>
      <c r="AD10" s="36"/>
      <c r="AE10" s="36"/>
      <c r="AF10" s="90"/>
      <c r="AG10" s="90"/>
      <c r="AH10" s="90"/>
      <c r="AI10" s="90"/>
      <c r="AJ10" s="90"/>
      <c r="AK1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 s="91" t="e">
        <f>(1 - ((1 - VLOOKUP(Table4[[#This Row],[ConfidentialityP]],'Reference - CVSSv3.0'!$B$16:$C$18,2,FALSE())) * (1 - VLOOKUP(Table4[[#This Row],[IntegrityP]],'Reference - CVSSv3.0'!$B$16:$C$18,2,FALSE())) *  (1 - VLOOKUP(Table4[[#This Row],[AvailabilityP]],'Reference - CVSSv3.0'!$B$16:$C$18,2,FALSE()))))</f>
        <v>#N/A</v>
      </c>
      <c r="AM10" s="91" t="e">
        <f>IF(Table4[[#This Row],[ScopeP]]="Unchanged",6.42*Table4[[#This Row],[ISC BaseP]],IF(Table4[[#This Row],[ScopeP]]="Changed",7.52*(Table4[[#This Row],[ISC BaseP]] - 0.029) - 3.25 * POWER(Table4[[#This Row],[ISC BaseP]] - 0.02,15),NA()))</f>
        <v>#N/A</v>
      </c>
      <c r="AN1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36"/>
    </row>
    <row r="11" spans="1:45" s="26" customFormat="1" ht="126">
      <c r="A11" s="84">
        <v>7</v>
      </c>
      <c r="B11" s="85" t="s">
        <v>174</v>
      </c>
      <c r="C11" s="86" t="str">
        <f>IF(VLOOKUP(Table4[[#This Row],[T ID]],Table5[#All],5,FALSE())="No","Not in scope",VLOOKUP(Table4[[#This Row],[T ID]],Table5[#All],2,FALSE()))</f>
        <v>Deliver undirected malware
(CAPEC-185)</v>
      </c>
      <c r="D11" s="57" t="s">
        <v>111</v>
      </c>
      <c r="E11" s="86" t="str">
        <f>IF(VLOOKUP(Table4[[#This Row],[V ID]],Vulnerabilities[#All],3,FALSE())="No","Not in scope",VLOOKUP(Table4[[#This Row],[V ID]],Vulnerabilities[#All],2,FALSE()))</f>
        <v>Ineffective patch management of firware, OS and applications thoughout the information system plan</v>
      </c>
      <c r="F11" s="87" t="s">
        <v>53</v>
      </c>
      <c r="G11" s="88" t="str">
        <f>VLOOKUP(Table4[[#This Row],[A ID]],Assets[#All],3,FALSE())</f>
        <v>Device Maintainence tool (Hardware/Software)</v>
      </c>
      <c r="H11" s="19" t="s">
        <v>280</v>
      </c>
      <c r="I11" s="19" t="s">
        <v>465</v>
      </c>
      <c r="J11" s="89" t="s">
        <v>267</v>
      </c>
      <c r="K11" s="89" t="s">
        <v>267</v>
      </c>
      <c r="L11" s="89" t="s">
        <v>267</v>
      </c>
      <c r="M11" s="90" t="s">
        <v>275</v>
      </c>
      <c r="N11" s="90" t="s">
        <v>267</v>
      </c>
      <c r="O11" s="90" t="s">
        <v>267</v>
      </c>
      <c r="P11" s="90" t="s">
        <v>274</v>
      </c>
      <c r="Q11" s="90" t="s">
        <v>270</v>
      </c>
      <c r="R1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1" s="91">
        <f>(1 - ((1 - VLOOKUP(Table4[[#This Row],[Confidentiality]],'Reference - CVSSv3.0'!$B$16:$C$18,2,FALSE())) * (1 - VLOOKUP(Table4[[#This Row],[Integrity]],'Reference - CVSSv3.0'!$B$16:$C$18,2,FALSE())) *  (1 - VLOOKUP(Table4[[#This Row],[Availability]],'Reference - CVSSv3.0'!$B$16:$C$18,2,FALSE()))))</f>
        <v>0.52544799999999992</v>
      </c>
      <c r="T11" s="91">
        <f>IF(Table4[[#This Row],[Scope]]="Unchanged",6.42*Table4[[#This Row],[ISC Base]],IF(Table4[[#This Row],[Scope]]="Changed",7.52*(Table4[[#This Row],[ISC Base]] - 0.029) - 3.25 * POWER(Table4[[#This Row],[ISC Base]] - 0.02,15),NA()))</f>
        <v>3.3733761599999994</v>
      </c>
      <c r="U1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85" t="s">
        <v>267</v>
      </c>
      <c r="W11" s="91">
        <f>VLOOKUP(Table4[[#This Row],[Threat Event Initiation]],NIST_Scale_LOAI[],2,FALSE())</f>
        <v>0.2</v>
      </c>
      <c r="X1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19" t="s">
        <v>271</v>
      </c>
      <c r="AA11" s="19" t="s">
        <v>454</v>
      </c>
      <c r="AB11" s="19" t="s">
        <v>473</v>
      </c>
      <c r="AC11" s="36"/>
      <c r="AD11" s="36"/>
      <c r="AE11" s="36"/>
      <c r="AF11" s="90"/>
      <c r="AG11" s="90"/>
      <c r="AH11" s="90"/>
      <c r="AI11" s="90"/>
      <c r="AJ11" s="90"/>
      <c r="AK1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1" s="91" t="e">
        <f>(1 - ((1 - VLOOKUP(Table4[[#This Row],[ConfidentialityP]],'Reference - CVSSv3.0'!$B$16:$C$18,2,FALSE())) * (1 - VLOOKUP(Table4[[#This Row],[IntegrityP]],'Reference - CVSSv3.0'!$B$16:$C$18,2,FALSE())) *  (1 - VLOOKUP(Table4[[#This Row],[AvailabilityP]],'Reference - CVSSv3.0'!$B$16:$C$18,2,FALSE()))))</f>
        <v>#N/A</v>
      </c>
      <c r="AM11" s="91" t="e">
        <f>IF(Table4[[#This Row],[ScopeP]]="Unchanged",6.42*Table4[[#This Row],[ISC BaseP]],IF(Table4[[#This Row],[ScopeP]]="Changed",7.52*(Table4[[#This Row],[ISC BaseP]] - 0.029) - 3.25 * POWER(Table4[[#This Row],[ISC BaseP]] - 0.02,15),NA()))</f>
        <v>#N/A</v>
      </c>
      <c r="AN1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36"/>
    </row>
    <row r="12" spans="1:45" s="26" customFormat="1" ht="225" customHeight="1">
      <c r="A12" s="84">
        <v>8</v>
      </c>
      <c r="B12" s="85" t="s">
        <v>174</v>
      </c>
      <c r="C12" s="86" t="str">
        <f>IF(VLOOKUP(Table4[[#This Row],[T ID]],Table5[#All],5,FALSE())="No","Not in scope",VLOOKUP(Table4[[#This Row],[T ID]],Table5[#All],2,FALSE()))</f>
        <v>Deliver undirected malware
(CAPEC-185)</v>
      </c>
      <c r="D12" s="57" t="s">
        <v>111</v>
      </c>
      <c r="E12" s="86" t="str">
        <f>IF(VLOOKUP(Table4[[#This Row],[V ID]],Vulnerabilities[#All],3,FALSE())="No","Not in scope",VLOOKUP(Table4[[#This Row],[V ID]],Vulnerabilities[#All],2,FALSE()))</f>
        <v>Ineffective patch management of firware, OS and applications thoughout the information system plan</v>
      </c>
      <c r="F12" s="87" t="s">
        <v>38</v>
      </c>
      <c r="G12" s="88" t="str">
        <f>VLOOKUP(Table4[[#This Row],[A ID]],Assets[#All],3,FALSE())</f>
        <v>Tablet Resources - web cam, microphone, OTG devices, Removable USB, Tablet Application, Network interfaces (Bluetooth, Wifi)</v>
      </c>
      <c r="H12" s="19" t="s">
        <v>280</v>
      </c>
      <c r="I12" s="19" t="s">
        <v>465</v>
      </c>
      <c r="J12" s="89" t="s">
        <v>267</v>
      </c>
      <c r="K12" s="89" t="s">
        <v>267</v>
      </c>
      <c r="L12" s="89" t="s">
        <v>267</v>
      </c>
      <c r="M12" s="90" t="s">
        <v>275</v>
      </c>
      <c r="N12" s="90" t="s">
        <v>267</v>
      </c>
      <c r="O12" s="90" t="s">
        <v>267</v>
      </c>
      <c r="P12" s="90" t="s">
        <v>274</v>
      </c>
      <c r="Q12" s="90" t="s">
        <v>270</v>
      </c>
      <c r="R1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2" s="91">
        <f>(1 - ((1 - VLOOKUP(Table4[[#This Row],[Confidentiality]],'Reference - CVSSv3.0'!$B$16:$C$18,2,FALSE())) * (1 - VLOOKUP(Table4[[#This Row],[Integrity]],'Reference - CVSSv3.0'!$B$16:$C$18,2,FALSE())) *  (1 - VLOOKUP(Table4[[#This Row],[Availability]],'Reference - CVSSv3.0'!$B$16:$C$18,2,FALSE()))))</f>
        <v>0.52544799999999992</v>
      </c>
      <c r="T12" s="91">
        <f>IF(Table4[[#This Row],[Scope]]="Unchanged",6.42*Table4[[#This Row],[ISC Base]],IF(Table4[[#This Row],[Scope]]="Changed",7.52*(Table4[[#This Row],[ISC Base]] - 0.029) - 3.25 * POWER(Table4[[#This Row],[ISC Base]] - 0.02,15),NA()))</f>
        <v>3.3733761599999994</v>
      </c>
      <c r="U1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85" t="s">
        <v>267</v>
      </c>
      <c r="W12" s="91">
        <f>VLOOKUP(Table4[[#This Row],[Threat Event Initiation]],NIST_Scale_LOAI[],2,FALSE())</f>
        <v>0.2</v>
      </c>
      <c r="X1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19" t="s">
        <v>271</v>
      </c>
      <c r="AA12" s="19" t="s">
        <v>272</v>
      </c>
      <c r="AB12" s="19" t="s">
        <v>469</v>
      </c>
      <c r="AC12" s="36"/>
      <c r="AD12" s="36"/>
      <c r="AE12" s="36"/>
      <c r="AF12" s="90"/>
      <c r="AG12" s="90"/>
      <c r="AH12" s="90"/>
      <c r="AI12" s="90"/>
      <c r="AJ12" s="90"/>
      <c r="AK1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2" s="91" t="e">
        <f>(1 - ((1 - VLOOKUP(Table4[[#This Row],[ConfidentialityP]],'Reference - CVSSv3.0'!$B$16:$C$18,2,FALSE())) * (1 - VLOOKUP(Table4[[#This Row],[IntegrityP]],'Reference - CVSSv3.0'!$B$16:$C$18,2,FALSE())) *  (1 - VLOOKUP(Table4[[#This Row],[AvailabilityP]],'Reference - CVSSv3.0'!$B$16:$C$18,2,FALSE()))))</f>
        <v>#N/A</v>
      </c>
      <c r="AM12" s="91" t="e">
        <f>IF(Table4[[#This Row],[ScopeP]]="Unchanged",6.42*Table4[[#This Row],[ISC BaseP]],IF(Table4[[#This Row],[ScopeP]]="Changed",7.52*(Table4[[#This Row],[ISC BaseP]] - 0.029) - 3.25 * POWER(Table4[[#This Row],[ISC BaseP]] - 0.02,15),NA()))</f>
        <v>#N/A</v>
      </c>
      <c r="AN1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36"/>
    </row>
    <row r="13" spans="1:45" s="26" customFormat="1" ht="126">
      <c r="A13" s="84">
        <v>9</v>
      </c>
      <c r="B13" s="85" t="s">
        <v>174</v>
      </c>
      <c r="C13" s="86" t="str">
        <f>IF(VLOOKUP(Table4[[#This Row],[T ID]],Table5[#All],5,FALSE())="No","Not in scope",VLOOKUP(Table4[[#This Row],[T ID]],Table5[#All],2,FALSE()))</f>
        <v>Deliver undirected malware
(CAPEC-185)</v>
      </c>
      <c r="D13" s="57" t="s">
        <v>111</v>
      </c>
      <c r="E13" s="86" t="str">
        <f>IF(VLOOKUP(Table4[[#This Row],[V ID]],Vulnerabilities[#All],3,FALSE())="No","Not in scope",VLOOKUP(Table4[[#This Row],[V ID]],Vulnerabilities[#All],2,FALSE()))</f>
        <v>Ineffective patch management of firware, OS and applications thoughout the information system plan</v>
      </c>
      <c r="F13" s="87" t="s">
        <v>46</v>
      </c>
      <c r="G13" s="88" t="str">
        <f>VLOOKUP(Table4[[#This Row],[A ID]],Assets[#All],3,FALSE())</f>
        <v>Smart medic (Stryker device) System Component</v>
      </c>
      <c r="H13" s="19" t="s">
        <v>280</v>
      </c>
      <c r="I13" s="19" t="s">
        <v>465</v>
      </c>
      <c r="J13" s="89" t="s">
        <v>267</v>
      </c>
      <c r="K13" s="89" t="s">
        <v>267</v>
      </c>
      <c r="L13" s="89" t="s">
        <v>267</v>
      </c>
      <c r="M13" s="90" t="s">
        <v>275</v>
      </c>
      <c r="N13" s="90" t="s">
        <v>267</v>
      </c>
      <c r="O13" s="90" t="s">
        <v>267</v>
      </c>
      <c r="P13" s="90" t="s">
        <v>274</v>
      </c>
      <c r="Q13" s="90" t="s">
        <v>270</v>
      </c>
      <c r="R1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3" s="91">
        <f>(1 - ((1 - VLOOKUP(Table4[[#This Row],[Confidentiality]],'Reference - CVSSv3.0'!$B$16:$C$18,2,FALSE())) * (1 - VLOOKUP(Table4[[#This Row],[Integrity]],'Reference - CVSSv3.0'!$B$16:$C$18,2,FALSE())) *  (1 - VLOOKUP(Table4[[#This Row],[Availability]],'Reference - CVSSv3.0'!$B$16:$C$18,2,FALSE()))))</f>
        <v>0.52544799999999992</v>
      </c>
      <c r="T13" s="91">
        <f>IF(Table4[[#This Row],[Scope]]="Unchanged",6.42*Table4[[#This Row],[ISC Base]],IF(Table4[[#This Row],[Scope]]="Changed",7.52*(Table4[[#This Row],[ISC Base]] - 0.029) - 3.25 * POWER(Table4[[#This Row],[ISC Base]] - 0.02,15),NA()))</f>
        <v>3.3733761599999994</v>
      </c>
      <c r="U1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85" t="s">
        <v>267</v>
      </c>
      <c r="W13" s="91">
        <f>VLOOKUP(Table4[[#This Row],[Threat Event Initiation]],NIST_Scale_LOAI[],2,FALSE())</f>
        <v>0.2</v>
      </c>
      <c r="X1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19" t="s">
        <v>271</v>
      </c>
      <c r="AA13" s="19" t="s">
        <v>431</v>
      </c>
      <c r="AB13" s="19" t="s">
        <v>470</v>
      </c>
      <c r="AC13" s="36"/>
      <c r="AD13" s="36"/>
      <c r="AE13" s="36"/>
      <c r="AF13" s="90"/>
      <c r="AG13" s="90"/>
      <c r="AH13" s="90"/>
      <c r="AI13" s="90"/>
      <c r="AJ13" s="90"/>
      <c r="AK1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3" s="91" t="e">
        <f>(1 - ((1 - VLOOKUP(Table4[[#This Row],[ConfidentialityP]],'Reference - CVSSv3.0'!$B$16:$C$18,2,FALSE())) * (1 - VLOOKUP(Table4[[#This Row],[IntegrityP]],'Reference - CVSSv3.0'!$B$16:$C$18,2,FALSE())) *  (1 - VLOOKUP(Table4[[#This Row],[AvailabilityP]],'Reference - CVSSv3.0'!$B$16:$C$18,2,FALSE()))))</f>
        <v>#N/A</v>
      </c>
      <c r="AM13" s="91" t="e">
        <f>IF(Table4[[#This Row],[ScopeP]]="Unchanged",6.42*Table4[[#This Row],[ISC BaseP]],IF(Table4[[#This Row],[ScopeP]]="Changed",7.52*(Table4[[#This Row],[ISC BaseP]] - 0.029) - 3.25 * POWER(Table4[[#This Row],[ISC BaseP]] - 0.02,15),NA()))</f>
        <v>#N/A</v>
      </c>
      <c r="AN1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36"/>
    </row>
    <row r="14" spans="1:45" s="26" customFormat="1" ht="126">
      <c r="A14" s="84">
        <v>10</v>
      </c>
      <c r="B14" s="85" t="s">
        <v>174</v>
      </c>
      <c r="C14" s="86" t="str">
        <f>IF(VLOOKUP(Table4[[#This Row],[T ID]],Table5[#All],5,FALSE())="No","Not in scope",VLOOKUP(Table4[[#This Row],[T ID]],Table5[#All],2,FALSE()))</f>
        <v>Deliver undirected malware
(CAPEC-185)</v>
      </c>
      <c r="D14" s="57" t="s">
        <v>113</v>
      </c>
      <c r="E14" s="86" t="str">
        <f>IF(VLOOKUP(Table4[[#This Row],[V ID]],Vulnerabilities[#All],3,FALSE())="No","Not in scope",VLOOKUP(Table4[[#This Row],[V ID]],Vulnerabilities[#All],2,FALSE()))</f>
        <v xml:space="preserve">Lack of plan for periodic Software Vulnerability Management </v>
      </c>
      <c r="F14" s="87" t="s">
        <v>53</v>
      </c>
      <c r="G14" s="88" t="str">
        <f>VLOOKUP(Table4[[#This Row],[A ID]],Assets[#All],3,FALSE())</f>
        <v>Device Maintainence tool (Hardware/Software)</v>
      </c>
      <c r="H14" s="19" t="s">
        <v>280</v>
      </c>
      <c r="I14" s="19" t="s">
        <v>465</v>
      </c>
      <c r="J14" s="89" t="s">
        <v>267</v>
      </c>
      <c r="K14" s="89" t="s">
        <v>267</v>
      </c>
      <c r="L14" s="89" t="s">
        <v>267</v>
      </c>
      <c r="M14" s="90" t="s">
        <v>275</v>
      </c>
      <c r="N14" s="90" t="s">
        <v>267</v>
      </c>
      <c r="O14" s="90" t="s">
        <v>267</v>
      </c>
      <c r="P14" s="90" t="s">
        <v>274</v>
      </c>
      <c r="Q14" s="90" t="s">
        <v>270</v>
      </c>
      <c r="R1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4" s="91">
        <f>(1 - ((1 - VLOOKUP(Table4[[#This Row],[Confidentiality]],'Reference - CVSSv3.0'!$B$16:$C$18,2,FALSE())) * (1 - VLOOKUP(Table4[[#This Row],[Integrity]],'Reference - CVSSv3.0'!$B$16:$C$18,2,FALSE())) *  (1 - VLOOKUP(Table4[[#This Row],[Availability]],'Reference - CVSSv3.0'!$B$16:$C$18,2,FALSE()))))</f>
        <v>0.52544799999999992</v>
      </c>
      <c r="T14" s="91">
        <f>IF(Table4[[#This Row],[Scope]]="Unchanged",6.42*Table4[[#This Row],[ISC Base]],IF(Table4[[#This Row],[Scope]]="Changed",7.52*(Table4[[#This Row],[ISC Base]] - 0.029) - 3.25 * POWER(Table4[[#This Row],[ISC Base]] - 0.02,15),NA()))</f>
        <v>3.3733761599999994</v>
      </c>
      <c r="U1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85" t="s">
        <v>267</v>
      </c>
      <c r="W14" s="91">
        <f>VLOOKUP(Table4[[#This Row],[Threat Event Initiation]],NIST_Scale_LOAI[],2,FALSE())</f>
        <v>0.2</v>
      </c>
      <c r="X1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19" t="s">
        <v>271</v>
      </c>
      <c r="AA14" s="19" t="s">
        <v>454</v>
      </c>
      <c r="AB14" s="19" t="s">
        <v>473</v>
      </c>
      <c r="AC14" s="36"/>
      <c r="AD14" s="36"/>
      <c r="AE14" s="36"/>
      <c r="AF14" s="90"/>
      <c r="AG14" s="90"/>
      <c r="AH14" s="90"/>
      <c r="AI14" s="90"/>
      <c r="AJ14" s="90"/>
      <c r="AK1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4" s="91" t="e">
        <f>(1 - ((1 - VLOOKUP(Table4[[#This Row],[ConfidentialityP]],'Reference - CVSSv3.0'!$B$16:$C$18,2,FALSE())) * (1 - VLOOKUP(Table4[[#This Row],[IntegrityP]],'Reference - CVSSv3.0'!$B$16:$C$18,2,FALSE())) *  (1 - VLOOKUP(Table4[[#This Row],[AvailabilityP]],'Reference - CVSSv3.0'!$B$16:$C$18,2,FALSE()))))</f>
        <v>#N/A</v>
      </c>
      <c r="AM14" s="91" t="e">
        <f>IF(Table4[[#This Row],[ScopeP]]="Unchanged",6.42*Table4[[#This Row],[ISC BaseP]],IF(Table4[[#This Row],[ScopeP]]="Changed",7.52*(Table4[[#This Row],[ISC BaseP]] - 0.029) - 3.25 * POWER(Table4[[#This Row],[ISC BaseP]] - 0.02,15),NA()))</f>
        <v>#N/A</v>
      </c>
      <c r="AN1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36"/>
    </row>
    <row r="15" spans="1:45" s="26" customFormat="1" ht="210">
      <c r="A15" s="84">
        <v>11</v>
      </c>
      <c r="B15" s="85" t="s">
        <v>174</v>
      </c>
      <c r="C15" s="86" t="str">
        <f>IF(VLOOKUP(Table4[[#This Row],[T ID]],Table5[#All],5,FALSE())="No","Not in scope",VLOOKUP(Table4[[#This Row],[T ID]],Table5[#All],2,FALSE()))</f>
        <v>Deliver undirected malware
(CAPEC-185)</v>
      </c>
      <c r="D15" s="57" t="s">
        <v>113</v>
      </c>
      <c r="E15" s="86" t="str">
        <f>IF(VLOOKUP(Table4[[#This Row],[V ID]],Vulnerabilities[#All],3,FALSE())="No","Not in scope",VLOOKUP(Table4[[#This Row],[V ID]],Vulnerabilities[#All],2,FALSE()))</f>
        <v xml:space="preserve">Lack of plan for periodic Software Vulnerability Management </v>
      </c>
      <c r="F15" s="87" t="s">
        <v>38</v>
      </c>
      <c r="G15" s="88" t="str">
        <f>VLOOKUP(Table4[[#This Row],[A ID]],Assets[#All],3,FALSE())</f>
        <v>Tablet Resources - web cam, microphone, OTG devices, Removable USB, Tablet Application, Network interfaces (Bluetooth, Wifi)</v>
      </c>
      <c r="H15" s="19" t="s">
        <v>280</v>
      </c>
      <c r="I15" s="19" t="s">
        <v>465</v>
      </c>
      <c r="J15" s="89" t="s">
        <v>267</v>
      </c>
      <c r="K15" s="89" t="s">
        <v>267</v>
      </c>
      <c r="L15" s="89" t="s">
        <v>267</v>
      </c>
      <c r="M15" s="90" t="s">
        <v>275</v>
      </c>
      <c r="N15" s="90" t="s">
        <v>267</v>
      </c>
      <c r="O15" s="90" t="s">
        <v>267</v>
      </c>
      <c r="P15" s="90" t="s">
        <v>274</v>
      </c>
      <c r="Q15" s="90" t="s">
        <v>270</v>
      </c>
      <c r="R1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5" s="91">
        <f>(1 - ((1 - VLOOKUP(Table4[[#This Row],[Confidentiality]],'Reference - CVSSv3.0'!$B$16:$C$18,2,FALSE())) * (1 - VLOOKUP(Table4[[#This Row],[Integrity]],'Reference - CVSSv3.0'!$B$16:$C$18,2,FALSE())) *  (1 - VLOOKUP(Table4[[#This Row],[Availability]],'Reference - CVSSv3.0'!$B$16:$C$18,2,FALSE()))))</f>
        <v>0.52544799999999992</v>
      </c>
      <c r="T15" s="91">
        <f>IF(Table4[[#This Row],[Scope]]="Unchanged",6.42*Table4[[#This Row],[ISC Base]],IF(Table4[[#This Row],[Scope]]="Changed",7.52*(Table4[[#This Row],[ISC Base]] - 0.029) - 3.25 * POWER(Table4[[#This Row],[ISC Base]] - 0.02,15),NA()))</f>
        <v>3.3733761599999994</v>
      </c>
      <c r="U15"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85" t="s">
        <v>267</v>
      </c>
      <c r="W15" s="91">
        <f>VLOOKUP(Table4[[#This Row],[Threat Event Initiation]],NIST_Scale_LOAI[],2,FALSE())</f>
        <v>0.2</v>
      </c>
      <c r="X1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19" t="s">
        <v>271</v>
      </c>
      <c r="AA15" s="19" t="s">
        <v>272</v>
      </c>
      <c r="AB15" s="19" t="s">
        <v>469</v>
      </c>
      <c r="AC15" s="36"/>
      <c r="AD15" s="36"/>
      <c r="AE15" s="36"/>
      <c r="AF15" s="90"/>
      <c r="AG15" s="90"/>
      <c r="AH15" s="90"/>
      <c r="AI15" s="90"/>
      <c r="AJ15" s="90"/>
      <c r="AK1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5" s="91" t="e">
        <f>(1 - ((1 - VLOOKUP(Table4[[#This Row],[ConfidentialityP]],'Reference - CVSSv3.0'!$B$16:$C$18,2,FALSE())) * (1 - VLOOKUP(Table4[[#This Row],[IntegrityP]],'Reference - CVSSv3.0'!$B$16:$C$18,2,FALSE())) *  (1 - VLOOKUP(Table4[[#This Row],[AvailabilityP]],'Reference - CVSSv3.0'!$B$16:$C$18,2,FALSE()))))</f>
        <v>#N/A</v>
      </c>
      <c r="AM15" s="91" t="e">
        <f>IF(Table4[[#This Row],[ScopeP]]="Unchanged",6.42*Table4[[#This Row],[ISC BaseP]],IF(Table4[[#This Row],[ScopeP]]="Changed",7.52*(Table4[[#This Row],[ISC BaseP]] - 0.029) - 3.25 * POWER(Table4[[#This Row],[ISC BaseP]] - 0.02,15),NA()))</f>
        <v>#N/A</v>
      </c>
      <c r="AN1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36"/>
    </row>
    <row r="16" spans="1:45" s="26" customFormat="1" ht="126">
      <c r="A16" s="84">
        <v>12</v>
      </c>
      <c r="B16" s="85" t="s">
        <v>174</v>
      </c>
      <c r="C16" s="86" t="str">
        <f>IF(VLOOKUP(Table4[[#This Row],[T ID]],Table5[#All],5,FALSE())="No","Not in scope",VLOOKUP(Table4[[#This Row],[T ID]],Table5[#All],2,FALSE()))</f>
        <v>Deliver undirected malware
(CAPEC-185)</v>
      </c>
      <c r="D16" s="57" t="s">
        <v>113</v>
      </c>
      <c r="E16" s="86" t="str">
        <f>IF(VLOOKUP(Table4[[#This Row],[V ID]],Vulnerabilities[#All],3,FALSE())="No","Not in scope",VLOOKUP(Table4[[#This Row],[V ID]],Vulnerabilities[#All],2,FALSE()))</f>
        <v xml:space="preserve">Lack of plan for periodic Software Vulnerability Management </v>
      </c>
      <c r="F16" s="87" t="s">
        <v>46</v>
      </c>
      <c r="G16" s="88" t="str">
        <f>VLOOKUP(Table4[[#This Row],[A ID]],Assets[#All],3,FALSE())</f>
        <v>Smart medic (Stryker device) System Component</v>
      </c>
      <c r="H16" s="19" t="s">
        <v>266</v>
      </c>
      <c r="I16" s="19" t="s">
        <v>465</v>
      </c>
      <c r="J16" s="89" t="s">
        <v>267</v>
      </c>
      <c r="K16" s="89" t="s">
        <v>267</v>
      </c>
      <c r="L16" s="89" t="s">
        <v>267</v>
      </c>
      <c r="M16" s="90" t="s">
        <v>275</v>
      </c>
      <c r="N16" s="90" t="s">
        <v>267</v>
      </c>
      <c r="O16" s="90" t="s">
        <v>267</v>
      </c>
      <c r="P16" s="90" t="s">
        <v>274</v>
      </c>
      <c r="Q16" s="90" t="s">
        <v>270</v>
      </c>
      <c r="R1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6" s="91">
        <f>(1 - ((1 - VLOOKUP(Table4[[#This Row],[Confidentiality]],'Reference - CVSSv3.0'!$B$16:$C$18,2,FALSE())) * (1 - VLOOKUP(Table4[[#This Row],[Integrity]],'Reference - CVSSv3.0'!$B$16:$C$18,2,FALSE())) *  (1 - VLOOKUP(Table4[[#This Row],[Availability]],'Reference - CVSSv3.0'!$B$16:$C$18,2,FALSE()))))</f>
        <v>0.52544799999999992</v>
      </c>
      <c r="T16" s="91">
        <f>IF(Table4[[#This Row],[Scope]]="Unchanged",6.42*Table4[[#This Row],[ISC Base]],IF(Table4[[#This Row],[Scope]]="Changed",7.52*(Table4[[#This Row],[ISC Base]] - 0.029) - 3.25 * POWER(Table4[[#This Row],[ISC Base]] - 0.02,15),NA()))</f>
        <v>3.3733761599999994</v>
      </c>
      <c r="U16"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85" t="s">
        <v>267</v>
      </c>
      <c r="W16" s="91">
        <f>VLOOKUP(Table4[[#This Row],[Threat Event Initiation]],NIST_Scale_LOAI[],2,FALSE())</f>
        <v>0.2</v>
      </c>
      <c r="X1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19" t="s">
        <v>271</v>
      </c>
      <c r="AA16" s="19" t="s">
        <v>431</v>
      </c>
      <c r="AB16" s="19" t="s">
        <v>470</v>
      </c>
      <c r="AC16" s="36"/>
      <c r="AD16" s="36"/>
      <c r="AE16" s="36"/>
      <c r="AF16" s="90"/>
      <c r="AG16" s="90"/>
      <c r="AH16" s="90"/>
      <c r="AI16" s="90"/>
      <c r="AJ16" s="90"/>
      <c r="AK1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6" s="91" t="e">
        <f>(1 - ((1 - VLOOKUP(Table4[[#This Row],[ConfidentialityP]],'Reference - CVSSv3.0'!$B$16:$C$18,2,FALSE())) * (1 - VLOOKUP(Table4[[#This Row],[IntegrityP]],'Reference - CVSSv3.0'!$B$16:$C$18,2,FALSE())) *  (1 - VLOOKUP(Table4[[#This Row],[AvailabilityP]],'Reference - CVSSv3.0'!$B$16:$C$18,2,FALSE()))))</f>
        <v>#N/A</v>
      </c>
      <c r="AM16" s="91" t="e">
        <f>IF(Table4[[#This Row],[ScopeP]]="Unchanged",6.42*Table4[[#This Row],[ISC BaseP]],IF(Table4[[#This Row],[ScopeP]]="Changed",7.52*(Table4[[#This Row],[ISC BaseP]] - 0.029) - 3.25 * POWER(Table4[[#This Row],[ISC BaseP]] - 0.02,15),NA()))</f>
        <v>#N/A</v>
      </c>
      <c r="AN1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36"/>
    </row>
    <row r="17" spans="1:43" s="26" customFormat="1" ht="210">
      <c r="A17" s="84">
        <v>13</v>
      </c>
      <c r="B17" s="85" t="s">
        <v>174</v>
      </c>
      <c r="C17" s="86" t="str">
        <f>IF(VLOOKUP(Table4[[#This Row],[T ID]],Table5[#All],5,FALSE())="No","Not in scope",VLOOKUP(Table4[[#This Row],[T ID]],Table5[#All],2,FALSE()))</f>
        <v>Deliver undirected malware
(CAPEC-185)</v>
      </c>
      <c r="D17" s="57" t="s">
        <v>120</v>
      </c>
      <c r="E17" s="86" t="str">
        <f>IF(VLOOKUP(Table4[[#This Row],[V ID]],Vulnerabilities[#All],3,FALSE())="No","Not in scope",VLOOKUP(Table4[[#This Row],[V ID]],Vulnerabilities[#All],2,FALSE()))</f>
        <v>Unprotected network port(s) on network devices and connection points</v>
      </c>
      <c r="F17" s="87" t="s">
        <v>38</v>
      </c>
      <c r="G17" s="88" t="str">
        <f>VLOOKUP(Table4[[#This Row],[A ID]],Assets[#All],3,FALSE())</f>
        <v>Tablet Resources - web cam, microphone, OTG devices, Removable USB, Tablet Application, Network interfaces (Bluetooth, Wifi)</v>
      </c>
      <c r="H17" s="19" t="s">
        <v>280</v>
      </c>
      <c r="I17" s="19" t="s">
        <v>465</v>
      </c>
      <c r="J17" s="89" t="s">
        <v>274</v>
      </c>
      <c r="K17" s="89" t="s">
        <v>274</v>
      </c>
      <c r="L17" s="89" t="s">
        <v>276</v>
      </c>
      <c r="M17" s="90" t="s">
        <v>273</v>
      </c>
      <c r="N17" s="90" t="s">
        <v>267</v>
      </c>
      <c r="O17" s="90" t="s">
        <v>276</v>
      </c>
      <c r="P17" s="90" t="s">
        <v>274</v>
      </c>
      <c r="Q17" s="90" t="s">
        <v>270</v>
      </c>
      <c r="R1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7" s="91">
        <f>(1 - ((1 - VLOOKUP(Table4[[#This Row],[Confidentiality]],'Reference - CVSSv3.0'!$B$16:$C$18,2,FALSE())) * (1 - VLOOKUP(Table4[[#This Row],[Integrity]],'Reference - CVSSv3.0'!$B$16:$C$18,2,FALSE())) *  (1 - VLOOKUP(Table4[[#This Row],[Availability]],'Reference - CVSSv3.0'!$B$16:$C$18,2,FALSE()))))</f>
        <v>0.56000000000000005</v>
      </c>
      <c r="T17" s="91">
        <f>IF(Table4[[#This Row],[Scope]]="Unchanged",6.42*Table4[[#This Row],[ISC Base]],IF(Table4[[#This Row],[Scope]]="Changed",7.52*(Table4[[#This Row],[ISC Base]] - 0.029) - 3.25 * POWER(Table4[[#This Row],[ISC Base]] - 0.02,15),NA()))</f>
        <v>3.5952000000000002</v>
      </c>
      <c r="U17"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85" t="s">
        <v>267</v>
      </c>
      <c r="W17" s="91">
        <f>VLOOKUP(Table4[[#This Row],[Threat Event Initiation]],NIST_Scale_LOAI[],2,FALSE())</f>
        <v>0.2</v>
      </c>
      <c r="X1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19" t="s">
        <v>271</v>
      </c>
      <c r="AA17" s="19" t="s">
        <v>272</v>
      </c>
      <c r="AB17" s="19" t="s">
        <v>469</v>
      </c>
      <c r="AC17" s="36"/>
      <c r="AD17" s="36"/>
      <c r="AE17" s="36"/>
      <c r="AF17" s="90"/>
      <c r="AG17" s="90"/>
      <c r="AH17" s="90"/>
      <c r="AI17" s="90"/>
      <c r="AJ17" s="90"/>
      <c r="AK1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7" s="91" t="e">
        <f>(1 - ((1 - VLOOKUP(Table4[[#This Row],[ConfidentialityP]],'Reference - CVSSv3.0'!$B$16:$C$18,2,FALSE())) * (1 - VLOOKUP(Table4[[#This Row],[IntegrityP]],'Reference - CVSSv3.0'!$B$16:$C$18,2,FALSE())) *  (1 - VLOOKUP(Table4[[#This Row],[AvailabilityP]],'Reference - CVSSv3.0'!$B$16:$C$18,2,FALSE()))))</f>
        <v>#N/A</v>
      </c>
      <c r="AM17" s="91" t="e">
        <f>IF(Table4[[#This Row],[ScopeP]]="Unchanged",6.42*Table4[[#This Row],[ISC BaseP]],IF(Table4[[#This Row],[ScopeP]]="Changed",7.52*(Table4[[#This Row],[ISC BaseP]] - 0.029) - 3.25 * POWER(Table4[[#This Row],[ISC BaseP]] - 0.02,15),NA()))</f>
        <v>#N/A</v>
      </c>
      <c r="AN1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36"/>
    </row>
    <row r="18" spans="1:43" s="26" customFormat="1" ht="126">
      <c r="A18" s="84">
        <v>14</v>
      </c>
      <c r="B18" s="85" t="s">
        <v>174</v>
      </c>
      <c r="C18" s="86" t="str">
        <f>IF(VLOOKUP(Table4[[#This Row],[T ID]],Table5[#All],5,FALSE())="No","Not in scope",VLOOKUP(Table4[[#This Row],[T ID]],Table5[#All],2,FALSE()))</f>
        <v>Deliver undirected malware
(CAPEC-185)</v>
      </c>
      <c r="D18" s="57" t="s">
        <v>120</v>
      </c>
      <c r="E18" s="86" t="str">
        <f>IF(VLOOKUP(Table4[[#This Row],[V ID]],Vulnerabilities[#All],3,FALSE())="No","Not in scope",VLOOKUP(Table4[[#This Row],[V ID]],Vulnerabilities[#All],2,FALSE()))</f>
        <v>Unprotected network port(s) on network devices and connection points</v>
      </c>
      <c r="F18" s="87" t="s">
        <v>46</v>
      </c>
      <c r="G18" s="88" t="str">
        <f>VLOOKUP(Table4[[#This Row],[A ID]],Assets[#All],3,FALSE())</f>
        <v>Smart medic (Stryker device) System Component</v>
      </c>
      <c r="H18" s="19" t="s">
        <v>280</v>
      </c>
      <c r="I18" s="19" t="s">
        <v>465</v>
      </c>
      <c r="J18" s="89" t="s">
        <v>274</v>
      </c>
      <c r="K18" s="89" t="s">
        <v>274</v>
      </c>
      <c r="L18" s="89" t="s">
        <v>276</v>
      </c>
      <c r="M18" s="90" t="s">
        <v>273</v>
      </c>
      <c r="N18" s="90" t="s">
        <v>267</v>
      </c>
      <c r="O18" s="90" t="s">
        <v>276</v>
      </c>
      <c r="P18" s="90" t="s">
        <v>274</v>
      </c>
      <c r="Q18" s="90" t="s">
        <v>270</v>
      </c>
      <c r="R1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8" s="91">
        <f>(1 - ((1 - VLOOKUP(Table4[[#This Row],[Confidentiality]],'Reference - CVSSv3.0'!$B$16:$C$18,2,FALSE())) * (1 - VLOOKUP(Table4[[#This Row],[Integrity]],'Reference - CVSSv3.0'!$B$16:$C$18,2,FALSE())) *  (1 - VLOOKUP(Table4[[#This Row],[Availability]],'Reference - CVSSv3.0'!$B$16:$C$18,2,FALSE()))))</f>
        <v>0.56000000000000005</v>
      </c>
      <c r="T18" s="91">
        <f>IF(Table4[[#This Row],[Scope]]="Unchanged",6.42*Table4[[#This Row],[ISC Base]],IF(Table4[[#This Row],[Scope]]="Changed",7.52*(Table4[[#This Row],[ISC Base]] - 0.029) - 3.25 * POWER(Table4[[#This Row],[ISC Base]] - 0.02,15),NA()))</f>
        <v>3.5952000000000002</v>
      </c>
      <c r="U18"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85" t="s">
        <v>267</v>
      </c>
      <c r="W18" s="91">
        <f>VLOOKUP(Table4[[#This Row],[Threat Event Initiation]],NIST_Scale_LOAI[],2,FALSE())</f>
        <v>0.2</v>
      </c>
      <c r="X1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19" t="s">
        <v>271</v>
      </c>
      <c r="AA18" s="19" t="s">
        <v>431</v>
      </c>
      <c r="AB18" s="19" t="s">
        <v>470</v>
      </c>
      <c r="AC18" s="36"/>
      <c r="AD18" s="36"/>
      <c r="AE18" s="36"/>
      <c r="AF18" s="90"/>
      <c r="AG18" s="90"/>
      <c r="AH18" s="90"/>
      <c r="AI18" s="90"/>
      <c r="AJ18" s="90"/>
      <c r="AK1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8" s="91" t="e">
        <f>(1 - ((1 - VLOOKUP(Table4[[#This Row],[ConfidentialityP]],'Reference - CVSSv3.0'!$B$16:$C$18,2,FALSE())) * (1 - VLOOKUP(Table4[[#This Row],[IntegrityP]],'Reference - CVSSv3.0'!$B$16:$C$18,2,FALSE())) *  (1 - VLOOKUP(Table4[[#This Row],[AvailabilityP]],'Reference - CVSSv3.0'!$B$16:$C$18,2,FALSE()))))</f>
        <v>#N/A</v>
      </c>
      <c r="AM18" s="91" t="e">
        <f>IF(Table4[[#This Row],[ScopeP]]="Unchanged",6.42*Table4[[#This Row],[ISC BaseP]],IF(Table4[[#This Row],[ScopeP]]="Changed",7.52*(Table4[[#This Row],[ISC BaseP]] - 0.029) - 3.25 * POWER(Table4[[#This Row],[ISC BaseP]] - 0.02,15),NA()))</f>
        <v>#N/A</v>
      </c>
      <c r="AN1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36"/>
    </row>
    <row r="19" spans="1:43" s="26" customFormat="1" ht="210">
      <c r="A19" s="84">
        <v>15</v>
      </c>
      <c r="B19" s="85" t="s">
        <v>174</v>
      </c>
      <c r="C19" s="86" t="str">
        <f>IF(VLOOKUP(Table4[[#This Row],[T ID]],Table5[#All],5,FALSE())="No","Not in scope",VLOOKUP(Table4[[#This Row],[T ID]],Table5[#All],2,FALSE()))</f>
        <v>Deliver undirected malware
(CAPEC-185)</v>
      </c>
      <c r="D19" s="57" t="s">
        <v>129</v>
      </c>
      <c r="E19" s="86" t="str">
        <f>IF(VLOOKUP(Table4[[#This Row],[V ID]],Vulnerabilities[#All],3,FALSE())="No","Not in scope",VLOOKUP(Table4[[#This Row],[V ID]],Vulnerabilities[#All],2,FALSE()))</f>
        <v>Unencrypted data at rest in all possible locations</v>
      </c>
      <c r="F19" s="87" t="s">
        <v>38</v>
      </c>
      <c r="G19" s="88" t="str">
        <f>VLOOKUP(Table4[[#This Row],[A ID]],Assets[#All],3,FALSE())</f>
        <v>Tablet Resources - web cam, microphone, OTG devices, Removable USB, Tablet Application, Network interfaces (Bluetooth, Wifi)</v>
      </c>
      <c r="H19" s="19" t="s">
        <v>280</v>
      </c>
      <c r="I19" s="19" t="s">
        <v>465</v>
      </c>
      <c r="J19" s="89" t="s">
        <v>267</v>
      </c>
      <c r="K19" s="89" t="s">
        <v>267</v>
      </c>
      <c r="L19" s="89" t="s">
        <v>267</v>
      </c>
      <c r="M19" s="90" t="s">
        <v>275</v>
      </c>
      <c r="N19" s="90" t="s">
        <v>267</v>
      </c>
      <c r="O19" s="90" t="s">
        <v>267</v>
      </c>
      <c r="P19" s="90" t="s">
        <v>274</v>
      </c>
      <c r="Q19" s="90" t="s">
        <v>270</v>
      </c>
      <c r="R1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9" s="91">
        <f>(1 - ((1 - VLOOKUP(Table4[[#This Row],[Confidentiality]],'Reference - CVSSv3.0'!$B$16:$C$18,2,FALSE())) * (1 - VLOOKUP(Table4[[#This Row],[Integrity]],'Reference - CVSSv3.0'!$B$16:$C$18,2,FALSE())) *  (1 - VLOOKUP(Table4[[#This Row],[Availability]],'Reference - CVSSv3.0'!$B$16:$C$18,2,FALSE()))))</f>
        <v>0.52544799999999992</v>
      </c>
      <c r="T19" s="91">
        <f>IF(Table4[[#This Row],[Scope]]="Unchanged",6.42*Table4[[#This Row],[ISC Base]],IF(Table4[[#This Row],[Scope]]="Changed",7.52*(Table4[[#This Row],[ISC Base]] - 0.029) - 3.25 * POWER(Table4[[#This Row],[ISC Base]] - 0.02,15),NA()))</f>
        <v>3.3733761599999994</v>
      </c>
      <c r="U1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85" t="s">
        <v>267</v>
      </c>
      <c r="W19" s="91">
        <f>VLOOKUP(Table4[[#This Row],[Threat Event Initiation]],NIST_Scale_LOAI[],2,FALSE())</f>
        <v>0.2</v>
      </c>
      <c r="X1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19" t="s">
        <v>271</v>
      </c>
      <c r="AA19" s="19" t="s">
        <v>272</v>
      </c>
      <c r="AB19" s="19" t="s">
        <v>469</v>
      </c>
      <c r="AC19" s="36"/>
      <c r="AD19" s="36"/>
      <c r="AE19" s="36"/>
      <c r="AF19" s="90"/>
      <c r="AG19" s="90"/>
      <c r="AH19" s="90"/>
      <c r="AI19" s="90"/>
      <c r="AJ19" s="90"/>
      <c r="AK1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9" s="91" t="e">
        <f>(1 - ((1 - VLOOKUP(Table4[[#This Row],[ConfidentialityP]],'Reference - CVSSv3.0'!$B$16:$C$18,2,FALSE())) * (1 - VLOOKUP(Table4[[#This Row],[IntegrityP]],'Reference - CVSSv3.0'!$B$16:$C$18,2,FALSE())) *  (1 - VLOOKUP(Table4[[#This Row],[AvailabilityP]],'Reference - CVSSv3.0'!$B$16:$C$18,2,FALSE()))))</f>
        <v>#N/A</v>
      </c>
      <c r="AM19" s="91" t="e">
        <f>IF(Table4[[#This Row],[ScopeP]]="Unchanged",6.42*Table4[[#This Row],[ISC BaseP]],IF(Table4[[#This Row],[ScopeP]]="Changed",7.52*(Table4[[#This Row],[ISC BaseP]] - 0.029) - 3.25 * POWER(Table4[[#This Row],[ISC BaseP]] - 0.02,15),NA()))</f>
        <v>#N/A</v>
      </c>
      <c r="AN1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36"/>
    </row>
    <row r="20" spans="1:43" s="26" customFormat="1" ht="126">
      <c r="A20" s="95">
        <v>16</v>
      </c>
      <c r="B20" s="85" t="s">
        <v>174</v>
      </c>
      <c r="C20" s="86" t="str">
        <f>IF(VLOOKUP(Table4[[#This Row],[T ID]],Table5[#All],5,FALSE())="No","Not in scope",VLOOKUP(Table4[[#This Row],[T ID]],Table5[#All],2,FALSE()))</f>
        <v>Deliver undirected malware
(CAPEC-185)</v>
      </c>
      <c r="D20" s="57" t="s">
        <v>131</v>
      </c>
      <c r="E20" s="86" t="str">
        <f>IF(VLOOKUP(Table4[[#This Row],[V ID]],Vulnerabilities[#All],3,FALSE())="No","Not in scope",VLOOKUP(Table4[[#This Row],[V ID]],Vulnerabilities[#All],2,FALSE()))</f>
        <v>Unencrypted data in transit in all flowchannels</v>
      </c>
      <c r="F20" s="87" t="s">
        <v>46</v>
      </c>
      <c r="G20" s="88" t="str">
        <f>VLOOKUP(Table4[[#This Row],[A ID]],Assets[#All],3,FALSE())</f>
        <v>Smart medic (Stryker device) System Component</v>
      </c>
      <c r="H20" s="19" t="s">
        <v>280</v>
      </c>
      <c r="I20" s="19" t="s">
        <v>465</v>
      </c>
      <c r="J20" s="89" t="s">
        <v>274</v>
      </c>
      <c r="K20" s="89" t="s">
        <v>274</v>
      </c>
      <c r="L20" s="89" t="s">
        <v>276</v>
      </c>
      <c r="M20" s="90" t="s">
        <v>273</v>
      </c>
      <c r="N20" s="90" t="s">
        <v>267</v>
      </c>
      <c r="O20" s="90" t="s">
        <v>276</v>
      </c>
      <c r="P20" s="90" t="s">
        <v>274</v>
      </c>
      <c r="Q20" s="90" t="s">
        <v>270</v>
      </c>
      <c r="R2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0" s="91">
        <f>(1 - ((1 - VLOOKUP(Table4[[#This Row],[Confidentiality]],'Reference - CVSSv3.0'!$B$16:$C$18,2,FALSE())) * (1 - VLOOKUP(Table4[[#This Row],[Integrity]],'Reference - CVSSv3.0'!$B$16:$C$18,2,FALSE())) *  (1 - VLOOKUP(Table4[[#This Row],[Availability]],'Reference - CVSSv3.0'!$B$16:$C$18,2,FALSE()))))</f>
        <v>0.56000000000000005</v>
      </c>
      <c r="T20" s="91">
        <f>IF(Table4[[#This Row],[Scope]]="Unchanged",6.42*Table4[[#This Row],[ISC Base]],IF(Table4[[#This Row],[Scope]]="Changed",7.52*(Table4[[#This Row],[ISC Base]] - 0.029) - 3.25 * POWER(Table4[[#This Row],[ISC Base]] - 0.02,15),NA()))</f>
        <v>3.5952000000000002</v>
      </c>
      <c r="U20"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85" t="s">
        <v>267</v>
      </c>
      <c r="W20" s="91">
        <f>VLOOKUP(Table4[[#This Row],[Threat Event Initiation]],NIST_Scale_LOAI[],2,FALSE())</f>
        <v>0.2</v>
      </c>
      <c r="X2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19" t="s">
        <v>271</v>
      </c>
      <c r="AA20" s="19" t="s">
        <v>431</v>
      </c>
      <c r="AB20" s="19" t="s">
        <v>470</v>
      </c>
      <c r="AC20" s="36"/>
      <c r="AD20" s="36"/>
      <c r="AE20" s="36"/>
      <c r="AF20" s="90"/>
      <c r="AG20" s="90"/>
      <c r="AH20" s="90"/>
      <c r="AI20" s="90"/>
      <c r="AJ20" s="90"/>
      <c r="AK2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0" s="91" t="e">
        <f>(1 - ((1 - VLOOKUP(Table4[[#This Row],[ConfidentialityP]],'Reference - CVSSv3.0'!$B$16:$C$18,2,FALSE())) * (1 - VLOOKUP(Table4[[#This Row],[IntegrityP]],'Reference - CVSSv3.0'!$B$16:$C$18,2,FALSE())) *  (1 - VLOOKUP(Table4[[#This Row],[AvailabilityP]],'Reference - CVSSv3.0'!$B$16:$C$18,2,FALSE()))))</f>
        <v>#N/A</v>
      </c>
      <c r="AM20" s="91" t="e">
        <f>IF(Table4[[#This Row],[ScopeP]]="Unchanged",6.42*Table4[[#This Row],[ISC BaseP]],IF(Table4[[#This Row],[ScopeP]]="Changed",7.52*(Table4[[#This Row],[ISC BaseP]] - 0.029) - 3.25 * POWER(Table4[[#This Row],[ISC BaseP]] - 0.02,15),NA()))</f>
        <v>#N/A</v>
      </c>
      <c r="AN2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36"/>
    </row>
    <row r="21" spans="1:43" s="26" customFormat="1" ht="210">
      <c r="A21" s="95">
        <v>17</v>
      </c>
      <c r="B21" s="85" t="s">
        <v>174</v>
      </c>
      <c r="C21" s="86" t="str">
        <f>IF(VLOOKUP(Table4[[#This Row],[T ID]],Table5[#All],5,FALSE())="No","Not in scope",VLOOKUP(Table4[[#This Row],[T ID]],Table5[#All],2,FALSE()))</f>
        <v>Deliver undirected malware
(CAPEC-185)</v>
      </c>
      <c r="D21" s="57" t="s">
        <v>131</v>
      </c>
      <c r="E21" s="86" t="str">
        <f>IF(VLOOKUP(Table4[[#This Row],[V ID]],Vulnerabilities[#All],3,FALSE())="No","Not in scope",VLOOKUP(Table4[[#This Row],[V ID]],Vulnerabilities[#All],2,FALSE()))</f>
        <v>Unencrypted data in transit in all flowchannels</v>
      </c>
      <c r="F21" s="87" t="s">
        <v>38</v>
      </c>
      <c r="G21" s="88" t="str">
        <f>VLOOKUP(Table4[[#This Row],[A ID]],Assets[#All],3,FALSE())</f>
        <v>Tablet Resources - web cam, microphone, OTG devices, Removable USB, Tablet Application, Network interfaces (Bluetooth, Wifi)</v>
      </c>
      <c r="H21" s="19" t="s">
        <v>280</v>
      </c>
      <c r="I21" s="19" t="s">
        <v>465</v>
      </c>
      <c r="J21" s="89" t="s">
        <v>274</v>
      </c>
      <c r="K21" s="89" t="s">
        <v>274</v>
      </c>
      <c r="L21" s="89" t="s">
        <v>276</v>
      </c>
      <c r="M21" s="90" t="s">
        <v>273</v>
      </c>
      <c r="N21" s="90" t="s">
        <v>267</v>
      </c>
      <c r="O21" s="90" t="s">
        <v>276</v>
      </c>
      <c r="P21" s="90" t="s">
        <v>274</v>
      </c>
      <c r="Q21" s="90" t="s">
        <v>270</v>
      </c>
      <c r="R2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1" s="91">
        <f>(1 - ((1 - VLOOKUP(Table4[[#This Row],[Confidentiality]],'Reference - CVSSv3.0'!$B$16:$C$18,2,FALSE())) * (1 - VLOOKUP(Table4[[#This Row],[Integrity]],'Reference - CVSSv3.0'!$B$16:$C$18,2,FALSE())) *  (1 - VLOOKUP(Table4[[#This Row],[Availability]],'Reference - CVSSv3.0'!$B$16:$C$18,2,FALSE()))))</f>
        <v>0.56000000000000005</v>
      </c>
      <c r="T21" s="91">
        <f>IF(Table4[[#This Row],[Scope]]="Unchanged",6.42*Table4[[#This Row],[ISC Base]],IF(Table4[[#This Row],[Scope]]="Changed",7.52*(Table4[[#This Row],[ISC Base]] - 0.029) - 3.25 * POWER(Table4[[#This Row],[ISC Base]] - 0.02,15),NA()))</f>
        <v>3.5952000000000002</v>
      </c>
      <c r="U21"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85" t="s">
        <v>267</v>
      </c>
      <c r="W21" s="91">
        <f>VLOOKUP(Table4[[#This Row],[Threat Event Initiation]],NIST_Scale_LOAI[],2,FALSE())</f>
        <v>0.2</v>
      </c>
      <c r="X2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19" t="s">
        <v>271</v>
      </c>
      <c r="AA21" s="19" t="s">
        <v>272</v>
      </c>
      <c r="AB21" s="19" t="s">
        <v>469</v>
      </c>
      <c r="AC21" s="36"/>
      <c r="AD21" s="36"/>
      <c r="AE21" s="36"/>
      <c r="AF21" s="90"/>
      <c r="AG21" s="90"/>
      <c r="AH21" s="90"/>
      <c r="AI21" s="90"/>
      <c r="AJ21" s="90"/>
      <c r="AK2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1" s="91" t="e">
        <f>(1 - ((1 - VLOOKUP(Table4[[#This Row],[ConfidentialityP]],'Reference - CVSSv3.0'!$B$16:$C$18,2,FALSE())) * (1 - VLOOKUP(Table4[[#This Row],[IntegrityP]],'Reference - CVSSv3.0'!$B$16:$C$18,2,FALSE())) *  (1 - VLOOKUP(Table4[[#This Row],[AvailabilityP]],'Reference - CVSSv3.0'!$B$16:$C$18,2,FALSE()))))</f>
        <v>#N/A</v>
      </c>
      <c r="AM21" s="91" t="e">
        <f>IF(Table4[[#This Row],[ScopeP]]="Unchanged",6.42*Table4[[#This Row],[ISC BaseP]],IF(Table4[[#This Row],[ScopeP]]="Changed",7.52*(Table4[[#This Row],[ISC BaseP]] - 0.029) - 3.25 * POWER(Table4[[#This Row],[ISC BaseP]] - 0.02,15),NA()))</f>
        <v>#N/A</v>
      </c>
      <c r="AN2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36"/>
    </row>
    <row r="22" spans="1:43" s="26" customFormat="1" ht="126">
      <c r="A22" s="84">
        <v>18</v>
      </c>
      <c r="B22" s="85" t="s">
        <v>174</v>
      </c>
      <c r="C22" s="86" t="str">
        <f>IF(VLOOKUP(Table4[[#This Row],[T ID]],Table5[#All],5,FALSE())="No","Not in scope",VLOOKUP(Table4[[#This Row],[T ID]],Table5[#All],2,FALSE()))</f>
        <v>Deliver undirected malware
(CAPEC-185)</v>
      </c>
      <c r="D22" s="57" t="s">
        <v>144</v>
      </c>
      <c r="E22" s="86" t="str">
        <f>IF(VLOOKUP(Table4[[#This Row],[V ID]],Vulnerabilities[#All],3,FALSE())="No","Not in scope",VLOOKUP(Table4[[#This Row],[V ID]],Vulnerabilities[#All],2,FALSE()))</f>
        <v>Outdated  - Software/Hardware</v>
      </c>
      <c r="F22" s="87" t="s">
        <v>53</v>
      </c>
      <c r="G22" s="88" t="str">
        <f>VLOOKUP(Table4[[#This Row],[A ID]],Assets[#All],3,FALSE())</f>
        <v>Device Maintainence tool (Hardware/Software)</v>
      </c>
      <c r="H22" s="19" t="s">
        <v>280</v>
      </c>
      <c r="I22" s="19" t="s">
        <v>465</v>
      </c>
      <c r="J22" s="89" t="s">
        <v>267</v>
      </c>
      <c r="K22" s="89" t="s">
        <v>267</v>
      </c>
      <c r="L22" s="89" t="s">
        <v>267</v>
      </c>
      <c r="M22" s="90" t="s">
        <v>268</v>
      </c>
      <c r="N22" s="90" t="s">
        <v>267</v>
      </c>
      <c r="O22" s="90" t="s">
        <v>267</v>
      </c>
      <c r="P22" s="90" t="s">
        <v>274</v>
      </c>
      <c r="Q22" s="90" t="s">
        <v>270</v>
      </c>
      <c r="R2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2" s="91">
        <f>(1 - ((1 - VLOOKUP(Table4[[#This Row],[Confidentiality]],'Reference - CVSSv3.0'!$B$16:$C$18,2,FALSE())) * (1 - VLOOKUP(Table4[[#This Row],[Integrity]],'Reference - CVSSv3.0'!$B$16:$C$18,2,FALSE())) *  (1 - VLOOKUP(Table4[[#This Row],[Availability]],'Reference - CVSSv3.0'!$B$16:$C$18,2,FALSE()))))</f>
        <v>0.52544799999999992</v>
      </c>
      <c r="T22" s="91">
        <f>IF(Table4[[#This Row],[Scope]]="Unchanged",6.42*Table4[[#This Row],[ISC Base]],IF(Table4[[#This Row],[Scope]]="Changed",7.52*(Table4[[#This Row],[ISC Base]] - 0.029) - 3.25 * POWER(Table4[[#This Row],[ISC Base]] - 0.02,15),NA()))</f>
        <v>3.3733761599999994</v>
      </c>
      <c r="U2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85" t="s">
        <v>277</v>
      </c>
      <c r="W22" s="91">
        <f>VLOOKUP(Table4[[#This Row],[Threat Event Initiation]],NIST_Scale_LOAI[],2,FALSE())</f>
        <v>0.5</v>
      </c>
      <c r="X2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19" t="s">
        <v>271</v>
      </c>
      <c r="AA22" s="19" t="s">
        <v>454</v>
      </c>
      <c r="AB22" s="19" t="s">
        <v>473</v>
      </c>
      <c r="AC22" s="36"/>
      <c r="AD22" s="36"/>
      <c r="AE22" s="36"/>
      <c r="AF22" s="90"/>
      <c r="AG22" s="90"/>
      <c r="AH22" s="90"/>
      <c r="AI22" s="90"/>
      <c r="AJ22" s="90"/>
      <c r="AK2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2" s="91" t="e">
        <f>(1 - ((1 - VLOOKUP(Table4[[#This Row],[ConfidentialityP]],'Reference - CVSSv3.0'!$B$16:$C$18,2,FALSE())) * (1 - VLOOKUP(Table4[[#This Row],[IntegrityP]],'Reference - CVSSv3.0'!$B$16:$C$18,2,FALSE())) *  (1 - VLOOKUP(Table4[[#This Row],[AvailabilityP]],'Reference - CVSSv3.0'!$B$16:$C$18,2,FALSE()))))</f>
        <v>#N/A</v>
      </c>
      <c r="AM22" s="91" t="e">
        <f>IF(Table4[[#This Row],[ScopeP]]="Unchanged",6.42*Table4[[#This Row],[ISC BaseP]],IF(Table4[[#This Row],[ScopeP]]="Changed",7.52*(Table4[[#This Row],[ISC BaseP]] - 0.029) - 3.25 * POWER(Table4[[#This Row],[ISC BaseP]] - 0.02,15),NA()))</f>
        <v>#N/A</v>
      </c>
      <c r="AN2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36"/>
    </row>
    <row r="23" spans="1:43" s="26" customFormat="1" ht="126">
      <c r="A23" s="84">
        <v>19</v>
      </c>
      <c r="B23" s="85" t="s">
        <v>174</v>
      </c>
      <c r="C23" s="86" t="str">
        <f>IF(VLOOKUP(Table4[[#This Row],[T ID]],Table5[#All],5,FALSE())="No","Not in scope",VLOOKUP(Table4[[#This Row],[T ID]],Table5[#All],2,FALSE()))</f>
        <v>Deliver undirected malware
(CAPEC-185)</v>
      </c>
      <c r="D23" s="57" t="s">
        <v>144</v>
      </c>
      <c r="E23" s="86" t="str">
        <f>IF(VLOOKUP(Table4[[#This Row],[V ID]],Vulnerabilities[#All],3,FALSE())="No","Not in scope",VLOOKUP(Table4[[#This Row],[V ID]],Vulnerabilities[#All],2,FALSE()))</f>
        <v>Outdated  - Software/Hardware</v>
      </c>
      <c r="F23" s="87" t="s">
        <v>46</v>
      </c>
      <c r="G23" s="88" t="str">
        <f>VLOOKUP(Table4[[#This Row],[A ID]],Assets[#All],3,FALSE())</f>
        <v>Smart medic (Stryker device) System Component</v>
      </c>
      <c r="H23" s="19" t="s">
        <v>280</v>
      </c>
      <c r="I23" s="19" t="s">
        <v>465</v>
      </c>
      <c r="J23" s="89" t="s">
        <v>267</v>
      </c>
      <c r="K23" s="89" t="s">
        <v>267</v>
      </c>
      <c r="L23" s="89" t="s">
        <v>267</v>
      </c>
      <c r="M23" s="90" t="s">
        <v>268</v>
      </c>
      <c r="N23" s="90" t="s">
        <v>267</v>
      </c>
      <c r="O23" s="90" t="s">
        <v>267</v>
      </c>
      <c r="P23" s="90" t="s">
        <v>274</v>
      </c>
      <c r="Q23" s="90" t="s">
        <v>270</v>
      </c>
      <c r="R2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3" s="91">
        <f>(1 - ((1 - VLOOKUP(Table4[[#This Row],[Confidentiality]],'Reference - CVSSv3.0'!$B$16:$C$18,2,FALSE())) * (1 - VLOOKUP(Table4[[#This Row],[Integrity]],'Reference - CVSSv3.0'!$B$16:$C$18,2,FALSE())) *  (1 - VLOOKUP(Table4[[#This Row],[Availability]],'Reference - CVSSv3.0'!$B$16:$C$18,2,FALSE()))))</f>
        <v>0.52544799999999992</v>
      </c>
      <c r="T23" s="91">
        <f>IF(Table4[[#This Row],[Scope]]="Unchanged",6.42*Table4[[#This Row],[ISC Base]],IF(Table4[[#This Row],[Scope]]="Changed",7.52*(Table4[[#This Row],[ISC Base]] - 0.029) - 3.25 * POWER(Table4[[#This Row],[ISC Base]] - 0.02,15),NA()))</f>
        <v>3.3733761599999994</v>
      </c>
      <c r="U23"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85" t="s">
        <v>277</v>
      </c>
      <c r="W23" s="91">
        <f>VLOOKUP(Table4[[#This Row],[Threat Event Initiation]],NIST_Scale_LOAI[],2,FALSE())</f>
        <v>0.5</v>
      </c>
      <c r="X2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19" t="s">
        <v>271</v>
      </c>
      <c r="AA23" s="19" t="s">
        <v>431</v>
      </c>
      <c r="AB23" s="19" t="s">
        <v>470</v>
      </c>
      <c r="AC23" s="36"/>
      <c r="AD23" s="36"/>
      <c r="AE23" s="36"/>
      <c r="AF23" s="90"/>
      <c r="AG23" s="90"/>
      <c r="AH23" s="90"/>
      <c r="AI23" s="90"/>
      <c r="AJ23" s="90"/>
      <c r="AK2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3" s="91" t="e">
        <f>(1 - ((1 - VLOOKUP(Table4[[#This Row],[ConfidentialityP]],'Reference - CVSSv3.0'!$B$16:$C$18,2,FALSE())) * (1 - VLOOKUP(Table4[[#This Row],[IntegrityP]],'Reference - CVSSv3.0'!$B$16:$C$18,2,FALSE())) *  (1 - VLOOKUP(Table4[[#This Row],[AvailabilityP]],'Reference - CVSSv3.0'!$B$16:$C$18,2,FALSE()))))</f>
        <v>#N/A</v>
      </c>
      <c r="AM23" s="91" t="e">
        <f>IF(Table4[[#This Row],[ScopeP]]="Unchanged",6.42*Table4[[#This Row],[ISC BaseP]],IF(Table4[[#This Row],[ScopeP]]="Changed",7.52*(Table4[[#This Row],[ISC BaseP]] - 0.029) - 3.25 * POWER(Table4[[#This Row],[ISC BaseP]] - 0.02,15),NA()))</f>
        <v>#N/A</v>
      </c>
      <c r="AN2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36"/>
    </row>
    <row r="24" spans="1:43" s="26" customFormat="1" ht="210">
      <c r="A24" s="84">
        <v>20</v>
      </c>
      <c r="B24" s="85" t="s">
        <v>174</v>
      </c>
      <c r="C24" s="86" t="str">
        <f>IF(VLOOKUP(Table4[[#This Row],[T ID]],Table5[#All],5,FALSE())="No","Not in scope",VLOOKUP(Table4[[#This Row],[T ID]],Table5[#All],2,FALSE()))</f>
        <v>Deliver undirected malware
(CAPEC-185)</v>
      </c>
      <c r="D24" s="57" t="s">
        <v>144</v>
      </c>
      <c r="E24" s="86" t="str">
        <f>IF(VLOOKUP(Table4[[#This Row],[V ID]],Vulnerabilities[#All],3,FALSE())="No","Not in scope",VLOOKUP(Table4[[#This Row],[V ID]],Vulnerabilities[#All],2,FALSE()))</f>
        <v>Outdated  - Software/Hardware</v>
      </c>
      <c r="F24" s="87" t="s">
        <v>38</v>
      </c>
      <c r="G24" s="88" t="str">
        <f>VLOOKUP(Table4[[#This Row],[A ID]],Assets[#All],3,FALSE())</f>
        <v>Tablet Resources - web cam, microphone, OTG devices, Removable USB, Tablet Application, Network interfaces (Bluetooth, Wifi)</v>
      </c>
      <c r="H24" s="19" t="s">
        <v>280</v>
      </c>
      <c r="I24" s="19" t="s">
        <v>465</v>
      </c>
      <c r="J24" s="89" t="s">
        <v>267</v>
      </c>
      <c r="K24" s="89" t="s">
        <v>267</v>
      </c>
      <c r="L24" s="89" t="s">
        <v>267</v>
      </c>
      <c r="M24" s="90" t="s">
        <v>268</v>
      </c>
      <c r="N24" s="90" t="s">
        <v>267</v>
      </c>
      <c r="O24" s="90" t="s">
        <v>267</v>
      </c>
      <c r="P24" s="90" t="s">
        <v>274</v>
      </c>
      <c r="Q24" s="90" t="s">
        <v>270</v>
      </c>
      <c r="R2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4" s="91">
        <f>(1 - ((1 - VLOOKUP(Table4[[#This Row],[Confidentiality]],'Reference - CVSSv3.0'!$B$16:$C$18,2,FALSE())) * (1 - VLOOKUP(Table4[[#This Row],[Integrity]],'Reference - CVSSv3.0'!$B$16:$C$18,2,FALSE())) *  (1 - VLOOKUP(Table4[[#This Row],[Availability]],'Reference - CVSSv3.0'!$B$16:$C$18,2,FALSE()))))</f>
        <v>0.52544799999999992</v>
      </c>
      <c r="T24" s="91">
        <f>IF(Table4[[#This Row],[Scope]]="Unchanged",6.42*Table4[[#This Row],[ISC Base]],IF(Table4[[#This Row],[Scope]]="Changed",7.52*(Table4[[#This Row],[ISC Base]] - 0.029) - 3.25 * POWER(Table4[[#This Row],[ISC Base]] - 0.02,15),NA()))</f>
        <v>3.3733761599999994</v>
      </c>
      <c r="U24"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85" t="s">
        <v>267</v>
      </c>
      <c r="W24" s="91">
        <f>VLOOKUP(Table4[[#This Row],[Threat Event Initiation]],NIST_Scale_LOAI[],2,FALSE())</f>
        <v>0.2</v>
      </c>
      <c r="X2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19" t="s">
        <v>271</v>
      </c>
      <c r="AA24" s="19" t="s">
        <v>272</v>
      </c>
      <c r="AB24" s="19" t="s">
        <v>469</v>
      </c>
      <c r="AC24" s="36"/>
      <c r="AD24" s="36"/>
      <c r="AE24" s="36"/>
      <c r="AF24" s="90"/>
      <c r="AG24" s="90"/>
      <c r="AH24" s="90"/>
      <c r="AI24" s="90"/>
      <c r="AJ24" s="90"/>
      <c r="AK2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4" s="91" t="e">
        <f>(1 - ((1 - VLOOKUP(Table4[[#This Row],[ConfidentialityP]],'Reference - CVSSv3.0'!$B$16:$C$18,2,FALSE())) * (1 - VLOOKUP(Table4[[#This Row],[IntegrityP]],'Reference - CVSSv3.0'!$B$16:$C$18,2,FALSE())) *  (1 - VLOOKUP(Table4[[#This Row],[AvailabilityP]],'Reference - CVSSv3.0'!$B$16:$C$18,2,FALSE()))))</f>
        <v>#N/A</v>
      </c>
      <c r="AM24" s="91" t="e">
        <f>IF(Table4[[#This Row],[ScopeP]]="Unchanged",6.42*Table4[[#This Row],[ISC BaseP]],IF(Table4[[#This Row],[ScopeP]]="Changed",7.52*(Table4[[#This Row],[ISC BaseP]] - 0.029) - 3.25 * POWER(Table4[[#This Row],[ISC BaseP]] - 0.02,15),NA()))</f>
        <v>#N/A</v>
      </c>
      <c r="AN2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36"/>
    </row>
    <row r="25" spans="1:43" s="26" customFormat="1" ht="126">
      <c r="A25" s="84">
        <v>21</v>
      </c>
      <c r="B25" s="85" t="s">
        <v>178</v>
      </c>
      <c r="C25" s="86" t="str">
        <f>IF(VLOOKUP(Table4[[#This Row],[T ID]],Table5[#All],5,FALSE())="No","Not in scope",VLOOKUP(Table4[[#This Row],[T ID]],Table5[#All],2,FALSE()))</f>
        <v>Deliver directed malware
(CAPEC-185)</v>
      </c>
      <c r="D25" s="57" t="s">
        <v>140</v>
      </c>
      <c r="E25" s="86" t="str">
        <f>IF(VLOOKUP(Table4[[#This Row],[V ID]],Vulnerabilities[#All],3,FALSE())="No","Not in scope",VLOOKUP(Table4[[#This Row],[V ID]],Vulnerabilities[#All],2,FALSE()))</f>
        <v>InSecure Configuration for Software/OS on Mobile Devices, Laptops, Workstations, and Servers</v>
      </c>
      <c r="F25" s="87" t="s">
        <v>53</v>
      </c>
      <c r="G25" s="88" t="str">
        <f>VLOOKUP(Table4[[#This Row],[A ID]],Assets[#All],3,FALSE())</f>
        <v>Device Maintainence tool (Hardware/Software)</v>
      </c>
      <c r="H25" s="19" t="s">
        <v>280</v>
      </c>
      <c r="I25" s="19" t="s">
        <v>465</v>
      </c>
      <c r="J25" s="89" t="s">
        <v>274</v>
      </c>
      <c r="K25" s="89" t="s">
        <v>274</v>
      </c>
      <c r="L25" s="89" t="s">
        <v>276</v>
      </c>
      <c r="M25" s="90" t="s">
        <v>275</v>
      </c>
      <c r="N25" s="90" t="s">
        <v>267</v>
      </c>
      <c r="O25" s="90" t="s">
        <v>276</v>
      </c>
      <c r="P25" s="90" t="s">
        <v>269</v>
      </c>
      <c r="Q25" s="90" t="s">
        <v>270</v>
      </c>
      <c r="R2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5" s="91">
        <f>(1 - ((1 - VLOOKUP(Table4[[#This Row],[Confidentiality]],'Reference - CVSSv3.0'!$B$16:$C$18,2,FALSE())) * (1 - VLOOKUP(Table4[[#This Row],[Integrity]],'Reference - CVSSv3.0'!$B$16:$C$18,2,FALSE())) *  (1 - VLOOKUP(Table4[[#This Row],[Availability]],'Reference - CVSSv3.0'!$B$16:$C$18,2,FALSE()))))</f>
        <v>0.56000000000000005</v>
      </c>
      <c r="T25" s="91">
        <f>IF(Table4[[#This Row],[Scope]]="Unchanged",6.42*Table4[[#This Row],[ISC Base]],IF(Table4[[#This Row],[Scope]]="Changed",7.52*(Table4[[#This Row],[ISC Base]] - 0.029) - 3.25 * POWER(Table4[[#This Row],[ISC Base]] - 0.02,15),NA()))</f>
        <v>3.5952000000000002</v>
      </c>
      <c r="U25"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85" t="s">
        <v>277</v>
      </c>
      <c r="W25" s="92">
        <f>VLOOKUP(Table4[[#This Row],[Threat Event Initiation]],NIST_Scale_LOAI[],2,FALSE())</f>
        <v>0.5</v>
      </c>
      <c r="X2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19" t="s">
        <v>271</v>
      </c>
      <c r="AA25" s="19" t="s">
        <v>454</v>
      </c>
      <c r="AB25" s="19" t="s">
        <v>473</v>
      </c>
      <c r="AC25" s="89"/>
      <c r="AD25" s="89"/>
      <c r="AE25" s="89"/>
      <c r="AF25" s="90"/>
      <c r="AG25" s="90"/>
      <c r="AH25" s="90"/>
      <c r="AI25" s="90"/>
      <c r="AJ25" s="90"/>
      <c r="AK2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5" s="91" t="e">
        <f>(1 - ((1 - VLOOKUP(Table4[[#This Row],[ConfidentialityP]],'Reference - CVSSv3.0'!$B$16:$C$18,2,FALSE())) * (1 - VLOOKUP(Table4[[#This Row],[IntegrityP]],'Reference - CVSSv3.0'!$B$16:$C$18,2,FALSE())) *  (1 - VLOOKUP(Table4[[#This Row],[AvailabilityP]],'Reference - CVSSv3.0'!$B$16:$C$18,2,FALSE()))))</f>
        <v>#N/A</v>
      </c>
      <c r="AM25" s="91" t="e">
        <f>IF(Table4[[#This Row],[ScopeP]]="Unchanged",6.42*Table4[[#This Row],[ISC BaseP]],IF(Table4[[#This Row],[ScopeP]]="Changed",7.52*(Table4[[#This Row],[ISC BaseP]] - 0.029) - 3.25 * POWER(Table4[[#This Row],[ISC BaseP]] - 0.02,15),NA()))</f>
        <v>#N/A</v>
      </c>
      <c r="AN2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36"/>
    </row>
    <row r="26" spans="1:43" s="26" customFormat="1" ht="126">
      <c r="A26" s="84">
        <v>22</v>
      </c>
      <c r="B26" s="85" t="s">
        <v>178</v>
      </c>
      <c r="C26" s="86" t="str">
        <f>IF(VLOOKUP(Table4[[#This Row],[T ID]],Table5[#All],5,FALSE())="No","Not in scope",VLOOKUP(Table4[[#This Row],[T ID]],Table5[#All],2,FALSE()))</f>
        <v>Deliver directed malware
(CAPEC-185)</v>
      </c>
      <c r="D26" s="57" t="s">
        <v>140</v>
      </c>
      <c r="E26" s="86" t="str">
        <f>IF(VLOOKUP(Table4[[#This Row],[V ID]],Vulnerabilities[#All],3,FALSE())="No","Not in scope",VLOOKUP(Table4[[#This Row],[V ID]],Vulnerabilities[#All],2,FALSE()))</f>
        <v>InSecure Configuration for Software/OS on Mobile Devices, Laptops, Workstations, and Servers</v>
      </c>
      <c r="F26" s="87" t="s">
        <v>46</v>
      </c>
      <c r="G26" s="88" t="str">
        <f>VLOOKUP(Table4[[#This Row],[A ID]],Assets[#All],3,FALSE())</f>
        <v>Smart medic (Stryker device) System Component</v>
      </c>
      <c r="H26" s="19" t="s">
        <v>280</v>
      </c>
      <c r="I26" s="19" t="s">
        <v>465</v>
      </c>
      <c r="J26" s="89" t="s">
        <v>274</v>
      </c>
      <c r="K26" s="89" t="s">
        <v>274</v>
      </c>
      <c r="L26" s="89" t="s">
        <v>276</v>
      </c>
      <c r="M26" s="90" t="s">
        <v>275</v>
      </c>
      <c r="N26" s="90" t="s">
        <v>267</v>
      </c>
      <c r="O26" s="90" t="s">
        <v>276</v>
      </c>
      <c r="P26" s="90" t="s">
        <v>269</v>
      </c>
      <c r="Q26" s="90" t="s">
        <v>270</v>
      </c>
      <c r="R2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6" s="91">
        <f>(1 - ((1 - VLOOKUP(Table4[[#This Row],[Confidentiality]],'Reference - CVSSv3.0'!$B$16:$C$18,2,FALSE())) * (1 - VLOOKUP(Table4[[#This Row],[Integrity]],'Reference - CVSSv3.0'!$B$16:$C$18,2,FALSE())) *  (1 - VLOOKUP(Table4[[#This Row],[Availability]],'Reference - CVSSv3.0'!$B$16:$C$18,2,FALSE()))))</f>
        <v>0.56000000000000005</v>
      </c>
      <c r="T26" s="91">
        <f>IF(Table4[[#This Row],[Scope]]="Unchanged",6.42*Table4[[#This Row],[ISC Base]],IF(Table4[[#This Row],[Scope]]="Changed",7.52*(Table4[[#This Row],[ISC Base]] - 0.029) - 3.25 * POWER(Table4[[#This Row],[ISC Base]] - 0.02,15),NA()))</f>
        <v>3.5952000000000002</v>
      </c>
      <c r="U2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85" t="s">
        <v>277</v>
      </c>
      <c r="W26" s="91">
        <f>VLOOKUP(Table4[[#This Row],[Threat Event Initiation]],NIST_Scale_LOAI[],2,FALSE())</f>
        <v>0.5</v>
      </c>
      <c r="X2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19" t="s">
        <v>271</v>
      </c>
      <c r="AA26" s="19" t="s">
        <v>431</v>
      </c>
      <c r="AB26" s="19" t="s">
        <v>470</v>
      </c>
      <c r="AC26" s="36"/>
      <c r="AD26" s="36"/>
      <c r="AE26" s="36"/>
      <c r="AF26" s="90"/>
      <c r="AG26" s="90"/>
      <c r="AH26" s="90"/>
      <c r="AI26" s="90"/>
      <c r="AJ26" s="90"/>
      <c r="AK2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6" s="91" t="e">
        <f>(1 - ((1 - VLOOKUP(Table4[[#This Row],[ConfidentialityP]],'Reference - CVSSv3.0'!$B$16:$C$18,2,FALSE())) * (1 - VLOOKUP(Table4[[#This Row],[IntegrityP]],'Reference - CVSSv3.0'!$B$16:$C$18,2,FALSE())) *  (1 - VLOOKUP(Table4[[#This Row],[AvailabilityP]],'Reference - CVSSv3.0'!$B$16:$C$18,2,FALSE()))))</f>
        <v>#N/A</v>
      </c>
      <c r="AM26" s="91" t="e">
        <f>IF(Table4[[#This Row],[ScopeP]]="Unchanged",6.42*Table4[[#This Row],[ISC BaseP]],IF(Table4[[#This Row],[ScopeP]]="Changed",7.52*(Table4[[#This Row],[ISC BaseP]] - 0.029) - 3.25 * POWER(Table4[[#This Row],[ISC BaseP]] - 0.02,15),NA()))</f>
        <v>#N/A</v>
      </c>
      <c r="AN2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36"/>
    </row>
    <row r="27" spans="1:43" s="26" customFormat="1" ht="210">
      <c r="A27" s="84">
        <v>23</v>
      </c>
      <c r="B27" s="85" t="s">
        <v>178</v>
      </c>
      <c r="C27" s="86" t="str">
        <f>IF(VLOOKUP(Table4[[#This Row],[T ID]],Table5[#All],5,FALSE())="No","Not in scope",VLOOKUP(Table4[[#This Row],[T ID]],Table5[#All],2,FALSE()))</f>
        <v>Deliver directed malware
(CAPEC-185)</v>
      </c>
      <c r="D27" s="57" t="s">
        <v>140</v>
      </c>
      <c r="E27" s="86" t="str">
        <f>IF(VLOOKUP(Table4[[#This Row],[V ID]],Vulnerabilities[#All],3,FALSE())="No","Not in scope",VLOOKUP(Table4[[#This Row],[V ID]],Vulnerabilities[#All],2,FALSE()))</f>
        <v>InSecure Configuration for Software/OS on Mobile Devices, Laptops, Workstations, and Servers</v>
      </c>
      <c r="F27" s="87" t="s">
        <v>38</v>
      </c>
      <c r="G27" s="88" t="str">
        <f>VLOOKUP(Table4[[#This Row],[A ID]],Assets[#All],3,FALSE())</f>
        <v>Tablet Resources - web cam, microphone, OTG devices, Removable USB, Tablet Application, Network interfaces (Bluetooth, Wifi)</v>
      </c>
      <c r="H27" s="19" t="s">
        <v>280</v>
      </c>
      <c r="I27" s="19" t="s">
        <v>465</v>
      </c>
      <c r="J27" s="89" t="s">
        <v>267</v>
      </c>
      <c r="K27" s="89" t="s">
        <v>267</v>
      </c>
      <c r="L27" s="89" t="s">
        <v>267</v>
      </c>
      <c r="M27" s="90" t="s">
        <v>275</v>
      </c>
      <c r="N27" s="90" t="s">
        <v>267</v>
      </c>
      <c r="O27" s="90" t="s">
        <v>267</v>
      </c>
      <c r="P27" s="90" t="s">
        <v>269</v>
      </c>
      <c r="Q27" s="90" t="s">
        <v>270</v>
      </c>
      <c r="R2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27" s="91">
        <f>(1 - ((1 - VLOOKUP(Table4[[#This Row],[Confidentiality]],'Reference - CVSSv3.0'!$B$16:$C$18,2,FALSE())) * (1 - VLOOKUP(Table4[[#This Row],[Integrity]],'Reference - CVSSv3.0'!$B$16:$C$18,2,FALSE())) *  (1 - VLOOKUP(Table4[[#This Row],[Availability]],'Reference - CVSSv3.0'!$B$16:$C$18,2,FALSE()))))</f>
        <v>0.52544799999999992</v>
      </c>
      <c r="T27" s="91">
        <f>IF(Table4[[#This Row],[Scope]]="Unchanged",6.42*Table4[[#This Row],[ISC Base]],IF(Table4[[#This Row],[Scope]]="Changed",7.52*(Table4[[#This Row],[ISC Base]] - 0.029) - 3.25 * POWER(Table4[[#This Row],[ISC Base]] - 0.02,15),NA()))</f>
        <v>3.3733761599999994</v>
      </c>
      <c r="U2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85" t="s">
        <v>267</v>
      </c>
      <c r="W27" s="91">
        <f>VLOOKUP(Table4[[#This Row],[Threat Event Initiation]],NIST_Scale_LOAI[],2,FALSE())</f>
        <v>0.2</v>
      </c>
      <c r="X2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19" t="s">
        <v>271</v>
      </c>
      <c r="AA27" s="19" t="s">
        <v>272</v>
      </c>
      <c r="AB27" s="19" t="s">
        <v>469</v>
      </c>
      <c r="AC27" s="36"/>
      <c r="AD27" s="36"/>
      <c r="AE27" s="36"/>
      <c r="AF27" s="90"/>
      <c r="AG27" s="90"/>
      <c r="AH27" s="90"/>
      <c r="AI27" s="90"/>
      <c r="AJ27" s="90"/>
      <c r="AK2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7" s="91" t="e">
        <f>(1 - ((1 - VLOOKUP(Table4[[#This Row],[ConfidentialityP]],'Reference - CVSSv3.0'!$B$16:$C$18,2,FALSE())) * (1 - VLOOKUP(Table4[[#This Row],[IntegrityP]],'Reference - CVSSv3.0'!$B$16:$C$18,2,FALSE())) *  (1 - VLOOKUP(Table4[[#This Row],[AvailabilityP]],'Reference - CVSSv3.0'!$B$16:$C$18,2,FALSE()))))</f>
        <v>#N/A</v>
      </c>
      <c r="AM27" s="91" t="e">
        <f>IF(Table4[[#This Row],[ScopeP]]="Unchanged",6.42*Table4[[#This Row],[ISC BaseP]],IF(Table4[[#This Row],[ScopeP]]="Changed",7.52*(Table4[[#This Row],[ISC BaseP]] - 0.029) - 3.25 * POWER(Table4[[#This Row],[ISC BaseP]] - 0.02,15),NA()))</f>
        <v>#N/A</v>
      </c>
      <c r="AN2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36"/>
    </row>
    <row r="28" spans="1:43" s="26" customFormat="1" ht="84">
      <c r="A28" s="84">
        <v>24</v>
      </c>
      <c r="B28" s="85" t="s">
        <v>178</v>
      </c>
      <c r="C28" s="86" t="str">
        <f>IF(VLOOKUP(Table4[[#This Row],[T ID]],Table5[#All],5,FALSE())="No","Not in scope",VLOOKUP(Table4[[#This Row],[T ID]],Table5[#All],2,FALSE()))</f>
        <v>Deliver directed malware
(CAPEC-185)</v>
      </c>
      <c r="D28" s="57" t="s">
        <v>122</v>
      </c>
      <c r="E28" s="86" t="str">
        <f>IF(VLOOKUP(Table4[[#This Row],[V ID]],Vulnerabilities[#All],3,FALSE())="No","Not in scope",VLOOKUP(Table4[[#This Row],[V ID]],Vulnerabilities[#All],2,FALSE()))</f>
        <v>Unprotected external USB Port on the tablet/devices.</v>
      </c>
      <c r="F28" s="87" t="s">
        <v>62</v>
      </c>
      <c r="G28" s="88" t="str">
        <f>VLOOKUP(Table4[[#This Row],[A ID]],Assets[#All],3,FALSE())</f>
        <v>Wireless Network device (Scope of HDO)</v>
      </c>
      <c r="H28" s="19" t="s">
        <v>280</v>
      </c>
      <c r="I28" s="19" t="s">
        <v>465</v>
      </c>
      <c r="J28" s="89" t="s">
        <v>267</v>
      </c>
      <c r="K28" s="89" t="s">
        <v>267</v>
      </c>
      <c r="L28" s="89" t="s">
        <v>267</v>
      </c>
      <c r="M28" s="90" t="s">
        <v>268</v>
      </c>
      <c r="N28" s="90" t="s">
        <v>267</v>
      </c>
      <c r="O28" s="90" t="s">
        <v>267</v>
      </c>
      <c r="P28" s="90" t="s">
        <v>269</v>
      </c>
      <c r="Q28" s="90" t="s">
        <v>270</v>
      </c>
      <c r="R2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8" s="91">
        <f>(1 - ((1 - VLOOKUP(Table4[[#This Row],[Confidentiality]],'Reference - CVSSv3.0'!$B$16:$C$18,2,FALSE())) * (1 - VLOOKUP(Table4[[#This Row],[Integrity]],'Reference - CVSSv3.0'!$B$16:$C$18,2,FALSE())) *  (1 - VLOOKUP(Table4[[#This Row],[Availability]],'Reference - CVSSv3.0'!$B$16:$C$18,2,FALSE()))))</f>
        <v>0.52544799999999992</v>
      </c>
      <c r="T28" s="91">
        <f>IF(Table4[[#This Row],[Scope]]="Unchanged",6.42*Table4[[#This Row],[ISC Base]],IF(Table4[[#This Row],[Scope]]="Changed",7.52*(Table4[[#This Row],[ISC Base]] - 0.029) - 3.25 * POWER(Table4[[#This Row],[ISC Base]] - 0.02,15),NA()))</f>
        <v>3.3733761599999994</v>
      </c>
      <c r="U2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85" t="s">
        <v>277</v>
      </c>
      <c r="W28" s="91">
        <f>VLOOKUP(Table4[[#This Row],[Threat Event Initiation]],NIST_Scale_LOAI[],2,FALSE())</f>
        <v>0.5</v>
      </c>
      <c r="X2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19" t="s">
        <v>278</v>
      </c>
      <c r="AA28" s="19" t="s">
        <v>279</v>
      </c>
      <c r="AB28" s="19" t="s">
        <v>475</v>
      </c>
      <c r="AC28" s="36"/>
      <c r="AD28" s="36"/>
      <c r="AE28" s="36"/>
      <c r="AF28" s="90"/>
      <c r="AG28" s="90"/>
      <c r="AH28" s="90"/>
      <c r="AI28" s="90"/>
      <c r="AJ28" s="90"/>
      <c r="AK2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8" s="91" t="e">
        <f>(1 - ((1 - VLOOKUP(Table4[[#This Row],[ConfidentialityP]],'Reference - CVSSv3.0'!$B$16:$C$18,2,FALSE())) * (1 - VLOOKUP(Table4[[#This Row],[IntegrityP]],'Reference - CVSSv3.0'!$B$16:$C$18,2,FALSE())) *  (1 - VLOOKUP(Table4[[#This Row],[AvailabilityP]],'Reference - CVSSv3.0'!$B$16:$C$18,2,FALSE()))))</f>
        <v>#N/A</v>
      </c>
      <c r="AM28" s="91" t="e">
        <f>IF(Table4[[#This Row],[ScopeP]]="Unchanged",6.42*Table4[[#This Row],[ISC BaseP]],IF(Table4[[#This Row],[ScopeP]]="Changed",7.52*(Table4[[#This Row],[ISC BaseP]] - 0.029) - 3.25 * POWER(Table4[[#This Row],[ISC BaseP]] - 0.02,15),NA()))</f>
        <v>#N/A</v>
      </c>
      <c r="AN2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36"/>
    </row>
    <row r="29" spans="1:43" s="26" customFormat="1" ht="210">
      <c r="A29" s="84">
        <v>25</v>
      </c>
      <c r="B29" s="85" t="s">
        <v>178</v>
      </c>
      <c r="C29" s="86" t="str">
        <f>IF(VLOOKUP(Table4[[#This Row],[T ID]],Table5[#All],5,FALSE())="No","Not in scope",VLOOKUP(Table4[[#This Row],[T ID]],Table5[#All],2,FALSE()))</f>
        <v>Deliver directed malware
(CAPEC-185)</v>
      </c>
      <c r="D29" s="57" t="s">
        <v>122</v>
      </c>
      <c r="E29" s="86" t="str">
        <f>IF(VLOOKUP(Table4[[#This Row],[V ID]],Vulnerabilities[#All],3,FALSE())="No","Not in scope",VLOOKUP(Table4[[#This Row],[V ID]],Vulnerabilities[#All],2,FALSE()))</f>
        <v>Unprotected external USB Port on the tablet/devices.</v>
      </c>
      <c r="F29" s="87" t="s">
        <v>38</v>
      </c>
      <c r="G29" s="88" t="str">
        <f>VLOOKUP(Table4[[#This Row],[A ID]],Assets[#All],3,FALSE())</f>
        <v>Tablet Resources - web cam, microphone, OTG devices, Removable USB, Tablet Application, Network interfaces (Bluetooth, Wifi)</v>
      </c>
      <c r="H29" s="19" t="s">
        <v>280</v>
      </c>
      <c r="I29" s="19" t="s">
        <v>465</v>
      </c>
      <c r="J29" s="89" t="s">
        <v>267</v>
      </c>
      <c r="K29" s="89" t="s">
        <v>267</v>
      </c>
      <c r="L29" s="89" t="s">
        <v>267</v>
      </c>
      <c r="M29" s="90" t="s">
        <v>268</v>
      </c>
      <c r="N29" s="90" t="s">
        <v>267</v>
      </c>
      <c r="O29" s="90" t="s">
        <v>267</v>
      </c>
      <c r="P29" s="90" t="s">
        <v>269</v>
      </c>
      <c r="Q29" s="90" t="s">
        <v>270</v>
      </c>
      <c r="R2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9" s="91">
        <f>(1 - ((1 - VLOOKUP(Table4[[#This Row],[Confidentiality]],'Reference - CVSSv3.0'!$B$16:$C$18,2,FALSE())) * (1 - VLOOKUP(Table4[[#This Row],[Integrity]],'Reference - CVSSv3.0'!$B$16:$C$18,2,FALSE())) *  (1 - VLOOKUP(Table4[[#This Row],[Availability]],'Reference - CVSSv3.0'!$B$16:$C$18,2,FALSE()))))</f>
        <v>0.52544799999999992</v>
      </c>
      <c r="T29" s="91">
        <f>IF(Table4[[#This Row],[Scope]]="Unchanged",6.42*Table4[[#This Row],[ISC Base]],IF(Table4[[#This Row],[Scope]]="Changed",7.52*(Table4[[#This Row],[ISC Base]] - 0.029) - 3.25 * POWER(Table4[[#This Row],[ISC Base]] - 0.02,15),NA()))</f>
        <v>3.3733761599999994</v>
      </c>
      <c r="U29"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85" t="s">
        <v>277</v>
      </c>
      <c r="W29" s="91">
        <f>VLOOKUP(Table4[[#This Row],[Threat Event Initiation]],NIST_Scale_LOAI[],2,FALSE())</f>
        <v>0.5</v>
      </c>
      <c r="X2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19" t="s">
        <v>271</v>
      </c>
      <c r="AA29" s="19" t="s">
        <v>272</v>
      </c>
      <c r="AB29" s="19" t="s">
        <v>469</v>
      </c>
      <c r="AC29" s="36"/>
      <c r="AD29" s="36"/>
      <c r="AE29" s="36"/>
      <c r="AF29" s="90"/>
      <c r="AG29" s="90"/>
      <c r="AH29" s="90"/>
      <c r="AI29" s="90"/>
      <c r="AJ29" s="90"/>
      <c r="AK2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9" s="91" t="e">
        <f>(1 - ((1 - VLOOKUP(Table4[[#This Row],[ConfidentialityP]],'Reference - CVSSv3.0'!$B$16:$C$18,2,FALSE())) * (1 - VLOOKUP(Table4[[#This Row],[IntegrityP]],'Reference - CVSSv3.0'!$B$16:$C$18,2,FALSE())) *  (1 - VLOOKUP(Table4[[#This Row],[AvailabilityP]],'Reference - CVSSv3.0'!$B$16:$C$18,2,FALSE()))))</f>
        <v>#N/A</v>
      </c>
      <c r="AM29" s="91" t="e">
        <f>IF(Table4[[#This Row],[ScopeP]]="Unchanged",6.42*Table4[[#This Row],[ISC BaseP]],IF(Table4[[#This Row],[ScopeP]]="Changed",7.52*(Table4[[#This Row],[ISC BaseP]] - 0.029) - 3.25 * POWER(Table4[[#This Row],[ISC BaseP]] - 0.02,15),NA()))</f>
        <v>#N/A</v>
      </c>
      <c r="AN2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36"/>
    </row>
    <row r="30" spans="1:43" s="226" customFormat="1" ht="280">
      <c r="A30" s="219">
        <v>26</v>
      </c>
      <c r="B30" s="85" t="s">
        <v>178</v>
      </c>
      <c r="C30" s="86" t="str">
        <f>IF(VLOOKUP(Table4[[#This Row],[T ID]],Table5[#All],5,FALSE())="No","Not in scope",VLOOKUP(Table4[[#This Row],[T ID]],Table5[#All],2,FALSE()))</f>
        <v>Deliver directed malware
(CAPEC-185)</v>
      </c>
      <c r="D30" s="57" t="s">
        <v>122</v>
      </c>
      <c r="E30" s="86" t="str">
        <f>IF(VLOOKUP(Table4[[#This Row],[V ID]],Vulnerabilities[#All],3,FALSE())="No","Not in scope",VLOOKUP(Table4[[#This Row],[V ID]],Vulnerabilities[#All],2,FALSE()))</f>
        <v>Unprotected external USB Port on the tablet/devices.</v>
      </c>
      <c r="F30" s="87" t="s">
        <v>71</v>
      </c>
      <c r="G30" s="88" t="str">
        <f>VLOOKUP(Table4[[#This Row],[A ID]],Assets[#All],3,FALSE())</f>
        <v>Smart medic app (Stryker Admin Web Application)</v>
      </c>
      <c r="H30" s="221" t="s">
        <v>280</v>
      </c>
      <c r="I30" s="19" t="s">
        <v>465</v>
      </c>
      <c r="J30" s="224" t="s">
        <v>267</v>
      </c>
      <c r="K30" s="224" t="s">
        <v>267</v>
      </c>
      <c r="L30" s="224" t="s">
        <v>267</v>
      </c>
      <c r="M30" s="224" t="s">
        <v>268</v>
      </c>
      <c r="N30" s="224" t="s">
        <v>267</v>
      </c>
      <c r="O30" s="224" t="s">
        <v>267</v>
      </c>
      <c r="P30" s="224" t="s">
        <v>269</v>
      </c>
      <c r="Q30" s="224" t="s">
        <v>270</v>
      </c>
      <c r="R3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30" s="93">
        <f>(1 - ((1 - VLOOKUP(Table4[[#This Row],[Confidentiality]],'Reference - CVSSv3.0'!$B$16:$C$18,2,FALSE())) * (1 - VLOOKUP(Table4[[#This Row],[Integrity]],'Reference - CVSSv3.0'!$B$16:$C$18,2,FALSE())) *  (1 - VLOOKUP(Table4[[#This Row],[Availability]],'Reference - CVSSv3.0'!$B$16:$C$18,2,FALSE()))))</f>
        <v>0.52544799999999992</v>
      </c>
      <c r="T30" s="93">
        <f>IF(Table4[[#This Row],[Scope]]="Unchanged",6.42*Table4[[#This Row],[ISC Base]],IF(Table4[[#This Row],[Scope]]="Changed",7.52*(Table4[[#This Row],[ISC Base]] - 0.029) - 3.25 * POWER(Table4[[#This Row],[ISC Base]] - 0.02,15),NA()))</f>
        <v>3.3733761599999994</v>
      </c>
      <c r="U30" s="93">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220" t="s">
        <v>267</v>
      </c>
      <c r="W30" s="91">
        <f>VLOOKUP(Table4[[#This Row],[Threat Event Initiation]],NIST_Scale_LOAI[],2,FALSE())</f>
        <v>0.2</v>
      </c>
      <c r="X3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2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19" t="s">
        <v>271</v>
      </c>
      <c r="AA30" s="19" t="s">
        <v>439</v>
      </c>
      <c r="AB30" s="19" t="s">
        <v>476</v>
      </c>
      <c r="AC30" s="223"/>
      <c r="AD30" s="223"/>
      <c r="AE30" s="223"/>
      <c r="AF30" s="224"/>
      <c r="AG30" s="224"/>
      <c r="AH30" s="224"/>
      <c r="AI30" s="224"/>
      <c r="AJ30" s="224"/>
      <c r="AK30" s="217"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0" s="217" t="e">
        <f>(1 - ((1 - VLOOKUP(Table4[[#This Row],[ConfidentialityP]],'Reference - CVSSv3.0'!$B$16:$C$18,2,FALSE())) * (1 - VLOOKUP(Table4[[#This Row],[IntegrityP]],'Reference - CVSSv3.0'!$B$16:$C$18,2,FALSE())) *  (1 - VLOOKUP(Table4[[#This Row],[AvailabilityP]],'Reference - CVSSv3.0'!$B$16:$C$18,2,FALSE()))))</f>
        <v>#N/A</v>
      </c>
      <c r="AM30" s="217" t="e">
        <f>IF(Table4[[#This Row],[ScopeP]]="Unchanged",6.42*Table4[[#This Row],[ISC BaseP]],IF(Table4[[#This Row],[ScopeP]]="Changed",7.52*(Table4[[#This Row],[ISC BaseP]] - 0.029) - 3.25 * POWER(Table4[[#This Row],[ISC BaseP]] - 0.02,15),NA()))</f>
        <v>#N/A</v>
      </c>
      <c r="AN3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23"/>
    </row>
    <row r="31" spans="1:43" s="26" customFormat="1" ht="205.4" customHeight="1">
      <c r="A31" s="84">
        <v>27</v>
      </c>
      <c r="B31" s="85" t="s">
        <v>178</v>
      </c>
      <c r="C31" s="86" t="str">
        <f>IF(VLOOKUP(Table4[[#This Row],[T ID]],Table5[#All],5,FALSE())="No","Not in scope",VLOOKUP(Table4[[#This Row],[T ID]],Table5[#All],2,FALSE()))</f>
        <v>Deliver directed malware
(CAPEC-185)</v>
      </c>
      <c r="D31" s="57" t="s">
        <v>98</v>
      </c>
      <c r="E31" s="86" t="str">
        <f>IF(VLOOKUP(Table4[[#This Row],[V ID]],Vulnerabilities[#All],3,FALSE())="No","Not in scope",VLOOKUP(Table4[[#This Row],[V ID]],Vulnerabilities[#All],2,FALSE()))</f>
        <v>External communications and exposure for communciation channels from and to application and devices like tablet and smartmedic device.</v>
      </c>
      <c r="F31" s="87" t="s">
        <v>38</v>
      </c>
      <c r="G31" s="88" t="str">
        <f>VLOOKUP(Table4[[#This Row],[A ID]],Assets[#All],3,FALSE())</f>
        <v>Tablet Resources - web cam, microphone, OTG devices, Removable USB, Tablet Application, Network interfaces (Bluetooth, Wifi)</v>
      </c>
      <c r="H31" s="19" t="s">
        <v>514</v>
      </c>
      <c r="I31" s="19" t="s">
        <v>465</v>
      </c>
      <c r="J31" s="89" t="s">
        <v>274</v>
      </c>
      <c r="K31" s="89" t="s">
        <v>274</v>
      </c>
      <c r="L31" s="89" t="s">
        <v>276</v>
      </c>
      <c r="M31" s="90" t="s">
        <v>273</v>
      </c>
      <c r="N31" s="90" t="s">
        <v>267</v>
      </c>
      <c r="O31" s="90" t="s">
        <v>276</v>
      </c>
      <c r="P31" s="90" t="s">
        <v>269</v>
      </c>
      <c r="Q31" s="90" t="s">
        <v>270</v>
      </c>
      <c r="R3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31" s="91">
        <f>(1 - ((1 - VLOOKUP(Table4[[#This Row],[Confidentiality]],'Reference - CVSSv3.0'!$B$16:$C$18,2,FALSE())) * (1 - VLOOKUP(Table4[[#This Row],[Integrity]],'Reference - CVSSv3.0'!$B$16:$C$18,2,FALSE())) *  (1 - VLOOKUP(Table4[[#This Row],[Availability]],'Reference - CVSSv3.0'!$B$16:$C$18,2,FALSE()))))</f>
        <v>0.56000000000000005</v>
      </c>
      <c r="T31" s="91">
        <f>IF(Table4[[#This Row],[Scope]]="Unchanged",6.42*Table4[[#This Row],[ISC Base]],IF(Table4[[#This Row],[Scope]]="Changed",7.52*(Table4[[#This Row],[ISC Base]] - 0.029) - 3.25 * POWER(Table4[[#This Row],[ISC Base]] - 0.02,15),NA()))</f>
        <v>3.5952000000000002</v>
      </c>
      <c r="U31" s="91">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85" t="s">
        <v>277</v>
      </c>
      <c r="W31" s="91">
        <f>VLOOKUP(Table4[[#This Row],[Threat Event Initiation]],NIST_Scale_LOAI[],2,FALSE())</f>
        <v>0.5</v>
      </c>
      <c r="X3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19" t="s">
        <v>421</v>
      </c>
      <c r="AA31" s="19" t="s">
        <v>422</v>
      </c>
      <c r="AB31" s="19" t="s">
        <v>477</v>
      </c>
      <c r="AC31" s="36"/>
      <c r="AD31" s="36"/>
      <c r="AE31" s="36"/>
      <c r="AF31" s="90"/>
      <c r="AG31" s="90"/>
      <c r="AH31" s="90"/>
      <c r="AI31" s="90"/>
      <c r="AJ31" s="90"/>
      <c r="AK3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1" s="91" t="e">
        <f>(1 - ((1 - VLOOKUP(Table4[[#This Row],[ConfidentialityP]],'Reference - CVSSv3.0'!$B$16:$C$18,2,FALSE())) * (1 - VLOOKUP(Table4[[#This Row],[IntegrityP]],'Reference - CVSSv3.0'!$B$16:$C$18,2,FALSE())) *  (1 - VLOOKUP(Table4[[#This Row],[AvailabilityP]],'Reference - CVSSv3.0'!$B$16:$C$18,2,FALSE()))))</f>
        <v>#N/A</v>
      </c>
      <c r="AM31" s="91" t="e">
        <f>IF(Table4[[#This Row],[ScopeP]]="Unchanged",6.42*Table4[[#This Row],[ISC BaseP]],IF(Table4[[#This Row],[ScopeP]]="Changed",7.52*(Table4[[#This Row],[ISC BaseP]] - 0.029) - 3.25 * POWER(Table4[[#This Row],[ISC BaseP]] - 0.02,15),NA()))</f>
        <v>#N/A</v>
      </c>
      <c r="AN3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36"/>
    </row>
    <row r="32" spans="1:43" s="26" customFormat="1" ht="126">
      <c r="A32" s="84">
        <v>28</v>
      </c>
      <c r="B32" s="85" t="s">
        <v>178</v>
      </c>
      <c r="C32" s="86" t="str">
        <f>IF(VLOOKUP(Table4[[#This Row],[T ID]],Table5[#All],5,FALSE())="No","Not in scope",VLOOKUP(Table4[[#This Row],[T ID]],Table5[#All],2,FALSE()))</f>
        <v>Deliver directed malware
(CAPEC-185)</v>
      </c>
      <c r="D32" s="57" t="s">
        <v>111</v>
      </c>
      <c r="E32" s="86" t="str">
        <f>IF(VLOOKUP(Table4[[#This Row],[V ID]],Vulnerabilities[#All],3,FALSE())="No","Not in scope",VLOOKUP(Table4[[#This Row],[V ID]],Vulnerabilities[#All],2,FALSE()))</f>
        <v>Ineffective patch management of firware, OS and applications thoughout the information system plan</v>
      </c>
      <c r="F32" s="87" t="s">
        <v>53</v>
      </c>
      <c r="G32" s="88" t="str">
        <f>VLOOKUP(Table4[[#This Row],[A ID]],Assets[#All],3,FALSE())</f>
        <v>Device Maintainence tool (Hardware/Software)</v>
      </c>
      <c r="H32" s="19" t="s">
        <v>280</v>
      </c>
      <c r="I32" s="19" t="s">
        <v>465</v>
      </c>
      <c r="J32" s="89" t="s">
        <v>267</v>
      </c>
      <c r="K32" s="89" t="s">
        <v>267</v>
      </c>
      <c r="L32" s="89" t="s">
        <v>267</v>
      </c>
      <c r="M32" s="90" t="s">
        <v>275</v>
      </c>
      <c r="N32" s="90" t="s">
        <v>267</v>
      </c>
      <c r="O32" s="90" t="s">
        <v>267</v>
      </c>
      <c r="P32" s="90" t="s">
        <v>274</v>
      </c>
      <c r="Q32" s="90" t="s">
        <v>270</v>
      </c>
      <c r="R3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2" s="91">
        <f>(1 - ((1 - VLOOKUP(Table4[[#This Row],[Confidentiality]],'Reference - CVSSv3.0'!$B$16:$C$18,2,FALSE())) * (1 - VLOOKUP(Table4[[#This Row],[Integrity]],'Reference - CVSSv3.0'!$B$16:$C$18,2,FALSE())) *  (1 - VLOOKUP(Table4[[#This Row],[Availability]],'Reference - CVSSv3.0'!$B$16:$C$18,2,FALSE()))))</f>
        <v>0.52544799999999992</v>
      </c>
      <c r="T32" s="91">
        <f>IF(Table4[[#This Row],[Scope]]="Unchanged",6.42*Table4[[#This Row],[ISC Base]],IF(Table4[[#This Row],[Scope]]="Changed",7.52*(Table4[[#This Row],[ISC Base]] - 0.029) - 3.25 * POWER(Table4[[#This Row],[ISC Base]] - 0.02,15),NA()))</f>
        <v>3.3733761599999994</v>
      </c>
      <c r="U3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85" t="s">
        <v>267</v>
      </c>
      <c r="W32" s="91">
        <f>VLOOKUP(Table4[[#This Row],[Threat Event Initiation]],NIST_Scale_LOAI[],2,FALSE())</f>
        <v>0.2</v>
      </c>
      <c r="X3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19" t="s">
        <v>271</v>
      </c>
      <c r="AA32" s="19" t="s">
        <v>454</v>
      </c>
      <c r="AB32" s="19" t="s">
        <v>473</v>
      </c>
      <c r="AC32" s="36"/>
      <c r="AD32" s="36"/>
      <c r="AE32" s="36"/>
      <c r="AF32" s="90"/>
      <c r="AG32" s="90"/>
      <c r="AH32" s="90"/>
      <c r="AI32" s="90"/>
      <c r="AJ32" s="90"/>
      <c r="AK3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2" s="91" t="e">
        <f>(1 - ((1 - VLOOKUP(Table4[[#This Row],[ConfidentialityP]],'Reference - CVSSv3.0'!$B$16:$C$18,2,FALSE())) * (1 - VLOOKUP(Table4[[#This Row],[IntegrityP]],'Reference - CVSSv3.0'!$B$16:$C$18,2,FALSE())) *  (1 - VLOOKUP(Table4[[#This Row],[AvailabilityP]],'Reference - CVSSv3.0'!$B$16:$C$18,2,FALSE()))))</f>
        <v>#N/A</v>
      </c>
      <c r="AM32" s="91" t="e">
        <f>IF(Table4[[#This Row],[ScopeP]]="Unchanged",6.42*Table4[[#This Row],[ISC BaseP]],IF(Table4[[#This Row],[ScopeP]]="Changed",7.52*(Table4[[#This Row],[ISC BaseP]] - 0.029) - 3.25 * POWER(Table4[[#This Row],[ISC BaseP]] - 0.02,15),NA()))</f>
        <v>#N/A</v>
      </c>
      <c r="AN3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36"/>
    </row>
    <row r="33" spans="1:43" s="26" customFormat="1" ht="126">
      <c r="A33" s="84">
        <v>29</v>
      </c>
      <c r="B33" s="85" t="s">
        <v>178</v>
      </c>
      <c r="C33" s="86" t="str">
        <f>IF(VLOOKUP(Table4[[#This Row],[T ID]],Table5[#All],5,FALSE())="No","Not in scope",VLOOKUP(Table4[[#This Row],[T ID]],Table5[#All],2,FALSE()))</f>
        <v>Deliver directed malware
(CAPEC-185)</v>
      </c>
      <c r="D33" s="57" t="s">
        <v>111</v>
      </c>
      <c r="E33" s="86" t="str">
        <f>IF(VLOOKUP(Table4[[#This Row],[V ID]],Vulnerabilities[#All],3,FALSE())="No","Not in scope",VLOOKUP(Table4[[#This Row],[V ID]],Vulnerabilities[#All],2,FALSE()))</f>
        <v>Ineffective patch management of firware, OS and applications thoughout the information system plan</v>
      </c>
      <c r="F33" s="87" t="s">
        <v>46</v>
      </c>
      <c r="G33" s="88" t="str">
        <f>VLOOKUP(Table4[[#This Row],[A ID]],Assets[#All],3,FALSE())</f>
        <v>Smart medic (Stryker device) System Component</v>
      </c>
      <c r="H33" s="19" t="s">
        <v>280</v>
      </c>
      <c r="I33" s="19" t="s">
        <v>465</v>
      </c>
      <c r="J33" s="89" t="s">
        <v>267</v>
      </c>
      <c r="K33" s="89" t="s">
        <v>267</v>
      </c>
      <c r="L33" s="89" t="s">
        <v>267</v>
      </c>
      <c r="M33" s="90" t="s">
        <v>275</v>
      </c>
      <c r="N33" s="90" t="s">
        <v>267</v>
      </c>
      <c r="O33" s="90" t="s">
        <v>267</v>
      </c>
      <c r="P33" s="90" t="s">
        <v>274</v>
      </c>
      <c r="Q33" s="90" t="s">
        <v>270</v>
      </c>
      <c r="R3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3" s="91">
        <f>(1 - ((1 - VLOOKUP(Table4[[#This Row],[Confidentiality]],'Reference - CVSSv3.0'!$B$16:$C$18,2,FALSE())) * (1 - VLOOKUP(Table4[[#This Row],[Integrity]],'Reference - CVSSv3.0'!$B$16:$C$18,2,FALSE())) *  (1 - VLOOKUP(Table4[[#This Row],[Availability]],'Reference - CVSSv3.0'!$B$16:$C$18,2,FALSE()))))</f>
        <v>0.52544799999999992</v>
      </c>
      <c r="T33" s="91">
        <f>IF(Table4[[#This Row],[Scope]]="Unchanged",6.42*Table4[[#This Row],[ISC Base]],IF(Table4[[#This Row],[Scope]]="Changed",7.52*(Table4[[#This Row],[ISC Base]] - 0.029) - 3.25 * POWER(Table4[[#This Row],[ISC Base]] - 0.02,15),NA()))</f>
        <v>3.3733761599999994</v>
      </c>
      <c r="U3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85" t="s">
        <v>267</v>
      </c>
      <c r="W33" s="91">
        <f>VLOOKUP(Table4[[#This Row],[Threat Event Initiation]],NIST_Scale_LOAI[],2,FALSE())</f>
        <v>0.2</v>
      </c>
      <c r="X3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19" t="s">
        <v>271</v>
      </c>
      <c r="AA33" s="19" t="s">
        <v>432</v>
      </c>
      <c r="AB33" s="19" t="s">
        <v>470</v>
      </c>
      <c r="AC33" s="36"/>
      <c r="AD33" s="36"/>
      <c r="AE33" s="36"/>
      <c r="AF33" s="90"/>
      <c r="AG33" s="90"/>
      <c r="AH33" s="90"/>
      <c r="AI33" s="90"/>
      <c r="AJ33" s="90"/>
      <c r="AK3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3" s="91" t="e">
        <f>(1 - ((1 - VLOOKUP(Table4[[#This Row],[ConfidentialityP]],'Reference - CVSSv3.0'!$B$16:$C$18,2,FALSE())) * (1 - VLOOKUP(Table4[[#This Row],[IntegrityP]],'Reference - CVSSv3.0'!$B$16:$C$18,2,FALSE())) *  (1 - VLOOKUP(Table4[[#This Row],[AvailabilityP]],'Reference - CVSSv3.0'!$B$16:$C$18,2,FALSE()))))</f>
        <v>#N/A</v>
      </c>
      <c r="AM33" s="91" t="e">
        <f>IF(Table4[[#This Row],[ScopeP]]="Unchanged",6.42*Table4[[#This Row],[ISC BaseP]],IF(Table4[[#This Row],[ScopeP]]="Changed",7.52*(Table4[[#This Row],[ISC BaseP]] - 0.029) - 3.25 * POWER(Table4[[#This Row],[ISC BaseP]] - 0.02,15),NA()))</f>
        <v>#N/A</v>
      </c>
      <c r="AN3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36"/>
    </row>
    <row r="34" spans="1:43" s="26" customFormat="1" ht="210">
      <c r="A34" s="84">
        <v>30</v>
      </c>
      <c r="B34" s="85" t="s">
        <v>178</v>
      </c>
      <c r="C34" s="86" t="str">
        <f>IF(VLOOKUP(Table4[[#This Row],[T ID]],Table5[#All],5,FALSE())="No","Not in scope",VLOOKUP(Table4[[#This Row],[T ID]],Table5[#All],2,FALSE()))</f>
        <v>Deliver directed malware
(CAPEC-185)</v>
      </c>
      <c r="D34" s="57" t="s">
        <v>111</v>
      </c>
      <c r="E34" s="86" t="str">
        <f>IF(VLOOKUP(Table4[[#This Row],[V ID]],Vulnerabilities[#All],3,FALSE())="No","Not in scope",VLOOKUP(Table4[[#This Row],[V ID]],Vulnerabilities[#All],2,FALSE()))</f>
        <v>Ineffective patch management of firware, OS and applications thoughout the information system plan</v>
      </c>
      <c r="F34" s="87" t="s">
        <v>38</v>
      </c>
      <c r="G34" s="88" t="str">
        <f>VLOOKUP(Table4[[#This Row],[A ID]],Assets[#All],3,FALSE())</f>
        <v>Tablet Resources - web cam, microphone, OTG devices, Removable USB, Tablet Application, Network interfaces (Bluetooth, Wifi)</v>
      </c>
      <c r="H34" s="19" t="s">
        <v>280</v>
      </c>
      <c r="I34" s="19" t="s">
        <v>465</v>
      </c>
      <c r="J34" s="89" t="s">
        <v>267</v>
      </c>
      <c r="K34" s="89" t="s">
        <v>267</v>
      </c>
      <c r="L34" s="89" t="s">
        <v>267</v>
      </c>
      <c r="M34" s="90" t="s">
        <v>275</v>
      </c>
      <c r="N34" s="90" t="s">
        <v>267</v>
      </c>
      <c r="O34" s="90" t="s">
        <v>267</v>
      </c>
      <c r="P34" s="90" t="s">
        <v>274</v>
      </c>
      <c r="Q34" s="90" t="s">
        <v>270</v>
      </c>
      <c r="R3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4" s="91">
        <f>(1 - ((1 - VLOOKUP(Table4[[#This Row],[Confidentiality]],'Reference - CVSSv3.0'!$B$16:$C$18,2,FALSE())) * (1 - VLOOKUP(Table4[[#This Row],[Integrity]],'Reference - CVSSv3.0'!$B$16:$C$18,2,FALSE())) *  (1 - VLOOKUP(Table4[[#This Row],[Availability]],'Reference - CVSSv3.0'!$B$16:$C$18,2,FALSE()))))</f>
        <v>0.52544799999999992</v>
      </c>
      <c r="T34" s="91">
        <f>IF(Table4[[#This Row],[Scope]]="Unchanged",6.42*Table4[[#This Row],[ISC Base]],IF(Table4[[#This Row],[Scope]]="Changed",7.52*(Table4[[#This Row],[ISC Base]] - 0.029) - 3.25 * POWER(Table4[[#This Row],[ISC Base]] - 0.02,15),NA()))</f>
        <v>3.3733761599999994</v>
      </c>
      <c r="U3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85" t="s">
        <v>267</v>
      </c>
      <c r="W34" s="91">
        <f>VLOOKUP(Table4[[#This Row],[Threat Event Initiation]],NIST_Scale_LOAI[],2,FALSE())</f>
        <v>0.2</v>
      </c>
      <c r="X3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19" t="s">
        <v>271</v>
      </c>
      <c r="AA34" s="19" t="s">
        <v>272</v>
      </c>
      <c r="AB34" s="19" t="s">
        <v>469</v>
      </c>
      <c r="AC34" s="36"/>
      <c r="AD34" s="36"/>
      <c r="AE34" s="36"/>
      <c r="AF34" s="90"/>
      <c r="AG34" s="90"/>
      <c r="AH34" s="90"/>
      <c r="AI34" s="90"/>
      <c r="AJ34" s="90"/>
      <c r="AK3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4" s="91" t="e">
        <f>(1 - ((1 - VLOOKUP(Table4[[#This Row],[ConfidentialityP]],'Reference - CVSSv3.0'!$B$16:$C$18,2,FALSE())) * (1 - VLOOKUP(Table4[[#This Row],[IntegrityP]],'Reference - CVSSv3.0'!$B$16:$C$18,2,FALSE())) *  (1 - VLOOKUP(Table4[[#This Row],[AvailabilityP]],'Reference - CVSSv3.0'!$B$16:$C$18,2,FALSE()))))</f>
        <v>#N/A</v>
      </c>
      <c r="AM34" s="91" t="e">
        <f>IF(Table4[[#This Row],[ScopeP]]="Unchanged",6.42*Table4[[#This Row],[ISC BaseP]],IF(Table4[[#This Row],[ScopeP]]="Changed",7.52*(Table4[[#This Row],[ISC BaseP]] - 0.029) - 3.25 * POWER(Table4[[#This Row],[ISC BaseP]] - 0.02,15),NA()))</f>
        <v>#N/A</v>
      </c>
      <c r="AN3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36"/>
    </row>
    <row r="35" spans="1:43" s="26" customFormat="1" ht="150" customHeight="1">
      <c r="A35" s="84">
        <v>31</v>
      </c>
      <c r="B35" s="85" t="s">
        <v>178</v>
      </c>
      <c r="C35" s="86" t="str">
        <f>IF(VLOOKUP(Table4[[#This Row],[T ID]],Table5[#All],5,FALSE())="No","Not in scope",VLOOKUP(Table4[[#This Row],[T ID]],Table5[#All],2,FALSE()))</f>
        <v>Deliver directed malware
(CAPEC-185)</v>
      </c>
      <c r="D35" s="57" t="s">
        <v>120</v>
      </c>
      <c r="E35" s="86" t="str">
        <f>IF(VLOOKUP(Table4[[#This Row],[V ID]],Vulnerabilities[#All],3,FALSE())="No","Not in scope",VLOOKUP(Table4[[#This Row],[V ID]],Vulnerabilities[#All],2,FALSE()))</f>
        <v>Unprotected network port(s) on network devices and connection points</v>
      </c>
      <c r="F35" s="87" t="s">
        <v>46</v>
      </c>
      <c r="G35" s="88" t="str">
        <f>VLOOKUP(Table4[[#This Row],[A ID]],Assets[#All],3,FALSE())</f>
        <v>Smart medic (Stryker device) System Component</v>
      </c>
      <c r="H35" s="19" t="s">
        <v>280</v>
      </c>
      <c r="I35" s="19" t="s">
        <v>465</v>
      </c>
      <c r="J35" s="89" t="s">
        <v>274</v>
      </c>
      <c r="K35" s="89" t="s">
        <v>274</v>
      </c>
      <c r="L35" s="89" t="s">
        <v>276</v>
      </c>
      <c r="M35" s="90" t="s">
        <v>273</v>
      </c>
      <c r="N35" s="90" t="s">
        <v>267</v>
      </c>
      <c r="O35" s="90" t="s">
        <v>276</v>
      </c>
      <c r="P35" s="90" t="s">
        <v>274</v>
      </c>
      <c r="Q35" s="90" t="s">
        <v>270</v>
      </c>
      <c r="R3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5" s="91">
        <f>(1 - ((1 - VLOOKUP(Table4[[#This Row],[Confidentiality]],'Reference - CVSSv3.0'!$B$16:$C$18,2,FALSE())) * (1 - VLOOKUP(Table4[[#This Row],[Integrity]],'Reference - CVSSv3.0'!$B$16:$C$18,2,FALSE())) *  (1 - VLOOKUP(Table4[[#This Row],[Availability]],'Reference - CVSSv3.0'!$B$16:$C$18,2,FALSE()))))</f>
        <v>0.56000000000000005</v>
      </c>
      <c r="T35" s="91">
        <f>IF(Table4[[#This Row],[Scope]]="Unchanged",6.42*Table4[[#This Row],[ISC Base]],IF(Table4[[#This Row],[Scope]]="Changed",7.52*(Table4[[#This Row],[ISC Base]] - 0.029) - 3.25 * POWER(Table4[[#This Row],[ISC Base]] - 0.02,15),NA()))</f>
        <v>3.5952000000000002</v>
      </c>
      <c r="U3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85" t="s">
        <v>277</v>
      </c>
      <c r="W35" s="91">
        <f>VLOOKUP(Table4[[#This Row],[Threat Event Initiation]],NIST_Scale_LOAI[],2,FALSE())</f>
        <v>0.5</v>
      </c>
      <c r="X3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19" t="s">
        <v>423</v>
      </c>
      <c r="AA35" s="19" t="s">
        <v>433</v>
      </c>
      <c r="AB35" s="19" t="s">
        <v>478</v>
      </c>
      <c r="AC35" s="36"/>
      <c r="AD35" s="36"/>
      <c r="AE35" s="36"/>
      <c r="AF35" s="90"/>
      <c r="AG35" s="90"/>
      <c r="AH35" s="90"/>
      <c r="AI35" s="90"/>
      <c r="AJ35" s="90"/>
      <c r="AK3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5" s="91" t="e">
        <f>(1 - ((1 - VLOOKUP(Table4[[#This Row],[ConfidentialityP]],'Reference - CVSSv3.0'!$B$16:$C$18,2,FALSE())) * (1 - VLOOKUP(Table4[[#This Row],[IntegrityP]],'Reference - CVSSv3.0'!$B$16:$C$18,2,FALSE())) *  (1 - VLOOKUP(Table4[[#This Row],[AvailabilityP]],'Reference - CVSSv3.0'!$B$16:$C$18,2,FALSE()))))</f>
        <v>#N/A</v>
      </c>
      <c r="AM35" s="91" t="e">
        <f>IF(Table4[[#This Row],[ScopeP]]="Unchanged",6.42*Table4[[#This Row],[ISC BaseP]],IF(Table4[[#This Row],[ScopeP]]="Changed",7.52*(Table4[[#This Row],[ISC BaseP]] - 0.029) - 3.25 * POWER(Table4[[#This Row],[ISC BaseP]] - 0.02,15),NA()))</f>
        <v>#N/A</v>
      </c>
      <c r="AN3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36"/>
    </row>
    <row r="36" spans="1:43" s="26" customFormat="1" ht="210">
      <c r="A36" s="84">
        <v>32</v>
      </c>
      <c r="B36" s="85" t="s">
        <v>178</v>
      </c>
      <c r="C36" s="86" t="str">
        <f>IF(VLOOKUP(Table4[[#This Row],[T ID]],Table5[#All],5,FALSE())="No","Not in scope",VLOOKUP(Table4[[#This Row],[T ID]],Table5[#All],2,FALSE()))</f>
        <v>Deliver directed malware
(CAPEC-185)</v>
      </c>
      <c r="D36" s="57" t="s">
        <v>120</v>
      </c>
      <c r="E36" s="86" t="str">
        <f>IF(VLOOKUP(Table4[[#This Row],[V ID]],Vulnerabilities[#All],3,FALSE())="No","Not in scope",VLOOKUP(Table4[[#This Row],[V ID]],Vulnerabilities[#All],2,FALSE()))</f>
        <v>Unprotected network port(s) on network devices and connection points</v>
      </c>
      <c r="F36" s="87" t="s">
        <v>38</v>
      </c>
      <c r="G36" s="88" t="str">
        <f>VLOOKUP(Table4[[#This Row],[A ID]],Assets[#All],3,FALSE())</f>
        <v>Tablet Resources - web cam, microphone, OTG devices, Removable USB, Tablet Application, Network interfaces (Bluetooth, Wifi)</v>
      </c>
      <c r="H36" s="19" t="s">
        <v>280</v>
      </c>
      <c r="I36" s="19" t="s">
        <v>465</v>
      </c>
      <c r="J36" s="89" t="s">
        <v>274</v>
      </c>
      <c r="K36" s="89" t="s">
        <v>274</v>
      </c>
      <c r="L36" s="89" t="s">
        <v>276</v>
      </c>
      <c r="M36" s="90" t="s">
        <v>273</v>
      </c>
      <c r="N36" s="90" t="s">
        <v>267</v>
      </c>
      <c r="O36" s="90" t="s">
        <v>276</v>
      </c>
      <c r="P36" s="90" t="s">
        <v>274</v>
      </c>
      <c r="Q36" s="90" t="s">
        <v>270</v>
      </c>
      <c r="R3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6" s="91">
        <f>(1 - ((1 - VLOOKUP(Table4[[#This Row],[Confidentiality]],'Reference - CVSSv3.0'!$B$16:$C$18,2,FALSE())) * (1 - VLOOKUP(Table4[[#This Row],[Integrity]],'Reference - CVSSv3.0'!$B$16:$C$18,2,FALSE())) *  (1 - VLOOKUP(Table4[[#This Row],[Availability]],'Reference - CVSSv3.0'!$B$16:$C$18,2,FALSE()))))</f>
        <v>0.56000000000000005</v>
      </c>
      <c r="T36" s="91">
        <f>IF(Table4[[#This Row],[Scope]]="Unchanged",6.42*Table4[[#This Row],[ISC Base]],IF(Table4[[#This Row],[Scope]]="Changed",7.52*(Table4[[#This Row],[ISC Base]] - 0.029) - 3.25 * POWER(Table4[[#This Row],[ISC Base]] - 0.02,15),NA()))</f>
        <v>3.5952000000000002</v>
      </c>
      <c r="U36"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85" t="s">
        <v>267</v>
      </c>
      <c r="W36" s="91">
        <f>VLOOKUP(Table4[[#This Row],[Threat Event Initiation]],NIST_Scale_LOAI[],2,FALSE())</f>
        <v>0.2</v>
      </c>
      <c r="X3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19" t="s">
        <v>271</v>
      </c>
      <c r="AA36" s="19" t="s">
        <v>272</v>
      </c>
      <c r="AB36" s="19" t="s">
        <v>469</v>
      </c>
      <c r="AC36" s="36"/>
      <c r="AD36" s="36"/>
      <c r="AE36" s="36"/>
      <c r="AF36" s="90"/>
      <c r="AG36" s="90"/>
      <c r="AH36" s="90"/>
      <c r="AI36" s="90"/>
      <c r="AJ36" s="90"/>
      <c r="AK3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6" s="91" t="e">
        <f>(1 - ((1 - VLOOKUP(Table4[[#This Row],[ConfidentialityP]],'Reference - CVSSv3.0'!$B$16:$C$18,2,FALSE())) * (1 - VLOOKUP(Table4[[#This Row],[IntegrityP]],'Reference - CVSSv3.0'!$B$16:$C$18,2,FALSE())) *  (1 - VLOOKUP(Table4[[#This Row],[AvailabilityP]],'Reference - CVSSv3.0'!$B$16:$C$18,2,FALSE()))))</f>
        <v>#N/A</v>
      </c>
      <c r="AM36" s="91" t="e">
        <f>IF(Table4[[#This Row],[ScopeP]]="Unchanged",6.42*Table4[[#This Row],[ISC BaseP]],IF(Table4[[#This Row],[ScopeP]]="Changed",7.52*(Table4[[#This Row],[ISC BaseP]] - 0.029) - 3.25 * POWER(Table4[[#This Row],[ISC BaseP]] - 0.02,15),NA()))</f>
        <v>#N/A</v>
      </c>
      <c r="AN3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36"/>
    </row>
    <row r="37" spans="1:43" s="26" customFormat="1" ht="263.5" customHeight="1">
      <c r="A37" s="84">
        <v>33</v>
      </c>
      <c r="B37" s="85" t="s">
        <v>178</v>
      </c>
      <c r="C37" s="86" t="str">
        <f>IF(VLOOKUP(Table4[[#This Row],[T ID]],Table5[#All],5,FALSE())="No","Not in scope",VLOOKUP(Table4[[#This Row],[T ID]],Table5[#All],2,FALSE()))</f>
        <v>Deliver directed malware
(CAPEC-185)</v>
      </c>
      <c r="D37" s="57" t="s">
        <v>140</v>
      </c>
      <c r="E37" s="86" t="str">
        <f>IF(VLOOKUP(Table4[[#This Row],[V ID]],Vulnerabilities[#All],3,FALSE())="No","Not in scope",VLOOKUP(Table4[[#This Row],[V ID]],Vulnerabilities[#All],2,FALSE()))</f>
        <v>InSecure Configuration for Software/OS on Mobile Devices, Laptops, Workstations, and Servers</v>
      </c>
      <c r="F37" s="87" t="s">
        <v>71</v>
      </c>
      <c r="G37" s="88" t="str">
        <f>VLOOKUP(Table4[[#This Row],[A ID]],Assets[#All],3,FALSE())</f>
        <v>Smart medic app (Stryker Admin Web Application)</v>
      </c>
      <c r="H37" s="19" t="s">
        <v>280</v>
      </c>
      <c r="I37" s="19" t="s">
        <v>465</v>
      </c>
      <c r="J37" s="89" t="s">
        <v>274</v>
      </c>
      <c r="K37" s="89" t="s">
        <v>274</v>
      </c>
      <c r="L37" s="89" t="s">
        <v>276</v>
      </c>
      <c r="M37" s="90" t="s">
        <v>275</v>
      </c>
      <c r="N37" s="90" t="s">
        <v>276</v>
      </c>
      <c r="O37" s="90" t="s">
        <v>276</v>
      </c>
      <c r="P37" s="90" t="s">
        <v>269</v>
      </c>
      <c r="Q37" s="90" t="s">
        <v>270</v>
      </c>
      <c r="R3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0.33299877600000005</v>
      </c>
      <c r="S37" s="91">
        <f>(1 - ((1 - VLOOKUP(Table4[[#This Row],[Confidentiality]],'Reference - CVSSv3.0'!$B$16:$C$18,2,FALSE())) * (1 - VLOOKUP(Table4[[#This Row],[Integrity]],'Reference - CVSSv3.0'!$B$16:$C$18,2,FALSE())) *  (1 - VLOOKUP(Table4[[#This Row],[Availability]],'Reference - CVSSv3.0'!$B$16:$C$18,2,FALSE()))))</f>
        <v>0.56000000000000005</v>
      </c>
      <c r="T37" s="91">
        <f>IF(Table4[[#This Row],[Scope]]="Unchanged",6.42*Table4[[#This Row],[ISC Base]],IF(Table4[[#This Row],[Scope]]="Changed",7.52*(Table4[[#This Row],[ISC Base]] - 0.029) - 3.25 * POWER(Table4[[#This Row],[ISC Base]] - 0.02,15),NA()))</f>
        <v>3.5952000000000002</v>
      </c>
      <c r="U37" s="91">
        <f>IF(Table4[[#This Row],[Impact Sub Score]]&lt;=0,0,IF(Table4[[#This Row],[Scope]]="Unchanged",ROUNDUP(MIN((Table4[[#This Row],[Impact Sub Score]]+Table4[[#This Row],[Exploitability Sub Score]]),10),1),IF(Table4[[#This Row],[Scope]]="Changed",ROUNDUP(MIN((1.08*(Table4[[#This Row],[Impact Sub Score]]+Table4[[#This Row],[Exploitability Sub Score]])),10),1),NA())))</f>
        <v>4</v>
      </c>
      <c r="V37" s="85" t="s">
        <v>277</v>
      </c>
      <c r="W37" s="91">
        <f>VLOOKUP(Table4[[#This Row],[Threat Event Initiation]],NIST_Scale_LOAI[],2,FALSE())</f>
        <v>0.5</v>
      </c>
      <c r="X3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19" t="s">
        <v>281</v>
      </c>
      <c r="AA37" s="19" t="s">
        <v>444</v>
      </c>
      <c r="AB37" s="19" t="s">
        <v>479</v>
      </c>
      <c r="AC37" s="36"/>
      <c r="AD37" s="36"/>
      <c r="AE37" s="36"/>
      <c r="AF37" s="90"/>
      <c r="AG37" s="90"/>
      <c r="AH37" s="90"/>
      <c r="AI37" s="90"/>
      <c r="AJ37" s="90"/>
      <c r="AK3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7" s="91" t="e">
        <f>(1 - ((1 - VLOOKUP(Table4[[#This Row],[ConfidentialityP]],'Reference - CVSSv3.0'!$B$16:$C$18,2,FALSE())) * (1 - VLOOKUP(Table4[[#This Row],[IntegrityP]],'Reference - CVSSv3.0'!$B$16:$C$18,2,FALSE())) *  (1 - VLOOKUP(Table4[[#This Row],[AvailabilityP]],'Reference - CVSSv3.0'!$B$16:$C$18,2,FALSE()))))</f>
        <v>#N/A</v>
      </c>
      <c r="AM37" s="91" t="e">
        <f>IF(Table4[[#This Row],[ScopeP]]="Unchanged",6.42*Table4[[#This Row],[ISC BaseP]],IF(Table4[[#This Row],[ScopeP]]="Changed",7.52*(Table4[[#This Row],[ISC BaseP]] - 0.029) - 3.25 * POWER(Table4[[#This Row],[ISC BaseP]] - 0.02,15),NA()))</f>
        <v>#N/A</v>
      </c>
      <c r="AN3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36"/>
    </row>
    <row r="38" spans="1:43" s="26" customFormat="1" ht="210">
      <c r="A38" s="84">
        <v>34</v>
      </c>
      <c r="B38" s="85" t="s">
        <v>178</v>
      </c>
      <c r="C38" s="86" t="str">
        <f>IF(VLOOKUP(Table4[[#This Row],[T ID]],Table5[#All],5,FALSE())="No","Not in scope",VLOOKUP(Table4[[#This Row],[T ID]],Table5[#All],2,FALSE()))</f>
        <v>Deliver directed malware
(CAPEC-185)</v>
      </c>
      <c r="D38" s="57" t="s">
        <v>140</v>
      </c>
      <c r="E38" s="86" t="str">
        <f>IF(VLOOKUP(Table4[[#This Row],[V ID]],Vulnerabilities[#All],3,FALSE())="No","Not in scope",VLOOKUP(Table4[[#This Row],[V ID]],Vulnerabilities[#All],2,FALSE()))</f>
        <v>InSecure Configuration for Software/OS on Mobile Devices, Laptops, Workstations, and Servers</v>
      </c>
      <c r="F38" s="87" t="s">
        <v>38</v>
      </c>
      <c r="G38" s="88" t="str">
        <f>VLOOKUP(Table4[[#This Row],[A ID]],Assets[#All],3,FALSE())</f>
        <v>Tablet Resources - web cam, microphone, OTG devices, Removable USB, Tablet Application, Network interfaces (Bluetooth, Wifi)</v>
      </c>
      <c r="H38" s="19" t="s">
        <v>280</v>
      </c>
      <c r="I38" s="19" t="s">
        <v>465</v>
      </c>
      <c r="J38" s="89" t="s">
        <v>267</v>
      </c>
      <c r="K38" s="89" t="s">
        <v>267</v>
      </c>
      <c r="L38" s="89" t="s">
        <v>267</v>
      </c>
      <c r="M38" s="90" t="s">
        <v>275</v>
      </c>
      <c r="N38" s="90" t="s">
        <v>267</v>
      </c>
      <c r="O38" s="90" t="s">
        <v>267</v>
      </c>
      <c r="P38" s="90" t="s">
        <v>269</v>
      </c>
      <c r="Q38" s="90" t="s">
        <v>270</v>
      </c>
      <c r="R3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38" s="91">
        <f>(1 - ((1 - VLOOKUP(Table4[[#This Row],[Confidentiality]],'Reference - CVSSv3.0'!$B$16:$C$18,2,FALSE())) * (1 - VLOOKUP(Table4[[#This Row],[Integrity]],'Reference - CVSSv3.0'!$B$16:$C$18,2,FALSE())) *  (1 - VLOOKUP(Table4[[#This Row],[Availability]],'Reference - CVSSv3.0'!$B$16:$C$18,2,FALSE()))))</f>
        <v>0.52544799999999992</v>
      </c>
      <c r="T38" s="91">
        <f>IF(Table4[[#This Row],[Scope]]="Unchanged",6.42*Table4[[#This Row],[ISC Base]],IF(Table4[[#This Row],[Scope]]="Changed",7.52*(Table4[[#This Row],[ISC Base]] - 0.029) - 3.25 * POWER(Table4[[#This Row],[ISC Base]] - 0.02,15),NA()))</f>
        <v>3.3733761599999994</v>
      </c>
      <c r="U38"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85" t="s">
        <v>267</v>
      </c>
      <c r="W38" s="91">
        <f>VLOOKUP(Table4[[#This Row],[Threat Event Initiation]],NIST_Scale_LOAI[],2,FALSE())</f>
        <v>0.2</v>
      </c>
      <c r="X3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19" t="s">
        <v>271</v>
      </c>
      <c r="AA38" s="19" t="s">
        <v>272</v>
      </c>
      <c r="AB38" s="19" t="s">
        <v>512</v>
      </c>
      <c r="AC38" s="36"/>
      <c r="AD38" s="36"/>
      <c r="AE38" s="36"/>
      <c r="AF38" s="90"/>
      <c r="AG38" s="90"/>
      <c r="AH38" s="90"/>
      <c r="AI38" s="90"/>
      <c r="AJ38" s="90"/>
      <c r="AK3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8" s="91" t="e">
        <f>(1 - ((1 - VLOOKUP(Table4[[#This Row],[ConfidentialityP]],'Reference - CVSSv3.0'!$B$16:$C$18,2,FALSE())) * (1 - VLOOKUP(Table4[[#This Row],[IntegrityP]],'Reference - CVSSv3.0'!$B$16:$C$18,2,FALSE())) *  (1 - VLOOKUP(Table4[[#This Row],[AvailabilityP]],'Reference - CVSSv3.0'!$B$16:$C$18,2,FALSE()))))</f>
        <v>#N/A</v>
      </c>
      <c r="AM38" s="91" t="e">
        <f>IF(Table4[[#This Row],[ScopeP]]="Unchanged",6.42*Table4[[#This Row],[ISC BaseP]],IF(Table4[[#This Row],[ScopeP]]="Changed",7.52*(Table4[[#This Row],[ISC BaseP]] - 0.029) - 3.25 * POWER(Table4[[#This Row],[ISC BaseP]] - 0.02,15),NA()))</f>
        <v>#N/A</v>
      </c>
      <c r="AN3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36"/>
    </row>
    <row r="39" spans="1:43" s="26" customFormat="1" ht="210">
      <c r="A39" s="84">
        <v>35</v>
      </c>
      <c r="B39" s="85" t="s">
        <v>178</v>
      </c>
      <c r="C39" s="86" t="str">
        <f>IF(VLOOKUP(Table4[[#This Row],[T ID]],Table5[#All],5,FALSE())="No","Not in scope",VLOOKUP(Table4[[#This Row],[T ID]],Table5[#All],2,FALSE()))</f>
        <v>Deliver directed malware
(CAPEC-185)</v>
      </c>
      <c r="D39" s="57" t="s">
        <v>129</v>
      </c>
      <c r="E39" s="86" t="str">
        <f>IF(VLOOKUP(Table4[[#This Row],[V ID]],Vulnerabilities[#All],3,FALSE())="No","Not in scope",VLOOKUP(Table4[[#This Row],[V ID]],Vulnerabilities[#All],2,FALSE()))</f>
        <v>Unencrypted data at rest in all possible locations</v>
      </c>
      <c r="F39" s="87" t="s">
        <v>38</v>
      </c>
      <c r="G39" s="88" t="str">
        <f>VLOOKUP(Table4[[#This Row],[A ID]],Assets[#All],3,FALSE())</f>
        <v>Tablet Resources - web cam, microphone, OTG devices, Removable USB, Tablet Application, Network interfaces (Bluetooth, Wifi)</v>
      </c>
      <c r="H39" s="19" t="s">
        <v>280</v>
      </c>
      <c r="I39" s="19" t="s">
        <v>465</v>
      </c>
      <c r="J39" s="89" t="s">
        <v>267</v>
      </c>
      <c r="K39" s="89" t="s">
        <v>267</v>
      </c>
      <c r="L39" s="89" t="s">
        <v>267</v>
      </c>
      <c r="M39" s="90" t="s">
        <v>275</v>
      </c>
      <c r="N39" s="90" t="s">
        <v>267</v>
      </c>
      <c r="O39" s="90" t="s">
        <v>267</v>
      </c>
      <c r="P39" s="90" t="s">
        <v>274</v>
      </c>
      <c r="Q39" s="90" t="s">
        <v>270</v>
      </c>
      <c r="R39"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9" s="91">
        <f>(1 - ((1 - VLOOKUP(Table4[[#This Row],[Confidentiality]],'Reference - CVSSv3.0'!$B$16:$C$18,2,FALSE())) * (1 - VLOOKUP(Table4[[#This Row],[Integrity]],'Reference - CVSSv3.0'!$B$16:$C$18,2,FALSE())) *  (1 - VLOOKUP(Table4[[#This Row],[Availability]],'Reference - CVSSv3.0'!$B$16:$C$18,2,FALSE()))))</f>
        <v>0.52544799999999992</v>
      </c>
      <c r="T39" s="91">
        <f>IF(Table4[[#This Row],[Scope]]="Unchanged",6.42*Table4[[#This Row],[ISC Base]],IF(Table4[[#This Row],[Scope]]="Changed",7.52*(Table4[[#This Row],[ISC Base]] - 0.029) - 3.25 * POWER(Table4[[#This Row],[ISC Base]] - 0.02,15),NA()))</f>
        <v>3.3733761599999994</v>
      </c>
      <c r="U3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85" t="s">
        <v>267</v>
      </c>
      <c r="W39" s="92">
        <f>VLOOKUP(Table4[[#This Row],[Threat Event Initiation]],NIST_Scale_LOAI[],2,FALSE())</f>
        <v>0.2</v>
      </c>
      <c r="X3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19" t="s">
        <v>271</v>
      </c>
      <c r="AA39" s="19" t="s">
        <v>272</v>
      </c>
      <c r="AB39" s="19" t="s">
        <v>469</v>
      </c>
      <c r="AC39" s="89"/>
      <c r="AD39" s="89"/>
      <c r="AE39" s="89"/>
      <c r="AF39" s="90"/>
      <c r="AG39" s="90"/>
      <c r="AH39" s="90"/>
      <c r="AI39" s="90"/>
      <c r="AJ39" s="90"/>
      <c r="AK3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9" s="91" t="e">
        <f>(1 - ((1 - VLOOKUP(Table4[[#This Row],[ConfidentialityP]],'Reference - CVSSv3.0'!$B$16:$C$18,2,FALSE())) * (1 - VLOOKUP(Table4[[#This Row],[IntegrityP]],'Reference - CVSSv3.0'!$B$16:$C$18,2,FALSE())) *  (1 - VLOOKUP(Table4[[#This Row],[AvailabilityP]],'Reference - CVSSv3.0'!$B$16:$C$18,2,FALSE()))))</f>
        <v>#N/A</v>
      </c>
      <c r="AM39" s="91" t="e">
        <f>IF(Table4[[#This Row],[ScopeP]]="Unchanged",6.42*Table4[[#This Row],[ISC BaseP]],IF(Table4[[#This Row],[ScopeP]]="Changed",7.52*(Table4[[#This Row],[ISC BaseP]] - 0.029) - 3.25 * POWER(Table4[[#This Row],[ISC BaseP]] - 0.02,15),NA()))</f>
        <v>#N/A</v>
      </c>
      <c r="AN3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36"/>
    </row>
    <row r="40" spans="1:43" s="26" customFormat="1" ht="210">
      <c r="A40" s="84">
        <v>36</v>
      </c>
      <c r="B40" s="85" t="s">
        <v>178</v>
      </c>
      <c r="C40" s="86" t="str">
        <f>IF(VLOOKUP(Table4[[#This Row],[T ID]],Table5[#All],5,FALSE())="No","Not in scope",VLOOKUP(Table4[[#This Row],[T ID]],Table5[#All],2,FALSE()))</f>
        <v>Deliver directed malware
(CAPEC-185)</v>
      </c>
      <c r="D40" s="57" t="s">
        <v>129</v>
      </c>
      <c r="E40" s="86" t="str">
        <f>IF(VLOOKUP(Table4[[#This Row],[V ID]],Vulnerabilities[#All],3,FALSE())="No","Not in scope",VLOOKUP(Table4[[#This Row],[V ID]],Vulnerabilities[#All],2,FALSE()))</f>
        <v>Unencrypted data at rest in all possible locations</v>
      </c>
      <c r="F40" s="87" t="s">
        <v>42</v>
      </c>
      <c r="G40" s="88" t="str">
        <f>VLOOKUP(Table4[[#This Row],[A ID]],Assets[#All],3,FALSE())</f>
        <v>Tablet OS/network details &amp; Tablet Application</v>
      </c>
      <c r="H40" s="19" t="s">
        <v>280</v>
      </c>
      <c r="I40" s="19" t="s">
        <v>465</v>
      </c>
      <c r="J40" s="89" t="s">
        <v>267</v>
      </c>
      <c r="K40" s="89" t="s">
        <v>267</v>
      </c>
      <c r="L40" s="89" t="s">
        <v>267</v>
      </c>
      <c r="M40" s="90" t="s">
        <v>275</v>
      </c>
      <c r="N40" s="90" t="s">
        <v>267</v>
      </c>
      <c r="O40" s="90" t="s">
        <v>267</v>
      </c>
      <c r="P40" s="90" t="s">
        <v>274</v>
      </c>
      <c r="Q40" s="90" t="s">
        <v>270</v>
      </c>
      <c r="R4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0" s="91">
        <f>(1 - ((1 - VLOOKUP(Table4[[#This Row],[Confidentiality]],'Reference - CVSSv3.0'!$B$16:$C$18,2,FALSE())) * (1 - VLOOKUP(Table4[[#This Row],[Integrity]],'Reference - CVSSv3.0'!$B$16:$C$18,2,FALSE())) *  (1 - VLOOKUP(Table4[[#This Row],[Availability]],'Reference - CVSSv3.0'!$B$16:$C$18,2,FALSE()))))</f>
        <v>0.52544799999999992</v>
      </c>
      <c r="T40" s="91">
        <f>IF(Table4[[#This Row],[Scope]]="Unchanged",6.42*Table4[[#This Row],[ISC Base]],IF(Table4[[#This Row],[Scope]]="Changed",7.52*(Table4[[#This Row],[ISC Base]] - 0.029) - 3.25 * POWER(Table4[[#This Row],[ISC Base]] - 0.02,15),NA()))</f>
        <v>3.3733761599999994</v>
      </c>
      <c r="U4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85" t="s">
        <v>267</v>
      </c>
      <c r="W40" s="91">
        <f>VLOOKUP(Table4[[#This Row],[Threat Event Initiation]],NIST_Scale_LOAI[],2,FALSE())</f>
        <v>0.2</v>
      </c>
      <c r="X4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19" t="s">
        <v>271</v>
      </c>
      <c r="AA40" s="19" t="s">
        <v>282</v>
      </c>
      <c r="AB40" s="19" t="s">
        <v>469</v>
      </c>
      <c r="AC40" s="36"/>
      <c r="AD40" s="36"/>
      <c r="AE40" s="36"/>
      <c r="AF40" s="90"/>
      <c r="AG40" s="90"/>
      <c r="AH40" s="90"/>
      <c r="AI40" s="90"/>
      <c r="AJ40" s="90"/>
      <c r="AK4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0" s="91" t="e">
        <f>(1 - ((1 - VLOOKUP(Table4[[#This Row],[ConfidentialityP]],'Reference - CVSSv3.0'!$B$16:$C$18,2,FALSE())) * (1 - VLOOKUP(Table4[[#This Row],[IntegrityP]],'Reference - CVSSv3.0'!$B$16:$C$18,2,FALSE())) *  (1 - VLOOKUP(Table4[[#This Row],[AvailabilityP]],'Reference - CVSSv3.0'!$B$16:$C$18,2,FALSE()))))</f>
        <v>#N/A</v>
      </c>
      <c r="AM40" s="91" t="e">
        <f>IF(Table4[[#This Row],[ScopeP]]="Unchanged",6.42*Table4[[#This Row],[ISC BaseP]],IF(Table4[[#This Row],[ScopeP]]="Changed",7.52*(Table4[[#This Row],[ISC BaseP]] - 0.029) - 3.25 * POWER(Table4[[#This Row],[ISC BaseP]] - 0.02,15),NA()))</f>
        <v>#N/A</v>
      </c>
      <c r="AN4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36"/>
    </row>
    <row r="41" spans="1:43" s="26" customFormat="1" ht="210">
      <c r="A41" s="84">
        <v>37</v>
      </c>
      <c r="B41" s="85" t="s">
        <v>178</v>
      </c>
      <c r="C41" s="86" t="str">
        <f>IF(VLOOKUP(Table4[[#This Row],[T ID]],Table5[#All],5,FALSE())="No","Not in scope",VLOOKUP(Table4[[#This Row],[T ID]],Table5[#All],2,FALSE()))</f>
        <v>Deliver directed malware
(CAPEC-185)</v>
      </c>
      <c r="D41" s="57" t="s">
        <v>129</v>
      </c>
      <c r="E41" s="86" t="str">
        <f>IF(VLOOKUP(Table4[[#This Row],[V ID]],Vulnerabilities[#All],3,FALSE())="No","Not in scope",VLOOKUP(Table4[[#This Row],[V ID]],Vulnerabilities[#All],2,FALSE()))</f>
        <v>Unencrypted data at rest in all possible locations</v>
      </c>
      <c r="F41" s="87" t="s">
        <v>71</v>
      </c>
      <c r="G41" s="88" t="str">
        <f>VLOOKUP(Table4[[#This Row],[A ID]],Assets[#All],3,FALSE())</f>
        <v>Smart medic app (Stryker Admin Web Application)</v>
      </c>
      <c r="H41" s="19" t="s">
        <v>280</v>
      </c>
      <c r="I41" s="19" t="s">
        <v>465</v>
      </c>
      <c r="J41" s="89" t="s">
        <v>267</v>
      </c>
      <c r="K41" s="89" t="s">
        <v>267</v>
      </c>
      <c r="L41" s="89" t="s">
        <v>267</v>
      </c>
      <c r="M41" s="90" t="s">
        <v>275</v>
      </c>
      <c r="N41" s="90" t="s">
        <v>267</v>
      </c>
      <c r="O41" s="90" t="s">
        <v>267</v>
      </c>
      <c r="P41" s="90" t="s">
        <v>274</v>
      </c>
      <c r="Q41" s="90" t="s">
        <v>270</v>
      </c>
      <c r="R4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1" s="91">
        <f>(1 - ((1 - VLOOKUP(Table4[[#This Row],[Confidentiality]],'Reference - CVSSv3.0'!$B$16:$C$18,2,FALSE())) * (1 - VLOOKUP(Table4[[#This Row],[Integrity]],'Reference - CVSSv3.0'!$B$16:$C$18,2,FALSE())) *  (1 - VLOOKUP(Table4[[#This Row],[Availability]],'Reference - CVSSv3.0'!$B$16:$C$18,2,FALSE()))))</f>
        <v>0.52544799999999992</v>
      </c>
      <c r="T41" s="91">
        <f>IF(Table4[[#This Row],[Scope]]="Unchanged",6.42*Table4[[#This Row],[ISC Base]],IF(Table4[[#This Row],[Scope]]="Changed",7.52*(Table4[[#This Row],[ISC Base]] - 0.029) - 3.25 * POWER(Table4[[#This Row],[ISC Base]] - 0.02,15),NA()))</f>
        <v>3.3733761599999994</v>
      </c>
      <c r="U4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85" t="s">
        <v>267</v>
      </c>
      <c r="W41" s="91">
        <f>VLOOKUP(Table4[[#This Row],[Threat Event Initiation]],NIST_Scale_LOAI[],2,FALSE())</f>
        <v>0.2</v>
      </c>
      <c r="X4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19" t="s">
        <v>283</v>
      </c>
      <c r="AA41" s="19" t="s">
        <v>430</v>
      </c>
      <c r="AB41" s="19" t="s">
        <v>480</v>
      </c>
      <c r="AC41" s="36"/>
      <c r="AD41" s="36"/>
      <c r="AE41" s="36"/>
      <c r="AF41" s="90"/>
      <c r="AG41" s="90"/>
      <c r="AH41" s="90"/>
      <c r="AI41" s="90"/>
      <c r="AJ41" s="90"/>
      <c r="AK4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1" s="91" t="e">
        <f>(1 - ((1 - VLOOKUP(Table4[[#This Row],[ConfidentialityP]],'Reference - CVSSv3.0'!$B$16:$C$18,2,FALSE())) * (1 - VLOOKUP(Table4[[#This Row],[IntegrityP]],'Reference - CVSSv3.0'!$B$16:$C$18,2,FALSE())) *  (1 - VLOOKUP(Table4[[#This Row],[AvailabilityP]],'Reference - CVSSv3.0'!$B$16:$C$18,2,FALSE()))))</f>
        <v>#N/A</v>
      </c>
      <c r="AM41" s="91" t="e">
        <f>IF(Table4[[#This Row],[ScopeP]]="Unchanged",6.42*Table4[[#This Row],[ISC BaseP]],IF(Table4[[#This Row],[ScopeP]]="Changed",7.52*(Table4[[#This Row],[ISC BaseP]] - 0.029) - 3.25 * POWER(Table4[[#This Row],[ISC BaseP]] - 0.02,15),NA()))</f>
        <v>#N/A</v>
      </c>
      <c r="AN4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36"/>
    </row>
    <row r="42" spans="1:43" s="26" customFormat="1" ht="210">
      <c r="A42" s="84">
        <v>38</v>
      </c>
      <c r="B42" s="85" t="s">
        <v>182</v>
      </c>
      <c r="C42" s="86" t="str">
        <f>IF(VLOOKUP(Table4[[#This Row],[T ID]],Table5[#All],5,FALSE())="No","Not in scope",VLOOKUP(Table4[[#This Row],[T ID]],Table5[#All],2,FALSE()))</f>
        <v>Gaining Access
([S]TRID[E])</v>
      </c>
      <c r="D42" s="57" t="s">
        <v>120</v>
      </c>
      <c r="E42" s="86" t="str">
        <f>IF(VLOOKUP(Table4[[#This Row],[V ID]],Vulnerabilities[#All],3,FALSE())="No","Not in scope",VLOOKUP(Table4[[#This Row],[V ID]],Vulnerabilities[#All],2,FALSE()))</f>
        <v>Unprotected network port(s) on network devices and connection points</v>
      </c>
      <c r="F42" s="87" t="s">
        <v>42</v>
      </c>
      <c r="G42" s="88" t="str">
        <f>VLOOKUP(Table4[[#This Row],[A ID]],Assets[#All],3,FALSE())</f>
        <v>Tablet OS/network details &amp; Tablet Application</v>
      </c>
      <c r="H42" s="19" t="s">
        <v>284</v>
      </c>
      <c r="I42" s="19" t="s">
        <v>465</v>
      </c>
      <c r="J42" s="89" t="s">
        <v>274</v>
      </c>
      <c r="K42" s="89" t="s">
        <v>274</v>
      </c>
      <c r="L42" s="89" t="s">
        <v>267</v>
      </c>
      <c r="M42" s="90" t="s">
        <v>273</v>
      </c>
      <c r="N42" s="90" t="s">
        <v>267</v>
      </c>
      <c r="O42" s="90" t="s">
        <v>267</v>
      </c>
      <c r="P42" s="90" t="s">
        <v>274</v>
      </c>
      <c r="Q42" s="90" t="s">
        <v>270</v>
      </c>
      <c r="R4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2" s="91">
        <f>(1 - ((1 - VLOOKUP(Table4[[#This Row],[Confidentiality]],'Reference - CVSSv3.0'!$B$16:$C$18,2,FALSE())) * (1 - VLOOKUP(Table4[[#This Row],[Integrity]],'Reference - CVSSv3.0'!$B$16:$C$18,2,FALSE())) *  (1 - VLOOKUP(Table4[[#This Row],[Availability]],'Reference - CVSSv3.0'!$B$16:$C$18,2,FALSE()))))</f>
        <v>0.21999999999999997</v>
      </c>
      <c r="T42" s="91">
        <f>IF(Table4[[#This Row],[Scope]]="Unchanged",6.42*Table4[[#This Row],[ISC Base]],IF(Table4[[#This Row],[Scope]]="Changed",7.52*(Table4[[#This Row],[ISC Base]] - 0.029) - 3.25 * POWER(Table4[[#This Row],[ISC Base]] - 0.02,15),NA()))</f>
        <v>1.4123999999999999</v>
      </c>
      <c r="U42"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85" t="s">
        <v>267</v>
      </c>
      <c r="W42" s="91">
        <f>VLOOKUP(Table4[[#This Row],[Threat Event Initiation]],NIST_Scale_LOAI[],2,FALSE())</f>
        <v>0.2</v>
      </c>
      <c r="X4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19" t="s">
        <v>271</v>
      </c>
      <c r="AA42" s="19" t="s">
        <v>272</v>
      </c>
      <c r="AB42" s="19" t="s">
        <v>469</v>
      </c>
      <c r="AC42" s="36"/>
      <c r="AD42" s="36"/>
      <c r="AE42" s="36"/>
      <c r="AF42" s="90"/>
      <c r="AG42" s="90"/>
      <c r="AH42" s="90"/>
      <c r="AI42" s="90"/>
      <c r="AJ42" s="90"/>
      <c r="AK4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2" s="91" t="e">
        <f>(1 - ((1 - VLOOKUP(Table4[[#This Row],[ConfidentialityP]],'Reference - CVSSv3.0'!$B$16:$C$18,2,FALSE())) * (1 - VLOOKUP(Table4[[#This Row],[IntegrityP]],'Reference - CVSSv3.0'!$B$16:$C$18,2,FALSE())) *  (1 - VLOOKUP(Table4[[#This Row],[AvailabilityP]],'Reference - CVSSv3.0'!$B$16:$C$18,2,FALSE()))))</f>
        <v>#N/A</v>
      </c>
      <c r="AM42" s="91" t="e">
        <f>IF(Table4[[#This Row],[ScopeP]]="Unchanged",6.42*Table4[[#This Row],[ISC BaseP]],IF(Table4[[#This Row],[ScopeP]]="Changed",7.52*(Table4[[#This Row],[ISC BaseP]] - 0.029) - 3.25 * POWER(Table4[[#This Row],[ISC BaseP]] - 0.02,15),NA()))</f>
        <v>#N/A</v>
      </c>
      <c r="AN4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36"/>
    </row>
    <row r="43" spans="1:43" s="26" customFormat="1" ht="322">
      <c r="A43" s="84">
        <v>39</v>
      </c>
      <c r="B43" s="85" t="s">
        <v>182</v>
      </c>
      <c r="C43" s="86" t="str">
        <f>IF(VLOOKUP(Table4[[#This Row],[T ID]],Table5[#All],5,FALSE())="No","Not in scope",VLOOKUP(Table4[[#This Row],[T ID]],Table5[#All],2,FALSE()))</f>
        <v>Gaining Access
([S]TRID[E])</v>
      </c>
      <c r="D43" s="57" t="s">
        <v>120</v>
      </c>
      <c r="E43" s="86" t="str">
        <f>IF(VLOOKUP(Table4[[#This Row],[V ID]],Vulnerabilities[#All],3,FALSE())="No","Not in scope",VLOOKUP(Table4[[#This Row],[V ID]],Vulnerabilities[#All],2,FALSE()))</f>
        <v>Unprotected network port(s) on network devices and connection points</v>
      </c>
      <c r="F43" s="87" t="s">
        <v>71</v>
      </c>
      <c r="G43" s="88" t="str">
        <f>VLOOKUP(Table4[[#This Row],[A ID]],Assets[#All],3,FALSE())</f>
        <v>Smart medic app (Stryker Admin Web Application)</v>
      </c>
      <c r="H43" s="19" t="s">
        <v>284</v>
      </c>
      <c r="I43" s="19" t="s">
        <v>465</v>
      </c>
      <c r="J43" s="89" t="s">
        <v>274</v>
      </c>
      <c r="K43" s="89" t="s">
        <v>267</v>
      </c>
      <c r="L43" s="89" t="s">
        <v>276</v>
      </c>
      <c r="M43" s="90" t="s">
        <v>273</v>
      </c>
      <c r="N43" s="90" t="s">
        <v>267</v>
      </c>
      <c r="O43" s="90" t="s">
        <v>276</v>
      </c>
      <c r="P43" s="90" t="s">
        <v>274</v>
      </c>
      <c r="Q43" s="90" t="s">
        <v>270</v>
      </c>
      <c r="R4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43" s="91">
        <f>(1 - ((1 - VLOOKUP(Table4[[#This Row],[Confidentiality]],'Reference - CVSSv3.0'!$B$16:$C$18,2,FALSE())) * (1 - VLOOKUP(Table4[[#This Row],[Integrity]],'Reference - CVSSv3.0'!$B$16:$C$18,2,FALSE())) *  (1 - VLOOKUP(Table4[[#This Row],[Availability]],'Reference - CVSSv3.0'!$B$16:$C$18,2,FALSE()))))</f>
        <v>0.65680000000000005</v>
      </c>
      <c r="T43" s="91">
        <f>IF(Table4[[#This Row],[Scope]]="Unchanged",6.42*Table4[[#This Row],[ISC Base]],IF(Table4[[#This Row],[Scope]]="Changed",7.52*(Table4[[#This Row],[ISC Base]] - 0.029) - 3.25 * POWER(Table4[[#This Row],[ISC Base]] - 0.02,15),NA()))</f>
        <v>4.2166560000000004</v>
      </c>
      <c r="U43"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85" t="s">
        <v>267</v>
      </c>
      <c r="W43" s="91">
        <f>VLOOKUP(Table4[[#This Row],[Threat Event Initiation]],NIST_Scale_LOAI[],2,FALSE())</f>
        <v>0.2</v>
      </c>
      <c r="X4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19" t="s">
        <v>424</v>
      </c>
      <c r="AA43" s="19" t="s">
        <v>445</v>
      </c>
      <c r="AB43" s="19" t="s">
        <v>481</v>
      </c>
      <c r="AC43" s="36"/>
      <c r="AD43" s="36"/>
      <c r="AE43" s="36"/>
      <c r="AF43" s="90"/>
      <c r="AG43" s="90"/>
      <c r="AH43" s="90"/>
      <c r="AI43" s="90"/>
      <c r="AJ43" s="90"/>
      <c r="AK4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3" s="91" t="e">
        <f>(1 - ((1 - VLOOKUP(Table4[[#This Row],[ConfidentialityP]],'Reference - CVSSv3.0'!$B$16:$C$18,2,FALSE())) * (1 - VLOOKUP(Table4[[#This Row],[IntegrityP]],'Reference - CVSSv3.0'!$B$16:$C$18,2,FALSE())) *  (1 - VLOOKUP(Table4[[#This Row],[AvailabilityP]],'Reference - CVSSv3.0'!$B$16:$C$18,2,FALSE()))))</f>
        <v>#N/A</v>
      </c>
      <c r="AM43" s="91" t="e">
        <f>IF(Table4[[#This Row],[ScopeP]]="Unchanged",6.42*Table4[[#This Row],[ISC BaseP]],IF(Table4[[#This Row],[ScopeP]]="Changed",7.52*(Table4[[#This Row],[ISC BaseP]] - 0.029) - 3.25 * POWER(Table4[[#This Row],[ISC BaseP]] - 0.02,15),NA()))</f>
        <v>#N/A</v>
      </c>
      <c r="AN4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36"/>
    </row>
    <row r="44" spans="1:43" s="26" customFormat="1" ht="210">
      <c r="A44" s="84">
        <v>40</v>
      </c>
      <c r="B44" s="85" t="s">
        <v>182</v>
      </c>
      <c r="C44" s="86" t="str">
        <f>IF(VLOOKUP(Table4[[#This Row],[T ID]],Table5[#All],5,FALSE())="No","Not in scope",VLOOKUP(Table4[[#This Row],[T ID]],Table5[#All],2,FALSE()))</f>
        <v>Gaining Access
([S]TRID[E])</v>
      </c>
      <c r="D44" s="57" t="s">
        <v>120</v>
      </c>
      <c r="E44" s="86" t="str">
        <f>IF(VLOOKUP(Table4[[#This Row],[V ID]],Vulnerabilities[#All],3,FALSE())="No","Not in scope",VLOOKUP(Table4[[#This Row],[V ID]],Vulnerabilities[#All],2,FALSE()))</f>
        <v>Unprotected network port(s) on network devices and connection points</v>
      </c>
      <c r="F44" s="87" t="s">
        <v>38</v>
      </c>
      <c r="G44" s="88" t="str">
        <f>VLOOKUP(Table4[[#This Row],[A ID]],Assets[#All],3,FALSE())</f>
        <v>Tablet Resources - web cam, microphone, OTG devices, Removable USB, Tablet Application, Network interfaces (Bluetooth, Wifi)</v>
      </c>
      <c r="H44" s="19" t="s">
        <v>284</v>
      </c>
      <c r="I44" s="19" t="s">
        <v>465</v>
      </c>
      <c r="J44" s="89" t="s">
        <v>274</v>
      </c>
      <c r="K44" s="89" t="s">
        <v>267</v>
      </c>
      <c r="L44" s="89" t="s">
        <v>274</v>
      </c>
      <c r="M44" s="90" t="s">
        <v>273</v>
      </c>
      <c r="N44" s="90" t="s">
        <v>267</v>
      </c>
      <c r="O44" s="90" t="s">
        <v>267</v>
      </c>
      <c r="P44" s="90" t="s">
        <v>274</v>
      </c>
      <c r="Q44" s="90" t="s">
        <v>270</v>
      </c>
      <c r="R44"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4" s="91">
        <f>(1 - ((1 - VLOOKUP(Table4[[#This Row],[Confidentiality]],'Reference - CVSSv3.0'!$B$16:$C$18,2,FALSE())) * (1 - VLOOKUP(Table4[[#This Row],[Integrity]],'Reference - CVSSv3.0'!$B$16:$C$18,2,FALSE())) *  (1 - VLOOKUP(Table4[[#This Row],[Availability]],'Reference - CVSSv3.0'!$B$16:$C$18,2,FALSE()))))</f>
        <v>0.21999999999999997</v>
      </c>
      <c r="T44" s="91">
        <f>IF(Table4[[#This Row],[Scope]]="Unchanged",6.42*Table4[[#This Row],[ISC Base]],IF(Table4[[#This Row],[Scope]]="Changed",7.52*(Table4[[#This Row],[ISC Base]] - 0.029) - 3.25 * POWER(Table4[[#This Row],[ISC Base]] - 0.02,15),NA()))</f>
        <v>1.4123999999999999</v>
      </c>
      <c r="U44"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85" t="s">
        <v>267</v>
      </c>
      <c r="W44" s="92">
        <f>VLOOKUP(Table4[[#This Row],[Threat Event Initiation]],NIST_Scale_LOAI[],2,FALSE())</f>
        <v>0.2</v>
      </c>
      <c r="X4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19" t="s">
        <v>271</v>
      </c>
      <c r="AA44" s="19" t="s">
        <v>272</v>
      </c>
      <c r="AB44" s="19" t="s">
        <v>469</v>
      </c>
      <c r="AC44" s="89"/>
      <c r="AD44" s="89"/>
      <c r="AE44" s="89"/>
      <c r="AF44" s="90"/>
      <c r="AG44" s="90"/>
      <c r="AH44" s="90"/>
      <c r="AI44" s="90"/>
      <c r="AJ44" s="90"/>
      <c r="AK4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4" s="91" t="e">
        <f>(1 - ((1 - VLOOKUP(Table4[[#This Row],[ConfidentialityP]],'Reference - CVSSv3.0'!$B$16:$C$18,2,FALSE())) * (1 - VLOOKUP(Table4[[#This Row],[IntegrityP]],'Reference - CVSSv3.0'!$B$16:$C$18,2,FALSE())) *  (1 - VLOOKUP(Table4[[#This Row],[AvailabilityP]],'Reference - CVSSv3.0'!$B$16:$C$18,2,FALSE()))))</f>
        <v>#N/A</v>
      </c>
      <c r="AM44" s="91" t="e">
        <f>IF(Table4[[#This Row],[ScopeP]]="Unchanged",6.42*Table4[[#This Row],[ISC BaseP]],IF(Table4[[#This Row],[ScopeP]]="Changed",7.52*(Table4[[#This Row],[ISC BaseP]] - 0.029) - 3.25 * POWER(Table4[[#This Row],[ISC BaseP]] - 0.02,15),NA()))</f>
        <v>#N/A</v>
      </c>
      <c r="AN4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36"/>
    </row>
    <row r="45" spans="1:43" s="26" customFormat="1" ht="350">
      <c r="A45" s="84">
        <v>41</v>
      </c>
      <c r="B45" s="85" t="s">
        <v>182</v>
      </c>
      <c r="C45" s="86" t="str">
        <f>IF(VLOOKUP(Table4[[#This Row],[T ID]],Table5[#All],5,FALSE())="No","Not in scope",VLOOKUP(Table4[[#This Row],[T ID]],Table5[#All],2,FALSE()))</f>
        <v>Gaining Access
([S]TRID[E])</v>
      </c>
      <c r="D45" s="57" t="s">
        <v>94</v>
      </c>
      <c r="E45" s="86" t="str">
        <f>IF(VLOOKUP(Table4[[#This Row],[V ID]],Vulnerabilities[#All],3,FALSE())="No","Not in scope",VLOOKUP(Table4[[#This Row],[V ID]],Vulnerabilities[#All],2,FALSE()))</f>
        <v>Devices with default passwords needs to be checked for bruteforce attacks</v>
      </c>
      <c r="F45" s="87" t="s">
        <v>50</v>
      </c>
      <c r="G45" s="88" t="str">
        <f>VLOOKUP(Table4[[#This Row],[A ID]],Assets[#All],3,FALSE())</f>
        <v>Authentication/Authorisation method of all device(s)/app</v>
      </c>
      <c r="H45" s="19" t="s">
        <v>284</v>
      </c>
      <c r="I45" s="19" t="s">
        <v>465</v>
      </c>
      <c r="J45" s="89" t="s">
        <v>267</v>
      </c>
      <c r="K45" s="89" t="s">
        <v>274</v>
      </c>
      <c r="L45" s="89" t="s">
        <v>276</v>
      </c>
      <c r="M45" s="90" t="s">
        <v>268</v>
      </c>
      <c r="N45" s="90" t="s">
        <v>267</v>
      </c>
      <c r="O45" s="90" t="s">
        <v>267</v>
      </c>
      <c r="P45" s="90" t="s">
        <v>274</v>
      </c>
      <c r="Q45" s="90" t="s">
        <v>270</v>
      </c>
      <c r="R4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5" s="91">
        <f>(1 - ((1 - VLOOKUP(Table4[[#This Row],[Confidentiality]],'Reference - CVSSv3.0'!$B$16:$C$18,2,FALSE())) * (1 - VLOOKUP(Table4[[#This Row],[Integrity]],'Reference - CVSSv3.0'!$B$16:$C$18,2,FALSE())) *  (1 - VLOOKUP(Table4[[#This Row],[Availability]],'Reference - CVSSv3.0'!$B$16:$C$18,2,FALSE()))))</f>
        <v>0.65680000000000005</v>
      </c>
      <c r="T45" s="91">
        <f>IF(Table4[[#This Row],[Scope]]="Unchanged",6.42*Table4[[#This Row],[ISC Base]],IF(Table4[[#This Row],[Scope]]="Changed",7.52*(Table4[[#This Row],[ISC Base]] - 0.029) - 3.25 * POWER(Table4[[#This Row],[ISC Base]] - 0.02,15),NA()))</f>
        <v>4.2166560000000004</v>
      </c>
      <c r="U4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85" t="s">
        <v>277</v>
      </c>
      <c r="W45" s="92">
        <f>VLOOKUP(Table4[[#This Row],[Threat Event Initiation]],NIST_Scale_LOAI[],2,FALSE())</f>
        <v>0.5</v>
      </c>
      <c r="X4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19" t="s">
        <v>285</v>
      </c>
      <c r="AA45" s="19" t="s">
        <v>457</v>
      </c>
      <c r="AB45" s="19" t="s">
        <v>482</v>
      </c>
      <c r="AC45" s="89"/>
      <c r="AD45" s="89"/>
      <c r="AE45" s="89"/>
      <c r="AF45" s="90"/>
      <c r="AG45" s="90"/>
      <c r="AH45" s="90"/>
      <c r="AI45" s="90"/>
      <c r="AJ45" s="90"/>
      <c r="AK4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5" s="91" t="e">
        <f>(1 - ((1 - VLOOKUP(Table4[[#This Row],[ConfidentialityP]],'Reference - CVSSv3.0'!$B$16:$C$18,2,FALSE())) * (1 - VLOOKUP(Table4[[#This Row],[IntegrityP]],'Reference - CVSSv3.0'!$B$16:$C$18,2,FALSE())) *  (1 - VLOOKUP(Table4[[#This Row],[AvailabilityP]],'Reference - CVSSv3.0'!$B$16:$C$18,2,FALSE()))))</f>
        <v>#N/A</v>
      </c>
      <c r="AM45" s="91" t="e">
        <f>IF(Table4[[#This Row],[ScopeP]]="Unchanged",6.42*Table4[[#This Row],[ISC BaseP]],IF(Table4[[#This Row],[ScopeP]]="Changed",7.52*(Table4[[#This Row],[ISC BaseP]] - 0.029) - 3.25 * POWER(Table4[[#This Row],[ISC BaseP]] - 0.02,15),NA()))</f>
        <v>#N/A</v>
      </c>
      <c r="AN4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36"/>
    </row>
    <row r="46" spans="1:43" s="26" customFormat="1" ht="364">
      <c r="A46" s="84">
        <v>42</v>
      </c>
      <c r="B46" s="85" t="s">
        <v>182</v>
      </c>
      <c r="C46" s="86" t="str">
        <f>IF(VLOOKUP(Table4[[#This Row],[T ID]],Table5[#All],5,FALSE())="No","Not in scope",VLOOKUP(Table4[[#This Row],[T ID]],Table5[#All],2,FALSE()))</f>
        <v>Gaining Access
([S]TRID[E])</v>
      </c>
      <c r="D46" s="57" t="s">
        <v>94</v>
      </c>
      <c r="E46" s="86" t="str">
        <f>IF(VLOOKUP(Table4[[#This Row],[V ID]],Vulnerabilities[#All],3,FALSE())="No","Not in scope",VLOOKUP(Table4[[#This Row],[V ID]],Vulnerabilities[#All],2,FALSE()))</f>
        <v>Devices with default passwords needs to be checked for bruteforce attacks</v>
      </c>
      <c r="F46" s="87" t="s">
        <v>59</v>
      </c>
      <c r="G46" s="88" t="str">
        <f>VLOOKUP(Table4[[#This Row],[A ID]],Assets[#All],3,FALSE())</f>
        <v>Interface/API Communication</v>
      </c>
      <c r="H46" s="19" t="s">
        <v>284</v>
      </c>
      <c r="I46" s="19" t="s">
        <v>465</v>
      </c>
      <c r="J46" s="89" t="s">
        <v>267</v>
      </c>
      <c r="K46" s="89" t="s">
        <v>274</v>
      </c>
      <c r="L46" s="89" t="s">
        <v>267</v>
      </c>
      <c r="M46" s="90" t="s">
        <v>268</v>
      </c>
      <c r="N46" s="90" t="s">
        <v>267</v>
      </c>
      <c r="O46" s="90" t="s">
        <v>267</v>
      </c>
      <c r="P46" s="90" t="s">
        <v>274</v>
      </c>
      <c r="Q46" s="90" t="s">
        <v>270</v>
      </c>
      <c r="R4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6" s="91">
        <f>(1 - ((1 - VLOOKUP(Table4[[#This Row],[Confidentiality]],'Reference - CVSSv3.0'!$B$16:$C$18,2,FALSE())) * (1 - VLOOKUP(Table4[[#This Row],[Integrity]],'Reference - CVSSv3.0'!$B$16:$C$18,2,FALSE())) *  (1 - VLOOKUP(Table4[[#This Row],[Availability]],'Reference - CVSSv3.0'!$B$16:$C$18,2,FALSE()))))</f>
        <v>0.39159999999999995</v>
      </c>
      <c r="T46" s="91">
        <f>IF(Table4[[#This Row],[Scope]]="Unchanged",6.42*Table4[[#This Row],[ISC Base]],IF(Table4[[#This Row],[Scope]]="Changed",7.52*(Table4[[#This Row],[ISC Base]] - 0.029) - 3.25 * POWER(Table4[[#This Row],[ISC Base]] - 0.02,15),NA()))</f>
        <v>2.5140719999999996</v>
      </c>
      <c r="U46" s="91">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85" t="s">
        <v>267</v>
      </c>
      <c r="W46" s="91">
        <f>VLOOKUP(Table4[[#This Row],[Threat Event Initiation]],NIST_Scale_LOAI[],2,FALSE())</f>
        <v>0.2</v>
      </c>
      <c r="X4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19" t="s">
        <v>286</v>
      </c>
      <c r="AA46" s="19" t="s">
        <v>449</v>
      </c>
      <c r="AB46" s="19" t="s">
        <v>483</v>
      </c>
      <c r="AC46" s="36"/>
      <c r="AD46" s="36"/>
      <c r="AE46" s="36"/>
      <c r="AF46" s="90"/>
      <c r="AG46" s="90"/>
      <c r="AH46" s="90"/>
      <c r="AI46" s="90"/>
      <c r="AJ46" s="90"/>
      <c r="AK4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6" s="91" t="e">
        <f>(1 - ((1 - VLOOKUP(Table4[[#This Row],[ConfidentialityP]],'Reference - CVSSv3.0'!$B$16:$C$18,2,FALSE())) * (1 - VLOOKUP(Table4[[#This Row],[IntegrityP]],'Reference - CVSSv3.0'!$B$16:$C$18,2,FALSE())) *  (1 - VLOOKUP(Table4[[#This Row],[AvailabilityP]],'Reference - CVSSv3.0'!$B$16:$C$18,2,FALSE()))))</f>
        <v>#N/A</v>
      </c>
      <c r="AM46" s="91" t="e">
        <f>IF(Table4[[#This Row],[ScopeP]]="Unchanged",6.42*Table4[[#This Row],[ISC BaseP]],IF(Table4[[#This Row],[ScopeP]]="Changed",7.52*(Table4[[#This Row],[ISC BaseP]] - 0.029) - 3.25 * POWER(Table4[[#This Row],[ISC BaseP]] - 0.02,15),NA()))</f>
        <v>#N/A</v>
      </c>
      <c r="AN4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36"/>
    </row>
    <row r="47" spans="1:43" ht="408" customHeight="1">
      <c r="A47" s="84">
        <v>43</v>
      </c>
      <c r="B47" s="85" t="s">
        <v>182</v>
      </c>
      <c r="C47" s="86" t="str">
        <f>IF(VLOOKUP(Table4[[#This Row],[T ID]],Table5[#All],5,FALSE())="No","Not in scope",VLOOKUP(Table4[[#This Row],[T ID]],Table5[#All],2,FALSE()))</f>
        <v>Gaining Access
([S]TRID[E])</v>
      </c>
      <c r="D47" s="57" t="s">
        <v>100</v>
      </c>
      <c r="E47" s="86" t="str">
        <f>IF(VLOOKUP(Table4[[#This Row],[V ID]],Vulnerabilities[#All],3,FALSE())="No","Not in scope",VLOOKUP(Table4[[#This Row],[V ID]],Vulnerabilities[#All],2,FALSE()))</f>
        <v>The password complexity or location vulnerability. Like weak passwords and hardcoded passwords.</v>
      </c>
      <c r="F47" s="87" t="s">
        <v>50</v>
      </c>
      <c r="G47" s="88" t="str">
        <f>VLOOKUP(Table4[[#This Row],[A ID]],Assets[#All],3,FALSE())</f>
        <v>Authentication/Authorisation method of all device(s)/app</v>
      </c>
      <c r="H47" s="19" t="s">
        <v>284</v>
      </c>
      <c r="I47" s="19" t="s">
        <v>465</v>
      </c>
      <c r="J47" s="89" t="s">
        <v>267</v>
      </c>
      <c r="K47" s="89" t="s">
        <v>274</v>
      </c>
      <c r="L47" s="89" t="s">
        <v>276</v>
      </c>
      <c r="M47" s="90" t="s">
        <v>275</v>
      </c>
      <c r="N47" s="90" t="s">
        <v>267</v>
      </c>
      <c r="O47" s="90" t="s">
        <v>267</v>
      </c>
      <c r="P47" s="90" t="s">
        <v>269</v>
      </c>
      <c r="Q47" s="90" t="s">
        <v>270</v>
      </c>
      <c r="R4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47" s="91">
        <f>(1 - ((1 - VLOOKUP(Table4[[#This Row],[Confidentiality]],'Reference - CVSSv3.0'!$B$16:$C$18,2,FALSE())) * (1 - VLOOKUP(Table4[[#This Row],[Integrity]],'Reference - CVSSv3.0'!$B$16:$C$18,2,FALSE())) *  (1 - VLOOKUP(Table4[[#This Row],[Availability]],'Reference - CVSSv3.0'!$B$16:$C$18,2,FALSE()))))</f>
        <v>0.65680000000000005</v>
      </c>
      <c r="T47" s="91">
        <f>IF(Table4[[#This Row],[Scope]]="Unchanged",6.42*Table4[[#This Row],[ISC Base]],IF(Table4[[#This Row],[Scope]]="Changed",7.52*(Table4[[#This Row],[ISC Base]] - 0.029) - 3.25 * POWER(Table4[[#This Row],[ISC Base]] - 0.02,15),NA()))</f>
        <v>4.2166560000000004</v>
      </c>
      <c r="U47" s="91">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85" t="s">
        <v>267</v>
      </c>
      <c r="W47" s="91">
        <f>VLOOKUP(Table4[[#This Row],[Threat Event Initiation]],NIST_Scale_LOAI[],2,FALSE())</f>
        <v>0.2</v>
      </c>
      <c r="X4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19" t="s">
        <v>287</v>
      </c>
      <c r="AA47" s="19" t="s">
        <v>450</v>
      </c>
      <c r="AB47" s="19" t="s">
        <v>513</v>
      </c>
      <c r="AC47" s="36"/>
      <c r="AD47" s="36"/>
      <c r="AE47" s="36"/>
      <c r="AF47" s="90"/>
      <c r="AG47" s="90"/>
      <c r="AH47" s="90"/>
      <c r="AI47" s="90"/>
      <c r="AJ47" s="90"/>
      <c r="AK4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7" s="91" t="e">
        <f>(1 - ((1 - VLOOKUP(Table4[[#This Row],[ConfidentialityP]],'Reference - CVSSv3.0'!$B$16:$C$18,2,FALSE())) * (1 - VLOOKUP(Table4[[#This Row],[IntegrityP]],'Reference - CVSSv3.0'!$B$16:$C$18,2,FALSE())) *  (1 - VLOOKUP(Table4[[#This Row],[AvailabilityP]],'Reference - CVSSv3.0'!$B$16:$C$18,2,FALSE()))))</f>
        <v>#N/A</v>
      </c>
      <c r="AM47" s="91" t="e">
        <f>IF(Table4[[#This Row],[ScopeP]]="Unchanged",6.42*Table4[[#This Row],[ISC BaseP]],IF(Table4[[#This Row],[ScopeP]]="Changed",7.52*(Table4[[#This Row],[ISC BaseP]] - 0.029) - 3.25 * POWER(Table4[[#This Row],[ISC BaseP]] - 0.02,15),NA()))</f>
        <v>#N/A</v>
      </c>
      <c r="AN4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36"/>
    </row>
    <row r="48" spans="1:43" ht="409.5" customHeight="1">
      <c r="A48" s="84">
        <v>44</v>
      </c>
      <c r="B48" s="85" t="s">
        <v>182</v>
      </c>
      <c r="C48" s="86" t="str">
        <f>IF(VLOOKUP(Table4[[#This Row],[T ID]],Table5[#All],5,FALSE())="No","Not in scope",VLOOKUP(Table4[[#This Row],[T ID]],Table5[#All],2,FALSE()))</f>
        <v>Gaining Access
([S]TRID[E])</v>
      </c>
      <c r="D48" s="57" t="s">
        <v>102</v>
      </c>
      <c r="E48" s="86" t="str">
        <f>IF(VLOOKUP(Table4[[#This Row],[V ID]],Vulnerabilities[#All],3,FALSE())="No","Not in scope",VLOOKUP(Table4[[#This Row],[V ID]],Vulnerabilities[#All],2,FALSE()))</f>
        <v>Checking authentication modes for possible hacks and bypasses</v>
      </c>
      <c r="F48" s="87" t="s">
        <v>50</v>
      </c>
      <c r="G48" s="88" t="str">
        <f>VLOOKUP(Table4[[#This Row],[A ID]],Assets[#All],3,FALSE())</f>
        <v>Authentication/Authorisation method of all device(s)/app</v>
      </c>
      <c r="H48" s="19" t="s">
        <v>284</v>
      </c>
      <c r="I48" s="19" t="s">
        <v>465</v>
      </c>
      <c r="J48" s="89" t="s">
        <v>267</v>
      </c>
      <c r="K48" s="89" t="s">
        <v>267</v>
      </c>
      <c r="L48" s="89" t="s">
        <v>267</v>
      </c>
      <c r="M48" s="90" t="s">
        <v>268</v>
      </c>
      <c r="N48" s="90" t="s">
        <v>267</v>
      </c>
      <c r="O48" s="90" t="s">
        <v>267</v>
      </c>
      <c r="P48" s="90" t="s">
        <v>274</v>
      </c>
      <c r="Q48" s="90" t="s">
        <v>270</v>
      </c>
      <c r="R4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8" s="91">
        <f>(1 - ((1 - VLOOKUP(Table4[[#This Row],[Confidentiality]],'Reference - CVSSv3.0'!$B$16:$C$18,2,FALSE())) * (1 - VLOOKUP(Table4[[#This Row],[Integrity]],'Reference - CVSSv3.0'!$B$16:$C$18,2,FALSE())) *  (1 - VLOOKUP(Table4[[#This Row],[Availability]],'Reference - CVSSv3.0'!$B$16:$C$18,2,FALSE()))))</f>
        <v>0.52544799999999992</v>
      </c>
      <c r="T48" s="91">
        <f>IF(Table4[[#This Row],[Scope]]="Unchanged",6.42*Table4[[#This Row],[ISC Base]],IF(Table4[[#This Row],[Scope]]="Changed",7.52*(Table4[[#This Row],[ISC Base]] - 0.029) - 3.25 * POWER(Table4[[#This Row],[ISC Base]] - 0.02,15),NA()))</f>
        <v>3.3733761599999994</v>
      </c>
      <c r="U48"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85" t="s">
        <v>267</v>
      </c>
      <c r="W48" s="91">
        <f>VLOOKUP(Table4[[#This Row],[Threat Event Initiation]],NIST_Scale_LOAI[],2,FALSE())</f>
        <v>0.2</v>
      </c>
      <c r="X4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19" t="s">
        <v>289</v>
      </c>
      <c r="AA48" s="19" t="s">
        <v>425</v>
      </c>
      <c r="AB48" s="19" t="s">
        <v>484</v>
      </c>
      <c r="AC48" s="36"/>
      <c r="AD48" s="36"/>
      <c r="AE48" s="36"/>
      <c r="AF48" s="90"/>
      <c r="AG48" s="90"/>
      <c r="AH48" s="90"/>
      <c r="AI48" s="90"/>
      <c r="AJ48" s="90"/>
      <c r="AK4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8" s="91" t="e">
        <f>(1 - ((1 - VLOOKUP(Table4[[#This Row],[ConfidentialityP]],'Reference - CVSSv3.0'!$B$16:$C$18,2,FALSE())) * (1 - VLOOKUP(Table4[[#This Row],[IntegrityP]],'Reference - CVSSv3.0'!$B$16:$C$18,2,FALSE())) *  (1 - VLOOKUP(Table4[[#This Row],[AvailabilityP]],'Reference - CVSSv3.0'!$B$16:$C$18,2,FALSE()))))</f>
        <v>#N/A</v>
      </c>
      <c r="AM48" s="91" t="e">
        <f>IF(Table4[[#This Row],[ScopeP]]="Unchanged",6.42*Table4[[#This Row],[ISC BaseP]],IF(Table4[[#This Row],[ScopeP]]="Changed",7.52*(Table4[[#This Row],[ISC BaseP]] - 0.029) - 3.25 * POWER(Table4[[#This Row],[ISC BaseP]] - 0.02,15),NA()))</f>
        <v>#N/A</v>
      </c>
      <c r="AN4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36"/>
    </row>
    <row r="49" spans="1:43" ht="370.5" customHeight="1">
      <c r="A49" s="84">
        <v>45</v>
      </c>
      <c r="B49" s="85" t="s">
        <v>182</v>
      </c>
      <c r="C49" s="86" t="str">
        <f>IF(VLOOKUP(Table4[[#This Row],[T ID]],Table5[#All],5,FALSE())="No","Not in scope",VLOOKUP(Table4[[#This Row],[T ID]],Table5[#All],2,FALSE()))</f>
        <v>Gaining Access
([S]TRID[E])</v>
      </c>
      <c r="D49" s="57" t="s">
        <v>102</v>
      </c>
      <c r="E49" s="86" t="str">
        <f>IF(VLOOKUP(Table4[[#This Row],[V ID]],Vulnerabilities[#All],3,FALSE())="No","Not in scope",VLOOKUP(Table4[[#This Row],[V ID]],Vulnerabilities[#All],2,FALSE()))</f>
        <v>Checking authentication modes for possible hacks and bypasses</v>
      </c>
      <c r="F49" s="87" t="s">
        <v>71</v>
      </c>
      <c r="G49" s="88" t="str">
        <f>VLOOKUP(Table4[[#This Row],[A ID]],Assets[#All],3,FALSE())</f>
        <v>Smart medic app (Stryker Admin Web Application)</v>
      </c>
      <c r="H49" s="19" t="s">
        <v>284</v>
      </c>
      <c r="I49" s="19" t="s">
        <v>465</v>
      </c>
      <c r="J49" s="89" t="s">
        <v>267</v>
      </c>
      <c r="K49" s="89" t="s">
        <v>267</v>
      </c>
      <c r="L49" s="89" t="s">
        <v>267</v>
      </c>
      <c r="M49" s="90" t="s">
        <v>268</v>
      </c>
      <c r="N49" s="90" t="s">
        <v>267</v>
      </c>
      <c r="O49" s="90" t="s">
        <v>267</v>
      </c>
      <c r="P49" s="90" t="s">
        <v>274</v>
      </c>
      <c r="Q49" s="90" t="s">
        <v>270</v>
      </c>
      <c r="R4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9" s="91">
        <f>(1 - ((1 - VLOOKUP(Table4[[#This Row],[Confidentiality]],'Reference - CVSSv3.0'!$B$16:$C$18,2,FALSE())) * (1 - VLOOKUP(Table4[[#This Row],[Integrity]],'Reference - CVSSv3.0'!$B$16:$C$18,2,FALSE())) *  (1 - VLOOKUP(Table4[[#This Row],[Availability]],'Reference - CVSSv3.0'!$B$16:$C$18,2,FALSE()))))</f>
        <v>0.52544799999999992</v>
      </c>
      <c r="T49" s="91">
        <f>IF(Table4[[#This Row],[Scope]]="Unchanged",6.42*Table4[[#This Row],[ISC Base]],IF(Table4[[#This Row],[Scope]]="Changed",7.52*(Table4[[#This Row],[ISC Base]] - 0.029) - 3.25 * POWER(Table4[[#This Row],[ISC Base]] - 0.02,15),NA()))</f>
        <v>3.3733761599999994</v>
      </c>
      <c r="U4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85" t="s">
        <v>267</v>
      </c>
      <c r="W49" s="91">
        <f>VLOOKUP(Table4[[#This Row],[Threat Event Initiation]],NIST_Scale_LOAI[],2,FALSE())</f>
        <v>0.2</v>
      </c>
      <c r="X4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19" t="s">
        <v>288</v>
      </c>
      <c r="AA49" s="19" t="s">
        <v>426</v>
      </c>
      <c r="AB49" s="19" t="s">
        <v>485</v>
      </c>
      <c r="AC49" s="36"/>
      <c r="AD49" s="36"/>
      <c r="AE49" s="36"/>
      <c r="AF49" s="90"/>
      <c r="AG49" s="90"/>
      <c r="AH49" s="90"/>
      <c r="AI49" s="90"/>
      <c r="AJ49" s="90"/>
      <c r="AK4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9" s="91" t="e">
        <f>(1 - ((1 - VLOOKUP(Table4[[#This Row],[ConfidentialityP]],'Reference - CVSSv3.0'!$B$16:$C$18,2,FALSE())) * (1 - VLOOKUP(Table4[[#This Row],[IntegrityP]],'Reference - CVSSv3.0'!$B$16:$C$18,2,FALSE())) *  (1 - VLOOKUP(Table4[[#This Row],[AvailabilityP]],'Reference - CVSSv3.0'!$B$16:$C$18,2,FALSE()))))</f>
        <v>#N/A</v>
      </c>
      <c r="AM49" s="91" t="e">
        <f>IF(Table4[[#This Row],[ScopeP]]="Unchanged",6.42*Table4[[#This Row],[ISC BaseP]],IF(Table4[[#This Row],[ScopeP]]="Changed",7.52*(Table4[[#This Row],[ISC BaseP]] - 0.029) - 3.25 * POWER(Table4[[#This Row],[ISC BaseP]] - 0.02,15),NA()))</f>
        <v>#N/A</v>
      </c>
      <c r="AN4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36"/>
    </row>
    <row r="50" spans="1:43" ht="213.75" customHeight="1">
      <c r="A50" s="84">
        <v>46</v>
      </c>
      <c r="B50" s="85" t="s">
        <v>182</v>
      </c>
      <c r="C50" s="86" t="str">
        <f>IF(VLOOKUP(Table4[[#This Row],[T ID]],Table5[#All],5,FALSE())="No","Not in scope",VLOOKUP(Table4[[#This Row],[T ID]],Table5[#All],2,FALSE()))</f>
        <v>Gaining Access
([S]TRID[E])</v>
      </c>
      <c r="D50" s="57" t="s">
        <v>102</v>
      </c>
      <c r="E50" s="86" t="str">
        <f>IF(VLOOKUP(Table4[[#This Row],[V ID]],Vulnerabilities[#All],3,FALSE())="No","Not in scope",VLOOKUP(Table4[[#This Row],[V ID]],Vulnerabilities[#All],2,FALSE()))</f>
        <v>Checking authentication modes for possible hacks and bypasses</v>
      </c>
      <c r="F50" s="87" t="s">
        <v>74</v>
      </c>
      <c r="G50" s="88" t="str">
        <f>VLOOKUP(Table4[[#This Row],[A ID]],Assets[#All],3,FALSE())</f>
        <v>Smart medic app (Azure Portal Administrator)</v>
      </c>
      <c r="H50" s="19" t="s">
        <v>284</v>
      </c>
      <c r="I50" s="19" t="s">
        <v>465</v>
      </c>
      <c r="J50" s="89" t="s">
        <v>267</v>
      </c>
      <c r="K50" s="89" t="s">
        <v>267</v>
      </c>
      <c r="L50" s="89" t="s">
        <v>267</v>
      </c>
      <c r="M50" s="90" t="s">
        <v>268</v>
      </c>
      <c r="N50" s="90" t="s">
        <v>267</v>
      </c>
      <c r="O50" s="90" t="s">
        <v>267</v>
      </c>
      <c r="P50" s="90" t="s">
        <v>274</v>
      </c>
      <c r="Q50" s="90" t="s">
        <v>270</v>
      </c>
      <c r="R5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0" s="91">
        <f>(1 - ((1 - VLOOKUP(Table4[[#This Row],[Confidentiality]],'Reference - CVSSv3.0'!$B$16:$C$18,2,FALSE())) * (1 - VLOOKUP(Table4[[#This Row],[Integrity]],'Reference - CVSSv3.0'!$B$16:$C$18,2,FALSE())) *  (1 - VLOOKUP(Table4[[#This Row],[Availability]],'Reference - CVSSv3.0'!$B$16:$C$18,2,FALSE()))))</f>
        <v>0.52544799999999992</v>
      </c>
      <c r="T50" s="91">
        <f>IF(Table4[[#This Row],[Scope]]="Unchanged",6.42*Table4[[#This Row],[ISC Base]],IF(Table4[[#This Row],[Scope]]="Changed",7.52*(Table4[[#This Row],[ISC Base]] - 0.029) - 3.25 * POWER(Table4[[#This Row],[ISC Base]] - 0.02,15),NA()))</f>
        <v>3.3733761599999994</v>
      </c>
      <c r="U5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85" t="s">
        <v>267</v>
      </c>
      <c r="W50" s="91">
        <f>VLOOKUP(Table4[[#This Row],[Threat Event Initiation]],NIST_Scale_LOAI[],2,FALSE())</f>
        <v>0.2</v>
      </c>
      <c r="X5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19" t="s">
        <v>289</v>
      </c>
      <c r="AA50" s="19" t="s">
        <v>455</v>
      </c>
      <c r="AB50" s="19" t="s">
        <v>486</v>
      </c>
      <c r="AC50" s="36"/>
      <c r="AD50" s="36"/>
      <c r="AE50" s="36"/>
      <c r="AF50" s="90"/>
      <c r="AG50" s="90"/>
      <c r="AH50" s="90"/>
      <c r="AI50" s="90"/>
      <c r="AJ50" s="90"/>
      <c r="AK5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0" s="91" t="e">
        <f>(1 - ((1 - VLOOKUP(Table4[[#This Row],[ConfidentialityP]],'Reference - CVSSv3.0'!$B$16:$C$18,2,FALSE())) * (1 - VLOOKUP(Table4[[#This Row],[IntegrityP]],'Reference - CVSSv3.0'!$B$16:$C$18,2,FALSE())) *  (1 - VLOOKUP(Table4[[#This Row],[AvailabilityP]],'Reference - CVSSv3.0'!$B$16:$C$18,2,FALSE()))))</f>
        <v>#N/A</v>
      </c>
      <c r="AM50" s="91" t="e">
        <f>IF(Table4[[#This Row],[ScopeP]]="Unchanged",6.42*Table4[[#This Row],[ISC BaseP]],IF(Table4[[#This Row],[ScopeP]]="Changed",7.52*(Table4[[#This Row],[ISC BaseP]] - 0.029) - 3.25 * POWER(Table4[[#This Row],[ISC BaseP]] - 0.02,15),NA()))</f>
        <v>#N/A</v>
      </c>
      <c r="AN5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36"/>
    </row>
    <row r="51" spans="1:43" ht="213.75" customHeight="1">
      <c r="A51" s="84">
        <v>47</v>
      </c>
      <c r="B51" s="85" t="s">
        <v>182</v>
      </c>
      <c r="C51" s="86" t="str">
        <f>IF(VLOOKUP(Table4[[#This Row],[T ID]],Table5[#All],5,FALSE())="No","Not in scope",VLOOKUP(Table4[[#This Row],[T ID]],Table5[#All],2,FALSE()))</f>
        <v>Gaining Access
([S]TRID[E])</v>
      </c>
      <c r="D51" s="57" t="s">
        <v>122</v>
      </c>
      <c r="E51" s="86" t="str">
        <f>IF(VLOOKUP(Table4[[#This Row],[V ID]],Vulnerabilities[#All],3,FALSE())="No","Not in scope",VLOOKUP(Table4[[#This Row],[V ID]],Vulnerabilities[#All],2,FALSE()))</f>
        <v>Unprotected external USB Port on the tablet/devices.</v>
      </c>
      <c r="F51" s="87" t="s">
        <v>38</v>
      </c>
      <c r="G51" s="88" t="str">
        <f>VLOOKUP(Table4[[#This Row],[A ID]],Assets[#All],3,FALSE())</f>
        <v>Tablet Resources - web cam, microphone, OTG devices, Removable USB, Tablet Application, Network interfaces (Bluetooth, Wifi)</v>
      </c>
      <c r="H51" s="19" t="s">
        <v>284</v>
      </c>
      <c r="I51" s="19" t="s">
        <v>465</v>
      </c>
      <c r="J51" s="89" t="s">
        <v>267</v>
      </c>
      <c r="K51" s="89" t="s">
        <v>267</v>
      </c>
      <c r="L51" s="89" t="s">
        <v>267</v>
      </c>
      <c r="M51" s="90" t="s">
        <v>268</v>
      </c>
      <c r="N51" s="90" t="s">
        <v>267</v>
      </c>
      <c r="O51" s="90" t="s">
        <v>267</v>
      </c>
      <c r="P51" s="90" t="s">
        <v>269</v>
      </c>
      <c r="Q51" s="90" t="s">
        <v>270</v>
      </c>
      <c r="R5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1" s="91">
        <f>(1 - ((1 - VLOOKUP(Table4[[#This Row],[Confidentiality]],'Reference - CVSSv3.0'!$B$16:$C$18,2,FALSE())) * (1 - VLOOKUP(Table4[[#This Row],[Integrity]],'Reference - CVSSv3.0'!$B$16:$C$18,2,FALSE())) *  (1 - VLOOKUP(Table4[[#This Row],[Availability]],'Reference - CVSSv3.0'!$B$16:$C$18,2,FALSE()))))</f>
        <v>0.52544799999999992</v>
      </c>
      <c r="T51" s="91">
        <f>IF(Table4[[#This Row],[Scope]]="Unchanged",6.42*Table4[[#This Row],[ISC Base]],IF(Table4[[#This Row],[Scope]]="Changed",7.52*(Table4[[#This Row],[ISC Base]] - 0.029) - 3.25 * POWER(Table4[[#This Row],[ISC Base]] - 0.02,15),NA()))</f>
        <v>3.3733761599999994</v>
      </c>
      <c r="U51"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85" t="s">
        <v>267</v>
      </c>
      <c r="W51" s="91">
        <f>VLOOKUP(Table4[[#This Row],[Threat Event Initiation]],NIST_Scale_LOAI[],2,FALSE())</f>
        <v>0.2</v>
      </c>
      <c r="X5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19" t="s">
        <v>271</v>
      </c>
      <c r="AA51" s="19" t="s">
        <v>290</v>
      </c>
      <c r="AB51" s="19" t="s">
        <v>487</v>
      </c>
      <c r="AC51" s="36"/>
      <c r="AD51" s="36"/>
      <c r="AE51" s="36"/>
      <c r="AF51" s="90"/>
      <c r="AG51" s="90"/>
      <c r="AH51" s="90"/>
      <c r="AI51" s="90"/>
      <c r="AJ51" s="90"/>
      <c r="AK5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1" s="91" t="e">
        <f>(1 - ((1 - VLOOKUP(Table4[[#This Row],[ConfidentialityP]],'Reference - CVSSv3.0'!$B$16:$C$18,2,FALSE())) * (1 - VLOOKUP(Table4[[#This Row],[IntegrityP]],'Reference - CVSSv3.0'!$B$16:$C$18,2,FALSE())) *  (1 - VLOOKUP(Table4[[#This Row],[AvailabilityP]],'Reference - CVSSv3.0'!$B$16:$C$18,2,FALSE()))))</f>
        <v>#N/A</v>
      </c>
      <c r="AM51" s="91" t="e">
        <f>IF(Table4[[#This Row],[ScopeP]]="Unchanged",6.42*Table4[[#This Row],[ISC BaseP]],IF(Table4[[#This Row],[ScopeP]]="Changed",7.52*(Table4[[#This Row],[ISC BaseP]] - 0.029) - 3.25 * POWER(Table4[[#This Row],[ISC BaseP]] - 0.02,15),NA()))</f>
        <v>#N/A</v>
      </c>
      <c r="AN5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36"/>
    </row>
    <row r="52" spans="1:43" s="216" customFormat="1" ht="342" customHeight="1">
      <c r="A52" s="209">
        <v>48</v>
      </c>
      <c r="B52" s="85" t="s">
        <v>185</v>
      </c>
      <c r="C52" s="86" t="str">
        <f>IF(VLOOKUP(Table4[[#This Row],[T ID]],Table5[#All],5,FALSE())="No","Not in scope",VLOOKUP(Table4[[#This Row],[T ID]],Table5[#All],2,FALSE()))</f>
        <v>Maintaining Access
(TTP)</v>
      </c>
      <c r="D52" s="57" t="s">
        <v>94</v>
      </c>
      <c r="E52" s="86" t="str">
        <f>IF(VLOOKUP(Table4[[#This Row],[V ID]],Vulnerabilities[#All],3,FALSE())="No","Not in scope",VLOOKUP(Table4[[#This Row],[V ID]],Vulnerabilities[#All],2,FALSE()))</f>
        <v>Devices with default passwords needs to be checked for bruteforce attacks</v>
      </c>
      <c r="F52" s="87" t="s">
        <v>50</v>
      </c>
      <c r="G52" s="88" t="str">
        <f>VLOOKUP(Table4[[#This Row],[A ID]],Assets[#All],3,FALSE())</f>
        <v>Authentication/Authorisation method of all device(s)/app</v>
      </c>
      <c r="H52" s="211" t="s">
        <v>284</v>
      </c>
      <c r="I52" s="19" t="s">
        <v>465</v>
      </c>
      <c r="J52" s="212" t="s">
        <v>267</v>
      </c>
      <c r="K52" s="212" t="s">
        <v>267</v>
      </c>
      <c r="L52" s="212" t="s">
        <v>267</v>
      </c>
      <c r="M52" s="212" t="s">
        <v>268</v>
      </c>
      <c r="N52" s="212" t="s">
        <v>267</v>
      </c>
      <c r="O52" s="212" t="s">
        <v>267</v>
      </c>
      <c r="P52" s="212" t="s">
        <v>274</v>
      </c>
      <c r="Q52" s="212" t="s">
        <v>270</v>
      </c>
      <c r="R5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2" s="93">
        <f>(1 - ((1 - VLOOKUP(Table4[[#This Row],[Confidentiality]],'Reference - CVSSv3.0'!$B$16:$C$18,2,FALSE())) * (1 - VLOOKUP(Table4[[#This Row],[Integrity]],'Reference - CVSSv3.0'!$B$16:$C$18,2,FALSE())) *  (1 - VLOOKUP(Table4[[#This Row],[Availability]],'Reference - CVSSv3.0'!$B$16:$C$18,2,FALSE()))))</f>
        <v>0.52544799999999992</v>
      </c>
      <c r="T52" s="93">
        <f>IF(Table4[[#This Row],[Scope]]="Unchanged",6.42*Table4[[#This Row],[ISC Base]],IF(Table4[[#This Row],[Scope]]="Changed",7.52*(Table4[[#This Row],[ISC Base]] - 0.029) - 3.25 * POWER(Table4[[#This Row],[ISC Base]] - 0.02,15),NA()))</f>
        <v>3.3733761599999994</v>
      </c>
      <c r="U52" s="93">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210" t="s">
        <v>277</v>
      </c>
      <c r="W52" s="91">
        <f>VLOOKUP(Table4[[#This Row],[Threat Event Initiation]],NIST_Scale_LOAI[],2,FALSE())</f>
        <v>0.5</v>
      </c>
      <c r="X5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21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19" t="s">
        <v>286</v>
      </c>
      <c r="AA52" s="19" t="s">
        <v>451</v>
      </c>
      <c r="AB52" s="19" t="s">
        <v>488</v>
      </c>
      <c r="AC52" s="215"/>
      <c r="AD52" s="215"/>
      <c r="AE52" s="215"/>
      <c r="AF52" s="212"/>
      <c r="AG52" s="212"/>
      <c r="AH52" s="212"/>
      <c r="AI52" s="212"/>
      <c r="AJ52" s="212"/>
      <c r="AK52" s="213"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2" s="213" t="e">
        <f>(1 - ((1 - VLOOKUP(Table4[[#This Row],[ConfidentialityP]],'Reference - CVSSv3.0'!$B$16:$C$18,2,FALSE())) * (1 - VLOOKUP(Table4[[#This Row],[IntegrityP]],'Reference - CVSSv3.0'!$B$16:$C$18,2,FALSE())) *  (1 - VLOOKUP(Table4[[#This Row],[AvailabilityP]],'Reference - CVSSv3.0'!$B$16:$C$18,2,FALSE()))))</f>
        <v>#N/A</v>
      </c>
      <c r="AM52" s="213" t="e">
        <f>IF(Table4[[#This Row],[ScopeP]]="Unchanged",6.42*Table4[[#This Row],[ISC BaseP]],IF(Table4[[#This Row],[ScopeP]]="Changed",7.52*(Table4[[#This Row],[ISC BaseP]] - 0.029) - 3.25 * POWER(Table4[[#This Row],[ISC BaseP]] - 0.02,15),NA()))</f>
        <v>#N/A</v>
      </c>
      <c r="AN5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15"/>
    </row>
    <row r="53" spans="1:43" ht="350">
      <c r="A53" s="84">
        <v>49</v>
      </c>
      <c r="B53" s="85" t="s">
        <v>185</v>
      </c>
      <c r="C53" s="86" t="str">
        <f>IF(VLOOKUP(Table4[[#This Row],[T ID]],Table5[#All],5,FALSE())="No","Not in scope",VLOOKUP(Table4[[#This Row],[T ID]],Table5[#All],2,FALSE()))</f>
        <v>Maintaining Access
(TTP)</v>
      </c>
      <c r="D53" s="57" t="s">
        <v>100</v>
      </c>
      <c r="E53" s="86" t="str">
        <f>IF(VLOOKUP(Table4[[#This Row],[V ID]],Vulnerabilities[#All],3,FALSE())="No","Not in scope",VLOOKUP(Table4[[#This Row],[V ID]],Vulnerabilities[#All],2,FALSE()))</f>
        <v>The password complexity or location vulnerability. Like weak passwords and hardcoded passwords.</v>
      </c>
      <c r="F53" s="87" t="s">
        <v>50</v>
      </c>
      <c r="G53" s="88" t="str">
        <f>VLOOKUP(Table4[[#This Row],[A ID]],Assets[#All],3,FALSE())</f>
        <v>Authentication/Authorisation method of all device(s)/app</v>
      </c>
      <c r="H53" s="19" t="s">
        <v>284</v>
      </c>
      <c r="I53" s="19" t="s">
        <v>465</v>
      </c>
      <c r="J53" s="89" t="s">
        <v>267</v>
      </c>
      <c r="K53" s="89" t="s">
        <v>267</v>
      </c>
      <c r="L53" s="89" t="s">
        <v>267</v>
      </c>
      <c r="M53" s="90" t="s">
        <v>275</v>
      </c>
      <c r="N53" s="90" t="s">
        <v>267</v>
      </c>
      <c r="O53" s="90" t="s">
        <v>267</v>
      </c>
      <c r="P53" s="90" t="s">
        <v>269</v>
      </c>
      <c r="Q53" s="90" t="s">
        <v>270</v>
      </c>
      <c r="R5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3" s="91">
        <f>(1 - ((1 - VLOOKUP(Table4[[#This Row],[Confidentiality]],'Reference - CVSSv3.0'!$B$16:$C$18,2,FALSE())) * (1 - VLOOKUP(Table4[[#This Row],[Integrity]],'Reference - CVSSv3.0'!$B$16:$C$18,2,FALSE())) *  (1 - VLOOKUP(Table4[[#This Row],[Availability]],'Reference - CVSSv3.0'!$B$16:$C$18,2,FALSE()))))</f>
        <v>0.52544799999999992</v>
      </c>
      <c r="T53" s="91">
        <f>IF(Table4[[#This Row],[Scope]]="Unchanged",6.42*Table4[[#This Row],[ISC Base]],IF(Table4[[#This Row],[Scope]]="Changed",7.52*(Table4[[#This Row],[ISC Base]] - 0.029) - 3.25 * POWER(Table4[[#This Row],[ISC Base]] - 0.02,15),NA()))</f>
        <v>3.3733761599999994</v>
      </c>
      <c r="U53"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85" t="s">
        <v>267</v>
      </c>
      <c r="W53" s="91">
        <f>VLOOKUP(Table4[[#This Row],[Threat Event Initiation]],NIST_Scale_LOAI[],2,FALSE())</f>
        <v>0.2</v>
      </c>
      <c r="X5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19" t="s">
        <v>291</v>
      </c>
      <c r="AA53" s="19" t="s">
        <v>452</v>
      </c>
      <c r="AB53" s="19" t="s">
        <v>489</v>
      </c>
      <c r="AC53" s="36"/>
      <c r="AD53" s="36"/>
      <c r="AE53" s="36"/>
      <c r="AF53" s="90"/>
      <c r="AG53" s="90"/>
      <c r="AH53" s="90"/>
      <c r="AI53" s="90"/>
      <c r="AJ53" s="90"/>
      <c r="AK5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3" s="91" t="e">
        <f>(1 - ((1 - VLOOKUP(Table4[[#This Row],[ConfidentialityP]],'Reference - CVSSv3.0'!$B$16:$C$18,2,FALSE())) * (1 - VLOOKUP(Table4[[#This Row],[IntegrityP]],'Reference - CVSSv3.0'!$B$16:$C$18,2,FALSE())) *  (1 - VLOOKUP(Table4[[#This Row],[AvailabilityP]],'Reference - CVSSv3.0'!$B$16:$C$18,2,FALSE()))))</f>
        <v>#N/A</v>
      </c>
      <c r="AM53" s="91" t="e">
        <f>IF(Table4[[#This Row],[ScopeP]]="Unchanged",6.42*Table4[[#This Row],[ISC BaseP]],IF(Table4[[#This Row],[ScopeP]]="Changed",7.52*(Table4[[#This Row],[ISC BaseP]] - 0.029) - 3.25 * POWER(Table4[[#This Row],[ISC BaseP]] - 0.02,15),NA()))</f>
        <v>#N/A</v>
      </c>
      <c r="AN5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36"/>
    </row>
    <row r="54" spans="1:43" ht="210">
      <c r="A54" s="84">
        <v>50</v>
      </c>
      <c r="B54" s="85" t="s">
        <v>188</v>
      </c>
      <c r="C54" s="86" t="str">
        <f>IF(VLOOKUP(Table4[[#This Row],[T ID]],Table5[#All],5,FALSE())="No","Not in scope",VLOOKUP(Table4[[#This Row],[T ID]],Table5[#All],2,FALSE()))</f>
        <v>Clearing Track
(TTP)</v>
      </c>
      <c r="D54" s="57" t="s">
        <v>140</v>
      </c>
      <c r="E54" s="86" t="str">
        <f>IF(VLOOKUP(Table4[[#This Row],[V ID]],Vulnerabilities[#All],3,FALSE())="No","Not in scope",VLOOKUP(Table4[[#This Row],[V ID]],Vulnerabilities[#All],2,FALSE()))</f>
        <v>InSecure Configuration for Software/OS on Mobile Devices, Laptops, Workstations, and Servers</v>
      </c>
      <c r="F54" s="87" t="s">
        <v>38</v>
      </c>
      <c r="G54" s="88" t="str">
        <f>VLOOKUP(Table4[[#This Row],[A ID]],Assets[#All],3,FALSE())</f>
        <v>Tablet Resources - web cam, microphone, OTG devices, Removable USB, Tablet Application, Network interfaces (Bluetooth, Wifi)</v>
      </c>
      <c r="H54" s="19" t="s">
        <v>292</v>
      </c>
      <c r="I54" s="19" t="s">
        <v>465</v>
      </c>
      <c r="J54" s="89" t="s">
        <v>267</v>
      </c>
      <c r="K54" s="89" t="s">
        <v>267</v>
      </c>
      <c r="L54" s="89" t="s">
        <v>267</v>
      </c>
      <c r="M54" s="90" t="s">
        <v>275</v>
      </c>
      <c r="N54" s="90" t="s">
        <v>267</v>
      </c>
      <c r="O54" s="90" t="s">
        <v>267</v>
      </c>
      <c r="P54" s="90" t="s">
        <v>269</v>
      </c>
      <c r="Q54" s="90" t="s">
        <v>270</v>
      </c>
      <c r="R5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4" s="91">
        <f>(1 - ((1 - VLOOKUP(Table4[[#This Row],[Confidentiality]],'Reference - CVSSv3.0'!$B$16:$C$18,2,FALSE())) * (1 - VLOOKUP(Table4[[#This Row],[Integrity]],'Reference - CVSSv3.0'!$B$16:$C$18,2,FALSE())) *  (1 - VLOOKUP(Table4[[#This Row],[Availability]],'Reference - CVSSv3.0'!$B$16:$C$18,2,FALSE()))))</f>
        <v>0.52544799999999992</v>
      </c>
      <c r="T54" s="91">
        <f>IF(Table4[[#This Row],[Scope]]="Unchanged",6.42*Table4[[#This Row],[ISC Base]],IF(Table4[[#This Row],[Scope]]="Changed",7.52*(Table4[[#This Row],[ISC Base]] - 0.029) - 3.25 * POWER(Table4[[#This Row],[ISC Base]] - 0.02,15),NA()))</f>
        <v>3.3733761599999994</v>
      </c>
      <c r="U54"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85" t="s">
        <v>267</v>
      </c>
      <c r="W54" s="91">
        <f>VLOOKUP(Table4[[#This Row],[Threat Event Initiation]],NIST_Scale_LOAI[],2,FALSE())</f>
        <v>0.2</v>
      </c>
      <c r="X5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19" t="s">
        <v>271</v>
      </c>
      <c r="AA54" s="19" t="s">
        <v>282</v>
      </c>
      <c r="AB54" s="19" t="s">
        <v>469</v>
      </c>
      <c r="AC54" s="36"/>
      <c r="AD54" s="36"/>
      <c r="AE54" s="36"/>
      <c r="AF54" s="90"/>
      <c r="AG54" s="90"/>
      <c r="AH54" s="90"/>
      <c r="AI54" s="90"/>
      <c r="AJ54" s="90"/>
      <c r="AK5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4" s="91" t="e">
        <f>(1 - ((1 - VLOOKUP(Table4[[#This Row],[ConfidentialityP]],'Reference - CVSSv3.0'!$B$16:$C$18,2,FALSE())) * (1 - VLOOKUP(Table4[[#This Row],[IntegrityP]],'Reference - CVSSv3.0'!$B$16:$C$18,2,FALSE())) *  (1 - VLOOKUP(Table4[[#This Row],[AvailabilityP]],'Reference - CVSSv3.0'!$B$16:$C$18,2,FALSE()))))</f>
        <v>#N/A</v>
      </c>
      <c r="AM54" s="91" t="e">
        <f>IF(Table4[[#This Row],[ScopeP]]="Unchanged",6.42*Table4[[#This Row],[ISC BaseP]],IF(Table4[[#This Row],[ScopeP]]="Changed",7.52*(Table4[[#This Row],[ISC BaseP]] - 0.029) - 3.25 * POWER(Table4[[#This Row],[ISC BaseP]] - 0.02,15),NA()))</f>
        <v>#N/A</v>
      </c>
      <c r="AN5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36"/>
    </row>
    <row r="55" spans="1:43" ht="210">
      <c r="A55" s="84">
        <v>51</v>
      </c>
      <c r="B55" s="85" t="s">
        <v>188</v>
      </c>
      <c r="C55" s="86" t="str">
        <f>IF(VLOOKUP(Table4[[#This Row],[T ID]],Table5[#All],5,FALSE())="No","Not in scope",VLOOKUP(Table4[[#This Row],[T ID]],Table5[#All],2,FALSE()))</f>
        <v>Clearing Track
(TTP)</v>
      </c>
      <c r="D55" s="57" t="s">
        <v>144</v>
      </c>
      <c r="E55" s="86" t="str">
        <f>IF(VLOOKUP(Table4[[#This Row],[V ID]],Vulnerabilities[#All],3,FALSE())="No","Not in scope",VLOOKUP(Table4[[#This Row],[V ID]],Vulnerabilities[#All],2,FALSE()))</f>
        <v>Outdated  - Software/Hardware</v>
      </c>
      <c r="F55" s="87" t="s">
        <v>38</v>
      </c>
      <c r="G55" s="88" t="str">
        <f>VLOOKUP(Table4[[#This Row],[A ID]],Assets[#All],3,FALSE())</f>
        <v>Tablet Resources - web cam, microphone, OTG devices, Removable USB, Tablet Application, Network interfaces (Bluetooth, Wifi)</v>
      </c>
      <c r="H55" s="19" t="s">
        <v>292</v>
      </c>
      <c r="I55" s="19" t="s">
        <v>293</v>
      </c>
      <c r="J55" s="89" t="s">
        <v>267</v>
      </c>
      <c r="K55" s="89" t="s">
        <v>267</v>
      </c>
      <c r="L55" s="89" t="s">
        <v>267</v>
      </c>
      <c r="M55" s="90" t="s">
        <v>268</v>
      </c>
      <c r="N55" s="90" t="s">
        <v>267</v>
      </c>
      <c r="O55" s="90" t="s">
        <v>267</v>
      </c>
      <c r="P55" s="90" t="s">
        <v>274</v>
      </c>
      <c r="Q55" s="90" t="s">
        <v>270</v>
      </c>
      <c r="R5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5" s="91">
        <f>(1 - ((1 - VLOOKUP(Table4[[#This Row],[Confidentiality]],'Reference - CVSSv3.0'!$B$16:$C$18,2,FALSE())) * (1 - VLOOKUP(Table4[[#This Row],[Integrity]],'Reference - CVSSv3.0'!$B$16:$C$18,2,FALSE())) *  (1 - VLOOKUP(Table4[[#This Row],[Availability]],'Reference - CVSSv3.0'!$B$16:$C$18,2,FALSE()))))</f>
        <v>0.52544799999999992</v>
      </c>
      <c r="T55" s="91">
        <f>IF(Table4[[#This Row],[Scope]]="Unchanged",6.42*Table4[[#This Row],[ISC Base]],IF(Table4[[#This Row],[Scope]]="Changed",7.52*(Table4[[#This Row],[ISC Base]] - 0.029) - 3.25 * POWER(Table4[[#This Row],[ISC Base]] - 0.02,15),NA()))</f>
        <v>3.3733761599999994</v>
      </c>
      <c r="U55"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85" t="s">
        <v>277</v>
      </c>
      <c r="W55" s="91">
        <f>VLOOKUP(Table4[[#This Row],[Threat Event Initiation]],NIST_Scale_LOAI[],2,FALSE())</f>
        <v>0.5</v>
      </c>
      <c r="X5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19" t="s">
        <v>271</v>
      </c>
      <c r="AA55" s="19" t="s">
        <v>272</v>
      </c>
      <c r="AB55" s="19" t="s">
        <v>469</v>
      </c>
      <c r="AC55" s="36"/>
      <c r="AD55" s="36"/>
      <c r="AE55" s="36"/>
      <c r="AF55" s="90"/>
      <c r="AG55" s="90"/>
      <c r="AH55" s="90"/>
      <c r="AI55" s="90"/>
      <c r="AJ55" s="90"/>
      <c r="AK5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5" s="91" t="e">
        <f>(1 - ((1 - VLOOKUP(Table4[[#This Row],[ConfidentialityP]],'Reference - CVSSv3.0'!$B$16:$C$18,2,FALSE())) * (1 - VLOOKUP(Table4[[#This Row],[IntegrityP]],'Reference - CVSSv3.0'!$B$16:$C$18,2,FALSE())) *  (1 - VLOOKUP(Table4[[#This Row],[AvailabilityP]],'Reference - CVSSv3.0'!$B$16:$C$18,2,FALSE()))))</f>
        <v>#N/A</v>
      </c>
      <c r="AM55" s="91" t="e">
        <f>IF(Table4[[#This Row],[ScopeP]]="Unchanged",6.42*Table4[[#This Row],[ISC BaseP]],IF(Table4[[#This Row],[ScopeP]]="Changed",7.52*(Table4[[#This Row],[ISC BaseP]] - 0.029) - 3.25 * POWER(Table4[[#This Row],[ISC BaseP]] - 0.02,15),NA()))</f>
        <v>#N/A</v>
      </c>
      <c r="AN5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36"/>
    </row>
    <row r="56" spans="1:43" ht="210">
      <c r="A56" s="84">
        <v>52</v>
      </c>
      <c r="B56" s="85" t="s">
        <v>188</v>
      </c>
      <c r="C56" s="86" t="str">
        <f>IF(VLOOKUP(Table4[[#This Row],[T ID]],Table5[#All],5,FALSE())="No","Not in scope",VLOOKUP(Table4[[#This Row],[T ID]],Table5[#All],2,FALSE()))</f>
        <v>Clearing Track
(TTP)</v>
      </c>
      <c r="D56" s="57" t="s">
        <v>109</v>
      </c>
      <c r="E56" s="86" t="str">
        <f>IF(VLOOKUP(Table4[[#This Row],[V ID]],Vulnerabilities[#All],3,FALSE())="No","Not in scope",VLOOKUP(Table4[[#This Row],[V ID]],Vulnerabilities[#All],2,FALSE()))</f>
        <v>Lack of configuration controls for IT assets in the informaion system plan</v>
      </c>
      <c r="F56" s="87" t="s">
        <v>38</v>
      </c>
      <c r="G56" s="88" t="str">
        <f>VLOOKUP(Table4[[#This Row],[A ID]],Assets[#All],3,FALSE())</f>
        <v>Tablet Resources - web cam, microphone, OTG devices, Removable USB, Tablet Application, Network interfaces (Bluetooth, Wifi)</v>
      </c>
      <c r="H56" s="19" t="s">
        <v>292</v>
      </c>
      <c r="I56" s="19" t="s">
        <v>293</v>
      </c>
      <c r="J56" s="89" t="s">
        <v>267</v>
      </c>
      <c r="K56" s="89" t="s">
        <v>267</v>
      </c>
      <c r="L56" s="89" t="s">
        <v>267</v>
      </c>
      <c r="M56" s="90" t="s">
        <v>275</v>
      </c>
      <c r="N56" s="90" t="s">
        <v>267</v>
      </c>
      <c r="O56" s="90" t="s">
        <v>267</v>
      </c>
      <c r="P56" s="90" t="s">
        <v>269</v>
      </c>
      <c r="Q56" s="90" t="s">
        <v>270</v>
      </c>
      <c r="R5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6" s="91">
        <f>(1 - ((1 - VLOOKUP(Table4[[#This Row],[Confidentiality]],'Reference - CVSSv3.0'!$B$16:$C$18,2,FALSE())) * (1 - VLOOKUP(Table4[[#This Row],[Integrity]],'Reference - CVSSv3.0'!$B$16:$C$18,2,FALSE())) *  (1 - VLOOKUP(Table4[[#This Row],[Availability]],'Reference - CVSSv3.0'!$B$16:$C$18,2,FALSE()))))</f>
        <v>0.52544799999999992</v>
      </c>
      <c r="T56" s="91">
        <f>IF(Table4[[#This Row],[Scope]]="Unchanged",6.42*Table4[[#This Row],[ISC Base]],IF(Table4[[#This Row],[Scope]]="Changed",7.52*(Table4[[#This Row],[ISC Base]] - 0.029) - 3.25 * POWER(Table4[[#This Row],[ISC Base]] - 0.02,15),NA()))</f>
        <v>3.3733761599999994</v>
      </c>
      <c r="U56"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85" t="s">
        <v>267</v>
      </c>
      <c r="W56" s="91">
        <f>VLOOKUP(Table4[[#This Row],[Threat Event Initiation]],NIST_Scale_LOAI[],2,FALSE())</f>
        <v>0.2</v>
      </c>
      <c r="X5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19" t="s">
        <v>271</v>
      </c>
      <c r="AA56" s="19" t="s">
        <v>272</v>
      </c>
      <c r="AB56" s="19" t="s">
        <v>490</v>
      </c>
      <c r="AC56" s="36"/>
      <c r="AD56" s="36"/>
      <c r="AE56" s="36"/>
      <c r="AF56" s="90"/>
      <c r="AG56" s="90"/>
      <c r="AH56" s="90"/>
      <c r="AI56" s="90"/>
      <c r="AJ56" s="90"/>
      <c r="AK5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6" s="91" t="e">
        <f>(1 - ((1 - VLOOKUP(Table4[[#This Row],[ConfidentialityP]],'Reference - CVSSv3.0'!$B$16:$C$18,2,FALSE())) * (1 - VLOOKUP(Table4[[#This Row],[IntegrityP]],'Reference - CVSSv3.0'!$B$16:$C$18,2,FALSE())) *  (1 - VLOOKUP(Table4[[#This Row],[AvailabilityP]],'Reference - CVSSv3.0'!$B$16:$C$18,2,FALSE()))))</f>
        <v>#N/A</v>
      </c>
      <c r="AM56" s="91" t="e">
        <f>IF(Table4[[#This Row],[ScopeP]]="Unchanged",6.42*Table4[[#This Row],[ISC BaseP]],IF(Table4[[#This Row],[ScopeP]]="Changed",7.52*(Table4[[#This Row],[ISC BaseP]] - 0.029) - 3.25 * POWER(Table4[[#This Row],[ISC BaseP]] - 0.02,15),NA()))</f>
        <v>#N/A</v>
      </c>
      <c r="AN5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36"/>
    </row>
    <row r="57" spans="1:43" ht="126">
      <c r="A57" s="84">
        <v>53</v>
      </c>
      <c r="B57" s="85" t="s">
        <v>188</v>
      </c>
      <c r="C57" s="86" t="str">
        <f>IF(VLOOKUP(Table4[[#This Row],[T ID]],Table5[#All],5,FALSE())="No","Not in scope",VLOOKUP(Table4[[#This Row],[T ID]],Table5[#All],2,FALSE()))</f>
        <v>Clearing Track
(TTP)</v>
      </c>
      <c r="D57" s="57" t="s">
        <v>109</v>
      </c>
      <c r="E57" s="86" t="str">
        <f>IF(VLOOKUP(Table4[[#This Row],[V ID]],Vulnerabilities[#All],3,FALSE())="No","Not in scope",VLOOKUP(Table4[[#This Row],[V ID]],Vulnerabilities[#All],2,FALSE()))</f>
        <v>Lack of configuration controls for IT assets in the informaion system plan</v>
      </c>
      <c r="F57" s="87" t="s">
        <v>53</v>
      </c>
      <c r="G57" s="88" t="str">
        <f>VLOOKUP(Table4[[#This Row],[A ID]],Assets[#All],3,FALSE())</f>
        <v>Device Maintainence tool (Hardware/Software)</v>
      </c>
      <c r="H57" s="19" t="s">
        <v>292</v>
      </c>
      <c r="I57" s="19" t="s">
        <v>293</v>
      </c>
      <c r="J57" s="89" t="s">
        <v>267</v>
      </c>
      <c r="K57" s="89" t="s">
        <v>267</v>
      </c>
      <c r="L57" s="89" t="s">
        <v>267</v>
      </c>
      <c r="M57" s="90" t="s">
        <v>275</v>
      </c>
      <c r="N57" s="90" t="s">
        <v>267</v>
      </c>
      <c r="O57" s="90" t="s">
        <v>267</v>
      </c>
      <c r="P57" s="90" t="s">
        <v>269</v>
      </c>
      <c r="Q57" s="90" t="s">
        <v>270</v>
      </c>
      <c r="R5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7" s="91">
        <f>(1 - ((1 - VLOOKUP(Table4[[#This Row],[Confidentiality]],'Reference - CVSSv3.0'!$B$16:$C$18,2,FALSE())) * (1 - VLOOKUP(Table4[[#This Row],[Integrity]],'Reference - CVSSv3.0'!$B$16:$C$18,2,FALSE())) *  (1 - VLOOKUP(Table4[[#This Row],[Availability]],'Reference - CVSSv3.0'!$B$16:$C$18,2,FALSE()))))</f>
        <v>0.52544799999999992</v>
      </c>
      <c r="T57" s="91">
        <f>IF(Table4[[#This Row],[Scope]]="Unchanged",6.42*Table4[[#This Row],[ISC Base]],IF(Table4[[#This Row],[Scope]]="Changed",7.52*(Table4[[#This Row],[ISC Base]] - 0.029) - 3.25 * POWER(Table4[[#This Row],[ISC Base]] - 0.02,15),NA()))</f>
        <v>3.3733761599999994</v>
      </c>
      <c r="U5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85" t="s">
        <v>267</v>
      </c>
      <c r="W57" s="91">
        <f>VLOOKUP(Table4[[#This Row],[Threat Event Initiation]],NIST_Scale_LOAI[],2,FALSE())</f>
        <v>0.2</v>
      </c>
      <c r="X5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19" t="s">
        <v>271</v>
      </c>
      <c r="AA57" s="19" t="s">
        <v>454</v>
      </c>
      <c r="AB57" s="19" t="s">
        <v>473</v>
      </c>
      <c r="AC57" s="36"/>
      <c r="AD57" s="36"/>
      <c r="AE57" s="36"/>
      <c r="AF57" s="90"/>
      <c r="AG57" s="90"/>
      <c r="AH57" s="90"/>
      <c r="AI57" s="90"/>
      <c r="AJ57" s="90"/>
      <c r="AK5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7" s="91" t="e">
        <f>(1 - ((1 - VLOOKUP(Table4[[#This Row],[ConfidentialityP]],'Reference - CVSSv3.0'!$B$16:$C$18,2,FALSE())) * (1 - VLOOKUP(Table4[[#This Row],[IntegrityP]],'Reference - CVSSv3.0'!$B$16:$C$18,2,FALSE())) *  (1 - VLOOKUP(Table4[[#This Row],[AvailabilityP]],'Reference - CVSSv3.0'!$B$16:$C$18,2,FALSE()))))</f>
        <v>#N/A</v>
      </c>
      <c r="AM57" s="91" t="e">
        <f>IF(Table4[[#This Row],[ScopeP]]="Unchanged",6.42*Table4[[#This Row],[ISC BaseP]],IF(Table4[[#This Row],[ScopeP]]="Changed",7.52*(Table4[[#This Row],[ISC BaseP]] - 0.029) - 3.25 * POWER(Table4[[#This Row],[ISC BaseP]] - 0.02,15),NA()))</f>
        <v>#N/A</v>
      </c>
      <c r="AN5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36"/>
    </row>
    <row r="58" spans="1:43" ht="196">
      <c r="A58" s="84">
        <v>54</v>
      </c>
      <c r="B58" s="85" t="s">
        <v>188</v>
      </c>
      <c r="C58" s="86" t="str">
        <f>IF(VLOOKUP(Table4[[#This Row],[T ID]],Table5[#All],5,FALSE())="No","Not in scope",VLOOKUP(Table4[[#This Row],[T ID]],Table5[#All],2,FALSE()))</f>
        <v>Clearing Track
(TTP)</v>
      </c>
      <c r="D58" s="57" t="s">
        <v>111</v>
      </c>
      <c r="E58" s="86" t="str">
        <f>IF(VLOOKUP(Table4[[#This Row],[V ID]],Vulnerabilities[#All],3,FALSE())="No","Not in scope",VLOOKUP(Table4[[#This Row],[V ID]],Vulnerabilities[#All],2,FALSE()))</f>
        <v>Ineffective patch management of firware, OS and applications thoughout the information system plan</v>
      </c>
      <c r="F58" s="87" t="s">
        <v>38</v>
      </c>
      <c r="G58" s="88" t="str">
        <f>VLOOKUP(Table4[[#This Row],[A ID]],Assets[#All],3,FALSE())</f>
        <v>Tablet Resources - web cam, microphone, OTG devices, Removable USB, Tablet Application, Network interfaces (Bluetooth, Wifi)</v>
      </c>
      <c r="H58" s="19" t="s">
        <v>292</v>
      </c>
      <c r="I58" s="19" t="s">
        <v>293</v>
      </c>
      <c r="J58" s="89" t="s">
        <v>274</v>
      </c>
      <c r="K58" s="89" t="s">
        <v>267</v>
      </c>
      <c r="L58" s="89" t="s">
        <v>267</v>
      </c>
      <c r="M58" s="90" t="s">
        <v>275</v>
      </c>
      <c r="N58" s="90" t="s">
        <v>267</v>
      </c>
      <c r="O58" s="90" t="s">
        <v>276</v>
      </c>
      <c r="P58" s="90" t="s">
        <v>274</v>
      </c>
      <c r="Q58" s="90" t="s">
        <v>270</v>
      </c>
      <c r="R5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0.79892851500000017</v>
      </c>
      <c r="S58" s="91">
        <f>(1 - ((1 - VLOOKUP(Table4[[#This Row],[Confidentiality]],'Reference - CVSSv3.0'!$B$16:$C$18,2,FALSE())) * (1 - VLOOKUP(Table4[[#This Row],[Integrity]],'Reference - CVSSv3.0'!$B$16:$C$18,2,FALSE())) *  (1 - VLOOKUP(Table4[[#This Row],[Availability]],'Reference - CVSSv3.0'!$B$16:$C$18,2,FALSE()))))</f>
        <v>0.39159999999999995</v>
      </c>
      <c r="T58" s="91">
        <f>IF(Table4[[#This Row],[Scope]]="Unchanged",6.42*Table4[[#This Row],[ISC Base]],IF(Table4[[#This Row],[Scope]]="Changed",7.52*(Table4[[#This Row],[ISC Base]] - 0.029) - 3.25 * POWER(Table4[[#This Row],[ISC Base]] - 0.02,15),NA()))</f>
        <v>2.5140719999999996</v>
      </c>
      <c r="U58" s="91">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85" t="s">
        <v>277</v>
      </c>
      <c r="W58" s="91">
        <f>VLOOKUP(Table4[[#This Row],[Threat Event Initiation]],NIST_Scale_LOAI[],2,FALSE())</f>
        <v>0.5</v>
      </c>
      <c r="X5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19" t="s">
        <v>271</v>
      </c>
      <c r="AA58" s="19" t="s">
        <v>294</v>
      </c>
      <c r="AB58" s="19" t="s">
        <v>469</v>
      </c>
      <c r="AC58" s="36"/>
      <c r="AD58" s="36"/>
      <c r="AE58" s="36"/>
      <c r="AF58" s="90"/>
      <c r="AG58" s="90"/>
      <c r="AH58" s="90"/>
      <c r="AI58" s="90"/>
      <c r="AJ58" s="90"/>
      <c r="AK5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8" s="91" t="e">
        <f>(1 - ((1 - VLOOKUP(Table4[[#This Row],[ConfidentialityP]],'Reference - CVSSv3.0'!$B$16:$C$18,2,FALSE())) * (1 - VLOOKUP(Table4[[#This Row],[IntegrityP]],'Reference - CVSSv3.0'!$B$16:$C$18,2,FALSE())) *  (1 - VLOOKUP(Table4[[#This Row],[AvailabilityP]],'Reference - CVSSv3.0'!$B$16:$C$18,2,FALSE()))))</f>
        <v>#N/A</v>
      </c>
      <c r="AM58" s="91" t="e">
        <f>IF(Table4[[#This Row],[ScopeP]]="Unchanged",6.42*Table4[[#This Row],[ISC BaseP]],IF(Table4[[#This Row],[ScopeP]]="Changed",7.52*(Table4[[#This Row],[ISC BaseP]] - 0.029) - 3.25 * POWER(Table4[[#This Row],[ISC BaseP]] - 0.02,15),NA()))</f>
        <v>#N/A</v>
      </c>
      <c r="AN5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36"/>
    </row>
    <row r="59" spans="1:43" ht="145.5" customHeight="1">
      <c r="A59" s="84">
        <v>55</v>
      </c>
      <c r="B59" s="85" t="s">
        <v>188</v>
      </c>
      <c r="C59" s="86" t="str">
        <f>IF(VLOOKUP(Table4[[#This Row],[T ID]],Table5[#All],5,FALSE())="No","Not in scope",VLOOKUP(Table4[[#This Row],[T ID]],Table5[#All],2,FALSE()))</f>
        <v>Clearing Track
(TTP)</v>
      </c>
      <c r="D59" s="57" t="s">
        <v>111</v>
      </c>
      <c r="E59" s="86" t="str">
        <f>IF(VLOOKUP(Table4[[#This Row],[V ID]],Vulnerabilities[#All],3,FALSE())="No","Not in scope",VLOOKUP(Table4[[#This Row],[V ID]],Vulnerabilities[#All],2,FALSE()))</f>
        <v>Ineffective patch management of firware, OS and applications thoughout the information system plan</v>
      </c>
      <c r="F59" s="87" t="s">
        <v>53</v>
      </c>
      <c r="G59" s="88" t="str">
        <f>VLOOKUP(Table4[[#This Row],[A ID]],Assets[#All],3,FALSE())</f>
        <v>Device Maintainence tool (Hardware/Software)</v>
      </c>
      <c r="H59" s="19" t="s">
        <v>292</v>
      </c>
      <c r="I59" s="19" t="s">
        <v>293</v>
      </c>
      <c r="J59" s="89" t="s">
        <v>267</v>
      </c>
      <c r="K59" s="89" t="s">
        <v>267</v>
      </c>
      <c r="L59" s="89" t="s">
        <v>267</v>
      </c>
      <c r="M59" s="90" t="s">
        <v>275</v>
      </c>
      <c r="N59" s="90" t="s">
        <v>267</v>
      </c>
      <c r="O59" s="90" t="s">
        <v>267</v>
      </c>
      <c r="P59" s="90" t="s">
        <v>274</v>
      </c>
      <c r="Q59" s="90" t="s">
        <v>270</v>
      </c>
      <c r="R5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59" s="91">
        <f>(1 - ((1 - VLOOKUP(Table4[[#This Row],[Confidentiality]],'Reference - CVSSv3.0'!$B$16:$C$18,2,FALSE())) * (1 - VLOOKUP(Table4[[#This Row],[Integrity]],'Reference - CVSSv3.0'!$B$16:$C$18,2,FALSE())) *  (1 - VLOOKUP(Table4[[#This Row],[Availability]],'Reference - CVSSv3.0'!$B$16:$C$18,2,FALSE()))))</f>
        <v>0.52544799999999992</v>
      </c>
      <c r="T59" s="91">
        <f>IF(Table4[[#This Row],[Scope]]="Unchanged",6.42*Table4[[#This Row],[ISC Base]],IF(Table4[[#This Row],[Scope]]="Changed",7.52*(Table4[[#This Row],[ISC Base]] - 0.029) - 3.25 * POWER(Table4[[#This Row],[ISC Base]] - 0.02,15),NA()))</f>
        <v>3.3733761599999994</v>
      </c>
      <c r="U5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85" t="s">
        <v>267</v>
      </c>
      <c r="W59" s="91">
        <f>VLOOKUP(Table4[[#This Row],[Threat Event Initiation]],NIST_Scale_LOAI[],2,FALSE())</f>
        <v>0.2</v>
      </c>
      <c r="X5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19" t="s">
        <v>271</v>
      </c>
      <c r="AA59" s="19" t="s">
        <v>454</v>
      </c>
      <c r="AB59" s="19" t="s">
        <v>473</v>
      </c>
      <c r="AC59" s="36"/>
      <c r="AD59" s="36"/>
      <c r="AE59" s="36"/>
      <c r="AF59" s="90"/>
      <c r="AG59" s="90"/>
      <c r="AH59" s="90"/>
      <c r="AI59" s="90"/>
      <c r="AJ59" s="90"/>
      <c r="AK5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9" s="91" t="e">
        <f>(1 - ((1 - VLOOKUP(Table4[[#This Row],[ConfidentialityP]],'Reference - CVSSv3.0'!$B$16:$C$18,2,FALSE())) * (1 - VLOOKUP(Table4[[#This Row],[IntegrityP]],'Reference - CVSSv3.0'!$B$16:$C$18,2,FALSE())) *  (1 - VLOOKUP(Table4[[#This Row],[AvailabilityP]],'Reference - CVSSv3.0'!$B$16:$C$18,2,FALSE()))))</f>
        <v>#N/A</v>
      </c>
      <c r="AM59" s="91" t="e">
        <f>IF(Table4[[#This Row],[ScopeP]]="Unchanged",6.42*Table4[[#This Row],[ISC BaseP]],IF(Table4[[#This Row],[ScopeP]]="Changed",7.52*(Table4[[#This Row],[ISC BaseP]] - 0.029) - 3.25 * POWER(Table4[[#This Row],[ISC BaseP]] - 0.02,15),NA()))</f>
        <v>#N/A</v>
      </c>
      <c r="AN5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36"/>
    </row>
    <row r="60" spans="1:43" ht="210">
      <c r="A60" s="84">
        <v>56</v>
      </c>
      <c r="B60" s="85" t="s">
        <v>188</v>
      </c>
      <c r="C60" s="86" t="str">
        <f>IF(VLOOKUP(Table4[[#This Row],[T ID]],Table5[#All],5,FALSE())="No","Not in scope",VLOOKUP(Table4[[#This Row],[T ID]],Table5[#All],2,FALSE()))</f>
        <v>Clearing Track
(TTP)</v>
      </c>
      <c r="D60" s="57" t="s">
        <v>111</v>
      </c>
      <c r="E60" s="86" t="str">
        <f>IF(VLOOKUP(Table4[[#This Row],[V ID]],Vulnerabilities[#All],3,FALSE())="No","Not in scope",VLOOKUP(Table4[[#This Row],[V ID]],Vulnerabilities[#All],2,FALSE()))</f>
        <v>Ineffective patch management of firware, OS and applications thoughout the information system plan</v>
      </c>
      <c r="F60" s="87" t="s">
        <v>42</v>
      </c>
      <c r="G60" s="88" t="str">
        <f>VLOOKUP(Table4[[#This Row],[A ID]],Assets[#All],3,FALSE())</f>
        <v>Tablet OS/network details &amp; Tablet Application</v>
      </c>
      <c r="H60" s="19" t="s">
        <v>292</v>
      </c>
      <c r="I60" s="19" t="s">
        <v>293</v>
      </c>
      <c r="J60" s="89" t="s">
        <v>267</v>
      </c>
      <c r="K60" s="89" t="s">
        <v>267</v>
      </c>
      <c r="L60" s="89" t="s">
        <v>267</v>
      </c>
      <c r="M60" s="90" t="s">
        <v>275</v>
      </c>
      <c r="N60" s="90" t="s">
        <v>267</v>
      </c>
      <c r="O60" s="90" t="s">
        <v>267</v>
      </c>
      <c r="P60" s="90" t="s">
        <v>274</v>
      </c>
      <c r="Q60" s="90" t="s">
        <v>270</v>
      </c>
      <c r="R6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0" s="91">
        <f>(1 - ((1 - VLOOKUP(Table4[[#This Row],[Confidentiality]],'Reference - CVSSv3.0'!$B$16:$C$18,2,FALSE())) * (1 - VLOOKUP(Table4[[#This Row],[Integrity]],'Reference - CVSSv3.0'!$B$16:$C$18,2,FALSE())) *  (1 - VLOOKUP(Table4[[#This Row],[Availability]],'Reference - CVSSv3.0'!$B$16:$C$18,2,FALSE()))))</f>
        <v>0.52544799999999992</v>
      </c>
      <c r="T60" s="91">
        <f>IF(Table4[[#This Row],[Scope]]="Unchanged",6.42*Table4[[#This Row],[ISC Base]],IF(Table4[[#This Row],[Scope]]="Changed",7.52*(Table4[[#This Row],[ISC Base]] - 0.029) - 3.25 * POWER(Table4[[#This Row],[ISC Base]] - 0.02,15),NA()))</f>
        <v>3.3733761599999994</v>
      </c>
      <c r="U6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85" t="s">
        <v>267</v>
      </c>
      <c r="W60" s="91">
        <f>VLOOKUP(Table4[[#This Row],[Threat Event Initiation]],NIST_Scale_LOAI[],2,FALSE())</f>
        <v>0.2</v>
      </c>
      <c r="X6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19" t="s">
        <v>271</v>
      </c>
      <c r="AA60" s="19" t="s">
        <v>272</v>
      </c>
      <c r="AB60" s="19" t="s">
        <v>469</v>
      </c>
      <c r="AC60" s="36"/>
      <c r="AD60" s="36"/>
      <c r="AE60" s="36"/>
      <c r="AF60" s="90"/>
      <c r="AG60" s="90"/>
      <c r="AH60" s="90"/>
      <c r="AI60" s="90"/>
      <c r="AJ60" s="90"/>
      <c r="AK6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0" s="91" t="e">
        <f>(1 - ((1 - VLOOKUP(Table4[[#This Row],[ConfidentialityP]],'Reference - CVSSv3.0'!$B$16:$C$18,2,FALSE())) * (1 - VLOOKUP(Table4[[#This Row],[IntegrityP]],'Reference - CVSSv3.0'!$B$16:$C$18,2,FALSE())) *  (1 - VLOOKUP(Table4[[#This Row],[AvailabilityP]],'Reference - CVSSv3.0'!$B$16:$C$18,2,FALSE()))))</f>
        <v>#N/A</v>
      </c>
      <c r="AM60" s="91" t="e">
        <f>IF(Table4[[#This Row],[ScopeP]]="Unchanged",6.42*Table4[[#This Row],[ISC BaseP]],IF(Table4[[#This Row],[ScopeP]]="Changed",7.52*(Table4[[#This Row],[ISC BaseP]] - 0.029) - 3.25 * POWER(Table4[[#This Row],[ISC BaseP]] - 0.02,15),NA()))</f>
        <v>#N/A</v>
      </c>
      <c r="AN6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36"/>
    </row>
    <row r="61" spans="1:43" ht="171" customHeight="1">
      <c r="A61" s="84">
        <v>57</v>
      </c>
      <c r="B61" s="85" t="s">
        <v>188</v>
      </c>
      <c r="C61" s="86" t="str">
        <f>IF(VLOOKUP(Table4[[#This Row],[T ID]],Table5[#All],5,FALSE())="No","Not in scope",VLOOKUP(Table4[[#This Row],[T ID]],Table5[#All],2,FALSE()))</f>
        <v>Clearing Track
(TTP)</v>
      </c>
      <c r="D61" s="57" t="s">
        <v>115</v>
      </c>
      <c r="E61" s="86" t="str">
        <f>IF(VLOOKUP(Table4[[#This Row],[V ID]],Vulnerabilities[#All],3,FALSE())="No","Not in scope",VLOOKUP(Table4[[#This Row],[V ID]],Vulnerabilities[#All],2,FALSE()))</f>
        <v>The  static connection digaram between devices and applications with provision for periodic updation as per changes</v>
      </c>
      <c r="F61" s="87" t="s">
        <v>53</v>
      </c>
      <c r="G61" s="88" t="str">
        <f>VLOOKUP(Table4[[#This Row],[A ID]],Assets[#All],3,FALSE())</f>
        <v>Device Maintainence tool (Hardware/Software)</v>
      </c>
      <c r="H61" s="19" t="s">
        <v>292</v>
      </c>
      <c r="I61" s="19" t="s">
        <v>293</v>
      </c>
      <c r="J61" s="89" t="s">
        <v>267</v>
      </c>
      <c r="K61" s="89" t="s">
        <v>267</v>
      </c>
      <c r="L61" s="89" t="s">
        <v>267</v>
      </c>
      <c r="M61" s="90" t="s">
        <v>275</v>
      </c>
      <c r="N61" s="90" t="s">
        <v>267</v>
      </c>
      <c r="O61" s="90" t="s">
        <v>267</v>
      </c>
      <c r="P61" s="90" t="s">
        <v>274</v>
      </c>
      <c r="Q61" s="90" t="s">
        <v>270</v>
      </c>
      <c r="R6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1" s="91">
        <f>(1 - ((1 - VLOOKUP(Table4[[#This Row],[Confidentiality]],'Reference - CVSSv3.0'!$B$16:$C$18,2,FALSE())) * (1 - VLOOKUP(Table4[[#This Row],[Integrity]],'Reference - CVSSv3.0'!$B$16:$C$18,2,FALSE())) *  (1 - VLOOKUP(Table4[[#This Row],[Availability]],'Reference - CVSSv3.0'!$B$16:$C$18,2,FALSE()))))</f>
        <v>0.52544799999999992</v>
      </c>
      <c r="T61" s="91">
        <f>IF(Table4[[#This Row],[Scope]]="Unchanged",6.42*Table4[[#This Row],[ISC Base]],IF(Table4[[#This Row],[Scope]]="Changed",7.52*(Table4[[#This Row],[ISC Base]] - 0.029) - 3.25 * POWER(Table4[[#This Row],[ISC Base]] - 0.02,15),NA()))</f>
        <v>3.3733761599999994</v>
      </c>
      <c r="U6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85" t="s">
        <v>267</v>
      </c>
      <c r="W61" s="91">
        <f>VLOOKUP(Table4[[#This Row],[Threat Event Initiation]],NIST_Scale_LOAI[],2,FALSE())</f>
        <v>0.2</v>
      </c>
      <c r="X6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19" t="s">
        <v>271</v>
      </c>
      <c r="AA61" s="19" t="s">
        <v>454</v>
      </c>
      <c r="AB61" s="19" t="s">
        <v>473</v>
      </c>
      <c r="AC61" s="36"/>
      <c r="AD61" s="36"/>
      <c r="AE61" s="36"/>
      <c r="AF61" s="90"/>
      <c r="AG61" s="90"/>
      <c r="AH61" s="90"/>
      <c r="AI61" s="90"/>
      <c r="AJ61" s="90"/>
      <c r="AK6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1" s="91" t="e">
        <f>(1 - ((1 - VLOOKUP(Table4[[#This Row],[ConfidentialityP]],'Reference - CVSSv3.0'!$B$16:$C$18,2,FALSE())) * (1 - VLOOKUP(Table4[[#This Row],[IntegrityP]],'Reference - CVSSv3.0'!$B$16:$C$18,2,FALSE())) *  (1 - VLOOKUP(Table4[[#This Row],[AvailabilityP]],'Reference - CVSSv3.0'!$B$16:$C$18,2,FALSE()))))</f>
        <v>#N/A</v>
      </c>
      <c r="AM61" s="91" t="e">
        <f>IF(Table4[[#This Row],[ScopeP]]="Unchanged",6.42*Table4[[#This Row],[ISC BaseP]],IF(Table4[[#This Row],[ScopeP]]="Changed",7.52*(Table4[[#This Row],[ISC BaseP]] - 0.029) - 3.25 * POWER(Table4[[#This Row],[ISC BaseP]] - 0.02,15),NA()))</f>
        <v>#N/A</v>
      </c>
      <c r="AN6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36"/>
    </row>
    <row r="62" spans="1:43" ht="210">
      <c r="A62" s="84">
        <v>58</v>
      </c>
      <c r="B62" s="85" t="s">
        <v>188</v>
      </c>
      <c r="C62" s="86" t="str">
        <f>IF(VLOOKUP(Table4[[#This Row],[T ID]],Table5[#All],5,FALSE())="No","Not in scope",VLOOKUP(Table4[[#This Row],[T ID]],Table5[#All],2,FALSE()))</f>
        <v>Clearing Track
(TTP)</v>
      </c>
      <c r="D62" s="57" t="s">
        <v>115</v>
      </c>
      <c r="E62" s="86" t="str">
        <f>IF(VLOOKUP(Table4[[#This Row],[V ID]],Vulnerabilities[#All],3,FALSE())="No","Not in scope",VLOOKUP(Table4[[#This Row],[V ID]],Vulnerabilities[#All],2,FALSE()))</f>
        <v>The  static connection digaram between devices and applications with provision for periodic updation as per changes</v>
      </c>
      <c r="F62" s="87" t="s">
        <v>38</v>
      </c>
      <c r="G62" s="88" t="str">
        <f>VLOOKUP(Table4[[#This Row],[A ID]],Assets[#All],3,FALSE())</f>
        <v>Tablet Resources - web cam, microphone, OTG devices, Removable USB, Tablet Application, Network interfaces (Bluetooth, Wifi)</v>
      </c>
      <c r="H62" s="19" t="s">
        <v>292</v>
      </c>
      <c r="I62" s="19" t="s">
        <v>293</v>
      </c>
      <c r="J62" s="89" t="s">
        <v>267</v>
      </c>
      <c r="K62" s="89" t="s">
        <v>267</v>
      </c>
      <c r="L62" s="89" t="s">
        <v>267</v>
      </c>
      <c r="M62" s="90" t="s">
        <v>275</v>
      </c>
      <c r="N62" s="90" t="s">
        <v>267</v>
      </c>
      <c r="O62" s="90" t="s">
        <v>267</v>
      </c>
      <c r="P62" s="90" t="s">
        <v>274</v>
      </c>
      <c r="Q62" s="90" t="s">
        <v>270</v>
      </c>
      <c r="R6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2" s="91">
        <f>(1 - ((1 - VLOOKUP(Table4[[#This Row],[Confidentiality]],'Reference - CVSSv3.0'!$B$16:$C$18,2,FALSE())) * (1 - VLOOKUP(Table4[[#This Row],[Integrity]],'Reference - CVSSv3.0'!$B$16:$C$18,2,FALSE())) *  (1 - VLOOKUP(Table4[[#This Row],[Availability]],'Reference - CVSSv3.0'!$B$16:$C$18,2,FALSE()))))</f>
        <v>0.52544799999999992</v>
      </c>
      <c r="T62" s="91">
        <f>IF(Table4[[#This Row],[Scope]]="Unchanged",6.42*Table4[[#This Row],[ISC Base]],IF(Table4[[#This Row],[Scope]]="Changed",7.52*(Table4[[#This Row],[ISC Base]] - 0.029) - 3.25 * POWER(Table4[[#This Row],[ISC Base]] - 0.02,15),NA()))</f>
        <v>3.3733761599999994</v>
      </c>
      <c r="U6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85" t="s">
        <v>267</v>
      </c>
      <c r="W62" s="91">
        <f>VLOOKUP(Table4[[#This Row],[Threat Event Initiation]],NIST_Scale_LOAI[],2,FALSE())</f>
        <v>0.2</v>
      </c>
      <c r="X6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19" t="s">
        <v>271</v>
      </c>
      <c r="AA62" s="19" t="s">
        <v>282</v>
      </c>
      <c r="AB62" s="19" t="s">
        <v>469</v>
      </c>
      <c r="AC62" s="36"/>
      <c r="AD62" s="36"/>
      <c r="AE62" s="36"/>
      <c r="AF62" s="90"/>
      <c r="AG62" s="90"/>
      <c r="AH62" s="90"/>
      <c r="AI62" s="90"/>
      <c r="AJ62" s="90"/>
      <c r="AK6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2" s="91" t="e">
        <f>(1 - ((1 - VLOOKUP(Table4[[#This Row],[ConfidentialityP]],'Reference - CVSSv3.0'!$B$16:$C$18,2,FALSE())) * (1 - VLOOKUP(Table4[[#This Row],[IntegrityP]],'Reference - CVSSv3.0'!$B$16:$C$18,2,FALSE())) *  (1 - VLOOKUP(Table4[[#This Row],[AvailabilityP]],'Reference - CVSSv3.0'!$B$16:$C$18,2,FALSE()))))</f>
        <v>#N/A</v>
      </c>
      <c r="AM62" s="91" t="e">
        <f>IF(Table4[[#This Row],[ScopeP]]="Unchanged",6.42*Table4[[#This Row],[ISC BaseP]],IF(Table4[[#This Row],[ScopeP]]="Changed",7.52*(Table4[[#This Row],[ISC BaseP]] - 0.029) - 3.25 * POWER(Table4[[#This Row],[ISC BaseP]] - 0.02,15),NA()))</f>
        <v>#N/A</v>
      </c>
      <c r="AN6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36"/>
    </row>
    <row r="63" spans="1:43" s="234" customFormat="1" ht="216.65" customHeight="1">
      <c r="A63" s="219">
        <v>59</v>
      </c>
      <c r="B63" s="85" t="s">
        <v>191</v>
      </c>
      <c r="C63" s="86" t="str">
        <f>IF(VLOOKUP(Table4[[#This Row],[T ID]],Table5[#All],5,FALSE())="No","Not in scope",VLOOKUP(Table4[[#This Row],[T ID]],Table5[#All],2,FALSE()))</f>
        <v>Elevation of privilege
(STRID[E])</v>
      </c>
      <c r="D63" s="57" t="s">
        <v>126</v>
      </c>
      <c r="E63" s="86" t="str">
        <f>IF(VLOOKUP(Table4[[#This Row],[V ID]],Vulnerabilities[#All],3,FALSE())="No","Not in scope",VLOOKUP(Table4[[#This Row],[V ID]],Vulnerabilities[#All],2,FALSE()))</f>
        <v>Controlled Use of Administrative Privileges over the network</v>
      </c>
      <c r="F63" s="87" t="s">
        <v>50</v>
      </c>
      <c r="G63" s="88" t="str">
        <f>VLOOKUP(Table4[[#This Row],[A ID]],Assets[#All],3,FALSE())</f>
        <v>Authentication/Authorisation method of all device(s)/app</v>
      </c>
      <c r="H63" s="221" t="s">
        <v>295</v>
      </c>
      <c r="I63" s="19" t="s">
        <v>465</v>
      </c>
      <c r="J63" s="224" t="s">
        <v>267</v>
      </c>
      <c r="K63" s="224" t="s">
        <v>267</v>
      </c>
      <c r="L63" s="224" t="s">
        <v>267</v>
      </c>
      <c r="M63" s="224" t="s">
        <v>273</v>
      </c>
      <c r="N63" s="224" t="s">
        <v>267</v>
      </c>
      <c r="O63" s="224" t="s">
        <v>267</v>
      </c>
      <c r="P63" s="224" t="s">
        <v>269</v>
      </c>
      <c r="Q63" s="224" t="s">
        <v>270</v>
      </c>
      <c r="R6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63" s="93">
        <f>(1 - ((1 - VLOOKUP(Table4[[#This Row],[Confidentiality]],'Reference - CVSSv3.0'!$B$16:$C$18,2,FALSE())) * (1 - VLOOKUP(Table4[[#This Row],[Integrity]],'Reference - CVSSv3.0'!$B$16:$C$18,2,FALSE())) *  (1 - VLOOKUP(Table4[[#This Row],[Availability]],'Reference - CVSSv3.0'!$B$16:$C$18,2,FALSE()))))</f>
        <v>0.52544799999999992</v>
      </c>
      <c r="T63" s="93">
        <f>IF(Table4[[#This Row],[Scope]]="Unchanged",6.42*Table4[[#This Row],[ISC Base]],IF(Table4[[#This Row],[Scope]]="Changed",7.52*(Table4[[#This Row],[ISC Base]] - 0.029) - 3.25 * POWER(Table4[[#This Row],[ISC Base]] - 0.02,15),NA()))</f>
        <v>3.3733761599999994</v>
      </c>
      <c r="U63" s="93">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220" t="s">
        <v>267</v>
      </c>
      <c r="W63" s="91">
        <f>VLOOKUP(Table4[[#This Row],[Threat Event Initiation]],NIST_Scale_LOAI[],2,FALSE())</f>
        <v>0.2</v>
      </c>
      <c r="X6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19" t="s">
        <v>296</v>
      </c>
      <c r="AA63" s="19" t="s">
        <v>458</v>
      </c>
      <c r="AB63" s="19" t="s">
        <v>491</v>
      </c>
      <c r="AC63" s="223"/>
      <c r="AD63" s="223"/>
      <c r="AE63" s="223"/>
      <c r="AF63" s="224"/>
      <c r="AG63" s="224"/>
      <c r="AH63" s="224"/>
      <c r="AI63" s="224"/>
      <c r="AJ63" s="224"/>
      <c r="AK63"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3" s="225" t="e">
        <f>(1 - ((1 - VLOOKUP(Table4[[#This Row],[ConfidentialityP]],'Reference - CVSSv3.0'!$B$16:$C$18,2,FALSE())) * (1 - VLOOKUP(Table4[[#This Row],[IntegrityP]],'Reference - CVSSv3.0'!$B$16:$C$18,2,FALSE())) *  (1 - VLOOKUP(Table4[[#This Row],[AvailabilityP]],'Reference - CVSSv3.0'!$B$16:$C$18,2,FALSE()))))</f>
        <v>#N/A</v>
      </c>
      <c r="AM63" s="225" t="e">
        <f>IF(Table4[[#This Row],[ScopeP]]="Unchanged",6.42*Table4[[#This Row],[ISC BaseP]],IF(Table4[[#This Row],[ScopeP]]="Changed",7.52*(Table4[[#This Row],[ISC BaseP]] - 0.029) - 3.25 * POWER(Table4[[#This Row],[ISC BaseP]] - 0.02,15),NA()))</f>
        <v>#N/A</v>
      </c>
      <c r="AN6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23"/>
    </row>
    <row r="64" spans="1:43" ht="169.5" customHeight="1">
      <c r="A64" s="84">
        <v>60</v>
      </c>
      <c r="B64" s="85" t="s">
        <v>191</v>
      </c>
      <c r="C64" s="86" t="str">
        <f>IF(VLOOKUP(Table4[[#This Row],[T ID]],Table5[#All],5,FALSE())="No","Not in scope",VLOOKUP(Table4[[#This Row],[T ID]],Table5[#All],2,FALSE()))</f>
        <v>Elevation of privilege
(STRID[E])</v>
      </c>
      <c r="D64" s="57" t="s">
        <v>126</v>
      </c>
      <c r="E64" s="86" t="str">
        <f>IF(VLOOKUP(Table4[[#This Row],[V ID]],Vulnerabilities[#All],3,FALSE())="No","Not in scope",VLOOKUP(Table4[[#This Row],[V ID]],Vulnerabilities[#All],2,FALSE()))</f>
        <v>Controlled Use of Administrative Privileges over the network</v>
      </c>
      <c r="F64" s="87" t="s">
        <v>74</v>
      </c>
      <c r="G64" s="88" t="str">
        <f>VLOOKUP(Table4[[#This Row],[A ID]],Assets[#All],3,FALSE())</f>
        <v>Smart medic app (Azure Portal Administrator)</v>
      </c>
      <c r="H64" s="19" t="s">
        <v>295</v>
      </c>
      <c r="I64" s="19" t="s">
        <v>465</v>
      </c>
      <c r="J64" s="89" t="s">
        <v>274</v>
      </c>
      <c r="K64" s="89" t="s">
        <v>267</v>
      </c>
      <c r="L64" s="89" t="s">
        <v>276</v>
      </c>
      <c r="M64" s="90" t="s">
        <v>273</v>
      </c>
      <c r="N64" s="90" t="s">
        <v>267</v>
      </c>
      <c r="O64" s="90" t="s">
        <v>276</v>
      </c>
      <c r="P64" s="90" t="s">
        <v>269</v>
      </c>
      <c r="Q64" s="90" t="s">
        <v>270</v>
      </c>
      <c r="R6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64" s="91">
        <f>(1 - ((1 - VLOOKUP(Table4[[#This Row],[Confidentiality]],'Reference - CVSSv3.0'!$B$16:$C$18,2,FALSE())) * (1 - VLOOKUP(Table4[[#This Row],[Integrity]],'Reference - CVSSv3.0'!$B$16:$C$18,2,FALSE())) *  (1 - VLOOKUP(Table4[[#This Row],[Availability]],'Reference - CVSSv3.0'!$B$16:$C$18,2,FALSE()))))</f>
        <v>0.65680000000000005</v>
      </c>
      <c r="T64" s="91">
        <f>IF(Table4[[#This Row],[Scope]]="Unchanged",6.42*Table4[[#This Row],[ISC Base]],IF(Table4[[#This Row],[Scope]]="Changed",7.52*(Table4[[#This Row],[ISC Base]] - 0.029) - 3.25 * POWER(Table4[[#This Row],[ISC Base]] - 0.02,15),NA()))</f>
        <v>4.2166560000000004</v>
      </c>
      <c r="U64" s="91">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85" t="s">
        <v>277</v>
      </c>
      <c r="W64" s="91">
        <f>VLOOKUP(Table4[[#This Row],[Threat Event Initiation]],NIST_Scale_LOAI[],2,FALSE())</f>
        <v>0.5</v>
      </c>
      <c r="X6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19" t="s">
        <v>296</v>
      </c>
      <c r="AA64" s="19" t="s">
        <v>455</v>
      </c>
      <c r="AB64" s="19" t="s">
        <v>492</v>
      </c>
      <c r="AC64" s="36"/>
      <c r="AD64" s="36"/>
      <c r="AE64" s="36"/>
      <c r="AF64" s="90"/>
      <c r="AG64" s="90"/>
      <c r="AH64" s="90"/>
      <c r="AI64" s="90"/>
      <c r="AJ64" s="90"/>
      <c r="AK6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4" s="91" t="e">
        <f>(1 - ((1 - VLOOKUP(Table4[[#This Row],[ConfidentialityP]],'Reference - CVSSv3.0'!$B$16:$C$18,2,FALSE())) * (1 - VLOOKUP(Table4[[#This Row],[IntegrityP]],'Reference - CVSSv3.0'!$B$16:$C$18,2,FALSE())) *  (1 - VLOOKUP(Table4[[#This Row],[AvailabilityP]],'Reference - CVSSv3.0'!$B$16:$C$18,2,FALSE()))))</f>
        <v>#N/A</v>
      </c>
      <c r="AM64" s="91" t="e">
        <f>IF(Table4[[#This Row],[ScopeP]]="Unchanged",6.42*Table4[[#This Row],[ISC BaseP]],IF(Table4[[#This Row],[ScopeP]]="Changed",7.52*(Table4[[#This Row],[ISC BaseP]] - 0.029) - 3.25 * POWER(Table4[[#This Row],[ISC BaseP]] - 0.02,15),NA()))</f>
        <v>#N/A</v>
      </c>
      <c r="AN6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36"/>
    </row>
    <row r="65" spans="1:43" ht="210">
      <c r="A65" s="84">
        <v>61</v>
      </c>
      <c r="B65" s="85" t="s">
        <v>194</v>
      </c>
      <c r="C65" s="86" t="str">
        <f>IF(VLOOKUP(Table4[[#This Row],[T ID]],Table5[#All],5,FALSE())="No","Not in scope",VLOOKUP(Table4[[#This Row],[T ID]],Table5[#All],2,FALSE()))</f>
        <v>Denial of service
(STRI(D)E)</v>
      </c>
      <c r="D65" s="57" t="s">
        <v>120</v>
      </c>
      <c r="E65" s="86" t="str">
        <f>IF(VLOOKUP(Table4[[#This Row],[V ID]],Vulnerabilities[#All],3,FALSE())="No","Not in scope",VLOOKUP(Table4[[#This Row],[V ID]],Vulnerabilities[#All],2,FALSE()))</f>
        <v>Unprotected network port(s) on network devices and connection points</v>
      </c>
      <c r="F65" s="87" t="s">
        <v>42</v>
      </c>
      <c r="G65" s="88" t="str">
        <f>VLOOKUP(Table4[[#This Row],[A ID]],Assets[#All],3,FALSE())</f>
        <v>Tablet OS/network details &amp; Tablet Application</v>
      </c>
      <c r="H65" s="19" t="s">
        <v>297</v>
      </c>
      <c r="I65" s="19" t="s">
        <v>465</v>
      </c>
      <c r="J65" s="89" t="s">
        <v>274</v>
      </c>
      <c r="K65" s="89" t="s">
        <v>274</v>
      </c>
      <c r="L65" s="89" t="s">
        <v>276</v>
      </c>
      <c r="M65" s="90" t="s">
        <v>273</v>
      </c>
      <c r="N65" s="90" t="s">
        <v>267</v>
      </c>
      <c r="O65" s="90" t="s">
        <v>267</v>
      </c>
      <c r="P65" s="90" t="s">
        <v>274</v>
      </c>
      <c r="Q65" s="90" t="s">
        <v>270</v>
      </c>
      <c r="R6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65" s="91">
        <f>(1 - ((1 - VLOOKUP(Table4[[#This Row],[Confidentiality]],'Reference - CVSSv3.0'!$B$16:$C$18,2,FALSE())) * (1 - VLOOKUP(Table4[[#This Row],[Integrity]],'Reference - CVSSv3.0'!$B$16:$C$18,2,FALSE())) *  (1 - VLOOKUP(Table4[[#This Row],[Availability]],'Reference - CVSSv3.0'!$B$16:$C$18,2,FALSE()))))</f>
        <v>0.56000000000000005</v>
      </c>
      <c r="T65" s="91">
        <f>IF(Table4[[#This Row],[Scope]]="Unchanged",6.42*Table4[[#This Row],[ISC Base]],IF(Table4[[#This Row],[Scope]]="Changed",7.52*(Table4[[#This Row],[ISC Base]] - 0.029) - 3.25 * POWER(Table4[[#This Row],[ISC Base]] - 0.02,15),NA()))</f>
        <v>3.5952000000000002</v>
      </c>
      <c r="U65" s="91">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85" t="s">
        <v>267</v>
      </c>
      <c r="W65" s="91">
        <f>VLOOKUP(Table4[[#This Row],[Threat Event Initiation]],NIST_Scale_LOAI[],2,FALSE())</f>
        <v>0.2</v>
      </c>
      <c r="X6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19" t="s">
        <v>298</v>
      </c>
      <c r="AA65" s="19" t="s">
        <v>272</v>
      </c>
      <c r="AB65" s="19" t="s">
        <v>493</v>
      </c>
      <c r="AC65" s="36"/>
      <c r="AD65" s="36"/>
      <c r="AE65" s="36"/>
      <c r="AF65" s="90"/>
      <c r="AG65" s="90"/>
      <c r="AH65" s="90"/>
      <c r="AI65" s="90"/>
      <c r="AJ65" s="90"/>
      <c r="AK6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5" s="91" t="e">
        <f>(1 - ((1 - VLOOKUP(Table4[[#This Row],[ConfidentialityP]],'Reference - CVSSv3.0'!$B$16:$C$18,2,FALSE())) * (1 - VLOOKUP(Table4[[#This Row],[IntegrityP]],'Reference - CVSSv3.0'!$B$16:$C$18,2,FALSE())) *  (1 - VLOOKUP(Table4[[#This Row],[AvailabilityP]],'Reference - CVSSv3.0'!$B$16:$C$18,2,FALSE()))))</f>
        <v>#N/A</v>
      </c>
      <c r="AM65" s="91" t="e">
        <f>IF(Table4[[#This Row],[ScopeP]]="Unchanged",6.42*Table4[[#This Row],[ISC BaseP]],IF(Table4[[#This Row],[ScopeP]]="Changed",7.52*(Table4[[#This Row],[ISC BaseP]] - 0.029) - 3.25 * POWER(Table4[[#This Row],[ISC BaseP]] - 0.02,15),NA()))</f>
        <v>#N/A</v>
      </c>
      <c r="AN6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36"/>
    </row>
    <row r="66" spans="1:43" ht="294">
      <c r="A66" s="84">
        <v>62</v>
      </c>
      <c r="B66" s="85" t="s">
        <v>197</v>
      </c>
      <c r="C66" s="86" t="str">
        <f>IF(VLOOKUP(Table4[[#This Row],[T ID]],Table5[#All],5,FALSE())="No","Not in scope",VLOOKUP(Table4[[#This Row],[T ID]],Table5[#All],2,FALSE()))</f>
        <v>Information disclosure
(STR(I)DE)</v>
      </c>
      <c r="D66" s="57" t="s">
        <v>129</v>
      </c>
      <c r="E66" s="86" t="str">
        <f>IF(VLOOKUP(Table4[[#This Row],[V ID]],Vulnerabilities[#All],3,FALSE())="No","Not in scope",VLOOKUP(Table4[[#This Row],[V ID]],Vulnerabilities[#All],2,FALSE()))</f>
        <v>Unencrypted data at rest in all possible locations</v>
      </c>
      <c r="F66" s="87" t="s">
        <v>65</v>
      </c>
      <c r="G66" s="88" t="str">
        <f>VLOOKUP(Table4[[#This Row],[A ID]],Assets[#All],3,FALSE())</f>
        <v>Data at Rest</v>
      </c>
      <c r="H66" s="19" t="s">
        <v>299</v>
      </c>
      <c r="I66" s="19" t="s">
        <v>465</v>
      </c>
      <c r="J66" s="89" t="s">
        <v>267</v>
      </c>
      <c r="K66" s="89" t="s">
        <v>267</v>
      </c>
      <c r="L66" s="89" t="s">
        <v>267</v>
      </c>
      <c r="M66" s="90" t="s">
        <v>275</v>
      </c>
      <c r="N66" s="90" t="s">
        <v>276</v>
      </c>
      <c r="O66" s="90" t="s">
        <v>276</v>
      </c>
      <c r="P66" s="90" t="s">
        <v>274</v>
      </c>
      <c r="Q66" s="90" t="s">
        <v>270</v>
      </c>
      <c r="R6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6" s="91">
        <f>(1 - ((1 - VLOOKUP(Table4[[#This Row],[Confidentiality]],'Reference - CVSSv3.0'!$B$16:$C$18,2,FALSE())) * (1 - VLOOKUP(Table4[[#This Row],[Integrity]],'Reference - CVSSv3.0'!$B$16:$C$18,2,FALSE())) *  (1 - VLOOKUP(Table4[[#This Row],[Availability]],'Reference - CVSSv3.0'!$B$16:$C$18,2,FALSE()))))</f>
        <v>0.52544799999999992</v>
      </c>
      <c r="T66" s="91">
        <f>IF(Table4[[#This Row],[Scope]]="Unchanged",6.42*Table4[[#This Row],[ISC Base]],IF(Table4[[#This Row],[Scope]]="Changed",7.52*(Table4[[#This Row],[ISC Base]] - 0.029) - 3.25 * POWER(Table4[[#This Row],[ISC Base]] - 0.02,15),NA()))</f>
        <v>3.3733761599999994</v>
      </c>
      <c r="U6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85" t="s">
        <v>277</v>
      </c>
      <c r="W66" s="91">
        <f>VLOOKUP(Table4[[#This Row],[Threat Event Initiation]],NIST_Scale_LOAI[],2,FALSE())</f>
        <v>0.5</v>
      </c>
      <c r="X6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19" t="s">
        <v>300</v>
      </c>
      <c r="AA66" s="19" t="s">
        <v>427</v>
      </c>
      <c r="AB66" s="19" t="s">
        <v>494</v>
      </c>
      <c r="AC66" s="36"/>
      <c r="AD66" s="36"/>
      <c r="AE66" s="36"/>
      <c r="AF66" s="90"/>
      <c r="AG66" s="90"/>
      <c r="AH66" s="90"/>
      <c r="AI66" s="90"/>
      <c r="AJ66" s="90"/>
      <c r="AK6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6" s="91" t="e">
        <f>(1 - ((1 - VLOOKUP(Table4[[#This Row],[ConfidentialityP]],'Reference - CVSSv3.0'!$B$16:$C$18,2,FALSE())) * (1 - VLOOKUP(Table4[[#This Row],[IntegrityP]],'Reference - CVSSv3.0'!$B$16:$C$18,2,FALSE())) *  (1 - VLOOKUP(Table4[[#This Row],[AvailabilityP]],'Reference - CVSSv3.0'!$B$16:$C$18,2,FALSE()))))</f>
        <v>#N/A</v>
      </c>
      <c r="AM66" s="91" t="e">
        <f>IF(Table4[[#This Row],[ScopeP]]="Unchanged",6.42*Table4[[#This Row],[ISC BaseP]],IF(Table4[[#This Row],[ScopeP]]="Changed",7.52*(Table4[[#This Row],[ISC BaseP]] - 0.029) - 3.25 * POWER(Table4[[#This Row],[ISC BaseP]] - 0.02,15),NA()))</f>
        <v>#N/A</v>
      </c>
      <c r="AN6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36"/>
    </row>
    <row r="67" spans="1:43" ht="266">
      <c r="A67" s="84">
        <v>63</v>
      </c>
      <c r="B67" s="85" t="s">
        <v>197</v>
      </c>
      <c r="C67" s="86" t="str">
        <f>IF(VLOOKUP(Table4[[#This Row],[T ID]],Table5[#All],5,FALSE())="No","Not in scope",VLOOKUP(Table4[[#This Row],[T ID]],Table5[#All],2,FALSE()))</f>
        <v>Information disclosure
(STR(I)DE)</v>
      </c>
      <c r="D67" s="57" t="s">
        <v>131</v>
      </c>
      <c r="E67" s="86" t="str">
        <f>IF(VLOOKUP(Table4[[#This Row],[V ID]],Vulnerabilities[#All],3,FALSE())="No","Not in scope",VLOOKUP(Table4[[#This Row],[V ID]],Vulnerabilities[#All],2,FALSE()))</f>
        <v>Unencrypted data in transit in all flowchannels</v>
      </c>
      <c r="F67" s="87" t="s">
        <v>68</v>
      </c>
      <c r="G67" s="88" t="str">
        <f>VLOOKUP(Table4[[#This Row],[A ID]],Assets[#All],3,FALSE())</f>
        <v>Data in Transit</v>
      </c>
      <c r="H67" s="19" t="s">
        <v>299</v>
      </c>
      <c r="I67" s="19" t="s">
        <v>465</v>
      </c>
      <c r="J67" s="89" t="s">
        <v>267</v>
      </c>
      <c r="K67" s="89" t="s">
        <v>274</v>
      </c>
      <c r="L67" s="89" t="s">
        <v>267</v>
      </c>
      <c r="M67" s="90" t="s">
        <v>273</v>
      </c>
      <c r="N67" s="90" t="s">
        <v>276</v>
      </c>
      <c r="O67" s="90" t="s">
        <v>267</v>
      </c>
      <c r="P67" s="90" t="s">
        <v>274</v>
      </c>
      <c r="Q67" s="90" t="s">
        <v>270</v>
      </c>
      <c r="R6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7" s="91">
        <f>(1 - ((1 - VLOOKUP(Table4[[#This Row],[Confidentiality]],'Reference - CVSSv3.0'!$B$16:$C$18,2,FALSE())) * (1 - VLOOKUP(Table4[[#This Row],[Integrity]],'Reference - CVSSv3.0'!$B$16:$C$18,2,FALSE())) *  (1 - VLOOKUP(Table4[[#This Row],[Availability]],'Reference - CVSSv3.0'!$B$16:$C$18,2,FALSE()))))</f>
        <v>0.39159999999999995</v>
      </c>
      <c r="T67" s="91">
        <f>IF(Table4[[#This Row],[Scope]]="Unchanged",6.42*Table4[[#This Row],[ISC Base]],IF(Table4[[#This Row],[Scope]]="Changed",7.52*(Table4[[#This Row],[ISC Base]] - 0.029) - 3.25 * POWER(Table4[[#This Row],[ISC Base]] - 0.02,15),NA()))</f>
        <v>2.5140719999999996</v>
      </c>
      <c r="U67"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85" t="s">
        <v>277</v>
      </c>
      <c r="W67" s="91">
        <f>VLOOKUP(Table4[[#This Row],[Threat Event Initiation]],NIST_Scale_LOAI[],2,FALSE())</f>
        <v>0.5</v>
      </c>
      <c r="X6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19" t="s">
        <v>301</v>
      </c>
      <c r="AA67" s="19" t="s">
        <v>302</v>
      </c>
      <c r="AB67" s="19" t="s">
        <v>495</v>
      </c>
      <c r="AC67" s="36"/>
      <c r="AD67" s="36"/>
      <c r="AE67" s="36"/>
      <c r="AF67" s="90"/>
      <c r="AG67" s="90"/>
      <c r="AH67" s="90"/>
      <c r="AI67" s="90"/>
      <c r="AJ67" s="90"/>
      <c r="AK6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7" s="91" t="e">
        <f>(1 - ((1 - VLOOKUP(Table4[[#This Row],[ConfidentialityP]],'Reference - CVSSv3.0'!$B$16:$C$18,2,FALSE())) * (1 - VLOOKUP(Table4[[#This Row],[IntegrityP]],'Reference - CVSSv3.0'!$B$16:$C$18,2,FALSE())) *  (1 - VLOOKUP(Table4[[#This Row],[AvailabilityP]],'Reference - CVSSv3.0'!$B$16:$C$18,2,FALSE()))))</f>
        <v>#N/A</v>
      </c>
      <c r="AM67" s="91" t="e">
        <f>IF(Table4[[#This Row],[ScopeP]]="Unchanged",6.42*Table4[[#This Row],[ISC BaseP]],IF(Table4[[#This Row],[ScopeP]]="Changed",7.52*(Table4[[#This Row],[ISC BaseP]] - 0.029) - 3.25 * POWER(Table4[[#This Row],[ISC BaseP]] - 0.02,15),NA()))</f>
        <v>#N/A</v>
      </c>
      <c r="AN6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36"/>
    </row>
    <row r="68" spans="1:43" ht="380.25" customHeight="1">
      <c r="A68" s="84">
        <v>64</v>
      </c>
      <c r="B68" s="85" t="s">
        <v>197</v>
      </c>
      <c r="C68" s="86" t="str">
        <f>IF(VLOOKUP(Table4[[#This Row],[T ID]],Table5[#All],5,FALSE())="No","Not in scope",VLOOKUP(Table4[[#This Row],[T ID]],Table5[#All],2,FALSE()))</f>
        <v>Information disclosure
(STR(I)DE)</v>
      </c>
      <c r="D68" s="57" t="s">
        <v>133</v>
      </c>
      <c r="E68" s="86" t="str">
        <f>IF(VLOOKUP(Table4[[#This Row],[V ID]],Vulnerabilities[#All],3,FALSE())="No","Not in scope",VLOOKUP(Table4[[#This Row],[V ID]],Vulnerabilities[#All],2,FALSE()))</f>
        <v>Weak Encryption Implementaion in data at rest and in transit tactical and design wise</v>
      </c>
      <c r="F68" s="87" t="s">
        <v>65</v>
      </c>
      <c r="G68" s="88" t="str">
        <f>VLOOKUP(Table4[[#This Row],[A ID]],Assets[#All],3,FALSE())</f>
        <v>Data at Rest</v>
      </c>
      <c r="H68" s="19" t="s">
        <v>299</v>
      </c>
      <c r="I68" s="19" t="s">
        <v>465</v>
      </c>
      <c r="J68" s="89" t="s">
        <v>267</v>
      </c>
      <c r="K68" s="89" t="s">
        <v>267</v>
      </c>
      <c r="L68" s="89" t="s">
        <v>267</v>
      </c>
      <c r="M68" s="90" t="s">
        <v>275</v>
      </c>
      <c r="N68" s="90" t="s">
        <v>276</v>
      </c>
      <c r="O68" s="90" t="s">
        <v>276</v>
      </c>
      <c r="P68" s="90" t="s">
        <v>274</v>
      </c>
      <c r="Q68" s="90" t="s">
        <v>270</v>
      </c>
      <c r="R6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8" s="91">
        <f>(1 - ((1 - VLOOKUP(Table4[[#This Row],[Confidentiality]],'Reference - CVSSv3.0'!$B$16:$C$18,2,FALSE())) * (1 - VLOOKUP(Table4[[#This Row],[Integrity]],'Reference - CVSSv3.0'!$B$16:$C$18,2,FALSE())) *  (1 - VLOOKUP(Table4[[#This Row],[Availability]],'Reference - CVSSv3.0'!$B$16:$C$18,2,FALSE()))))</f>
        <v>0.52544799999999992</v>
      </c>
      <c r="T68" s="91">
        <f>IF(Table4[[#This Row],[Scope]]="Unchanged",6.42*Table4[[#This Row],[ISC Base]],IF(Table4[[#This Row],[Scope]]="Changed",7.52*(Table4[[#This Row],[ISC Base]] - 0.029) - 3.25 * POWER(Table4[[#This Row],[ISC Base]] - 0.02,15),NA()))</f>
        <v>3.3733761599999994</v>
      </c>
      <c r="U6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85" t="s">
        <v>277</v>
      </c>
      <c r="W68" s="91">
        <f>VLOOKUP(Table4[[#This Row],[Threat Event Initiation]],NIST_Scale_LOAI[],2,FALSE())</f>
        <v>0.5</v>
      </c>
      <c r="X6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19" t="s">
        <v>428</v>
      </c>
      <c r="AA68" s="19" t="s">
        <v>435</v>
      </c>
      <c r="AB68" s="19" t="s">
        <v>496</v>
      </c>
      <c r="AC68" s="36"/>
      <c r="AD68" s="36"/>
      <c r="AE68" s="36"/>
      <c r="AF68" s="90"/>
      <c r="AG68" s="90"/>
      <c r="AH68" s="90"/>
      <c r="AI68" s="90"/>
      <c r="AJ68" s="90"/>
      <c r="AK6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8" s="91" t="e">
        <f>(1 - ((1 - VLOOKUP(Table4[[#This Row],[ConfidentialityP]],'Reference - CVSSv3.0'!$B$16:$C$18,2,FALSE())) * (1 - VLOOKUP(Table4[[#This Row],[IntegrityP]],'Reference - CVSSv3.0'!$B$16:$C$18,2,FALSE())) *  (1 - VLOOKUP(Table4[[#This Row],[AvailabilityP]],'Reference - CVSSv3.0'!$B$16:$C$18,2,FALSE()))))</f>
        <v>#N/A</v>
      </c>
      <c r="AM68" s="91" t="e">
        <f>IF(Table4[[#This Row],[ScopeP]]="Unchanged",6.42*Table4[[#This Row],[ISC BaseP]],IF(Table4[[#This Row],[ScopeP]]="Changed",7.52*(Table4[[#This Row],[ISC BaseP]] - 0.029) - 3.25 * POWER(Table4[[#This Row],[ISC BaseP]] - 0.02,15),NA()))</f>
        <v>#N/A</v>
      </c>
      <c r="AN6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36"/>
    </row>
    <row r="69" spans="1:43" ht="313.5" customHeight="1">
      <c r="A69" s="84">
        <v>65</v>
      </c>
      <c r="B69" s="85" t="s">
        <v>197</v>
      </c>
      <c r="C69" s="86" t="str">
        <f>IF(VLOOKUP(Table4[[#This Row],[T ID]],Table5[#All],5,FALSE())="No","Not in scope",VLOOKUP(Table4[[#This Row],[T ID]],Table5[#All],2,FALSE()))</f>
        <v>Information disclosure
(STR(I)DE)</v>
      </c>
      <c r="D69" s="57" t="s">
        <v>133</v>
      </c>
      <c r="E69" s="86" t="str">
        <f>IF(VLOOKUP(Table4[[#This Row],[V ID]],Vulnerabilities[#All],3,FALSE())="No","Not in scope",VLOOKUP(Table4[[#This Row],[V ID]],Vulnerabilities[#All],2,FALSE()))</f>
        <v>Weak Encryption Implementaion in data at rest and in transit tactical and design wise</v>
      </c>
      <c r="F69" s="87" t="s">
        <v>68</v>
      </c>
      <c r="G69" s="88" t="str">
        <f>VLOOKUP(Table4[[#This Row],[A ID]],Assets[#All],3,FALSE())</f>
        <v>Data in Transit</v>
      </c>
      <c r="H69" s="19" t="s">
        <v>299</v>
      </c>
      <c r="I69" s="19" t="s">
        <v>465</v>
      </c>
      <c r="J69" s="89" t="s">
        <v>267</v>
      </c>
      <c r="K69" s="89" t="s">
        <v>274</v>
      </c>
      <c r="L69" s="89" t="s">
        <v>267</v>
      </c>
      <c r="M69" s="90" t="s">
        <v>273</v>
      </c>
      <c r="N69" s="90" t="s">
        <v>276</v>
      </c>
      <c r="O69" s="90" t="s">
        <v>267</v>
      </c>
      <c r="P69" s="90" t="s">
        <v>274</v>
      </c>
      <c r="Q69" s="90" t="s">
        <v>270</v>
      </c>
      <c r="R6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9" s="91">
        <f>(1 - ((1 - VLOOKUP(Table4[[#This Row],[Confidentiality]],'Reference - CVSSv3.0'!$B$16:$C$18,2,FALSE())) * (1 - VLOOKUP(Table4[[#This Row],[Integrity]],'Reference - CVSSv3.0'!$B$16:$C$18,2,FALSE())) *  (1 - VLOOKUP(Table4[[#This Row],[Availability]],'Reference - CVSSv3.0'!$B$16:$C$18,2,FALSE()))))</f>
        <v>0.39159999999999995</v>
      </c>
      <c r="T69" s="91">
        <f>IF(Table4[[#This Row],[Scope]]="Unchanged",6.42*Table4[[#This Row],[ISC Base]],IF(Table4[[#This Row],[Scope]]="Changed",7.52*(Table4[[#This Row],[ISC Base]] - 0.029) - 3.25 * POWER(Table4[[#This Row],[ISC Base]] - 0.02,15),NA()))</f>
        <v>2.5140719999999996</v>
      </c>
      <c r="U69"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85" t="s">
        <v>277</v>
      </c>
      <c r="W69" s="91">
        <f>VLOOKUP(Table4[[#This Row],[Threat Event Initiation]],NIST_Scale_LOAI[],2,FALSE())</f>
        <v>0.5</v>
      </c>
      <c r="X6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9" t="s">
        <v>303</v>
      </c>
      <c r="AA69" s="19" t="s">
        <v>304</v>
      </c>
      <c r="AB69" s="19" t="s">
        <v>497</v>
      </c>
      <c r="AC69" s="36"/>
      <c r="AD69" s="36"/>
      <c r="AE69" s="36"/>
      <c r="AF69" s="90"/>
      <c r="AG69" s="90"/>
      <c r="AH69" s="90"/>
      <c r="AI69" s="90"/>
      <c r="AJ69" s="90"/>
      <c r="AK6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9" s="91" t="e">
        <f>(1 - ((1 - VLOOKUP(Table4[[#This Row],[ConfidentialityP]],'Reference - CVSSv3.0'!$B$16:$C$18,2,FALSE())) * (1 - VLOOKUP(Table4[[#This Row],[IntegrityP]],'Reference - CVSSv3.0'!$B$16:$C$18,2,FALSE())) *  (1 - VLOOKUP(Table4[[#This Row],[AvailabilityP]],'Reference - CVSSv3.0'!$B$16:$C$18,2,FALSE()))))</f>
        <v>#N/A</v>
      </c>
      <c r="AM69" s="91" t="e">
        <f>IF(Table4[[#This Row],[ScopeP]]="Unchanged",6.42*Table4[[#This Row],[ISC BaseP]],IF(Table4[[#This Row],[ScopeP]]="Changed",7.52*(Table4[[#This Row],[ISC BaseP]] - 0.029) - 3.25 * POWER(Table4[[#This Row],[ISC BaseP]] - 0.02,15),NA()))</f>
        <v>#N/A</v>
      </c>
      <c r="AN6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36"/>
    </row>
    <row r="70" spans="1:43" s="234" customFormat="1" ht="168">
      <c r="A70" s="219">
        <v>66</v>
      </c>
      <c r="B70" s="85" t="s">
        <v>197</v>
      </c>
      <c r="C70" s="86" t="str">
        <f>IF(VLOOKUP(Table4[[#This Row],[T ID]],Table5[#All],5,FALSE())="No","Not in scope",VLOOKUP(Table4[[#This Row],[T ID]],Table5[#All],2,FALSE()))</f>
        <v>Information disclosure
(STR(I)DE)</v>
      </c>
      <c r="D70" s="57" t="s">
        <v>135</v>
      </c>
      <c r="E70" s="86" t="str">
        <f>IF(VLOOKUP(Table4[[#This Row],[V ID]],Vulnerabilities[#All],3,FALSE())="No","Not in scope",VLOOKUP(Table4[[#This Row],[V ID]],Vulnerabilities[#All],2,FALSE()))</f>
        <v>Weak Algorthim implementation with respect cipher key size</v>
      </c>
      <c r="F70" s="87" t="s">
        <v>65</v>
      </c>
      <c r="G70" s="88" t="str">
        <f>VLOOKUP(Table4[[#This Row],[A ID]],Assets[#All],3,FALSE())</f>
        <v>Data at Rest</v>
      </c>
      <c r="H70" s="221" t="s">
        <v>299</v>
      </c>
      <c r="I70" s="19" t="s">
        <v>465</v>
      </c>
      <c r="J70" s="224" t="s">
        <v>267</v>
      </c>
      <c r="K70" s="224" t="s">
        <v>267</v>
      </c>
      <c r="L70" s="224" t="s">
        <v>267</v>
      </c>
      <c r="M70" s="224" t="s">
        <v>275</v>
      </c>
      <c r="N70" s="224" t="s">
        <v>276</v>
      </c>
      <c r="O70" s="224" t="s">
        <v>276</v>
      </c>
      <c r="P70" s="224" t="s">
        <v>274</v>
      </c>
      <c r="Q70" s="224" t="s">
        <v>270</v>
      </c>
      <c r="R7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70" s="93">
        <f>(1 - ((1 - VLOOKUP(Table4[[#This Row],[Confidentiality]],'Reference - CVSSv3.0'!$B$16:$C$18,2,FALSE())) * (1 - VLOOKUP(Table4[[#This Row],[Integrity]],'Reference - CVSSv3.0'!$B$16:$C$18,2,FALSE())) *  (1 - VLOOKUP(Table4[[#This Row],[Availability]],'Reference - CVSSv3.0'!$B$16:$C$18,2,FALSE()))))</f>
        <v>0.52544799999999992</v>
      </c>
      <c r="T70" s="93">
        <f>IF(Table4[[#This Row],[Scope]]="Unchanged",6.42*Table4[[#This Row],[ISC Base]],IF(Table4[[#This Row],[Scope]]="Changed",7.52*(Table4[[#This Row],[ISC Base]] - 0.029) - 3.25 * POWER(Table4[[#This Row],[ISC Base]] - 0.02,15),NA()))</f>
        <v>3.3733761599999994</v>
      </c>
      <c r="U70" s="93">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220" t="s">
        <v>277</v>
      </c>
      <c r="W70" s="91">
        <f>VLOOKUP(Table4[[#This Row],[Threat Event Initiation]],NIST_Scale_LOAI[],2,FALSE())</f>
        <v>0.5</v>
      </c>
      <c r="X7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19" t="s">
        <v>305</v>
      </c>
      <c r="AA70" s="19" t="s">
        <v>429</v>
      </c>
      <c r="AB70" s="19" t="s">
        <v>498</v>
      </c>
      <c r="AC70" s="223"/>
      <c r="AD70" s="223"/>
      <c r="AE70" s="223"/>
      <c r="AF70" s="224"/>
      <c r="AG70" s="224"/>
      <c r="AH70" s="224"/>
      <c r="AI70" s="224"/>
      <c r="AJ70" s="224"/>
      <c r="AK70"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0" s="225" t="e">
        <f>(1 - ((1 - VLOOKUP(Table4[[#This Row],[ConfidentialityP]],'Reference - CVSSv3.0'!$B$16:$C$18,2,FALSE())) * (1 - VLOOKUP(Table4[[#This Row],[IntegrityP]],'Reference - CVSSv3.0'!$B$16:$C$18,2,FALSE())) *  (1 - VLOOKUP(Table4[[#This Row],[AvailabilityP]],'Reference - CVSSv3.0'!$B$16:$C$18,2,FALSE()))))</f>
        <v>#N/A</v>
      </c>
      <c r="AM70" s="225" t="e">
        <f>IF(Table4[[#This Row],[ScopeP]]="Unchanged",6.42*Table4[[#This Row],[ISC BaseP]],IF(Table4[[#This Row],[ScopeP]]="Changed",7.52*(Table4[[#This Row],[ISC BaseP]] - 0.029) - 3.25 * POWER(Table4[[#This Row],[ISC BaseP]] - 0.02,15),NA()))</f>
        <v>#N/A</v>
      </c>
      <c r="AN7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23"/>
    </row>
    <row r="71" spans="1:43" s="234" customFormat="1" ht="168">
      <c r="A71" s="219">
        <v>67</v>
      </c>
      <c r="B71" s="85" t="s">
        <v>197</v>
      </c>
      <c r="C71" s="86" t="str">
        <f>IF(VLOOKUP(Table4[[#This Row],[T ID]],Table5[#All],5,FALSE())="No","Not in scope",VLOOKUP(Table4[[#This Row],[T ID]],Table5[#All],2,FALSE()))</f>
        <v>Information disclosure
(STR(I)DE)</v>
      </c>
      <c r="D71" s="57" t="s">
        <v>135</v>
      </c>
      <c r="E71" s="86" t="str">
        <f>IF(VLOOKUP(Table4[[#This Row],[V ID]],Vulnerabilities[#All],3,FALSE())="No","Not in scope",VLOOKUP(Table4[[#This Row],[V ID]],Vulnerabilities[#All],2,FALSE()))</f>
        <v>Weak Algorthim implementation with respect cipher key size</v>
      </c>
      <c r="F71" s="87" t="s">
        <v>68</v>
      </c>
      <c r="G71" s="88" t="str">
        <f>VLOOKUP(Table4[[#This Row],[A ID]],Assets[#All],3,FALSE())</f>
        <v>Data in Transit</v>
      </c>
      <c r="H71" s="221" t="s">
        <v>299</v>
      </c>
      <c r="I71" s="19" t="s">
        <v>465</v>
      </c>
      <c r="J71" s="224" t="s">
        <v>267</v>
      </c>
      <c r="K71" s="224" t="s">
        <v>274</v>
      </c>
      <c r="L71" s="224" t="s">
        <v>267</v>
      </c>
      <c r="M71" s="224" t="s">
        <v>273</v>
      </c>
      <c r="N71" s="224" t="s">
        <v>276</v>
      </c>
      <c r="O71" s="224" t="s">
        <v>267</v>
      </c>
      <c r="P71" s="224" t="s">
        <v>274</v>
      </c>
      <c r="Q71" s="224" t="s">
        <v>270</v>
      </c>
      <c r="R7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1" s="93">
        <f>(1 - ((1 - VLOOKUP(Table4[[#This Row],[Confidentiality]],'Reference - CVSSv3.0'!$B$16:$C$18,2,FALSE())) * (1 - VLOOKUP(Table4[[#This Row],[Integrity]],'Reference - CVSSv3.0'!$B$16:$C$18,2,FALSE())) *  (1 - VLOOKUP(Table4[[#This Row],[Availability]],'Reference - CVSSv3.0'!$B$16:$C$18,2,FALSE()))))</f>
        <v>0.39159999999999995</v>
      </c>
      <c r="T71" s="93">
        <f>IF(Table4[[#This Row],[Scope]]="Unchanged",6.42*Table4[[#This Row],[ISC Base]],IF(Table4[[#This Row],[Scope]]="Changed",7.52*(Table4[[#This Row],[ISC Base]] - 0.029) - 3.25 * POWER(Table4[[#This Row],[ISC Base]] - 0.02,15),NA()))</f>
        <v>2.5140719999999996</v>
      </c>
      <c r="U71" s="93">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220" t="s">
        <v>277</v>
      </c>
      <c r="W71" s="91">
        <f>VLOOKUP(Table4[[#This Row],[Threat Event Initiation]],NIST_Scale_LOAI[],2,FALSE())</f>
        <v>0.5</v>
      </c>
      <c r="X7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19" t="s">
        <v>305</v>
      </c>
      <c r="AA71" s="19" t="s">
        <v>429</v>
      </c>
      <c r="AB71" s="19" t="s">
        <v>498</v>
      </c>
      <c r="AC71" s="223"/>
      <c r="AD71" s="223"/>
      <c r="AE71" s="223"/>
      <c r="AF71" s="224"/>
      <c r="AG71" s="224"/>
      <c r="AH71" s="224"/>
      <c r="AI71" s="224"/>
      <c r="AJ71" s="224"/>
      <c r="AK71"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1" s="225" t="e">
        <f>(1 - ((1 - VLOOKUP(Table4[[#This Row],[ConfidentialityP]],'Reference - CVSSv3.0'!$B$16:$C$18,2,FALSE())) * (1 - VLOOKUP(Table4[[#This Row],[IntegrityP]],'Reference - CVSSv3.0'!$B$16:$C$18,2,FALSE())) *  (1 - VLOOKUP(Table4[[#This Row],[AvailabilityP]],'Reference - CVSSv3.0'!$B$16:$C$18,2,FALSE()))))</f>
        <v>#N/A</v>
      </c>
      <c r="AM71" s="225" t="e">
        <f>IF(Table4[[#This Row],[ScopeP]]="Unchanged",6.42*Table4[[#This Row],[ISC BaseP]],IF(Table4[[#This Row],[ScopeP]]="Changed",7.52*(Table4[[#This Row],[ISC BaseP]] - 0.029) - 3.25 * POWER(Table4[[#This Row],[ISC BaseP]] - 0.02,15),NA()))</f>
        <v>#N/A</v>
      </c>
      <c r="AN7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23"/>
    </row>
    <row r="72" spans="1:43" ht="238">
      <c r="A72" s="84">
        <v>68</v>
      </c>
      <c r="B72" s="85" t="s">
        <v>197</v>
      </c>
      <c r="C72" s="86" t="str">
        <f>IF(VLOOKUP(Table4[[#This Row],[T ID]],Table5[#All],5,FALSE())="No","Not in scope",VLOOKUP(Table4[[#This Row],[T ID]],Table5[#All],2,FALSE()))</f>
        <v>Information disclosure
(STR(I)DE)</v>
      </c>
      <c r="D72" s="57" t="s">
        <v>140</v>
      </c>
      <c r="E72" s="86" t="str">
        <f>IF(VLOOKUP(Table4[[#This Row],[V ID]],Vulnerabilities[#All],3,FALSE())="No","Not in scope",VLOOKUP(Table4[[#This Row],[V ID]],Vulnerabilities[#All],2,FALSE()))</f>
        <v>InSecure Configuration for Software/OS on Mobile Devices, Laptops, Workstations, and Servers</v>
      </c>
      <c r="F72" s="87" t="s">
        <v>38</v>
      </c>
      <c r="G72" s="88" t="str">
        <f>VLOOKUP(Table4[[#This Row],[A ID]],Assets[#All],3,FALSE())</f>
        <v>Tablet Resources - web cam, microphone, OTG devices, Removable USB, Tablet Application, Network interfaces (Bluetooth, Wifi)</v>
      </c>
      <c r="H72" s="19" t="s">
        <v>299</v>
      </c>
      <c r="I72" s="19" t="s">
        <v>465</v>
      </c>
      <c r="J72" s="89" t="s">
        <v>267</v>
      </c>
      <c r="K72" s="89" t="s">
        <v>267</v>
      </c>
      <c r="L72" s="89" t="s">
        <v>267</v>
      </c>
      <c r="M72" s="90" t="s">
        <v>273</v>
      </c>
      <c r="N72" s="90" t="s">
        <v>276</v>
      </c>
      <c r="O72" s="90" t="s">
        <v>276</v>
      </c>
      <c r="P72" s="90" t="s">
        <v>274</v>
      </c>
      <c r="Q72" s="90" t="s">
        <v>270</v>
      </c>
      <c r="R7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2" s="91">
        <f>(1 - ((1 - VLOOKUP(Table4[[#This Row],[Confidentiality]],'Reference - CVSSv3.0'!$B$16:$C$18,2,FALSE())) * (1 - VLOOKUP(Table4[[#This Row],[Integrity]],'Reference - CVSSv3.0'!$B$16:$C$18,2,FALSE())) *  (1 - VLOOKUP(Table4[[#This Row],[Availability]],'Reference - CVSSv3.0'!$B$16:$C$18,2,FALSE()))))</f>
        <v>0.52544799999999992</v>
      </c>
      <c r="T72" s="91">
        <f>IF(Table4[[#This Row],[Scope]]="Unchanged",6.42*Table4[[#This Row],[ISC Base]],IF(Table4[[#This Row],[Scope]]="Changed",7.52*(Table4[[#This Row],[ISC Base]] - 0.029) - 3.25 * POWER(Table4[[#This Row],[ISC Base]] - 0.02,15),NA()))</f>
        <v>3.3733761599999994</v>
      </c>
      <c r="U7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85" t="s">
        <v>277</v>
      </c>
      <c r="W72" s="91">
        <f>VLOOKUP(Table4[[#This Row],[Threat Event Initiation]],NIST_Scale_LOAI[],2,FALSE())</f>
        <v>0.5</v>
      </c>
      <c r="X7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19" t="s">
        <v>306</v>
      </c>
      <c r="AA72" s="19" t="s">
        <v>307</v>
      </c>
      <c r="AB72" s="19" t="s">
        <v>472</v>
      </c>
      <c r="AC72" s="36"/>
      <c r="AD72" s="36"/>
      <c r="AE72" s="36"/>
      <c r="AF72" s="90"/>
      <c r="AG72" s="90"/>
      <c r="AH72" s="90"/>
      <c r="AI72" s="90"/>
      <c r="AJ72" s="90"/>
      <c r="AK7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2" s="91" t="e">
        <f>(1 - ((1 - VLOOKUP(Table4[[#This Row],[ConfidentialityP]],'Reference - CVSSv3.0'!$B$16:$C$18,2,FALSE())) * (1 - VLOOKUP(Table4[[#This Row],[IntegrityP]],'Reference - CVSSv3.0'!$B$16:$C$18,2,FALSE())) *  (1 - VLOOKUP(Table4[[#This Row],[AvailabilityP]],'Reference - CVSSv3.0'!$B$16:$C$18,2,FALSE()))))</f>
        <v>#N/A</v>
      </c>
      <c r="AM72" s="91" t="e">
        <f>IF(Table4[[#This Row],[ScopeP]]="Unchanged",6.42*Table4[[#This Row],[ISC BaseP]],IF(Table4[[#This Row],[ScopeP]]="Changed",7.52*(Table4[[#This Row],[ISC BaseP]] - 0.029) - 3.25 * POWER(Table4[[#This Row],[ISC BaseP]] - 0.02,15),NA()))</f>
        <v>#N/A</v>
      </c>
      <c r="AN7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36"/>
    </row>
    <row r="73" spans="1:43" ht="280">
      <c r="A73" s="84">
        <v>69</v>
      </c>
      <c r="B73" s="85" t="s">
        <v>197</v>
      </c>
      <c r="C73" s="86" t="str">
        <f>IF(VLOOKUP(Table4[[#This Row],[T ID]],Table5[#All],5,FALSE())="No","Not in scope",VLOOKUP(Table4[[#This Row],[T ID]],Table5[#All],2,FALSE()))</f>
        <v>Information disclosure
(STR(I)DE)</v>
      </c>
      <c r="D73" s="57" t="s">
        <v>124</v>
      </c>
      <c r="E73" s="86" t="str">
        <f>IF(VLOOKUP(Table4[[#This Row],[V ID]],Vulnerabilities[#All],3,FALSE())="No","Not in scope",VLOOKUP(Table4[[#This Row],[V ID]],Vulnerabilities[#All],2,FALSE()))</f>
        <v>Unencrypted Network segment through out the information flow</v>
      </c>
      <c r="F73" s="87" t="s">
        <v>68</v>
      </c>
      <c r="G73" s="88" t="str">
        <f>VLOOKUP(Table4[[#This Row],[A ID]],Assets[#All],3,FALSE())</f>
        <v>Data in Transit</v>
      </c>
      <c r="H73" s="19" t="s">
        <v>299</v>
      </c>
      <c r="I73" s="19" t="s">
        <v>465</v>
      </c>
      <c r="J73" s="89" t="s">
        <v>267</v>
      </c>
      <c r="K73" s="89" t="s">
        <v>274</v>
      </c>
      <c r="L73" s="89" t="s">
        <v>267</v>
      </c>
      <c r="M73" s="90" t="s">
        <v>273</v>
      </c>
      <c r="N73" s="90" t="s">
        <v>276</v>
      </c>
      <c r="O73" s="90" t="s">
        <v>267</v>
      </c>
      <c r="P73" s="90" t="s">
        <v>274</v>
      </c>
      <c r="Q73" s="90" t="s">
        <v>270</v>
      </c>
      <c r="R7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3" s="91">
        <f>(1 - ((1 - VLOOKUP(Table4[[#This Row],[Confidentiality]],'Reference - CVSSv3.0'!$B$16:$C$18,2,FALSE())) * (1 - VLOOKUP(Table4[[#This Row],[Integrity]],'Reference - CVSSv3.0'!$B$16:$C$18,2,FALSE())) *  (1 - VLOOKUP(Table4[[#This Row],[Availability]],'Reference - CVSSv3.0'!$B$16:$C$18,2,FALSE()))))</f>
        <v>0.39159999999999995</v>
      </c>
      <c r="T73" s="91">
        <f>IF(Table4[[#This Row],[Scope]]="Unchanged",6.42*Table4[[#This Row],[ISC Base]],IF(Table4[[#This Row],[Scope]]="Changed",7.52*(Table4[[#This Row],[ISC Base]] - 0.029) - 3.25 * POWER(Table4[[#This Row],[ISC Base]] - 0.02,15),NA()))</f>
        <v>2.5140719999999996</v>
      </c>
      <c r="U73"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85" t="s">
        <v>277</v>
      </c>
      <c r="W73" s="91">
        <f>VLOOKUP(Table4[[#This Row],[Threat Event Initiation]],NIST_Scale_LOAI[],2,FALSE())</f>
        <v>0.5</v>
      </c>
      <c r="X7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19" t="s">
        <v>308</v>
      </c>
      <c r="AA73" s="19" t="s">
        <v>436</v>
      </c>
      <c r="AB73" s="19" t="s">
        <v>499</v>
      </c>
      <c r="AC73" s="36"/>
      <c r="AD73" s="36"/>
      <c r="AE73" s="36"/>
      <c r="AF73" s="90"/>
      <c r="AG73" s="90"/>
      <c r="AH73" s="90"/>
      <c r="AI73" s="90"/>
      <c r="AJ73" s="90"/>
      <c r="AK7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3" s="91" t="e">
        <f>(1 - ((1 - VLOOKUP(Table4[[#This Row],[ConfidentialityP]],'Reference - CVSSv3.0'!$B$16:$C$18,2,FALSE())) * (1 - VLOOKUP(Table4[[#This Row],[IntegrityP]],'Reference - CVSSv3.0'!$B$16:$C$18,2,FALSE())) *  (1 - VLOOKUP(Table4[[#This Row],[AvailabilityP]],'Reference - CVSSv3.0'!$B$16:$C$18,2,FALSE()))))</f>
        <v>#N/A</v>
      </c>
      <c r="AM73" s="91" t="e">
        <f>IF(Table4[[#This Row],[ScopeP]]="Unchanged",6.42*Table4[[#This Row],[ISC BaseP]],IF(Table4[[#This Row],[ScopeP]]="Changed",7.52*(Table4[[#This Row],[ISC BaseP]] - 0.029) - 3.25 * POWER(Table4[[#This Row],[ISC BaseP]] - 0.02,15),NA()))</f>
        <v>#N/A</v>
      </c>
      <c r="AN7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36"/>
    </row>
    <row r="74" spans="1:43" ht="313.5" customHeight="1">
      <c r="A74" s="84">
        <v>70</v>
      </c>
      <c r="B74" s="85" t="s">
        <v>197</v>
      </c>
      <c r="C74" s="86" t="str">
        <f>IF(VLOOKUP(Table4[[#This Row],[T ID]],Table5[#All],5,FALSE())="No","Not in scope",VLOOKUP(Table4[[#This Row],[T ID]],Table5[#All],2,FALSE()))</f>
        <v>Information disclosure
(STR(I)DE)</v>
      </c>
      <c r="D74" s="57" t="s">
        <v>104</v>
      </c>
      <c r="E74" s="86" t="str">
        <f>IF(VLOOKUP(Table4[[#This Row],[V ID]],Vulnerabilities[#All],3,FALSE())="No","Not in scope",VLOOKUP(Table4[[#This Row],[V ID]],Vulnerabilities[#All],2,FALSE()))</f>
        <v>Insecure communications in networks (hospital)</v>
      </c>
      <c r="F74" s="87" t="s">
        <v>68</v>
      </c>
      <c r="G74" s="88" t="str">
        <f>VLOOKUP(Table4[[#This Row],[A ID]],Assets[#All],3,FALSE())</f>
        <v>Data in Transit</v>
      </c>
      <c r="H74" s="19" t="s">
        <v>299</v>
      </c>
      <c r="I74" s="19" t="s">
        <v>465</v>
      </c>
      <c r="J74" s="89" t="s">
        <v>267</v>
      </c>
      <c r="K74" s="89" t="s">
        <v>274</v>
      </c>
      <c r="L74" s="89" t="s">
        <v>267</v>
      </c>
      <c r="M74" s="90" t="s">
        <v>273</v>
      </c>
      <c r="N74" s="90" t="s">
        <v>276</v>
      </c>
      <c r="O74" s="90" t="s">
        <v>267</v>
      </c>
      <c r="P74" s="90" t="s">
        <v>274</v>
      </c>
      <c r="Q74" s="90" t="s">
        <v>270</v>
      </c>
      <c r="R7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4" s="91">
        <f>(1 - ((1 - VLOOKUP(Table4[[#This Row],[Confidentiality]],'Reference - CVSSv3.0'!$B$16:$C$18,2,FALSE())) * (1 - VLOOKUP(Table4[[#This Row],[Integrity]],'Reference - CVSSv3.0'!$B$16:$C$18,2,FALSE())) *  (1 - VLOOKUP(Table4[[#This Row],[Availability]],'Reference - CVSSv3.0'!$B$16:$C$18,2,FALSE()))))</f>
        <v>0.39159999999999995</v>
      </c>
      <c r="T74" s="91">
        <f>IF(Table4[[#This Row],[Scope]]="Unchanged",6.42*Table4[[#This Row],[ISC Base]],IF(Table4[[#This Row],[Scope]]="Changed",7.52*(Table4[[#This Row],[ISC Base]] - 0.029) - 3.25 * POWER(Table4[[#This Row],[ISC Base]] - 0.02,15),NA()))</f>
        <v>2.5140719999999996</v>
      </c>
      <c r="U74"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85" t="s">
        <v>277</v>
      </c>
      <c r="W74" s="91">
        <f>VLOOKUP(Table4[[#This Row],[Threat Event Initiation]],NIST_Scale_LOAI[],2,FALSE())</f>
        <v>0.5</v>
      </c>
      <c r="X7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19" t="s">
        <v>309</v>
      </c>
      <c r="AA74" s="19" t="s">
        <v>310</v>
      </c>
      <c r="AB74" s="19" t="s">
        <v>500</v>
      </c>
      <c r="AC74" s="36"/>
      <c r="AD74" s="36"/>
      <c r="AE74" s="36"/>
      <c r="AF74" s="90"/>
      <c r="AG74" s="90"/>
      <c r="AH74" s="90"/>
      <c r="AI74" s="90"/>
      <c r="AJ74" s="90"/>
      <c r="AK7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4" s="91" t="e">
        <f>(1 - ((1 - VLOOKUP(Table4[[#This Row],[ConfidentialityP]],'Reference - CVSSv3.0'!$B$16:$C$18,2,FALSE())) * (1 - VLOOKUP(Table4[[#This Row],[IntegrityP]],'Reference - CVSSv3.0'!$B$16:$C$18,2,FALSE())) *  (1 - VLOOKUP(Table4[[#This Row],[AvailabilityP]],'Reference - CVSSv3.0'!$B$16:$C$18,2,FALSE()))))</f>
        <v>#N/A</v>
      </c>
      <c r="AM74" s="91" t="e">
        <f>IF(Table4[[#This Row],[ScopeP]]="Unchanged",6.42*Table4[[#This Row],[ISC BaseP]],IF(Table4[[#This Row],[ScopeP]]="Changed",7.52*(Table4[[#This Row],[ISC BaseP]] - 0.029) - 3.25 * POWER(Table4[[#This Row],[ISC BaseP]] - 0.02,15),NA()))</f>
        <v>#N/A</v>
      </c>
      <c r="AN7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36"/>
    </row>
    <row r="75" spans="1:43" ht="224">
      <c r="A75" s="84">
        <v>71</v>
      </c>
      <c r="B75" s="85" t="s">
        <v>200</v>
      </c>
      <c r="C75" s="86" t="str">
        <f>IF(VLOOKUP(Table4[[#This Row],[T ID]],Table5[#All],5,FALSE())="No","Not in scope",VLOOKUP(Table4[[#This Row],[T ID]],Table5[#All],2,FALSE()))</f>
        <v>Data Access
(STR[I]DE)</v>
      </c>
      <c r="D75" s="57" t="s">
        <v>120</v>
      </c>
      <c r="E75" s="86" t="str">
        <f>IF(VLOOKUP(Table4[[#This Row],[V ID]],Vulnerabilities[#All],3,FALSE())="No","Not in scope",VLOOKUP(Table4[[#This Row],[V ID]],Vulnerabilities[#All],2,FALSE()))</f>
        <v>Unprotected network port(s) on network devices and connection points</v>
      </c>
      <c r="F75" s="87" t="s">
        <v>38</v>
      </c>
      <c r="G75" s="88" t="str">
        <f>VLOOKUP(Table4[[#This Row],[A ID]],Assets[#All],3,FALSE())</f>
        <v>Tablet Resources - web cam, microphone, OTG devices, Removable USB, Tablet Application, Network interfaces (Bluetooth, Wifi)</v>
      </c>
      <c r="H75" s="19" t="s">
        <v>311</v>
      </c>
      <c r="I75" s="19" t="s">
        <v>465</v>
      </c>
      <c r="J75" s="89" t="s">
        <v>274</v>
      </c>
      <c r="K75" s="89" t="s">
        <v>274</v>
      </c>
      <c r="L75" s="89" t="s">
        <v>276</v>
      </c>
      <c r="M75" s="90" t="s">
        <v>273</v>
      </c>
      <c r="N75" s="90" t="s">
        <v>276</v>
      </c>
      <c r="O75" s="90" t="s">
        <v>276</v>
      </c>
      <c r="P75" s="90" t="s">
        <v>274</v>
      </c>
      <c r="Q75" s="90" t="s">
        <v>270</v>
      </c>
      <c r="R7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5" s="91">
        <f>(1 - ((1 - VLOOKUP(Table4[[#This Row],[Confidentiality]],'Reference - CVSSv3.0'!$B$16:$C$18,2,FALSE())) * (1 - VLOOKUP(Table4[[#This Row],[Integrity]],'Reference - CVSSv3.0'!$B$16:$C$18,2,FALSE())) *  (1 - VLOOKUP(Table4[[#This Row],[Availability]],'Reference - CVSSv3.0'!$B$16:$C$18,2,FALSE()))))</f>
        <v>0.56000000000000005</v>
      </c>
      <c r="T75" s="91">
        <f>IF(Table4[[#This Row],[Scope]]="Unchanged",6.42*Table4[[#This Row],[ISC Base]],IF(Table4[[#This Row],[Scope]]="Changed",7.52*(Table4[[#This Row],[ISC Base]] - 0.029) - 3.25 * POWER(Table4[[#This Row],[ISC Base]] - 0.02,15),NA()))</f>
        <v>3.5952000000000002</v>
      </c>
      <c r="U75"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85" t="s">
        <v>267</v>
      </c>
      <c r="W75" s="91">
        <f>VLOOKUP(Table4[[#This Row],[Threat Event Initiation]],NIST_Scale_LOAI[],2,FALSE())</f>
        <v>0.2</v>
      </c>
      <c r="X7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19" t="s">
        <v>271</v>
      </c>
      <c r="AA75" s="19" t="s">
        <v>312</v>
      </c>
      <c r="AB75" s="19" t="s">
        <v>490</v>
      </c>
      <c r="AC75" s="36"/>
      <c r="AD75" s="36"/>
      <c r="AE75" s="36"/>
      <c r="AF75" s="90"/>
      <c r="AG75" s="90"/>
      <c r="AH75" s="90"/>
      <c r="AI75" s="90"/>
      <c r="AJ75" s="90"/>
      <c r="AK7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5" s="91" t="e">
        <f>(1 - ((1 - VLOOKUP(Table4[[#This Row],[ConfidentialityP]],'Reference - CVSSv3.0'!$B$16:$C$18,2,FALSE())) * (1 - VLOOKUP(Table4[[#This Row],[IntegrityP]],'Reference - CVSSv3.0'!$B$16:$C$18,2,FALSE())) *  (1 - VLOOKUP(Table4[[#This Row],[AvailabilityP]],'Reference - CVSSv3.0'!$B$16:$C$18,2,FALSE()))))</f>
        <v>#N/A</v>
      </c>
      <c r="AM75" s="91" t="e">
        <f>IF(Table4[[#This Row],[ScopeP]]="Unchanged",6.42*Table4[[#This Row],[ISC BaseP]],IF(Table4[[#This Row],[ScopeP]]="Changed",7.52*(Table4[[#This Row],[ISC BaseP]] - 0.029) - 3.25 * POWER(Table4[[#This Row],[ISC BaseP]] - 0.02,15),NA()))</f>
        <v>#N/A</v>
      </c>
      <c r="AN7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36"/>
    </row>
    <row r="76" spans="1:43" ht="224">
      <c r="A76" s="84">
        <v>72</v>
      </c>
      <c r="B76" s="85" t="s">
        <v>200</v>
      </c>
      <c r="C76" s="86" t="str">
        <f>IF(VLOOKUP(Table4[[#This Row],[T ID]],Table5[#All],5,FALSE())="No","Not in scope",VLOOKUP(Table4[[#This Row],[T ID]],Table5[#All],2,FALSE()))</f>
        <v>Data Access
(STR[I]DE)</v>
      </c>
      <c r="D76" s="57" t="s">
        <v>120</v>
      </c>
      <c r="E76" s="86" t="str">
        <f>IF(VLOOKUP(Table4[[#This Row],[V ID]],Vulnerabilities[#All],3,FALSE())="No","Not in scope",VLOOKUP(Table4[[#This Row],[V ID]],Vulnerabilities[#All],2,FALSE()))</f>
        <v>Unprotected network port(s) on network devices and connection points</v>
      </c>
      <c r="F76" s="87" t="s">
        <v>42</v>
      </c>
      <c r="G76" s="88" t="str">
        <f>VLOOKUP(Table4[[#This Row],[A ID]],Assets[#All],3,FALSE())</f>
        <v>Tablet OS/network details &amp; Tablet Application</v>
      </c>
      <c r="H76" s="19" t="s">
        <v>311</v>
      </c>
      <c r="I76" s="19" t="s">
        <v>465</v>
      </c>
      <c r="J76" s="89" t="s">
        <v>274</v>
      </c>
      <c r="K76" s="89" t="s">
        <v>267</v>
      </c>
      <c r="L76" s="89" t="s">
        <v>267</v>
      </c>
      <c r="M76" s="90" t="s">
        <v>273</v>
      </c>
      <c r="N76" s="90" t="s">
        <v>276</v>
      </c>
      <c r="O76" s="90" t="s">
        <v>276</v>
      </c>
      <c r="P76" s="90" t="s">
        <v>274</v>
      </c>
      <c r="Q76" s="90" t="s">
        <v>270</v>
      </c>
      <c r="R7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6" s="91">
        <f>(1 - ((1 - VLOOKUP(Table4[[#This Row],[Confidentiality]],'Reference - CVSSv3.0'!$B$16:$C$18,2,FALSE())) * (1 - VLOOKUP(Table4[[#This Row],[Integrity]],'Reference - CVSSv3.0'!$B$16:$C$18,2,FALSE())) *  (1 - VLOOKUP(Table4[[#This Row],[Availability]],'Reference - CVSSv3.0'!$B$16:$C$18,2,FALSE()))))</f>
        <v>0.39159999999999995</v>
      </c>
      <c r="T76" s="91">
        <f>IF(Table4[[#This Row],[Scope]]="Unchanged",6.42*Table4[[#This Row],[ISC Base]],IF(Table4[[#This Row],[Scope]]="Changed",7.52*(Table4[[#This Row],[ISC Base]] - 0.029) - 3.25 * POWER(Table4[[#This Row],[ISC Base]] - 0.02,15),NA()))</f>
        <v>2.5140719999999996</v>
      </c>
      <c r="U76"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85" t="s">
        <v>267</v>
      </c>
      <c r="W76" s="91">
        <f>VLOOKUP(Table4[[#This Row],[Threat Event Initiation]],NIST_Scale_LOAI[],2,FALSE())</f>
        <v>0.2</v>
      </c>
      <c r="X7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19" t="s">
        <v>271</v>
      </c>
      <c r="AA76" s="19" t="s">
        <v>312</v>
      </c>
      <c r="AB76" s="19" t="s">
        <v>469</v>
      </c>
      <c r="AC76" s="36"/>
      <c r="AD76" s="36"/>
      <c r="AE76" s="36"/>
      <c r="AF76" s="90"/>
      <c r="AG76" s="90"/>
      <c r="AH76" s="90"/>
      <c r="AI76" s="90"/>
      <c r="AJ76" s="90"/>
      <c r="AK7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6" s="91" t="e">
        <f>(1 - ((1 - VLOOKUP(Table4[[#This Row],[ConfidentialityP]],'Reference - CVSSv3.0'!$B$16:$C$18,2,FALSE())) * (1 - VLOOKUP(Table4[[#This Row],[IntegrityP]],'Reference - CVSSv3.0'!$B$16:$C$18,2,FALSE())) *  (1 - VLOOKUP(Table4[[#This Row],[AvailabilityP]],'Reference - CVSSv3.0'!$B$16:$C$18,2,FALSE()))))</f>
        <v>#N/A</v>
      </c>
      <c r="AM76" s="91" t="e">
        <f>IF(Table4[[#This Row],[ScopeP]]="Unchanged",6.42*Table4[[#This Row],[ISC BaseP]],IF(Table4[[#This Row],[ScopeP]]="Changed",7.52*(Table4[[#This Row],[ISC BaseP]] - 0.029) - 3.25 * POWER(Table4[[#This Row],[ISC BaseP]] - 0.02,15),NA()))</f>
        <v>#N/A</v>
      </c>
      <c r="AN7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36"/>
    </row>
    <row r="77" spans="1:43" ht="409.5" customHeight="1">
      <c r="A77" s="84">
        <v>73</v>
      </c>
      <c r="B77" s="85" t="s">
        <v>200</v>
      </c>
      <c r="C77" s="86" t="str">
        <f>IF(VLOOKUP(Table4[[#This Row],[T ID]],Table5[#All],5,FALSE())="No","Not in scope",VLOOKUP(Table4[[#This Row],[T ID]],Table5[#All],2,FALSE()))</f>
        <v>Data Access
(STR[I]DE)</v>
      </c>
      <c r="D77" s="57" t="s">
        <v>94</v>
      </c>
      <c r="E77" s="86" t="str">
        <f>IF(VLOOKUP(Table4[[#This Row],[V ID]],Vulnerabilities[#All],3,FALSE())="No","Not in scope",VLOOKUP(Table4[[#This Row],[V ID]],Vulnerabilities[#All],2,FALSE()))</f>
        <v>Devices with default passwords needs to be checked for bruteforce attacks</v>
      </c>
      <c r="F77" s="87" t="s">
        <v>65</v>
      </c>
      <c r="G77" s="88" t="str">
        <f>VLOOKUP(Table4[[#This Row],[A ID]],Assets[#All],3,FALSE())</f>
        <v>Data at Rest</v>
      </c>
      <c r="H77" s="19" t="s">
        <v>311</v>
      </c>
      <c r="I77" s="19" t="s">
        <v>465</v>
      </c>
      <c r="J77" s="89" t="s">
        <v>267</v>
      </c>
      <c r="K77" s="89" t="s">
        <v>267</v>
      </c>
      <c r="L77" s="89" t="s">
        <v>267</v>
      </c>
      <c r="M77" s="90" t="s">
        <v>273</v>
      </c>
      <c r="N77" s="90" t="s">
        <v>276</v>
      </c>
      <c r="O77" s="90" t="s">
        <v>276</v>
      </c>
      <c r="P77" s="90" t="s">
        <v>274</v>
      </c>
      <c r="Q77" s="90" t="s">
        <v>270</v>
      </c>
      <c r="R7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7" s="91">
        <f>(1 - ((1 - VLOOKUP(Table4[[#This Row],[Confidentiality]],'Reference - CVSSv3.0'!$B$16:$C$18,2,FALSE())) * (1 - VLOOKUP(Table4[[#This Row],[Integrity]],'Reference - CVSSv3.0'!$B$16:$C$18,2,FALSE())) *  (1 - VLOOKUP(Table4[[#This Row],[Availability]],'Reference - CVSSv3.0'!$B$16:$C$18,2,FALSE()))))</f>
        <v>0.52544799999999992</v>
      </c>
      <c r="T77" s="91">
        <f>IF(Table4[[#This Row],[Scope]]="Unchanged",6.42*Table4[[#This Row],[ISC Base]],IF(Table4[[#This Row],[Scope]]="Changed",7.52*(Table4[[#This Row],[ISC Base]] - 0.029) - 3.25 * POWER(Table4[[#This Row],[ISC Base]] - 0.02,15),NA()))</f>
        <v>3.3733761599999994</v>
      </c>
      <c r="U77"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85" t="s">
        <v>267</v>
      </c>
      <c r="W77" s="91">
        <f>VLOOKUP(Table4[[#This Row],[Threat Event Initiation]],NIST_Scale_LOAI[],2,FALSE())</f>
        <v>0.2</v>
      </c>
      <c r="X7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9" t="s">
        <v>313</v>
      </c>
      <c r="AA77" s="19" t="s">
        <v>459</v>
      </c>
      <c r="AB77" s="19" t="s">
        <v>501</v>
      </c>
      <c r="AC77" s="36"/>
      <c r="AD77" s="36"/>
      <c r="AE77" s="36"/>
      <c r="AF77" s="90"/>
      <c r="AG77" s="90"/>
      <c r="AH77" s="90"/>
      <c r="AI77" s="90"/>
      <c r="AJ77" s="90"/>
      <c r="AK7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7" s="91" t="e">
        <f>(1 - ((1 - VLOOKUP(Table4[[#This Row],[ConfidentialityP]],'Reference - CVSSv3.0'!$B$16:$C$18,2,FALSE())) * (1 - VLOOKUP(Table4[[#This Row],[IntegrityP]],'Reference - CVSSv3.0'!$B$16:$C$18,2,FALSE())) *  (1 - VLOOKUP(Table4[[#This Row],[AvailabilityP]],'Reference - CVSSv3.0'!$B$16:$C$18,2,FALSE()))))</f>
        <v>#N/A</v>
      </c>
      <c r="AM77" s="91" t="e">
        <f>IF(Table4[[#This Row],[ScopeP]]="Unchanged",6.42*Table4[[#This Row],[ISC BaseP]],IF(Table4[[#This Row],[ScopeP]]="Changed",7.52*(Table4[[#This Row],[ISC BaseP]] - 0.029) - 3.25 * POWER(Table4[[#This Row],[ISC BaseP]] - 0.02,15),NA()))</f>
        <v>#N/A</v>
      </c>
      <c r="AN7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36"/>
    </row>
    <row r="78" spans="1:43" ht="308">
      <c r="A78" s="84">
        <v>74</v>
      </c>
      <c r="B78" s="85" t="s">
        <v>200</v>
      </c>
      <c r="C78" s="86" t="str">
        <f>IF(VLOOKUP(Table4[[#This Row],[T ID]],Table5[#All],5,FALSE())="No","Not in scope",VLOOKUP(Table4[[#This Row],[T ID]],Table5[#All],2,FALSE()))</f>
        <v>Data Access
(STR[I]DE)</v>
      </c>
      <c r="D78" s="57" t="s">
        <v>94</v>
      </c>
      <c r="E78" s="86" t="str">
        <f>IF(VLOOKUP(Table4[[#This Row],[V ID]],Vulnerabilities[#All],3,FALSE())="No","Not in scope",VLOOKUP(Table4[[#This Row],[V ID]],Vulnerabilities[#All],2,FALSE()))</f>
        <v>Devices with default passwords needs to be checked for bruteforce attacks</v>
      </c>
      <c r="F78" s="87" t="s">
        <v>50</v>
      </c>
      <c r="G78" s="88" t="str">
        <f>VLOOKUP(Table4[[#This Row],[A ID]],Assets[#All],3,FALSE())</f>
        <v>Authentication/Authorisation method of all device(s)/app</v>
      </c>
      <c r="H78" s="19" t="s">
        <v>314</v>
      </c>
      <c r="I78" s="19" t="s">
        <v>465</v>
      </c>
      <c r="J78" s="89" t="s">
        <v>276</v>
      </c>
      <c r="K78" s="89" t="s">
        <v>274</v>
      </c>
      <c r="L78" s="89" t="s">
        <v>274</v>
      </c>
      <c r="M78" s="90" t="s">
        <v>273</v>
      </c>
      <c r="N78" s="90" t="s">
        <v>276</v>
      </c>
      <c r="O78" s="90" t="s">
        <v>276</v>
      </c>
      <c r="P78" s="90" t="s">
        <v>274</v>
      </c>
      <c r="Q78" s="90" t="s">
        <v>270</v>
      </c>
      <c r="R7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8" s="91">
        <f>(1 - ((1 - VLOOKUP(Table4[[#This Row],[Confidentiality]],'Reference - CVSSv3.0'!$B$16:$C$18,2,FALSE())) * (1 - VLOOKUP(Table4[[#This Row],[Integrity]],'Reference - CVSSv3.0'!$B$16:$C$18,2,FALSE())) *  (1 - VLOOKUP(Table4[[#This Row],[Availability]],'Reference - CVSSv3.0'!$B$16:$C$18,2,FALSE()))))</f>
        <v>0.56000000000000005</v>
      </c>
      <c r="T78" s="91">
        <f>IF(Table4[[#This Row],[Scope]]="Unchanged",6.42*Table4[[#This Row],[ISC Base]],IF(Table4[[#This Row],[Scope]]="Changed",7.52*(Table4[[#This Row],[ISC Base]] - 0.029) - 3.25 * POWER(Table4[[#This Row],[ISC Base]] - 0.02,15),NA()))</f>
        <v>3.5952000000000002</v>
      </c>
      <c r="U78"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85" t="s">
        <v>277</v>
      </c>
      <c r="W78" s="91">
        <f>VLOOKUP(Table4[[#This Row],[Threat Event Initiation]],NIST_Scale_LOAI[],2,FALSE())</f>
        <v>0.5</v>
      </c>
      <c r="X7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9" t="s">
        <v>313</v>
      </c>
      <c r="AA78" s="19" t="s">
        <v>459</v>
      </c>
      <c r="AB78" s="19" t="s">
        <v>501</v>
      </c>
      <c r="AC78" s="36"/>
      <c r="AD78" s="36"/>
      <c r="AE78" s="36"/>
      <c r="AF78" s="90"/>
      <c r="AG78" s="90"/>
      <c r="AH78" s="90"/>
      <c r="AI78" s="90"/>
      <c r="AJ78" s="90"/>
      <c r="AK7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8" s="91" t="e">
        <f>(1 - ((1 - VLOOKUP(Table4[[#This Row],[ConfidentialityP]],'Reference - CVSSv3.0'!$B$16:$C$18,2,FALSE())) * (1 - VLOOKUP(Table4[[#This Row],[IntegrityP]],'Reference - CVSSv3.0'!$B$16:$C$18,2,FALSE())) *  (1 - VLOOKUP(Table4[[#This Row],[AvailabilityP]],'Reference - CVSSv3.0'!$B$16:$C$18,2,FALSE()))))</f>
        <v>#N/A</v>
      </c>
      <c r="AM78" s="91" t="e">
        <f>IF(Table4[[#This Row],[ScopeP]]="Unchanged",6.42*Table4[[#This Row],[ISC BaseP]],IF(Table4[[#This Row],[ScopeP]]="Changed",7.52*(Table4[[#This Row],[ISC BaseP]] - 0.029) - 3.25 * POWER(Table4[[#This Row],[ISC BaseP]] - 0.02,15),NA()))</f>
        <v>#N/A</v>
      </c>
      <c r="AN7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36"/>
    </row>
    <row r="79" spans="1:43" ht="308">
      <c r="A79" s="95">
        <v>75</v>
      </c>
      <c r="B79" s="85" t="s">
        <v>200</v>
      </c>
      <c r="C79" s="86" t="str">
        <f>IF(VLOOKUP(Table4[[#This Row],[T ID]],Table5[#All],5,FALSE())="No","Not in scope",VLOOKUP(Table4[[#This Row],[T ID]],Table5[#All],2,FALSE()))</f>
        <v>Data Access
(STR[I]DE)</v>
      </c>
      <c r="D79" s="57" t="s">
        <v>94</v>
      </c>
      <c r="E79" s="86" t="str">
        <f>IF(VLOOKUP(Table4[[#This Row],[V ID]],Vulnerabilities[#All],3,FALSE())="No","Not in scope",VLOOKUP(Table4[[#This Row],[V ID]],Vulnerabilities[#All],2,FALSE()))</f>
        <v>Devices with default passwords needs to be checked for bruteforce attacks</v>
      </c>
      <c r="F79" s="87" t="s">
        <v>68</v>
      </c>
      <c r="G79" s="88" t="str">
        <f>VLOOKUP(Table4[[#This Row],[A ID]],Assets[#All],3,FALSE())</f>
        <v>Data in Transit</v>
      </c>
      <c r="H79" s="19" t="s">
        <v>314</v>
      </c>
      <c r="I79" s="19" t="s">
        <v>465</v>
      </c>
      <c r="J79" s="89" t="s">
        <v>276</v>
      </c>
      <c r="K79" s="89" t="s">
        <v>274</v>
      </c>
      <c r="L79" s="89" t="s">
        <v>274</v>
      </c>
      <c r="M79" s="90" t="s">
        <v>273</v>
      </c>
      <c r="N79" s="90" t="s">
        <v>276</v>
      </c>
      <c r="O79" s="90" t="s">
        <v>276</v>
      </c>
      <c r="P79" s="90" t="s">
        <v>274</v>
      </c>
      <c r="Q79" s="90" t="s">
        <v>270</v>
      </c>
      <c r="R7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9" s="91">
        <f>(1 - ((1 - VLOOKUP(Table4[[#This Row],[Confidentiality]],'Reference - CVSSv3.0'!$B$16:$C$18,2,FALSE())) * (1 - VLOOKUP(Table4[[#This Row],[Integrity]],'Reference - CVSSv3.0'!$B$16:$C$18,2,FALSE())) *  (1 - VLOOKUP(Table4[[#This Row],[Availability]],'Reference - CVSSv3.0'!$B$16:$C$18,2,FALSE()))))</f>
        <v>0.56000000000000005</v>
      </c>
      <c r="T79" s="91">
        <f>IF(Table4[[#This Row],[Scope]]="Unchanged",6.42*Table4[[#This Row],[ISC Base]],IF(Table4[[#This Row],[Scope]]="Changed",7.52*(Table4[[#This Row],[ISC Base]] - 0.029) - 3.25 * POWER(Table4[[#This Row],[ISC Base]] - 0.02,15),NA()))</f>
        <v>3.5952000000000002</v>
      </c>
      <c r="U79"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85" t="s">
        <v>267</v>
      </c>
      <c r="W79" s="91">
        <f>VLOOKUP(Table4[[#This Row],[Threat Event Initiation]],NIST_Scale_LOAI[],2,FALSE())</f>
        <v>0.2</v>
      </c>
      <c r="X7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9" t="s">
        <v>315</v>
      </c>
      <c r="AA79" s="19" t="s">
        <v>459</v>
      </c>
      <c r="AB79" s="19" t="s">
        <v>501</v>
      </c>
      <c r="AC79" s="36"/>
      <c r="AD79" s="36"/>
      <c r="AE79" s="36"/>
      <c r="AF79" s="90"/>
      <c r="AG79" s="90"/>
      <c r="AH79" s="90"/>
      <c r="AI79" s="90"/>
      <c r="AJ79" s="90"/>
      <c r="AK7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9" s="91" t="e">
        <f>(1 - ((1 - VLOOKUP(Table4[[#This Row],[ConfidentialityP]],'Reference - CVSSv3.0'!$B$16:$C$18,2,FALSE())) * (1 - VLOOKUP(Table4[[#This Row],[IntegrityP]],'Reference - CVSSv3.0'!$B$16:$C$18,2,FALSE())) *  (1 - VLOOKUP(Table4[[#This Row],[AvailabilityP]],'Reference - CVSSv3.0'!$B$16:$C$18,2,FALSE()))))</f>
        <v>#N/A</v>
      </c>
      <c r="AM79" s="91" t="e">
        <f>IF(Table4[[#This Row],[ScopeP]]="Unchanged",6.42*Table4[[#This Row],[ISC BaseP]],IF(Table4[[#This Row],[ScopeP]]="Changed",7.52*(Table4[[#This Row],[ISC BaseP]] - 0.029) - 3.25 * POWER(Table4[[#This Row],[ISC BaseP]] - 0.02,15),NA()))</f>
        <v>#N/A</v>
      </c>
      <c r="AN7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36"/>
    </row>
    <row r="80" spans="1:43" ht="336">
      <c r="A80" s="84">
        <v>76</v>
      </c>
      <c r="B80" s="85" t="s">
        <v>200</v>
      </c>
      <c r="C80" s="86" t="str">
        <f>IF(VLOOKUP(Table4[[#This Row],[T ID]],Table5[#All],5,FALSE())="No","Not in scope",VLOOKUP(Table4[[#This Row],[T ID]],Table5[#All],2,FALSE()))</f>
        <v>Data Access
(STR[I]DE)</v>
      </c>
      <c r="D80" s="57" t="s">
        <v>100</v>
      </c>
      <c r="E80" s="86" t="str">
        <f>IF(VLOOKUP(Table4[[#This Row],[V ID]],Vulnerabilities[#All],3,FALSE())="No","Not in scope",VLOOKUP(Table4[[#This Row],[V ID]],Vulnerabilities[#All],2,FALSE()))</f>
        <v>The password complexity or location vulnerability. Like weak passwords and hardcoded passwords.</v>
      </c>
      <c r="F80" s="87" t="s">
        <v>65</v>
      </c>
      <c r="G80" s="88" t="str">
        <f>VLOOKUP(Table4[[#This Row],[A ID]],Assets[#All],3,FALSE())</f>
        <v>Data at Rest</v>
      </c>
      <c r="H80" s="211" t="s">
        <v>314</v>
      </c>
      <c r="I80" s="19" t="s">
        <v>465</v>
      </c>
      <c r="J80" s="212" t="s">
        <v>267</v>
      </c>
      <c r="K80" s="212" t="s">
        <v>267</v>
      </c>
      <c r="L80" s="212" t="s">
        <v>267</v>
      </c>
      <c r="M80" s="212" t="s">
        <v>273</v>
      </c>
      <c r="N80" s="212" t="s">
        <v>276</v>
      </c>
      <c r="O80" s="212" t="s">
        <v>276</v>
      </c>
      <c r="P80" s="212" t="s">
        <v>274</v>
      </c>
      <c r="Q80" s="212" t="s">
        <v>270</v>
      </c>
      <c r="R8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0" s="93">
        <f>(1 - ((1 - VLOOKUP(Table4[[#This Row],[Confidentiality]],'Reference - CVSSv3.0'!$B$16:$C$18,2,FALSE())) * (1 - VLOOKUP(Table4[[#This Row],[Integrity]],'Reference - CVSSv3.0'!$B$16:$C$18,2,FALSE())) *  (1 - VLOOKUP(Table4[[#This Row],[Availability]],'Reference - CVSSv3.0'!$B$16:$C$18,2,FALSE()))))</f>
        <v>0.52544799999999992</v>
      </c>
      <c r="T80" s="93">
        <f>IF(Table4[[#This Row],[Scope]]="Unchanged",6.42*Table4[[#This Row],[ISC Base]],IF(Table4[[#This Row],[Scope]]="Changed",7.52*(Table4[[#This Row],[ISC Base]] - 0.029) - 3.25 * POWER(Table4[[#This Row],[ISC Base]] - 0.02,15),NA()))</f>
        <v>3.3733761599999994</v>
      </c>
      <c r="U80" s="93">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210" t="s">
        <v>267</v>
      </c>
      <c r="W80" s="91">
        <f>VLOOKUP(Table4[[#This Row],[Threat Event Initiation]],NIST_Scale_LOAI[],2,FALSE())</f>
        <v>0.2</v>
      </c>
      <c r="X8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21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19" t="s">
        <v>316</v>
      </c>
      <c r="AA80" s="19" t="s">
        <v>453</v>
      </c>
      <c r="AB80" s="19" t="s">
        <v>502</v>
      </c>
      <c r="AC80" s="36"/>
      <c r="AD80" s="36"/>
      <c r="AE80" s="36"/>
      <c r="AF80" s="90"/>
      <c r="AG80" s="90"/>
      <c r="AH80" s="90"/>
      <c r="AI80" s="90"/>
      <c r="AJ80" s="90"/>
      <c r="AK8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0" s="91" t="e">
        <f>(1 - ((1 - VLOOKUP(Table4[[#This Row],[ConfidentialityP]],'Reference - CVSSv3.0'!$B$16:$C$18,2,FALSE())) * (1 - VLOOKUP(Table4[[#This Row],[IntegrityP]],'Reference - CVSSv3.0'!$B$16:$C$18,2,FALSE())) *  (1 - VLOOKUP(Table4[[#This Row],[AvailabilityP]],'Reference - CVSSv3.0'!$B$16:$C$18,2,FALSE()))))</f>
        <v>#N/A</v>
      </c>
      <c r="AM80" s="91" t="e">
        <f>IF(Table4[[#This Row],[ScopeP]]="Unchanged",6.42*Table4[[#This Row],[ISC BaseP]],IF(Table4[[#This Row],[ScopeP]]="Changed",7.52*(Table4[[#This Row],[ISC BaseP]] - 0.029) - 3.25 * POWER(Table4[[#This Row],[ISC BaseP]] - 0.02,15),NA()))</f>
        <v>#N/A</v>
      </c>
      <c r="AN8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36"/>
    </row>
    <row r="81" spans="1:43" ht="238">
      <c r="A81" s="95">
        <v>77</v>
      </c>
      <c r="B81" s="85" t="s">
        <v>200</v>
      </c>
      <c r="C81" s="86" t="str">
        <f>IF(VLOOKUP(Table4[[#This Row],[T ID]],Table5[#All],5,FALSE())="No","Not in scope",VLOOKUP(Table4[[#This Row],[T ID]],Table5[#All],2,FALSE()))</f>
        <v>Data Access
(STR[I]DE)</v>
      </c>
      <c r="D81" s="57" t="s">
        <v>122</v>
      </c>
      <c r="E81" s="86" t="str">
        <f>IF(VLOOKUP(Table4[[#This Row],[V ID]],Vulnerabilities[#All],3,FALSE())="No","Not in scope",VLOOKUP(Table4[[#This Row],[V ID]],Vulnerabilities[#All],2,FALSE()))</f>
        <v>Unprotected external USB Port on the tablet/devices.</v>
      </c>
      <c r="F81" s="87" t="s">
        <v>38</v>
      </c>
      <c r="G81" s="88" t="str">
        <f>VLOOKUP(Table4[[#This Row],[A ID]],Assets[#All],3,FALSE())</f>
        <v>Tablet Resources - web cam, microphone, OTG devices, Removable USB, Tablet Application, Network interfaces (Bluetooth, Wifi)</v>
      </c>
      <c r="H81" s="19" t="s">
        <v>314</v>
      </c>
      <c r="I81" s="19" t="s">
        <v>465</v>
      </c>
      <c r="J81" s="89" t="s">
        <v>274</v>
      </c>
      <c r="K81" s="89" t="s">
        <v>267</v>
      </c>
      <c r="L81" s="89" t="s">
        <v>267</v>
      </c>
      <c r="M81" s="90" t="s">
        <v>268</v>
      </c>
      <c r="N81" s="90" t="s">
        <v>276</v>
      </c>
      <c r="O81" s="90" t="s">
        <v>276</v>
      </c>
      <c r="P81" s="90" t="s">
        <v>274</v>
      </c>
      <c r="Q81" s="90" t="s">
        <v>270</v>
      </c>
      <c r="R8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0.16601112000000004</v>
      </c>
      <c r="S81" s="91">
        <f>(1 - ((1 - VLOOKUP(Table4[[#This Row],[Confidentiality]],'Reference - CVSSv3.0'!$B$16:$C$18,2,FALSE())) * (1 - VLOOKUP(Table4[[#This Row],[Integrity]],'Reference - CVSSv3.0'!$B$16:$C$18,2,FALSE())) *  (1 - VLOOKUP(Table4[[#This Row],[Availability]],'Reference - CVSSv3.0'!$B$16:$C$18,2,FALSE()))))</f>
        <v>0.39159999999999995</v>
      </c>
      <c r="T81" s="91">
        <f>IF(Table4[[#This Row],[Scope]]="Unchanged",6.42*Table4[[#This Row],[ISC Base]],IF(Table4[[#This Row],[Scope]]="Changed",7.52*(Table4[[#This Row],[ISC Base]] - 0.029) - 3.25 * POWER(Table4[[#This Row],[ISC Base]] - 0.02,15),NA()))</f>
        <v>2.5140719999999996</v>
      </c>
      <c r="U81" s="91">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85" t="s">
        <v>277</v>
      </c>
      <c r="W81" s="91">
        <f>VLOOKUP(Table4[[#This Row],[Threat Event Initiation]],NIST_Scale_LOAI[],2,FALSE())</f>
        <v>0.5</v>
      </c>
      <c r="X8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19" t="s">
        <v>271</v>
      </c>
      <c r="AA81" s="19" t="s">
        <v>307</v>
      </c>
      <c r="AB81" s="19" t="s">
        <v>472</v>
      </c>
      <c r="AC81" s="36"/>
      <c r="AD81" s="36"/>
      <c r="AE81" s="36"/>
      <c r="AF81" s="90"/>
      <c r="AG81" s="90"/>
      <c r="AH81" s="90"/>
      <c r="AI81" s="90"/>
      <c r="AJ81" s="90"/>
      <c r="AK8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1" s="91" t="e">
        <f>(1 - ((1 - VLOOKUP(Table4[[#This Row],[ConfidentialityP]],'Reference - CVSSv3.0'!$B$16:$C$18,2,FALSE())) * (1 - VLOOKUP(Table4[[#This Row],[IntegrityP]],'Reference - CVSSv3.0'!$B$16:$C$18,2,FALSE())) *  (1 - VLOOKUP(Table4[[#This Row],[AvailabilityP]],'Reference - CVSSv3.0'!$B$16:$C$18,2,FALSE()))))</f>
        <v>#N/A</v>
      </c>
      <c r="AM81" s="91" t="e">
        <f>IF(Table4[[#This Row],[ScopeP]]="Unchanged",6.42*Table4[[#This Row],[ISC BaseP]],IF(Table4[[#This Row],[ScopeP]]="Changed",7.52*(Table4[[#This Row],[ISC BaseP]] - 0.029) - 3.25 * POWER(Table4[[#This Row],[ISC BaseP]] - 0.02,15),NA()))</f>
        <v>#N/A</v>
      </c>
      <c r="AN8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36"/>
    </row>
    <row r="82" spans="1:43" ht="238">
      <c r="A82" s="84">
        <v>78</v>
      </c>
      <c r="B82" s="85" t="s">
        <v>203</v>
      </c>
      <c r="C82" s="86" t="str">
        <f>IF(VLOOKUP(Table4[[#This Row],[T ID]],Table5[#All],5,FALSE())="No","Not in scope",VLOOKUP(Table4[[#This Row],[T ID]],Table5[#All],2,FALSE()))</f>
        <v>Open network port exploit
(TTP)</v>
      </c>
      <c r="D82" s="57" t="s">
        <v>120</v>
      </c>
      <c r="E82" s="86" t="str">
        <f>IF(VLOOKUP(Table4[[#This Row],[V ID]],Vulnerabilities[#All],3,FALSE())="No","Not in scope",VLOOKUP(Table4[[#This Row],[V ID]],Vulnerabilities[#All],2,FALSE()))</f>
        <v>Unprotected network port(s) on network devices and connection points</v>
      </c>
      <c r="F82" s="87" t="s">
        <v>42</v>
      </c>
      <c r="G82" s="88" t="str">
        <f>VLOOKUP(Table4[[#This Row],[A ID]],Assets[#All],3,FALSE())</f>
        <v>Tablet OS/network details &amp; Tablet Application</v>
      </c>
      <c r="H82" s="19" t="s">
        <v>317</v>
      </c>
      <c r="I82" s="19" t="s">
        <v>465</v>
      </c>
      <c r="J82" s="89" t="s">
        <v>274</v>
      </c>
      <c r="K82" s="89" t="s">
        <v>274</v>
      </c>
      <c r="L82" s="89" t="s">
        <v>267</v>
      </c>
      <c r="M82" s="90" t="s">
        <v>273</v>
      </c>
      <c r="N82" s="90" t="s">
        <v>276</v>
      </c>
      <c r="O82" s="90" t="s">
        <v>267</v>
      </c>
      <c r="P82" s="90" t="s">
        <v>274</v>
      </c>
      <c r="Q82" s="90" t="s">
        <v>270</v>
      </c>
      <c r="R8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2" s="91">
        <f>(1 - ((1 - VLOOKUP(Table4[[#This Row],[Confidentiality]],'Reference - CVSSv3.0'!$B$16:$C$18,2,FALSE())) * (1 - VLOOKUP(Table4[[#This Row],[Integrity]],'Reference - CVSSv3.0'!$B$16:$C$18,2,FALSE())) *  (1 - VLOOKUP(Table4[[#This Row],[Availability]],'Reference - CVSSv3.0'!$B$16:$C$18,2,FALSE()))))</f>
        <v>0.21999999999999997</v>
      </c>
      <c r="T82" s="91">
        <f>IF(Table4[[#This Row],[Scope]]="Unchanged",6.42*Table4[[#This Row],[ISC Base]],IF(Table4[[#This Row],[Scope]]="Changed",7.52*(Table4[[#This Row],[ISC Base]] - 0.029) - 3.25 * POWER(Table4[[#This Row],[ISC Base]] - 0.02,15),NA()))</f>
        <v>1.4123999999999999</v>
      </c>
      <c r="U82"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85" t="s">
        <v>277</v>
      </c>
      <c r="W82" s="91">
        <f>VLOOKUP(Table4[[#This Row],[Threat Event Initiation]],NIST_Scale_LOAI[],2,FALSE())</f>
        <v>0.5</v>
      </c>
      <c r="X8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19" t="s">
        <v>271</v>
      </c>
      <c r="AA82" s="19" t="s">
        <v>307</v>
      </c>
      <c r="AB82" s="19" t="s">
        <v>472</v>
      </c>
      <c r="AC82" s="36"/>
      <c r="AD82" s="36"/>
      <c r="AE82" s="36"/>
      <c r="AF82" s="90"/>
      <c r="AG82" s="90"/>
      <c r="AH82" s="90"/>
      <c r="AI82" s="90"/>
      <c r="AJ82" s="90"/>
      <c r="AK8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2" s="91" t="e">
        <f>(1 - ((1 - VLOOKUP(Table4[[#This Row],[ConfidentialityP]],'Reference - CVSSv3.0'!$B$16:$C$18,2,FALSE())) * (1 - VLOOKUP(Table4[[#This Row],[IntegrityP]],'Reference - CVSSv3.0'!$B$16:$C$18,2,FALSE())) *  (1 - VLOOKUP(Table4[[#This Row],[AvailabilityP]],'Reference - CVSSv3.0'!$B$16:$C$18,2,FALSE()))))</f>
        <v>#N/A</v>
      </c>
      <c r="AM82" s="91" t="e">
        <f>IF(Table4[[#This Row],[ScopeP]]="Unchanged",6.42*Table4[[#This Row],[ISC BaseP]],IF(Table4[[#This Row],[ScopeP]]="Changed",7.52*(Table4[[#This Row],[ISC BaseP]] - 0.029) - 3.25 * POWER(Table4[[#This Row],[ISC BaseP]] - 0.02,15),NA()))</f>
        <v>#N/A</v>
      </c>
      <c r="AN8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36"/>
    </row>
    <row r="83" spans="1:43" ht="124.5" customHeight="1">
      <c r="A83" s="84">
        <v>79</v>
      </c>
      <c r="B83" s="85" t="s">
        <v>203</v>
      </c>
      <c r="C83" s="86" t="str">
        <f>IF(VLOOKUP(Table4[[#This Row],[T ID]],Table5[#All],5,FALSE())="No","Not in scope",VLOOKUP(Table4[[#This Row],[T ID]],Table5[#All],2,FALSE()))</f>
        <v>Open network port exploit
(TTP)</v>
      </c>
      <c r="D83" s="57" t="s">
        <v>120</v>
      </c>
      <c r="E83" s="86" t="str">
        <f>IF(VLOOKUP(Table4[[#This Row],[V ID]],Vulnerabilities[#All],3,FALSE())="No","Not in scope",VLOOKUP(Table4[[#This Row],[V ID]],Vulnerabilities[#All],2,FALSE()))</f>
        <v>Unprotected network port(s) on network devices and connection points</v>
      </c>
      <c r="F83" s="87" t="s">
        <v>62</v>
      </c>
      <c r="G83" s="88" t="str">
        <f>VLOOKUP(Table4[[#This Row],[A ID]],Assets[#All],3,FALSE())</f>
        <v>Wireless Network device (Scope of HDO)</v>
      </c>
      <c r="H83" s="19" t="s">
        <v>317</v>
      </c>
      <c r="I83" s="19" t="s">
        <v>465</v>
      </c>
      <c r="J83" s="89" t="s">
        <v>274</v>
      </c>
      <c r="K83" s="89" t="s">
        <v>274</v>
      </c>
      <c r="L83" s="89" t="s">
        <v>267</v>
      </c>
      <c r="M83" s="90" t="s">
        <v>273</v>
      </c>
      <c r="N83" s="90" t="s">
        <v>276</v>
      </c>
      <c r="O83" s="90" t="s">
        <v>267</v>
      </c>
      <c r="P83" s="90" t="s">
        <v>274</v>
      </c>
      <c r="Q83" s="90" t="s">
        <v>270</v>
      </c>
      <c r="R8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3" s="91">
        <f>(1 - ((1 - VLOOKUP(Table4[[#This Row],[Confidentiality]],'Reference - CVSSv3.0'!$B$16:$C$18,2,FALSE())) * (1 - VLOOKUP(Table4[[#This Row],[Integrity]],'Reference - CVSSv3.0'!$B$16:$C$18,2,FALSE())) *  (1 - VLOOKUP(Table4[[#This Row],[Availability]],'Reference - CVSSv3.0'!$B$16:$C$18,2,FALSE()))))</f>
        <v>0.21999999999999997</v>
      </c>
      <c r="T83" s="91">
        <f>IF(Table4[[#This Row],[Scope]]="Unchanged",6.42*Table4[[#This Row],[ISC Base]],IF(Table4[[#This Row],[Scope]]="Changed",7.52*(Table4[[#This Row],[ISC Base]] - 0.029) - 3.25 * POWER(Table4[[#This Row],[ISC Base]] - 0.02,15),NA()))</f>
        <v>1.4123999999999999</v>
      </c>
      <c r="U83"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85" t="s">
        <v>277</v>
      </c>
      <c r="W83" s="91">
        <f>VLOOKUP(Table4[[#This Row],[Threat Event Initiation]],NIST_Scale_LOAI[],2,FALSE())</f>
        <v>0.5</v>
      </c>
      <c r="X8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9" t="s">
        <v>318</v>
      </c>
      <c r="AA83" s="19" t="s">
        <v>319</v>
      </c>
      <c r="AB83" s="19" t="s">
        <v>503</v>
      </c>
      <c r="AC83" s="36"/>
      <c r="AD83" s="36"/>
      <c r="AE83" s="36"/>
      <c r="AF83" s="90"/>
      <c r="AG83" s="90"/>
      <c r="AH83" s="90"/>
      <c r="AI83" s="90"/>
      <c r="AJ83" s="90"/>
      <c r="AK8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3" s="91" t="e">
        <f>(1 - ((1 - VLOOKUP(Table4[[#This Row],[ConfidentialityP]],'Reference - CVSSv3.0'!$B$16:$C$18,2,FALSE())) * (1 - VLOOKUP(Table4[[#This Row],[IntegrityP]],'Reference - CVSSv3.0'!$B$16:$C$18,2,FALSE())) *  (1 - VLOOKUP(Table4[[#This Row],[AvailabilityP]],'Reference - CVSSv3.0'!$B$16:$C$18,2,FALSE()))))</f>
        <v>#N/A</v>
      </c>
      <c r="AM83" s="91" t="e">
        <f>IF(Table4[[#This Row],[ScopeP]]="Unchanged",6.42*Table4[[#This Row],[ISC BaseP]],IF(Table4[[#This Row],[ScopeP]]="Changed",7.52*(Table4[[#This Row],[ISC BaseP]] - 0.029) - 3.25 * POWER(Table4[[#This Row],[ISC BaseP]] - 0.02,15),NA()))</f>
        <v>#N/A</v>
      </c>
      <c r="AN8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36"/>
    </row>
    <row r="84" spans="1:43" ht="238">
      <c r="A84" s="84">
        <v>80</v>
      </c>
      <c r="B84" s="85" t="s">
        <v>203</v>
      </c>
      <c r="C84" s="86" t="str">
        <f>IF(VLOOKUP(Table4[[#This Row],[T ID]],Table5[#All],5,FALSE())="No","Not in scope",VLOOKUP(Table4[[#This Row],[T ID]],Table5[#All],2,FALSE()))</f>
        <v>Open network port exploit
(TTP)</v>
      </c>
      <c r="D84" s="57" t="s">
        <v>124</v>
      </c>
      <c r="E84" s="86" t="str">
        <f>IF(VLOOKUP(Table4[[#This Row],[V ID]],Vulnerabilities[#All],3,FALSE())="No","Not in scope",VLOOKUP(Table4[[#This Row],[V ID]],Vulnerabilities[#All],2,FALSE()))</f>
        <v>Unencrypted Network segment through out the information flow</v>
      </c>
      <c r="F84" s="87" t="s">
        <v>42</v>
      </c>
      <c r="G84" s="88" t="str">
        <f>VLOOKUP(Table4[[#This Row],[A ID]],Assets[#All],3,FALSE())</f>
        <v>Tablet OS/network details &amp; Tablet Application</v>
      </c>
      <c r="H84" s="19" t="s">
        <v>317</v>
      </c>
      <c r="I84" s="19" t="s">
        <v>465</v>
      </c>
      <c r="J84" s="89" t="s">
        <v>274</v>
      </c>
      <c r="K84" s="89" t="s">
        <v>274</v>
      </c>
      <c r="L84" s="89" t="s">
        <v>267</v>
      </c>
      <c r="M84" s="90" t="s">
        <v>273</v>
      </c>
      <c r="N84" s="90" t="s">
        <v>276</v>
      </c>
      <c r="O84" s="90" t="s">
        <v>267</v>
      </c>
      <c r="P84" s="90" t="s">
        <v>274</v>
      </c>
      <c r="Q84" s="90" t="s">
        <v>270</v>
      </c>
      <c r="R8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4" s="91">
        <f>(1 - ((1 - VLOOKUP(Table4[[#This Row],[Confidentiality]],'Reference - CVSSv3.0'!$B$16:$C$18,2,FALSE())) * (1 - VLOOKUP(Table4[[#This Row],[Integrity]],'Reference - CVSSv3.0'!$B$16:$C$18,2,FALSE())) *  (1 - VLOOKUP(Table4[[#This Row],[Availability]],'Reference - CVSSv3.0'!$B$16:$C$18,2,FALSE()))))</f>
        <v>0.21999999999999997</v>
      </c>
      <c r="T84" s="91">
        <f>IF(Table4[[#This Row],[Scope]]="Unchanged",6.42*Table4[[#This Row],[ISC Base]],IF(Table4[[#This Row],[Scope]]="Changed",7.52*(Table4[[#This Row],[ISC Base]] - 0.029) - 3.25 * POWER(Table4[[#This Row],[ISC Base]] - 0.02,15),NA()))</f>
        <v>1.4123999999999999</v>
      </c>
      <c r="U84"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85" t="s">
        <v>277</v>
      </c>
      <c r="W84" s="91">
        <f>VLOOKUP(Table4[[#This Row],[Threat Event Initiation]],NIST_Scale_LOAI[],2,FALSE())</f>
        <v>0.5</v>
      </c>
      <c r="X8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19" t="s">
        <v>271</v>
      </c>
      <c r="AA84" s="19" t="s">
        <v>307</v>
      </c>
      <c r="AB84" s="19" t="s">
        <v>472</v>
      </c>
      <c r="AC84" s="36"/>
      <c r="AD84" s="36"/>
      <c r="AE84" s="36"/>
      <c r="AF84" s="90"/>
      <c r="AG84" s="90"/>
      <c r="AH84" s="90"/>
      <c r="AI84" s="90"/>
      <c r="AJ84" s="90"/>
      <c r="AK8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4" s="91" t="e">
        <f>(1 - ((1 - VLOOKUP(Table4[[#This Row],[ConfidentialityP]],'Reference - CVSSv3.0'!$B$16:$C$18,2,FALSE())) * (1 - VLOOKUP(Table4[[#This Row],[IntegrityP]],'Reference - CVSSv3.0'!$B$16:$C$18,2,FALSE())) *  (1 - VLOOKUP(Table4[[#This Row],[AvailabilityP]],'Reference - CVSSv3.0'!$B$16:$C$18,2,FALSE()))))</f>
        <v>#N/A</v>
      </c>
      <c r="AM84" s="91" t="e">
        <f>IF(Table4[[#This Row],[ScopeP]]="Unchanged",6.42*Table4[[#This Row],[ISC BaseP]],IF(Table4[[#This Row],[ScopeP]]="Changed",7.52*(Table4[[#This Row],[ISC BaseP]] - 0.029) - 3.25 * POWER(Table4[[#This Row],[ISC BaseP]] - 0.02,15),NA()))</f>
        <v>#N/A</v>
      </c>
      <c r="AN8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36"/>
    </row>
    <row r="85" spans="1:43" ht="266">
      <c r="A85" s="84">
        <v>81</v>
      </c>
      <c r="B85" s="85" t="s">
        <v>203</v>
      </c>
      <c r="C85" s="86" t="str">
        <f>IF(VLOOKUP(Table4[[#This Row],[T ID]],Table5[#All],5,FALSE())="No","Not in scope",VLOOKUP(Table4[[#This Row],[T ID]],Table5[#All],2,FALSE()))</f>
        <v>Open network port exploit
(TTP)</v>
      </c>
      <c r="D85" s="57" t="s">
        <v>131</v>
      </c>
      <c r="E85" s="86" t="str">
        <f>IF(VLOOKUP(Table4[[#This Row],[V ID]],Vulnerabilities[#All],3,FALSE())="No","Not in scope",VLOOKUP(Table4[[#This Row],[V ID]],Vulnerabilities[#All],2,FALSE()))</f>
        <v>Unencrypted data in transit in all flowchannels</v>
      </c>
      <c r="F85" s="87" t="s">
        <v>68</v>
      </c>
      <c r="G85" s="88" t="str">
        <f>VLOOKUP(Table4[[#This Row],[A ID]],Assets[#All],3,FALSE())</f>
        <v>Data in Transit</v>
      </c>
      <c r="H85" s="19" t="s">
        <v>320</v>
      </c>
      <c r="I85" s="19" t="s">
        <v>465</v>
      </c>
      <c r="J85" s="89" t="s">
        <v>274</v>
      </c>
      <c r="K85" s="89" t="s">
        <v>274</v>
      </c>
      <c r="L85" s="89" t="s">
        <v>267</v>
      </c>
      <c r="M85" s="90" t="s">
        <v>273</v>
      </c>
      <c r="N85" s="90" t="s">
        <v>276</v>
      </c>
      <c r="O85" s="90" t="s">
        <v>267</v>
      </c>
      <c r="P85" s="90" t="s">
        <v>274</v>
      </c>
      <c r="Q85" s="90" t="s">
        <v>270</v>
      </c>
      <c r="R8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5" s="91">
        <f>(1 - ((1 - VLOOKUP(Table4[[#This Row],[Confidentiality]],'Reference - CVSSv3.0'!$B$16:$C$18,2,FALSE())) * (1 - VLOOKUP(Table4[[#This Row],[Integrity]],'Reference - CVSSv3.0'!$B$16:$C$18,2,FALSE())) *  (1 - VLOOKUP(Table4[[#This Row],[Availability]],'Reference - CVSSv3.0'!$B$16:$C$18,2,FALSE()))))</f>
        <v>0.21999999999999997</v>
      </c>
      <c r="T85" s="91">
        <f>IF(Table4[[#This Row],[Scope]]="Unchanged",6.42*Table4[[#This Row],[ISC Base]],IF(Table4[[#This Row],[Scope]]="Changed",7.52*(Table4[[#This Row],[ISC Base]] - 0.029) - 3.25 * POWER(Table4[[#This Row],[ISC Base]] - 0.02,15),NA()))</f>
        <v>1.4123999999999999</v>
      </c>
      <c r="U85"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85" t="s">
        <v>277</v>
      </c>
      <c r="W85" s="91">
        <f>VLOOKUP(Table4[[#This Row],[Threat Event Initiation]],NIST_Scale_LOAI[],2,FALSE())</f>
        <v>0.5</v>
      </c>
      <c r="X8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19" t="s">
        <v>301</v>
      </c>
      <c r="AA85" s="19" t="s">
        <v>321</v>
      </c>
      <c r="AB85" s="19" t="s">
        <v>504</v>
      </c>
      <c r="AC85" s="36"/>
      <c r="AD85" s="36"/>
      <c r="AE85" s="36"/>
      <c r="AF85" s="90"/>
      <c r="AG85" s="90"/>
      <c r="AH85" s="90"/>
      <c r="AI85" s="90"/>
      <c r="AJ85" s="90"/>
      <c r="AK8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5" s="91" t="e">
        <f>(1 - ((1 - VLOOKUP(Table4[[#This Row],[ConfidentialityP]],'Reference - CVSSv3.0'!$B$16:$C$18,2,FALSE())) * (1 - VLOOKUP(Table4[[#This Row],[IntegrityP]],'Reference - CVSSv3.0'!$B$16:$C$18,2,FALSE())) *  (1 - VLOOKUP(Table4[[#This Row],[AvailabilityP]],'Reference - CVSSv3.0'!$B$16:$C$18,2,FALSE()))))</f>
        <v>#N/A</v>
      </c>
      <c r="AM85" s="91" t="e">
        <f>IF(Table4[[#This Row],[ScopeP]]="Unchanged",6.42*Table4[[#This Row],[ISC BaseP]],IF(Table4[[#This Row],[ScopeP]]="Changed",7.52*(Table4[[#This Row],[ISC BaseP]] - 0.029) - 3.25 * POWER(Table4[[#This Row],[ISC BaseP]] - 0.02,15),NA()))</f>
        <v>#N/A</v>
      </c>
      <c r="AN8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36"/>
    </row>
    <row r="86" spans="1:43" ht="224">
      <c r="A86" s="95">
        <v>82</v>
      </c>
      <c r="B86" s="85" t="s">
        <v>203</v>
      </c>
      <c r="C86" s="86" t="str">
        <f>IF(VLOOKUP(Table4[[#This Row],[T ID]],Table5[#All],5,FALSE())="No","Not in scope",VLOOKUP(Table4[[#This Row],[T ID]],Table5[#All],2,FALSE()))</f>
        <v>Open network port exploit
(TTP)</v>
      </c>
      <c r="D86" s="57" t="s">
        <v>104</v>
      </c>
      <c r="E86" s="86" t="str">
        <f>IF(VLOOKUP(Table4[[#This Row],[V ID]],Vulnerabilities[#All],3,FALSE())="No","Not in scope",VLOOKUP(Table4[[#This Row],[V ID]],Vulnerabilities[#All],2,FALSE()))</f>
        <v>Insecure communications in networks (hospital)</v>
      </c>
      <c r="F86" s="87" t="s">
        <v>42</v>
      </c>
      <c r="G86" s="88" t="str">
        <f>VLOOKUP(Table4[[#This Row],[A ID]],Assets[#All],3,FALSE())</f>
        <v>Tablet OS/network details &amp; Tablet Application</v>
      </c>
      <c r="H86" s="19" t="s">
        <v>317</v>
      </c>
      <c r="I86" s="19" t="s">
        <v>465</v>
      </c>
      <c r="J86" s="89" t="s">
        <v>274</v>
      </c>
      <c r="K86" s="89" t="s">
        <v>267</v>
      </c>
      <c r="L86" s="89" t="s">
        <v>267</v>
      </c>
      <c r="M86" s="90" t="s">
        <v>273</v>
      </c>
      <c r="N86" s="90" t="s">
        <v>276</v>
      </c>
      <c r="O86" s="90" t="s">
        <v>267</v>
      </c>
      <c r="P86" s="90" t="s">
        <v>274</v>
      </c>
      <c r="Q86" s="90" t="s">
        <v>270</v>
      </c>
      <c r="R8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6" s="91">
        <f>(1 - ((1 - VLOOKUP(Table4[[#This Row],[Confidentiality]],'Reference - CVSSv3.0'!$B$16:$C$18,2,FALSE())) * (1 - VLOOKUP(Table4[[#This Row],[Integrity]],'Reference - CVSSv3.0'!$B$16:$C$18,2,FALSE())) *  (1 - VLOOKUP(Table4[[#This Row],[Availability]],'Reference - CVSSv3.0'!$B$16:$C$18,2,FALSE()))))</f>
        <v>0.39159999999999995</v>
      </c>
      <c r="T86" s="91">
        <f>IF(Table4[[#This Row],[Scope]]="Unchanged",6.42*Table4[[#This Row],[ISC Base]],IF(Table4[[#This Row],[Scope]]="Changed",7.52*(Table4[[#This Row],[ISC Base]] - 0.029) - 3.25 * POWER(Table4[[#This Row],[ISC Base]] - 0.02,15),NA()))</f>
        <v>2.5140719999999996</v>
      </c>
      <c r="U8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85" t="s">
        <v>277</v>
      </c>
      <c r="W86" s="91">
        <f>VLOOKUP(Table4[[#This Row],[Threat Event Initiation]],NIST_Scale_LOAI[],2,FALSE())</f>
        <v>0.5</v>
      </c>
      <c r="X8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19" t="s">
        <v>271</v>
      </c>
      <c r="AA86" s="19" t="s">
        <v>312</v>
      </c>
      <c r="AB86" s="19" t="s">
        <v>469</v>
      </c>
      <c r="AC86" s="36"/>
      <c r="AD86" s="36"/>
      <c r="AE86" s="36"/>
      <c r="AF86" s="90"/>
      <c r="AG86" s="90"/>
      <c r="AH86" s="90"/>
      <c r="AI86" s="90"/>
      <c r="AJ86" s="90"/>
      <c r="AK8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6" s="91" t="e">
        <f>(1 - ((1 - VLOOKUP(Table4[[#This Row],[ConfidentialityP]],'Reference - CVSSv3.0'!$B$16:$C$18,2,FALSE())) * (1 - VLOOKUP(Table4[[#This Row],[IntegrityP]],'Reference - CVSSv3.0'!$B$16:$C$18,2,FALSE())) *  (1 - VLOOKUP(Table4[[#This Row],[AvailabilityP]],'Reference - CVSSv3.0'!$B$16:$C$18,2,FALSE()))))</f>
        <v>#N/A</v>
      </c>
      <c r="AM86" s="91" t="e">
        <f>IF(Table4[[#This Row],[ScopeP]]="Unchanged",6.42*Table4[[#This Row],[ISC BaseP]],IF(Table4[[#This Row],[ScopeP]]="Changed",7.52*(Table4[[#This Row],[ISC BaseP]] - 0.029) - 3.25 * POWER(Table4[[#This Row],[ISC BaseP]] - 0.02,15),NA()))</f>
        <v>#N/A</v>
      </c>
      <c r="AN8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36"/>
    </row>
    <row r="87" spans="1:43" ht="252">
      <c r="A87" s="84">
        <v>83</v>
      </c>
      <c r="B87" s="85" t="s">
        <v>206</v>
      </c>
      <c r="C87" s="86" t="str">
        <f>IF(VLOOKUP(Table4[[#This Row],[T ID]],Table5[#All],5,FALSE())="No","Not in scope",VLOOKUP(Table4[[#This Row],[T ID]],Table5[#All],2,FALSE()))</f>
        <v>Brute-force Attack
(CAPEC-112)</v>
      </c>
      <c r="D87" s="57" t="s">
        <v>94</v>
      </c>
      <c r="E87" s="86" t="str">
        <f>IF(VLOOKUP(Table4[[#This Row],[V ID]],Vulnerabilities[#All],3,FALSE())="No","Not in scope",VLOOKUP(Table4[[#This Row],[V ID]],Vulnerabilities[#All],2,FALSE()))</f>
        <v>Devices with default passwords needs to be checked for bruteforce attacks</v>
      </c>
      <c r="F87" s="87" t="s">
        <v>71</v>
      </c>
      <c r="G87" s="88" t="str">
        <f>VLOOKUP(Table4[[#This Row],[A ID]],Assets[#All],3,FALSE())</f>
        <v>Smart medic app (Stryker Admin Web Application)</v>
      </c>
      <c r="H87" s="19" t="s">
        <v>322</v>
      </c>
      <c r="I87" s="19" t="s">
        <v>465</v>
      </c>
      <c r="J87" s="89" t="s">
        <v>267</v>
      </c>
      <c r="K87" s="89" t="s">
        <v>274</v>
      </c>
      <c r="L87" s="89" t="s">
        <v>267</v>
      </c>
      <c r="M87" s="90" t="s">
        <v>273</v>
      </c>
      <c r="N87" s="90" t="s">
        <v>276</v>
      </c>
      <c r="O87" s="90" t="s">
        <v>276</v>
      </c>
      <c r="P87" s="90" t="s">
        <v>274</v>
      </c>
      <c r="Q87" s="90" t="s">
        <v>270</v>
      </c>
      <c r="R8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7" s="91">
        <f>(1 - ((1 - VLOOKUP(Table4[[#This Row],[Confidentiality]],'Reference - CVSSv3.0'!$B$16:$C$18,2,FALSE())) * (1 - VLOOKUP(Table4[[#This Row],[Integrity]],'Reference - CVSSv3.0'!$B$16:$C$18,2,FALSE())) *  (1 - VLOOKUP(Table4[[#This Row],[Availability]],'Reference - CVSSv3.0'!$B$16:$C$18,2,FALSE()))))</f>
        <v>0.39159999999999995</v>
      </c>
      <c r="T87" s="91">
        <f>IF(Table4[[#This Row],[Scope]]="Unchanged",6.42*Table4[[#This Row],[ISC Base]],IF(Table4[[#This Row],[Scope]]="Changed",7.52*(Table4[[#This Row],[ISC Base]] - 0.029) - 3.25 * POWER(Table4[[#This Row],[ISC Base]] - 0.02,15),NA()))</f>
        <v>2.5140719999999996</v>
      </c>
      <c r="U87"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85" t="s">
        <v>277</v>
      </c>
      <c r="W87" s="91">
        <f>VLOOKUP(Table4[[#This Row],[Threat Event Initiation]],NIST_Scale_LOAI[],2,FALSE())</f>
        <v>0.5</v>
      </c>
      <c r="X8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19" t="s">
        <v>323</v>
      </c>
      <c r="AA87" s="19" t="s">
        <v>460</v>
      </c>
      <c r="AB87" s="19" t="s">
        <v>505</v>
      </c>
      <c r="AC87" s="36"/>
      <c r="AD87" s="36"/>
      <c r="AE87" s="36"/>
      <c r="AF87" s="90"/>
      <c r="AG87" s="90"/>
      <c r="AH87" s="90"/>
      <c r="AI87" s="90"/>
      <c r="AJ87" s="90"/>
      <c r="AK8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7" s="91" t="e">
        <f>(1 - ((1 - VLOOKUP(Table4[[#This Row],[ConfidentialityP]],'Reference - CVSSv3.0'!$B$16:$C$18,2,FALSE())) * (1 - VLOOKUP(Table4[[#This Row],[IntegrityP]],'Reference - CVSSv3.0'!$B$16:$C$18,2,FALSE())) *  (1 - VLOOKUP(Table4[[#This Row],[AvailabilityP]],'Reference - CVSSv3.0'!$B$16:$C$18,2,FALSE()))))</f>
        <v>#N/A</v>
      </c>
      <c r="AM87" s="91" t="e">
        <f>IF(Table4[[#This Row],[ScopeP]]="Unchanged",6.42*Table4[[#This Row],[ISC BaseP]],IF(Table4[[#This Row],[ScopeP]]="Changed",7.52*(Table4[[#This Row],[ISC BaseP]] - 0.029) - 3.25 * POWER(Table4[[#This Row],[ISC BaseP]] - 0.02,15),NA()))</f>
        <v>#N/A</v>
      </c>
      <c r="AN8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36"/>
    </row>
    <row r="88" spans="1:43" ht="228" customHeight="1">
      <c r="A88" s="84">
        <v>84</v>
      </c>
      <c r="B88" s="85" t="s">
        <v>206</v>
      </c>
      <c r="C88" s="86" t="str">
        <f>IF(VLOOKUP(Table4[[#This Row],[T ID]],Table5[#All],5,FALSE())="No","Not in scope",VLOOKUP(Table4[[#This Row],[T ID]],Table5[#All],2,FALSE()))</f>
        <v>Brute-force Attack
(CAPEC-112)</v>
      </c>
      <c r="D88" s="57" t="s">
        <v>94</v>
      </c>
      <c r="E88" s="86" t="str">
        <f>IF(VLOOKUP(Table4[[#This Row],[V ID]],Vulnerabilities[#All],3,FALSE())="No","Not in scope",VLOOKUP(Table4[[#This Row],[V ID]],Vulnerabilities[#All],2,FALSE()))</f>
        <v>Devices with default passwords needs to be checked for bruteforce attacks</v>
      </c>
      <c r="F88" s="87" t="s">
        <v>74</v>
      </c>
      <c r="G88" s="88" t="str">
        <f>VLOOKUP(Table4[[#This Row],[A ID]],Assets[#All],3,FALSE())</f>
        <v>Smart medic app (Azure Portal Administrator)</v>
      </c>
      <c r="H88" s="19" t="s">
        <v>322</v>
      </c>
      <c r="I88" s="19" t="s">
        <v>465</v>
      </c>
      <c r="J88" s="89" t="s">
        <v>267</v>
      </c>
      <c r="K88" s="89" t="s">
        <v>274</v>
      </c>
      <c r="L88" s="89" t="s">
        <v>267</v>
      </c>
      <c r="M88" s="90" t="s">
        <v>273</v>
      </c>
      <c r="N88" s="90" t="s">
        <v>276</v>
      </c>
      <c r="O88" s="90" t="s">
        <v>276</v>
      </c>
      <c r="P88" s="90" t="s">
        <v>274</v>
      </c>
      <c r="Q88" s="90" t="s">
        <v>270</v>
      </c>
      <c r="R8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8" s="91">
        <f>(1 - ((1 - VLOOKUP(Table4[[#This Row],[Confidentiality]],'Reference - CVSSv3.0'!$B$16:$C$18,2,FALSE())) * (1 - VLOOKUP(Table4[[#This Row],[Integrity]],'Reference - CVSSv3.0'!$B$16:$C$18,2,FALSE())) *  (1 - VLOOKUP(Table4[[#This Row],[Availability]],'Reference - CVSSv3.0'!$B$16:$C$18,2,FALSE()))))</f>
        <v>0.39159999999999995</v>
      </c>
      <c r="T88" s="91">
        <f>IF(Table4[[#This Row],[Scope]]="Unchanged",6.42*Table4[[#This Row],[ISC Base]],IF(Table4[[#This Row],[Scope]]="Changed",7.52*(Table4[[#This Row],[ISC Base]] - 0.029) - 3.25 * POWER(Table4[[#This Row],[ISC Base]] - 0.02,15),NA()))</f>
        <v>2.5140719999999996</v>
      </c>
      <c r="U88"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85" t="s">
        <v>277</v>
      </c>
      <c r="W88" s="91">
        <f>VLOOKUP(Table4[[#This Row],[Threat Event Initiation]],NIST_Scale_LOAI[],2,FALSE())</f>
        <v>0.5</v>
      </c>
      <c r="X8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19" t="s">
        <v>323</v>
      </c>
      <c r="AA88" s="19" t="s">
        <v>455</v>
      </c>
      <c r="AB88" s="19" t="s">
        <v>492</v>
      </c>
      <c r="AC88" s="36"/>
      <c r="AD88" s="36"/>
      <c r="AE88" s="36"/>
      <c r="AF88" s="90"/>
      <c r="AG88" s="90"/>
      <c r="AH88" s="90"/>
      <c r="AI88" s="90"/>
      <c r="AJ88" s="90"/>
      <c r="AK8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8" s="91" t="e">
        <f>(1 - ((1 - VLOOKUP(Table4[[#This Row],[ConfidentialityP]],'Reference - CVSSv3.0'!$B$16:$C$18,2,FALSE())) * (1 - VLOOKUP(Table4[[#This Row],[IntegrityP]],'Reference - CVSSv3.0'!$B$16:$C$18,2,FALSE())) *  (1 - VLOOKUP(Table4[[#This Row],[AvailabilityP]],'Reference - CVSSv3.0'!$B$16:$C$18,2,FALSE()))))</f>
        <v>#N/A</v>
      </c>
      <c r="AM88" s="91" t="e">
        <f>IF(Table4[[#This Row],[ScopeP]]="Unchanged",6.42*Table4[[#This Row],[ISC BaseP]],IF(Table4[[#This Row],[ScopeP]]="Changed",7.52*(Table4[[#This Row],[ISC BaseP]] - 0.029) - 3.25 * POWER(Table4[[#This Row],[ISC BaseP]] - 0.02,15),NA()))</f>
        <v>#N/A</v>
      </c>
      <c r="AN8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36"/>
    </row>
    <row r="89" spans="1:43" ht="270.75" customHeight="1">
      <c r="A89" s="84">
        <v>85</v>
      </c>
      <c r="B89" s="85" t="s">
        <v>206</v>
      </c>
      <c r="C89" s="86" t="str">
        <f>IF(VLOOKUP(Table4[[#This Row],[T ID]],Table5[#All],5,FALSE())="No","Not in scope",VLOOKUP(Table4[[#This Row],[T ID]],Table5[#All],2,FALSE()))</f>
        <v>Brute-force Attack
(CAPEC-112)</v>
      </c>
      <c r="D89" s="57" t="s">
        <v>100</v>
      </c>
      <c r="E89" s="86" t="str">
        <f>IF(VLOOKUP(Table4[[#This Row],[V ID]],Vulnerabilities[#All],3,FALSE())="No","Not in scope",VLOOKUP(Table4[[#This Row],[V ID]],Vulnerabilities[#All],2,FALSE()))</f>
        <v>The password complexity or location vulnerability. Like weak passwords and hardcoded passwords.</v>
      </c>
      <c r="F89" s="87" t="s">
        <v>71</v>
      </c>
      <c r="G89" s="88" t="str">
        <f>VLOOKUP(Table4[[#This Row],[A ID]],Assets[#All],3,FALSE())</f>
        <v>Smart medic app (Stryker Admin Web Application)</v>
      </c>
      <c r="H89" s="19" t="s">
        <v>322</v>
      </c>
      <c r="I89" s="19" t="s">
        <v>465</v>
      </c>
      <c r="J89" s="89" t="s">
        <v>267</v>
      </c>
      <c r="K89" s="89" t="s">
        <v>274</v>
      </c>
      <c r="L89" s="89" t="s">
        <v>267</v>
      </c>
      <c r="M89" s="90" t="s">
        <v>273</v>
      </c>
      <c r="N89" s="90" t="s">
        <v>276</v>
      </c>
      <c r="O89" s="90" t="s">
        <v>276</v>
      </c>
      <c r="P89" s="90" t="s">
        <v>274</v>
      </c>
      <c r="Q89" s="90" t="s">
        <v>270</v>
      </c>
      <c r="R8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9" s="91">
        <f>(1 - ((1 - VLOOKUP(Table4[[#This Row],[Confidentiality]],'Reference - CVSSv3.0'!$B$16:$C$18,2,FALSE())) * (1 - VLOOKUP(Table4[[#This Row],[Integrity]],'Reference - CVSSv3.0'!$B$16:$C$18,2,FALSE())) *  (1 - VLOOKUP(Table4[[#This Row],[Availability]],'Reference - CVSSv3.0'!$B$16:$C$18,2,FALSE()))))</f>
        <v>0.39159999999999995</v>
      </c>
      <c r="T89" s="91">
        <f>IF(Table4[[#This Row],[Scope]]="Unchanged",6.42*Table4[[#This Row],[ISC Base]],IF(Table4[[#This Row],[Scope]]="Changed",7.52*(Table4[[#This Row],[ISC Base]] - 0.029) - 3.25 * POWER(Table4[[#This Row],[ISC Base]] - 0.02,15),NA()))</f>
        <v>2.5140719999999996</v>
      </c>
      <c r="U89"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85" t="s">
        <v>277</v>
      </c>
      <c r="W89" s="91">
        <f>VLOOKUP(Table4[[#This Row],[Threat Event Initiation]],NIST_Scale_LOAI[],2,FALSE())</f>
        <v>0.5</v>
      </c>
      <c r="X8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19" t="s">
        <v>316</v>
      </c>
      <c r="AA89" s="19" t="s">
        <v>446</v>
      </c>
      <c r="AB89" s="19" t="s">
        <v>506</v>
      </c>
      <c r="AC89" s="36"/>
      <c r="AD89" s="36"/>
      <c r="AE89" s="36"/>
      <c r="AF89" s="90"/>
      <c r="AG89" s="90"/>
      <c r="AH89" s="90"/>
      <c r="AI89" s="90"/>
      <c r="AJ89" s="90"/>
      <c r="AK8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9" s="91" t="e">
        <f>(1 - ((1 - VLOOKUP(Table4[[#This Row],[ConfidentialityP]],'Reference - CVSSv3.0'!$B$16:$C$18,2,FALSE())) * (1 - VLOOKUP(Table4[[#This Row],[IntegrityP]],'Reference - CVSSv3.0'!$B$16:$C$18,2,FALSE())) *  (1 - VLOOKUP(Table4[[#This Row],[AvailabilityP]],'Reference - CVSSv3.0'!$B$16:$C$18,2,FALSE()))))</f>
        <v>#N/A</v>
      </c>
      <c r="AM89" s="91" t="e">
        <f>IF(Table4[[#This Row],[ScopeP]]="Unchanged",6.42*Table4[[#This Row],[ISC BaseP]],IF(Table4[[#This Row],[ScopeP]]="Changed",7.52*(Table4[[#This Row],[ISC BaseP]] - 0.029) - 3.25 * POWER(Table4[[#This Row],[ISC BaseP]] - 0.02,15),NA()))</f>
        <v>#N/A</v>
      </c>
      <c r="AN8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36"/>
    </row>
    <row r="90" spans="1:43" ht="213.75" customHeight="1">
      <c r="A90" s="84">
        <v>86</v>
      </c>
      <c r="B90" s="85" t="s">
        <v>206</v>
      </c>
      <c r="C90" s="86" t="str">
        <f>IF(VLOOKUP(Table4[[#This Row],[T ID]],Table5[#All],5,FALSE())="No","Not in scope",VLOOKUP(Table4[[#This Row],[T ID]],Table5[#All],2,FALSE()))</f>
        <v>Brute-force Attack
(CAPEC-112)</v>
      </c>
      <c r="D90" s="57" t="s">
        <v>100</v>
      </c>
      <c r="E90" s="86" t="str">
        <f>IF(VLOOKUP(Table4[[#This Row],[V ID]],Vulnerabilities[#All],3,FALSE())="No","Not in scope",VLOOKUP(Table4[[#This Row],[V ID]],Vulnerabilities[#All],2,FALSE()))</f>
        <v>The password complexity or location vulnerability. Like weak passwords and hardcoded passwords.</v>
      </c>
      <c r="F90" s="87" t="s">
        <v>74</v>
      </c>
      <c r="G90" s="88" t="str">
        <f>VLOOKUP(Table4[[#This Row],[A ID]],Assets[#All],3,FALSE())</f>
        <v>Smart medic app (Azure Portal Administrator)</v>
      </c>
      <c r="H90" s="19" t="s">
        <v>322</v>
      </c>
      <c r="I90" s="19" t="s">
        <v>465</v>
      </c>
      <c r="J90" s="89" t="s">
        <v>267</v>
      </c>
      <c r="K90" s="89" t="s">
        <v>274</v>
      </c>
      <c r="L90" s="89" t="s">
        <v>267</v>
      </c>
      <c r="M90" s="90" t="s">
        <v>273</v>
      </c>
      <c r="N90" s="90" t="s">
        <v>276</v>
      </c>
      <c r="O90" s="90" t="s">
        <v>276</v>
      </c>
      <c r="P90" s="90" t="s">
        <v>274</v>
      </c>
      <c r="Q90" s="90" t="s">
        <v>270</v>
      </c>
      <c r="R9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0" s="91">
        <f>(1 - ((1 - VLOOKUP(Table4[[#This Row],[Confidentiality]],'Reference - CVSSv3.0'!$B$16:$C$18,2,FALSE())) * (1 - VLOOKUP(Table4[[#This Row],[Integrity]],'Reference - CVSSv3.0'!$B$16:$C$18,2,FALSE())) *  (1 - VLOOKUP(Table4[[#This Row],[Availability]],'Reference - CVSSv3.0'!$B$16:$C$18,2,FALSE()))))</f>
        <v>0.39159999999999995</v>
      </c>
      <c r="T90" s="91">
        <f>IF(Table4[[#This Row],[Scope]]="Unchanged",6.42*Table4[[#This Row],[ISC Base]],IF(Table4[[#This Row],[Scope]]="Changed",7.52*(Table4[[#This Row],[ISC Base]] - 0.029) - 3.25 * POWER(Table4[[#This Row],[ISC Base]] - 0.02,15),NA()))</f>
        <v>2.5140719999999996</v>
      </c>
      <c r="U90"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85" t="s">
        <v>277</v>
      </c>
      <c r="W90" s="91">
        <f>VLOOKUP(Table4[[#This Row],[Threat Event Initiation]],NIST_Scale_LOAI[],2,FALSE())</f>
        <v>0.5</v>
      </c>
      <c r="X9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19" t="s">
        <v>324</v>
      </c>
      <c r="AA90" s="19" t="s">
        <v>455</v>
      </c>
      <c r="AB90" s="19" t="s">
        <v>492</v>
      </c>
      <c r="AC90" s="36"/>
      <c r="AD90" s="36"/>
      <c r="AE90" s="36"/>
      <c r="AF90" s="90"/>
      <c r="AG90" s="90"/>
      <c r="AH90" s="90"/>
      <c r="AI90" s="90"/>
      <c r="AJ90" s="90"/>
      <c r="AK9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0" s="91" t="e">
        <f>(1 - ((1 - VLOOKUP(Table4[[#This Row],[ConfidentialityP]],'Reference - CVSSv3.0'!$B$16:$C$18,2,FALSE())) * (1 - VLOOKUP(Table4[[#This Row],[IntegrityP]],'Reference - CVSSv3.0'!$B$16:$C$18,2,FALSE())) *  (1 - VLOOKUP(Table4[[#This Row],[AvailabilityP]],'Reference - CVSSv3.0'!$B$16:$C$18,2,FALSE()))))</f>
        <v>#N/A</v>
      </c>
      <c r="AM90" s="91" t="e">
        <f>IF(Table4[[#This Row],[ScopeP]]="Unchanged",6.42*Table4[[#This Row],[ISC BaseP]],IF(Table4[[#This Row],[ScopeP]]="Changed",7.52*(Table4[[#This Row],[ISC BaseP]] - 0.029) - 3.25 * POWER(Table4[[#This Row],[ISC BaseP]] - 0.02,15),NA()))</f>
        <v>#N/A</v>
      </c>
      <c r="AN9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36"/>
    </row>
    <row r="91" spans="1:43" ht="370.5" customHeight="1">
      <c r="A91" s="84">
        <v>87</v>
      </c>
      <c r="B91" s="85" t="s">
        <v>206</v>
      </c>
      <c r="C91" s="86" t="str">
        <f>IF(VLOOKUP(Table4[[#This Row],[T ID]],Table5[#All],5,FALSE())="No","Not in scope",VLOOKUP(Table4[[#This Row],[T ID]],Table5[#All],2,FALSE()))</f>
        <v>Brute-force Attack
(CAPEC-112)</v>
      </c>
      <c r="D91" s="57" t="s">
        <v>133</v>
      </c>
      <c r="E91" s="86" t="str">
        <f>IF(VLOOKUP(Table4[[#This Row],[V ID]],Vulnerabilities[#All],3,FALSE())="No","Not in scope",VLOOKUP(Table4[[#This Row],[V ID]],Vulnerabilities[#All],2,FALSE()))</f>
        <v>Weak Encryption Implementaion in data at rest and in transit tactical and design wise</v>
      </c>
      <c r="F91" s="87" t="s">
        <v>65</v>
      </c>
      <c r="G91" s="88" t="str">
        <f>VLOOKUP(Table4[[#This Row],[A ID]],Assets[#All],3,FALSE())</f>
        <v>Data at Rest</v>
      </c>
      <c r="H91" s="19" t="s">
        <v>325</v>
      </c>
      <c r="I91" s="19" t="s">
        <v>465</v>
      </c>
      <c r="J91" s="89" t="s">
        <v>267</v>
      </c>
      <c r="K91" s="89" t="s">
        <v>274</v>
      </c>
      <c r="L91" s="89" t="s">
        <v>267</v>
      </c>
      <c r="M91" s="90" t="s">
        <v>275</v>
      </c>
      <c r="N91" s="89" t="s">
        <v>276</v>
      </c>
      <c r="O91" s="90" t="s">
        <v>276</v>
      </c>
      <c r="P91" s="90" t="s">
        <v>274</v>
      </c>
      <c r="Q91" s="89" t="s">
        <v>270</v>
      </c>
      <c r="R9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91" s="91">
        <f>(1 - ((1 - VLOOKUP(Table4[[#This Row],[Confidentiality]],'Reference - CVSSv3.0'!$B$16:$C$18,2,FALSE())) * (1 - VLOOKUP(Table4[[#This Row],[Integrity]],'Reference - CVSSv3.0'!$B$16:$C$18,2,FALSE())) *  (1 - VLOOKUP(Table4[[#This Row],[Availability]],'Reference - CVSSv3.0'!$B$16:$C$18,2,FALSE()))))</f>
        <v>0.39159999999999995</v>
      </c>
      <c r="T91" s="91">
        <f>IF(Table4[[#This Row],[Scope]]="Unchanged",6.42*Table4[[#This Row],[ISC Base]],IF(Table4[[#This Row],[Scope]]="Changed",7.52*(Table4[[#This Row],[ISC Base]] - 0.029) - 3.25 * POWER(Table4[[#This Row],[ISC Base]] - 0.02,15),NA()))</f>
        <v>2.5140719999999996</v>
      </c>
      <c r="U91" s="91">
        <f>IF(Table4[[#This Row],[Impact Sub Score]]&lt;=0,0,IF(Table4[[#This Row],[Scope]]="Unchanged",ROUNDUP(MIN((Table4[[#This Row],[Impact Sub Score]]+Table4[[#This Row],[Exploitability Sub Score]]),10),1),IF(Table4[[#This Row],[Scope]]="Changed",ROUNDUP(MIN((1.08*(Table4[[#This Row],[Impact Sub Score]]+Table4[[#This Row],[Exploitability Sub Score]])),10),1),NA())))</f>
        <v>3</v>
      </c>
      <c r="V91" s="85" t="s">
        <v>277</v>
      </c>
      <c r="W91" s="91">
        <f>VLOOKUP(Table4[[#This Row],[Threat Event Initiation]],NIST_Scale_LOAI[],2,FALSE())</f>
        <v>0.5</v>
      </c>
      <c r="X9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9" t="s">
        <v>326</v>
      </c>
      <c r="AA91" s="19" t="s">
        <v>434</v>
      </c>
      <c r="AB91" s="19" t="s">
        <v>496</v>
      </c>
      <c r="AC91" s="36"/>
      <c r="AD91" s="36"/>
      <c r="AE91" s="36"/>
      <c r="AF91" s="89"/>
      <c r="AG91" s="89"/>
      <c r="AH91" s="89"/>
      <c r="AI91" s="89"/>
      <c r="AJ91" s="89"/>
      <c r="AK9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1" s="91" t="e">
        <f>(1 - ((1 - VLOOKUP(Table4[[#This Row],[ConfidentialityP]],'Reference - CVSSv3.0'!$B$16:$C$18,2,FALSE())) * (1 - VLOOKUP(Table4[[#This Row],[IntegrityP]],'Reference - CVSSv3.0'!$B$16:$C$18,2,FALSE())) *  (1 - VLOOKUP(Table4[[#This Row],[AvailabilityP]],'Reference - CVSSv3.0'!$B$16:$C$18,2,FALSE()))))</f>
        <v>#N/A</v>
      </c>
      <c r="AM91" s="91" t="e">
        <f>IF(Table4[[#This Row],[ScopeP]]="Unchanged",6.42*Table4[[#This Row],[ISC BaseP]],IF(Table4[[#This Row],[ScopeP]]="Changed",7.52*(Table4[[#This Row],[ISC BaseP]] - 0.029) - 3.25 * POWER(Table4[[#This Row],[ISC BaseP]] - 0.02,15),NA()))</f>
        <v>#N/A</v>
      </c>
      <c r="AN9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36"/>
    </row>
    <row r="92" spans="1:43" ht="313.5" customHeight="1">
      <c r="A92" s="84">
        <v>88</v>
      </c>
      <c r="B92" s="85" t="s">
        <v>206</v>
      </c>
      <c r="C92" s="86" t="str">
        <f>IF(VLOOKUP(Table4[[#This Row],[T ID]],Table5[#All],5,FALSE())="No","Not in scope",VLOOKUP(Table4[[#This Row],[T ID]],Table5[#All],2,FALSE()))</f>
        <v>Brute-force Attack
(CAPEC-112)</v>
      </c>
      <c r="D92" s="57" t="s">
        <v>133</v>
      </c>
      <c r="E92" s="86" t="str">
        <f>IF(VLOOKUP(Table4[[#This Row],[V ID]],Vulnerabilities[#All],3,FALSE())="No","Not in scope",VLOOKUP(Table4[[#This Row],[V ID]],Vulnerabilities[#All],2,FALSE()))</f>
        <v>Weak Encryption Implementaion in data at rest and in transit tactical and design wise</v>
      </c>
      <c r="F92" s="87" t="s">
        <v>68</v>
      </c>
      <c r="G92" s="88" t="str">
        <f>VLOOKUP(Table4[[#This Row],[A ID]],Assets[#All],3,FALSE())</f>
        <v>Data in Transit</v>
      </c>
      <c r="H92" s="19" t="s">
        <v>325</v>
      </c>
      <c r="I92" s="19" t="s">
        <v>465</v>
      </c>
      <c r="J92" s="89" t="s">
        <v>267</v>
      </c>
      <c r="K92" s="89" t="s">
        <v>274</v>
      </c>
      <c r="L92" s="89" t="s">
        <v>267</v>
      </c>
      <c r="M92" s="90" t="s">
        <v>273</v>
      </c>
      <c r="N92" s="89" t="s">
        <v>276</v>
      </c>
      <c r="O92" s="90" t="s">
        <v>276</v>
      </c>
      <c r="P92" s="90" t="s">
        <v>274</v>
      </c>
      <c r="Q92" s="89" t="s">
        <v>270</v>
      </c>
      <c r="R9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2" s="91">
        <f>(1 - ((1 - VLOOKUP(Table4[[#This Row],[Confidentiality]],'Reference - CVSSv3.0'!$B$16:$C$18,2,FALSE())) * (1 - VLOOKUP(Table4[[#This Row],[Integrity]],'Reference - CVSSv3.0'!$B$16:$C$18,2,FALSE())) *  (1 - VLOOKUP(Table4[[#This Row],[Availability]],'Reference - CVSSv3.0'!$B$16:$C$18,2,FALSE()))))</f>
        <v>0.39159999999999995</v>
      </c>
      <c r="T92" s="91">
        <f>IF(Table4[[#This Row],[Scope]]="Unchanged",6.42*Table4[[#This Row],[ISC Base]],IF(Table4[[#This Row],[Scope]]="Changed",7.52*(Table4[[#This Row],[ISC Base]] - 0.029) - 3.25 * POWER(Table4[[#This Row],[ISC Base]] - 0.02,15),NA()))</f>
        <v>2.5140719999999996</v>
      </c>
      <c r="U92"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85" t="s">
        <v>277</v>
      </c>
      <c r="W92" s="91">
        <f>VLOOKUP(Table4[[#This Row],[Threat Event Initiation]],NIST_Scale_LOAI[],2,FALSE())</f>
        <v>0.5</v>
      </c>
      <c r="X9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9" t="s">
        <v>303</v>
      </c>
      <c r="AA92" s="19" t="s">
        <v>327</v>
      </c>
      <c r="AB92" s="19" t="s">
        <v>497</v>
      </c>
      <c r="AC92" s="36"/>
      <c r="AD92" s="36"/>
      <c r="AE92" s="36"/>
      <c r="AF92" s="89"/>
      <c r="AG92" s="89"/>
      <c r="AH92" s="89"/>
      <c r="AI92" s="89"/>
      <c r="AJ92" s="89"/>
      <c r="AK9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2" s="91" t="e">
        <f>(1 - ((1 - VLOOKUP(Table4[[#This Row],[ConfidentialityP]],'Reference - CVSSv3.0'!$B$16:$C$18,2,FALSE())) * (1 - VLOOKUP(Table4[[#This Row],[IntegrityP]],'Reference - CVSSv3.0'!$B$16:$C$18,2,FALSE())) *  (1 - VLOOKUP(Table4[[#This Row],[AvailabilityP]],'Reference - CVSSv3.0'!$B$16:$C$18,2,FALSE()))))</f>
        <v>#N/A</v>
      </c>
      <c r="AM92" s="91" t="e">
        <f>IF(Table4[[#This Row],[ScopeP]]="Unchanged",6.42*Table4[[#This Row],[ISC BaseP]],IF(Table4[[#This Row],[ScopeP]]="Changed",7.52*(Table4[[#This Row],[ISC BaseP]] - 0.029) - 3.25 * POWER(Table4[[#This Row],[ISC BaseP]] - 0.02,15),NA()))</f>
        <v>#N/A</v>
      </c>
      <c r="AN9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36"/>
    </row>
    <row r="93" spans="1:43" ht="127.5" customHeight="1">
      <c r="A93" s="84">
        <v>89</v>
      </c>
      <c r="B93" s="85" t="s">
        <v>209</v>
      </c>
      <c r="C93" s="86" t="str">
        <f>IF(VLOOKUP(Table4[[#This Row],[T ID]],Table5[#All],5,FALSE())="No","Not in scope",VLOOKUP(Table4[[#This Row],[T ID]],Table5[#All],2,FALSE()))</f>
        <v>Social Engineering
(TTP)</v>
      </c>
      <c r="D93" s="57" t="s">
        <v>142</v>
      </c>
      <c r="E93" s="86" t="str">
        <f>IF(VLOOKUP(Table4[[#This Row],[V ID]],Vulnerabilities[#All],3,FALSE())="No","Not in scope",VLOOKUP(Table4[[#This Row],[V ID]],Vulnerabilities[#All],2,FALSE()))</f>
        <v>Legacy system identification if any</v>
      </c>
      <c r="F93" s="87" t="s">
        <v>71</v>
      </c>
      <c r="G93" s="88" t="str">
        <f>VLOOKUP(Table4[[#This Row],[A ID]],Assets[#All],3,FALSE())</f>
        <v>Smart medic app (Stryker Admin Web Application)</v>
      </c>
      <c r="H93" s="19" t="s">
        <v>328</v>
      </c>
      <c r="I93" s="19" t="s">
        <v>465</v>
      </c>
      <c r="J93" s="89" t="s">
        <v>274</v>
      </c>
      <c r="K93" s="89" t="s">
        <v>267</v>
      </c>
      <c r="L93" s="89" t="s">
        <v>276</v>
      </c>
      <c r="M93" s="90" t="s">
        <v>329</v>
      </c>
      <c r="N93" s="90" t="s">
        <v>276</v>
      </c>
      <c r="O93" s="90" t="s">
        <v>276</v>
      </c>
      <c r="P93" s="90" t="s">
        <v>269</v>
      </c>
      <c r="Q93" s="90" t="s">
        <v>270</v>
      </c>
      <c r="R9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3" s="91">
        <f>(1 - ((1 - VLOOKUP(Table4[[#This Row],[Confidentiality]],'Reference - CVSSv3.0'!$B$16:$C$18,2,FALSE())) * (1 - VLOOKUP(Table4[[#This Row],[Integrity]],'Reference - CVSSv3.0'!$B$16:$C$18,2,FALSE())) *  (1 - VLOOKUP(Table4[[#This Row],[Availability]],'Reference - CVSSv3.0'!$B$16:$C$18,2,FALSE()))))</f>
        <v>0.65680000000000005</v>
      </c>
      <c r="T93" s="91">
        <f>IF(Table4[[#This Row],[Scope]]="Unchanged",6.42*Table4[[#This Row],[ISC Base]],IF(Table4[[#This Row],[Scope]]="Changed",7.52*(Table4[[#This Row],[ISC Base]] - 0.029) - 3.25 * POWER(Table4[[#This Row],[ISC Base]] - 0.02,15),NA()))</f>
        <v>4.2166560000000004</v>
      </c>
      <c r="U93"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85" t="s">
        <v>277</v>
      </c>
      <c r="W93" s="91">
        <f>VLOOKUP(Table4[[#This Row],[Threat Event Initiation]],NIST_Scale_LOAI[],2,FALSE())</f>
        <v>0.5</v>
      </c>
      <c r="X9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19" t="s">
        <v>330</v>
      </c>
      <c r="AA93" s="19" t="s">
        <v>438</v>
      </c>
      <c r="AB93" s="19" t="s">
        <v>492</v>
      </c>
      <c r="AC93" s="36"/>
      <c r="AD93" s="36"/>
      <c r="AE93" s="36"/>
      <c r="AF93" s="90"/>
      <c r="AG93" s="90"/>
      <c r="AH93" s="90"/>
      <c r="AI93" s="90"/>
      <c r="AJ93" s="90"/>
      <c r="AK9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3" s="91" t="e">
        <f>(1 - ((1 - VLOOKUP(Table4[[#This Row],[ConfidentialityP]],'Reference - CVSSv3.0'!$B$16:$C$18,2,FALSE())) * (1 - VLOOKUP(Table4[[#This Row],[IntegrityP]],'Reference - CVSSv3.0'!$B$16:$C$18,2,FALSE())) *  (1 - VLOOKUP(Table4[[#This Row],[AvailabilityP]],'Reference - CVSSv3.0'!$B$16:$C$18,2,FALSE()))))</f>
        <v>#N/A</v>
      </c>
      <c r="AM93" s="91" t="e">
        <f>IF(Table4[[#This Row],[ScopeP]]="Unchanged",6.42*Table4[[#This Row],[ISC BaseP]],IF(Table4[[#This Row],[ScopeP]]="Changed",7.52*(Table4[[#This Row],[ISC BaseP]] - 0.029) - 3.25 * POWER(Table4[[#This Row],[ISC BaseP]] - 0.02,15),NA()))</f>
        <v>#N/A</v>
      </c>
      <c r="AN9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36"/>
    </row>
    <row r="94" spans="1:43" ht="140">
      <c r="A94" s="84">
        <v>90</v>
      </c>
      <c r="B94" s="85" t="s">
        <v>209</v>
      </c>
      <c r="C94" s="86" t="str">
        <f>IF(VLOOKUP(Table4[[#This Row],[T ID]],Table5[#All],5,FALSE())="No","Not in scope",VLOOKUP(Table4[[#This Row],[T ID]],Table5[#All],2,FALSE()))</f>
        <v>Social Engineering
(TTP)</v>
      </c>
      <c r="D94" s="57" t="s">
        <v>102</v>
      </c>
      <c r="E94" s="86" t="str">
        <f>IF(VLOOKUP(Table4[[#This Row],[V ID]],Vulnerabilities[#All],3,FALSE())="No","Not in scope",VLOOKUP(Table4[[#This Row],[V ID]],Vulnerabilities[#All],2,FALSE()))</f>
        <v>Checking authentication modes for possible hacks and bypasses</v>
      </c>
      <c r="F94" s="87" t="s">
        <v>59</v>
      </c>
      <c r="G94" s="88" t="str">
        <f>VLOOKUP(Table4[[#This Row],[A ID]],Assets[#All],3,FALSE())</f>
        <v>Interface/API Communication</v>
      </c>
      <c r="H94" s="19" t="s">
        <v>331</v>
      </c>
      <c r="I94" s="19" t="s">
        <v>465</v>
      </c>
      <c r="J94" s="89" t="s">
        <v>274</v>
      </c>
      <c r="K94" s="89" t="s">
        <v>267</v>
      </c>
      <c r="L94" s="89" t="s">
        <v>276</v>
      </c>
      <c r="M94" s="90" t="s">
        <v>329</v>
      </c>
      <c r="N94" s="90" t="s">
        <v>276</v>
      </c>
      <c r="O94" s="90" t="s">
        <v>276</v>
      </c>
      <c r="P94" s="90" t="s">
        <v>269</v>
      </c>
      <c r="Q94" s="90" t="s">
        <v>270</v>
      </c>
      <c r="R9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4" s="91">
        <f>(1 - ((1 - VLOOKUP(Table4[[#This Row],[Confidentiality]],'Reference - CVSSv3.0'!$B$16:$C$18,2,FALSE())) * (1 - VLOOKUP(Table4[[#This Row],[Integrity]],'Reference - CVSSv3.0'!$B$16:$C$18,2,FALSE())) *  (1 - VLOOKUP(Table4[[#This Row],[Availability]],'Reference - CVSSv3.0'!$B$16:$C$18,2,FALSE()))))</f>
        <v>0.65680000000000005</v>
      </c>
      <c r="T94" s="91">
        <f>IF(Table4[[#This Row],[Scope]]="Unchanged",6.42*Table4[[#This Row],[ISC Base]],IF(Table4[[#This Row],[Scope]]="Changed",7.52*(Table4[[#This Row],[ISC Base]] - 0.029) - 3.25 * POWER(Table4[[#This Row],[ISC Base]] - 0.02,15),NA()))</f>
        <v>4.2166560000000004</v>
      </c>
      <c r="U94"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85" t="s">
        <v>277</v>
      </c>
      <c r="W94" s="91">
        <f>VLOOKUP(Table4[[#This Row],[Threat Event Initiation]],NIST_Scale_LOAI[],2,FALSE())</f>
        <v>0.5</v>
      </c>
      <c r="X9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9" t="s">
        <v>332</v>
      </c>
      <c r="AA94" s="19" t="s">
        <v>440</v>
      </c>
      <c r="AB94" s="19" t="s">
        <v>492</v>
      </c>
      <c r="AC94" s="36"/>
      <c r="AD94" s="36"/>
      <c r="AE94" s="36"/>
      <c r="AF94" s="90"/>
      <c r="AG94" s="90"/>
      <c r="AH94" s="90"/>
      <c r="AI94" s="90"/>
      <c r="AJ94" s="90"/>
      <c r="AK9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4" s="91" t="e">
        <f>(1 - ((1 - VLOOKUP(Table4[[#This Row],[ConfidentialityP]],'Reference - CVSSv3.0'!$B$16:$C$18,2,FALSE())) * (1 - VLOOKUP(Table4[[#This Row],[IntegrityP]],'Reference - CVSSv3.0'!$B$16:$C$18,2,FALSE())) *  (1 - VLOOKUP(Table4[[#This Row],[AvailabilityP]],'Reference - CVSSv3.0'!$B$16:$C$18,2,FALSE()))))</f>
        <v>#N/A</v>
      </c>
      <c r="AM94" s="91" t="e">
        <f>IF(Table4[[#This Row],[ScopeP]]="Unchanged",6.42*Table4[[#This Row],[ISC BaseP]],IF(Table4[[#This Row],[ScopeP]]="Changed",7.52*(Table4[[#This Row],[ISC BaseP]] - 0.029) - 3.25 * POWER(Table4[[#This Row],[ISC BaseP]] - 0.02,15),NA()))</f>
        <v>#N/A</v>
      </c>
      <c r="AN9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36"/>
    </row>
    <row r="95" spans="1:43" s="234" customFormat="1" ht="158.5" customHeight="1">
      <c r="A95" s="227">
        <v>91</v>
      </c>
      <c r="B95" s="85" t="s">
        <v>212</v>
      </c>
      <c r="C95" s="86" t="str">
        <f>IF(VLOOKUP(Table4[[#This Row],[T ID]],Table5[#All],5,FALSE())="No","Not in scope",VLOOKUP(Table4[[#This Row],[T ID]],Table5[#All],2,FALSE()))</f>
        <v>Lack of evidence to conclude any malicious attempt/attack
(ST[R]IDE)</v>
      </c>
      <c r="D95" s="57" t="s">
        <v>160</v>
      </c>
      <c r="E95" s="86" t="str">
        <f>IF(VLOOKUP(Table4[[#This Row],[V ID]],Vulnerabilities[#All],3,FALSE())="No","Not in scope",VLOOKUP(Table4[[#This Row],[V ID]],Vulnerabilities[#All],2,FALSE()))</f>
        <v xml:space="preserve">Insufficient Logging information </v>
      </c>
      <c r="F95" s="87" t="s">
        <v>74</v>
      </c>
      <c r="G95" s="88" t="str">
        <f>VLOOKUP(Table4[[#This Row],[A ID]],Assets[#All],3,FALSE())</f>
        <v>Smart medic app (Azure Portal Administrator)</v>
      </c>
      <c r="H95" s="229" t="s">
        <v>333</v>
      </c>
      <c r="I95" s="19" t="s">
        <v>465</v>
      </c>
      <c r="J95" s="228" t="s">
        <v>267</v>
      </c>
      <c r="K95" s="228" t="s">
        <v>267</v>
      </c>
      <c r="L95" s="228" t="s">
        <v>267</v>
      </c>
      <c r="M95" s="231" t="s">
        <v>275</v>
      </c>
      <c r="N95" s="231" t="s">
        <v>267</v>
      </c>
      <c r="O95" s="231" t="s">
        <v>267</v>
      </c>
      <c r="P95" s="231" t="s">
        <v>274</v>
      </c>
      <c r="Q95" s="231" t="s">
        <v>270</v>
      </c>
      <c r="R9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5" s="93">
        <f>(1 - ((1 - VLOOKUP(Table4[[#This Row],[Confidentiality]],'Reference - CVSSv3.0'!$B$16:$C$18,2,FALSE())) * (1 - VLOOKUP(Table4[[#This Row],[Integrity]],'Reference - CVSSv3.0'!$B$16:$C$18,2,FALSE())) *  (1 - VLOOKUP(Table4[[#This Row],[Availability]],'Reference - CVSSv3.0'!$B$16:$C$18,2,FALSE()))))</f>
        <v>0.52544799999999992</v>
      </c>
      <c r="T95" s="93">
        <f>IF(Table4[[#This Row],[Scope]]="Unchanged",6.42*Table4[[#This Row],[ISC Base]],IF(Table4[[#This Row],[Scope]]="Changed",7.52*(Table4[[#This Row],[ISC Base]] - 0.029) - 3.25 * POWER(Table4[[#This Row],[ISC Base]] - 0.02,15),NA()))</f>
        <v>3.3733761599999994</v>
      </c>
      <c r="U95" s="93">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232" t="s">
        <v>267</v>
      </c>
      <c r="W95" s="91">
        <f>VLOOKUP(Table4[[#This Row],[Threat Event Initiation]],NIST_Scale_LOAI[],2,FALSE())</f>
        <v>0.2</v>
      </c>
      <c r="X9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19" t="s">
        <v>334</v>
      </c>
      <c r="AA95" s="19" t="s">
        <v>455</v>
      </c>
      <c r="AB95" s="19" t="s">
        <v>492</v>
      </c>
      <c r="AC95" s="230"/>
      <c r="AD95" s="230"/>
      <c r="AE95" s="230"/>
      <c r="AF95" s="231"/>
      <c r="AG95" s="231"/>
      <c r="AH95" s="231"/>
      <c r="AI95" s="231"/>
      <c r="AJ95" s="231"/>
      <c r="AK95" s="232"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5" s="232" t="e">
        <f>(1 - ((1 - VLOOKUP(Table4[[#This Row],[ConfidentialityP]],'Reference - CVSSv3.0'!$B$16:$C$18,2,FALSE())) * (1 - VLOOKUP(Table4[[#This Row],[IntegrityP]],'Reference - CVSSv3.0'!$B$16:$C$18,2,FALSE())) *  (1 - VLOOKUP(Table4[[#This Row],[AvailabilityP]],'Reference - CVSSv3.0'!$B$16:$C$18,2,FALSE()))))</f>
        <v>#N/A</v>
      </c>
      <c r="AM95" s="232" t="e">
        <f>IF(Table4[[#This Row],[ScopeP]]="Unchanged",6.42*Table4[[#This Row],[ISC BaseP]],IF(Table4[[#This Row],[ScopeP]]="Changed",7.52*(Table4[[#This Row],[ISC BaseP]] - 0.029) - 3.25 * POWER(Table4[[#This Row],[ISC BaseP]] - 0.02,15),NA()))</f>
        <v>#N/A</v>
      </c>
      <c r="AN9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230"/>
    </row>
    <row r="96" spans="1:43" s="234" customFormat="1" ht="162" customHeight="1">
      <c r="A96" s="235">
        <v>92</v>
      </c>
      <c r="B96" s="85" t="s">
        <v>212</v>
      </c>
      <c r="C96" s="86" t="str">
        <f>IF(VLOOKUP(Table4[[#This Row],[T ID]],Table5[#All],5,FALSE())="No","Not in scope",VLOOKUP(Table4[[#This Row],[T ID]],Table5[#All],2,FALSE()))</f>
        <v>Lack of evidence to conclude any malicious attempt/attack
(ST[R]IDE)</v>
      </c>
      <c r="D96" s="57" t="s">
        <v>162</v>
      </c>
      <c r="E96" s="86" t="str">
        <f>IF(VLOOKUP(Table4[[#This Row],[V ID]],Vulnerabilities[#All],3,FALSE())="No","Not in scope",VLOOKUP(Table4[[#This Row],[V ID]],Vulnerabilities[#All],2,FALSE()))</f>
        <v>Insufficient Access permissions for accessing and modifying Log files</v>
      </c>
      <c r="F96" s="87" t="s">
        <v>74</v>
      </c>
      <c r="G96" s="88" t="str">
        <f>VLOOKUP(Table4[[#This Row],[A ID]],Assets[#All],3,FALSE())</f>
        <v>Smart medic app (Azure Portal Administrator)</v>
      </c>
      <c r="H96" s="229" t="s">
        <v>333</v>
      </c>
      <c r="I96" s="19" t="s">
        <v>465</v>
      </c>
      <c r="J96" s="222" t="s">
        <v>267</v>
      </c>
      <c r="K96" s="222" t="s">
        <v>267</v>
      </c>
      <c r="L96" s="222" t="s">
        <v>267</v>
      </c>
      <c r="M96" s="224" t="s">
        <v>275</v>
      </c>
      <c r="N96" s="222" t="s">
        <v>267</v>
      </c>
      <c r="O96" s="222" t="s">
        <v>267</v>
      </c>
      <c r="P96" s="224" t="s">
        <v>274</v>
      </c>
      <c r="Q96" s="224" t="s">
        <v>270</v>
      </c>
      <c r="R9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6" s="93">
        <f>(1 - ((1 - VLOOKUP(Table4[[#This Row],[Confidentiality]],'Reference - CVSSv3.0'!$B$16:$C$18,2,FALSE())) * (1 - VLOOKUP(Table4[[#This Row],[Integrity]],'Reference - CVSSv3.0'!$B$16:$C$18,2,FALSE())) *  (1 - VLOOKUP(Table4[[#This Row],[Availability]],'Reference - CVSSv3.0'!$B$16:$C$18,2,FALSE()))))</f>
        <v>0.52544799999999992</v>
      </c>
      <c r="T96" s="93">
        <f>IF(Table4[[#This Row],[Scope]]="Unchanged",6.42*Table4[[#This Row],[ISC Base]],IF(Table4[[#This Row],[Scope]]="Changed",7.52*(Table4[[#This Row],[ISC Base]] - 0.029) - 3.25 * POWER(Table4[[#This Row],[ISC Base]] - 0.02,15),NA()))</f>
        <v>3.3733761599999994</v>
      </c>
      <c r="U96" s="93">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225" t="s">
        <v>267</v>
      </c>
      <c r="W96" s="91">
        <f>VLOOKUP(Table4[[#This Row],[Threat Event Initiation]],NIST_Scale_LOAI[],2,FALSE())</f>
        <v>0.2</v>
      </c>
      <c r="X9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19" t="s">
        <v>335</v>
      </c>
      <c r="AA96" s="19" t="s">
        <v>455</v>
      </c>
      <c r="AB96" s="19" t="s">
        <v>492</v>
      </c>
      <c r="AC96" s="223"/>
      <c r="AD96" s="223"/>
      <c r="AE96" s="223"/>
      <c r="AF96" s="224"/>
      <c r="AG96" s="224"/>
      <c r="AH96" s="224"/>
      <c r="AI96" s="224"/>
      <c r="AJ96" s="224"/>
      <c r="AK96"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6" s="225" t="e">
        <f>(1 - ((1 - VLOOKUP(Table4[[#This Row],[ConfidentialityP]],'Reference - CVSSv3.0'!$B$16:$C$18,2,FALSE())) * (1 - VLOOKUP(Table4[[#This Row],[IntegrityP]],'Reference - CVSSv3.0'!$B$16:$C$18,2,FALSE())) *  (1 - VLOOKUP(Table4[[#This Row],[AvailabilityP]],'Reference - CVSSv3.0'!$B$16:$C$18,2,FALSE()))))</f>
        <v>#N/A</v>
      </c>
      <c r="AM96" s="225" t="e">
        <f>IF(Table4[[#This Row],[ScopeP]]="Unchanged",6.42*Table4[[#This Row],[ISC BaseP]],IF(Table4[[#This Row],[ScopeP]]="Changed",7.52*(Table4[[#This Row],[ISC BaseP]] - 0.029) - 3.25 * POWER(Table4[[#This Row],[ISC BaseP]] - 0.02,15),NA()))</f>
        <v>#N/A</v>
      </c>
      <c r="AN9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223"/>
    </row>
    <row r="97" spans="1:43" s="234" customFormat="1" ht="112">
      <c r="A97" s="227">
        <v>93</v>
      </c>
      <c r="B97" s="85" t="s">
        <v>182</v>
      </c>
      <c r="C97" s="86" t="str">
        <f>IF(VLOOKUP(Table4[[#This Row],[T ID]],Table5[#All],5,FALSE())="No","Not in scope",VLOOKUP(Table4[[#This Row],[T ID]],Table5[#All],2,FALSE()))</f>
        <v>Gaining Access
([S]TRID[E])</v>
      </c>
      <c r="D97" s="57" t="s">
        <v>151</v>
      </c>
      <c r="E97" s="86" t="str">
        <f>IF(VLOOKUP(Table4[[#This Row],[V ID]],Vulnerabilities[#All],3,FALSE())="No","Not in scope",VLOOKUP(Table4[[#This Row],[V ID]],Vulnerabilities[#All],2,FALSE()))</f>
        <v>Error Info containing sensitive data for Failed Authentication attempts</v>
      </c>
      <c r="F97" s="87" t="s">
        <v>74</v>
      </c>
      <c r="G97" s="88" t="str">
        <f>VLOOKUP(Table4[[#This Row],[A ID]],Assets[#All],3,FALSE())</f>
        <v>Smart medic app (Azure Portal Administrator)</v>
      </c>
      <c r="H97" s="221" t="s">
        <v>322</v>
      </c>
      <c r="I97" s="19" t="s">
        <v>465</v>
      </c>
      <c r="J97" s="228" t="s">
        <v>267</v>
      </c>
      <c r="K97" s="228" t="s">
        <v>267</v>
      </c>
      <c r="L97" s="228" t="s">
        <v>276</v>
      </c>
      <c r="M97" s="231" t="s">
        <v>273</v>
      </c>
      <c r="N97" s="231" t="s">
        <v>276</v>
      </c>
      <c r="O97" s="231" t="s">
        <v>267</v>
      </c>
      <c r="P97" s="231" t="s">
        <v>274</v>
      </c>
      <c r="Q97" s="231" t="s">
        <v>270</v>
      </c>
      <c r="R9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7" s="93">
        <f>(1 - ((1 - VLOOKUP(Table4[[#This Row],[Confidentiality]],'Reference - CVSSv3.0'!$B$16:$C$18,2,FALSE())) * (1 - VLOOKUP(Table4[[#This Row],[Integrity]],'Reference - CVSSv3.0'!$B$16:$C$18,2,FALSE())) *  (1 - VLOOKUP(Table4[[#This Row],[Availability]],'Reference - CVSSv3.0'!$B$16:$C$18,2,FALSE()))))</f>
        <v>0.73230400000000007</v>
      </c>
      <c r="T97" s="93">
        <f>IF(Table4[[#This Row],[Scope]]="Unchanged",6.42*Table4[[#This Row],[ISC Base]],IF(Table4[[#This Row],[Scope]]="Changed",7.52*(Table4[[#This Row],[ISC Base]] - 0.029) - 3.25 * POWER(Table4[[#This Row],[ISC Base]] - 0.02,15),NA()))</f>
        <v>4.7013916800000004</v>
      </c>
      <c r="U97" s="9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232" t="s">
        <v>277</v>
      </c>
      <c r="W97" s="91">
        <f>VLOOKUP(Table4[[#This Row],[Threat Event Initiation]],NIST_Scale_LOAI[],2,FALSE())</f>
        <v>0.5</v>
      </c>
      <c r="X9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19" t="s">
        <v>336</v>
      </c>
      <c r="AA97" s="19" t="s">
        <v>455</v>
      </c>
      <c r="AB97" s="19" t="s">
        <v>492</v>
      </c>
      <c r="AC97" s="230"/>
      <c r="AD97" s="230"/>
      <c r="AE97" s="230"/>
      <c r="AF97" s="231"/>
      <c r="AG97" s="231"/>
      <c r="AH97" s="231"/>
      <c r="AI97" s="231"/>
      <c r="AJ97" s="231"/>
      <c r="AK97" s="232"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7" s="232" t="e">
        <f>(1 - ((1 - VLOOKUP(Table4[[#This Row],[ConfidentialityP]],'Reference - CVSSv3.0'!$B$16:$C$18,2,FALSE())) * (1 - VLOOKUP(Table4[[#This Row],[IntegrityP]],'Reference - CVSSv3.0'!$B$16:$C$18,2,FALSE())) *  (1 - VLOOKUP(Table4[[#This Row],[AvailabilityP]],'Reference - CVSSv3.0'!$B$16:$C$18,2,FALSE()))))</f>
        <v>#N/A</v>
      </c>
      <c r="AM97" s="232" t="e">
        <f>IF(Table4[[#This Row],[ScopeP]]="Unchanged",6.42*Table4[[#This Row],[ISC BaseP]],IF(Table4[[#This Row],[ScopeP]]="Changed",7.52*(Table4[[#This Row],[ISC BaseP]] - 0.029) - 3.25 * POWER(Table4[[#This Row],[ISC BaseP]] - 0.02,15),NA()))</f>
        <v>#N/A</v>
      </c>
      <c r="AN9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230"/>
    </row>
    <row r="98" spans="1:43" ht="112">
      <c r="A98" s="97">
        <v>94</v>
      </c>
      <c r="B98" s="85" t="s">
        <v>182</v>
      </c>
      <c r="C98" s="86" t="str">
        <f>IF(VLOOKUP(Table4[[#This Row],[T ID]],Table5[#All],5,FALSE())="No","Not in scope",VLOOKUP(Table4[[#This Row],[T ID]],Table5[#All],2,FALSE()))</f>
        <v>Gaining Access
([S]TRID[E])</v>
      </c>
      <c r="D98" s="57" t="s">
        <v>165</v>
      </c>
      <c r="E98" s="86" t="str">
        <f>IF(VLOOKUP(Table4[[#This Row],[V ID]],Vulnerabilities[#All],3,FALSE())="No","Not in scope",VLOOKUP(Table4[[#This Row],[V ID]],Vulnerabilities[#All],2,FALSE()))</f>
        <v>Improper security (for ex.,Storage &amp; Access) for Key tokens and Certificates</v>
      </c>
      <c r="F98" s="87" t="s">
        <v>77</v>
      </c>
      <c r="G98" s="88" t="str">
        <f>VLOOKUP(Table4[[#This Row],[A ID]],Assets[#All],3,FALSE())</f>
        <v>Azure Cloud DataBase</v>
      </c>
      <c r="H98" s="19" t="s">
        <v>322</v>
      </c>
      <c r="I98" s="19" t="s">
        <v>465</v>
      </c>
      <c r="J98" s="96" t="s">
        <v>267</v>
      </c>
      <c r="K98" s="96" t="s">
        <v>267</v>
      </c>
      <c r="L98" s="96" t="s">
        <v>276</v>
      </c>
      <c r="M98" s="98" t="s">
        <v>273</v>
      </c>
      <c r="N98" s="98" t="s">
        <v>276</v>
      </c>
      <c r="O98" s="98" t="s">
        <v>267</v>
      </c>
      <c r="P98" s="98" t="s">
        <v>274</v>
      </c>
      <c r="Q98" s="98" t="s">
        <v>270</v>
      </c>
      <c r="R98"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8" s="100">
        <f>(1 - ((1 - VLOOKUP(Table4[[#This Row],[Confidentiality]],'Reference - CVSSv3.0'!$B$16:$C$18,2,FALSE())) * (1 - VLOOKUP(Table4[[#This Row],[Integrity]],'Reference - CVSSv3.0'!$B$16:$C$18,2,FALSE())) *  (1 - VLOOKUP(Table4[[#This Row],[Availability]],'Reference - CVSSv3.0'!$B$16:$C$18,2,FALSE()))))</f>
        <v>0.73230400000000007</v>
      </c>
      <c r="T98" s="100">
        <f>IF(Table4[[#This Row],[Scope]]="Unchanged",6.42*Table4[[#This Row],[ISC Base]],IF(Table4[[#This Row],[Scope]]="Changed",7.52*(Table4[[#This Row],[ISC Base]] - 0.029) - 3.25 * POWER(Table4[[#This Row],[ISC Base]] - 0.02,15),NA()))</f>
        <v>4.7013916800000004</v>
      </c>
      <c r="U98"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01" t="s">
        <v>277</v>
      </c>
      <c r="W98" s="100">
        <f>VLOOKUP(Table4[[#This Row],[Threat Event Initiation]],NIST_Scale_LOAI[],2,FALSE())</f>
        <v>0.5</v>
      </c>
      <c r="X98"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19" t="s">
        <v>337</v>
      </c>
      <c r="AA98" s="19" t="s">
        <v>441</v>
      </c>
      <c r="AB98" s="19" t="s">
        <v>507</v>
      </c>
      <c r="AC98" s="38"/>
      <c r="AD98" s="38"/>
      <c r="AE98" s="38"/>
      <c r="AF98" s="98"/>
      <c r="AG98" s="98"/>
      <c r="AH98" s="98"/>
      <c r="AI98" s="98"/>
      <c r="AJ98" s="98"/>
      <c r="AK98"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8" s="100" t="e">
        <f>(1 - ((1 - VLOOKUP(Table4[[#This Row],[ConfidentialityP]],'Reference - CVSSv3.0'!$B$16:$C$18,2,FALSE())) * (1 - VLOOKUP(Table4[[#This Row],[IntegrityP]],'Reference - CVSSv3.0'!$B$16:$C$18,2,FALSE())) *  (1 - VLOOKUP(Table4[[#This Row],[AvailabilityP]],'Reference - CVSSv3.0'!$B$16:$C$18,2,FALSE()))))</f>
        <v>#N/A</v>
      </c>
      <c r="AM98" s="100" t="e">
        <f>IF(Table4[[#This Row],[ScopeP]]="Unchanged",6.42*Table4[[#This Row],[ISC BaseP]],IF(Table4[[#This Row],[ScopeP]]="Changed",7.52*(Table4[[#This Row],[ISC BaseP]] - 0.029) - 3.25 * POWER(Table4[[#This Row],[ISC BaseP]] - 0.02,15),NA()))</f>
        <v>#N/A</v>
      </c>
      <c r="AN9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38"/>
    </row>
    <row r="99" spans="1:43" ht="168">
      <c r="A99" s="97">
        <v>95</v>
      </c>
      <c r="B99" s="85" t="s">
        <v>182</v>
      </c>
      <c r="C99" s="86" t="str">
        <f>IF(VLOOKUP(Table4[[#This Row],[T ID]],Table5[#All],5,FALSE())="No","Not in scope",VLOOKUP(Table4[[#This Row],[T ID]],Table5[#All],2,FALSE()))</f>
        <v>Gaining Access
([S]TRID[E])</v>
      </c>
      <c r="D99" s="57" t="s">
        <v>153</v>
      </c>
      <c r="E99" s="86" t="str">
        <f>IF(VLOOKUP(Table4[[#This Row],[V ID]],Vulnerabilities[#All],3,FALSE())="No","Not in scope",VLOOKUP(Table4[[#This Row],[V ID]],Vulnerabilities[#All],2,FALSE()))</f>
        <v>Absence of additional security factor along with user identification</v>
      </c>
      <c r="F99" s="87" t="s">
        <v>74</v>
      </c>
      <c r="G99" s="88" t="str">
        <f>VLOOKUP(Table4[[#This Row],[A ID]],Assets[#All],3,FALSE())</f>
        <v>Smart medic app (Azure Portal Administrator)</v>
      </c>
      <c r="H99" s="19" t="s">
        <v>322</v>
      </c>
      <c r="I99" s="19" t="s">
        <v>465</v>
      </c>
      <c r="J99" s="96" t="s">
        <v>267</v>
      </c>
      <c r="K99" s="96" t="s">
        <v>267</v>
      </c>
      <c r="L99" s="96" t="s">
        <v>276</v>
      </c>
      <c r="M99" s="98" t="s">
        <v>273</v>
      </c>
      <c r="N99" s="98" t="s">
        <v>276</v>
      </c>
      <c r="O99" s="98" t="s">
        <v>267</v>
      </c>
      <c r="P99" s="98" t="s">
        <v>274</v>
      </c>
      <c r="Q99" s="98" t="s">
        <v>270</v>
      </c>
      <c r="R99"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9" s="100">
        <f>(1 - ((1 - VLOOKUP(Table4[[#This Row],[Confidentiality]],'Reference - CVSSv3.0'!$B$16:$C$18,2,FALSE())) * (1 - VLOOKUP(Table4[[#This Row],[Integrity]],'Reference - CVSSv3.0'!$B$16:$C$18,2,FALSE())) *  (1 - VLOOKUP(Table4[[#This Row],[Availability]],'Reference - CVSSv3.0'!$B$16:$C$18,2,FALSE()))))</f>
        <v>0.73230400000000007</v>
      </c>
      <c r="T99" s="100">
        <f>IF(Table4[[#This Row],[Scope]]="Unchanged",6.42*Table4[[#This Row],[ISC Base]],IF(Table4[[#This Row],[Scope]]="Changed",7.52*(Table4[[#This Row],[ISC Base]] - 0.029) - 3.25 * POWER(Table4[[#This Row],[ISC Base]] - 0.02,15),NA()))</f>
        <v>4.7013916800000004</v>
      </c>
      <c r="U99"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01" t="s">
        <v>277</v>
      </c>
      <c r="W99" s="100">
        <f>VLOOKUP(Table4[[#This Row],[Threat Event Initiation]],NIST_Scale_LOAI[],2,FALSE())</f>
        <v>0.5</v>
      </c>
      <c r="X99"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19" t="s">
        <v>338</v>
      </c>
      <c r="AA99" s="19" t="s">
        <v>455</v>
      </c>
      <c r="AB99" s="19" t="s">
        <v>492</v>
      </c>
      <c r="AC99" s="38"/>
      <c r="AD99" s="38"/>
      <c r="AE99" s="38"/>
      <c r="AF99" s="98"/>
      <c r="AG99" s="98"/>
      <c r="AH99" s="98"/>
      <c r="AI99" s="98"/>
      <c r="AJ99" s="98"/>
      <c r="AK99"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9" s="100" t="e">
        <f>(1 - ((1 - VLOOKUP(Table4[[#This Row],[ConfidentialityP]],'Reference - CVSSv3.0'!$B$16:$C$18,2,FALSE())) * (1 - VLOOKUP(Table4[[#This Row],[IntegrityP]],'Reference - CVSSv3.0'!$B$16:$C$18,2,FALSE())) *  (1 - VLOOKUP(Table4[[#This Row],[AvailabilityP]],'Reference - CVSSv3.0'!$B$16:$C$18,2,FALSE()))))</f>
        <v>#N/A</v>
      </c>
      <c r="AM99" s="100" t="e">
        <f>IF(Table4[[#This Row],[ScopeP]]="Unchanged",6.42*Table4[[#This Row],[ISC BaseP]],IF(Table4[[#This Row],[ScopeP]]="Changed",7.52*(Table4[[#This Row],[ISC BaseP]] - 0.029) - 3.25 * POWER(Table4[[#This Row],[ISC BaseP]] - 0.02,15),NA()))</f>
        <v>#N/A</v>
      </c>
      <c r="AN9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38"/>
    </row>
    <row r="100" spans="1:43" ht="132.65" customHeight="1">
      <c r="A100" s="97">
        <v>96</v>
      </c>
      <c r="B100" s="85" t="s">
        <v>182</v>
      </c>
      <c r="C100" s="86" t="str">
        <f>IF(VLOOKUP(Table4[[#This Row],[T ID]],Table5[#All],5,FALSE())="No","Not in scope",VLOOKUP(Table4[[#This Row],[T ID]],Table5[#All],2,FALSE()))</f>
        <v>Gaining Access
([S]TRID[E])</v>
      </c>
      <c r="D100" s="57" t="s">
        <v>153</v>
      </c>
      <c r="E100" s="86" t="str">
        <f>IF(VLOOKUP(Table4[[#This Row],[V ID]],Vulnerabilities[#All],3,FALSE())="No","Not in scope",VLOOKUP(Table4[[#This Row],[V ID]],Vulnerabilities[#All],2,FALSE()))</f>
        <v>Absence of additional security factor along with user identification</v>
      </c>
      <c r="F100" s="87" t="s">
        <v>77</v>
      </c>
      <c r="G100" s="88" t="str">
        <f>VLOOKUP(Table4[[#This Row],[A ID]],Assets[#All],3,FALSE())</f>
        <v>Azure Cloud DataBase</v>
      </c>
      <c r="H100" s="19" t="s">
        <v>322</v>
      </c>
      <c r="I100" s="19" t="s">
        <v>465</v>
      </c>
      <c r="J100" s="96" t="s">
        <v>267</v>
      </c>
      <c r="K100" s="96" t="s">
        <v>267</v>
      </c>
      <c r="L100" s="96" t="s">
        <v>276</v>
      </c>
      <c r="M100" s="98" t="s">
        <v>273</v>
      </c>
      <c r="N100" s="98" t="s">
        <v>276</v>
      </c>
      <c r="O100" s="98" t="s">
        <v>267</v>
      </c>
      <c r="P100" s="98" t="s">
        <v>274</v>
      </c>
      <c r="Q100" s="98" t="s">
        <v>270</v>
      </c>
      <c r="R100"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0" s="100">
        <f>(1 - ((1 - VLOOKUP(Table4[[#This Row],[Confidentiality]],'Reference - CVSSv3.0'!$B$16:$C$18,2,FALSE())) * (1 - VLOOKUP(Table4[[#This Row],[Integrity]],'Reference - CVSSv3.0'!$B$16:$C$18,2,FALSE())) *  (1 - VLOOKUP(Table4[[#This Row],[Availability]],'Reference - CVSSv3.0'!$B$16:$C$18,2,FALSE()))))</f>
        <v>0.73230400000000007</v>
      </c>
      <c r="T100" s="100">
        <f>IF(Table4[[#This Row],[Scope]]="Unchanged",6.42*Table4[[#This Row],[ISC Base]],IF(Table4[[#This Row],[Scope]]="Changed",7.52*(Table4[[#This Row],[ISC Base]] - 0.029) - 3.25 * POWER(Table4[[#This Row],[ISC Base]] - 0.02,15),NA()))</f>
        <v>4.7013916800000004</v>
      </c>
      <c r="U100"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01" t="s">
        <v>277</v>
      </c>
      <c r="W100" s="100">
        <f>VLOOKUP(Table4[[#This Row],[Threat Event Initiation]],NIST_Scale_LOAI[],2,FALSE())</f>
        <v>0.5</v>
      </c>
      <c r="X100"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19" t="s">
        <v>339</v>
      </c>
      <c r="AA100" s="19" t="s">
        <v>443</v>
      </c>
      <c r="AB100" s="19" t="s">
        <v>508</v>
      </c>
      <c r="AC100" s="38"/>
      <c r="AD100" s="38"/>
      <c r="AE100" s="38"/>
      <c r="AF100" s="98"/>
      <c r="AG100" s="98"/>
      <c r="AH100" s="98"/>
      <c r="AI100" s="98"/>
      <c r="AJ100" s="98"/>
      <c r="AK100"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0" s="100" t="e">
        <f>(1 - ((1 - VLOOKUP(Table4[[#This Row],[ConfidentialityP]],'Reference - CVSSv3.0'!$B$16:$C$18,2,FALSE())) * (1 - VLOOKUP(Table4[[#This Row],[IntegrityP]],'Reference - CVSSv3.0'!$B$16:$C$18,2,FALSE())) *  (1 - VLOOKUP(Table4[[#This Row],[AvailabilityP]],'Reference - CVSSv3.0'!$B$16:$C$18,2,FALSE()))))</f>
        <v>#N/A</v>
      </c>
      <c r="AM100" s="100" t="e">
        <f>IF(Table4[[#This Row],[ScopeP]]="Unchanged",6.42*Table4[[#This Row],[ISC BaseP]],IF(Table4[[#This Row],[ScopeP]]="Changed",7.52*(Table4[[#This Row],[ISC BaseP]] - 0.029) - 3.25 * POWER(Table4[[#This Row],[ISC BaseP]] - 0.02,15),NA()))</f>
        <v>#N/A</v>
      </c>
      <c r="AN10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38"/>
    </row>
    <row r="101" spans="1:43" ht="140">
      <c r="A101" s="97">
        <v>97</v>
      </c>
      <c r="B101" s="85" t="s">
        <v>206</v>
      </c>
      <c r="C101" s="86" t="str">
        <f>IF(VLOOKUP(Table4[[#This Row],[T ID]],Table5[#All],5,FALSE())="No","Not in scope",VLOOKUP(Table4[[#This Row],[T ID]],Table5[#All],2,FALSE()))</f>
        <v>Brute-force Attack
(CAPEC-112)</v>
      </c>
      <c r="D101" s="57" t="s">
        <v>151</v>
      </c>
      <c r="E101" s="86" t="str">
        <f>IF(VLOOKUP(Table4[[#This Row],[V ID]],Vulnerabilities[#All],3,FALSE())="No","Not in scope",VLOOKUP(Table4[[#This Row],[V ID]],Vulnerabilities[#All],2,FALSE()))</f>
        <v>Error Info containing sensitive data for Failed Authentication attempts</v>
      </c>
      <c r="F101" s="87" t="s">
        <v>77</v>
      </c>
      <c r="G101" s="88" t="str">
        <f>VLOOKUP(Table4[[#This Row],[A ID]],Assets[#All],3,FALSE())</f>
        <v>Azure Cloud DataBase</v>
      </c>
      <c r="H101" s="19" t="s">
        <v>322</v>
      </c>
      <c r="I101" s="19" t="s">
        <v>465</v>
      </c>
      <c r="J101" s="96" t="s">
        <v>267</v>
      </c>
      <c r="K101" s="96" t="s">
        <v>267</v>
      </c>
      <c r="L101" s="96" t="s">
        <v>276</v>
      </c>
      <c r="M101" s="98" t="s">
        <v>273</v>
      </c>
      <c r="N101" s="98" t="s">
        <v>276</v>
      </c>
      <c r="O101" s="98" t="s">
        <v>267</v>
      </c>
      <c r="P101" s="98" t="s">
        <v>274</v>
      </c>
      <c r="Q101" s="98" t="s">
        <v>270</v>
      </c>
      <c r="R101"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1" s="100">
        <f>(1 - ((1 - VLOOKUP(Table4[[#This Row],[Confidentiality]],'Reference - CVSSv3.0'!$B$16:$C$18,2,FALSE())) * (1 - VLOOKUP(Table4[[#This Row],[Integrity]],'Reference - CVSSv3.0'!$B$16:$C$18,2,FALSE())) *  (1 - VLOOKUP(Table4[[#This Row],[Availability]],'Reference - CVSSv3.0'!$B$16:$C$18,2,FALSE()))))</f>
        <v>0.73230400000000007</v>
      </c>
      <c r="T101" s="100">
        <f>IF(Table4[[#This Row],[Scope]]="Unchanged",6.42*Table4[[#This Row],[ISC Base]],IF(Table4[[#This Row],[Scope]]="Changed",7.52*(Table4[[#This Row],[ISC Base]] - 0.029) - 3.25 * POWER(Table4[[#This Row],[ISC Base]] - 0.02,15),NA()))</f>
        <v>4.7013916800000004</v>
      </c>
      <c r="U101"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01" t="s">
        <v>277</v>
      </c>
      <c r="W101" s="100">
        <f>VLOOKUP(Table4[[#This Row],[Threat Event Initiation]],NIST_Scale_LOAI[],2,FALSE())</f>
        <v>0.5</v>
      </c>
      <c r="X101"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19" t="s">
        <v>336</v>
      </c>
      <c r="AA101" s="19" t="s">
        <v>442</v>
      </c>
      <c r="AB101" s="19" t="s">
        <v>509</v>
      </c>
      <c r="AC101" s="38"/>
      <c r="AD101" s="38"/>
      <c r="AE101" s="38"/>
      <c r="AF101" s="98"/>
      <c r="AG101" s="98"/>
      <c r="AH101" s="98"/>
      <c r="AI101" s="98"/>
      <c r="AJ101" s="98"/>
      <c r="AK101"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1" s="100" t="e">
        <f>(1 - ((1 - VLOOKUP(Table4[[#This Row],[ConfidentialityP]],'Reference - CVSSv3.0'!$B$16:$C$18,2,FALSE())) * (1 - VLOOKUP(Table4[[#This Row],[IntegrityP]],'Reference - CVSSv3.0'!$B$16:$C$18,2,FALSE())) *  (1 - VLOOKUP(Table4[[#This Row],[AvailabilityP]],'Reference - CVSSv3.0'!$B$16:$C$18,2,FALSE()))))</f>
        <v>#N/A</v>
      </c>
      <c r="AM101" s="100" t="e">
        <f>IF(Table4[[#This Row],[ScopeP]]="Unchanged",6.42*Table4[[#This Row],[ISC BaseP]],IF(Table4[[#This Row],[ScopeP]]="Changed",7.52*(Table4[[#This Row],[ISC BaseP]] - 0.029) - 3.25 * POWER(Table4[[#This Row],[ISC BaseP]] - 0.02,15),NA()))</f>
        <v>#N/A</v>
      </c>
      <c r="AN10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38"/>
    </row>
    <row r="102" spans="1:43" ht="155.15" customHeight="1">
      <c r="A102" s="97">
        <v>98</v>
      </c>
      <c r="B102" s="85" t="s">
        <v>206</v>
      </c>
      <c r="C102" s="86" t="str">
        <f>IF(VLOOKUP(Table4[[#This Row],[T ID]],Table5[#All],5,FALSE())="No","Not in scope",VLOOKUP(Table4[[#This Row],[T ID]],Table5[#All],2,FALSE()))</f>
        <v>Brute-force Attack
(CAPEC-112)</v>
      </c>
      <c r="D102" s="57" t="s">
        <v>155</v>
      </c>
      <c r="E102" s="86" t="str">
        <f>IF(VLOOKUP(Table4[[#This Row],[V ID]],Vulnerabilities[#All],3,FALSE())="No","Not in scope",VLOOKUP(Table4[[#This Row],[V ID]],Vulnerabilities[#All],2,FALSE()))</f>
        <v>Having no limit on the login attempts</v>
      </c>
      <c r="F102" s="87" t="s">
        <v>74</v>
      </c>
      <c r="G102" s="88" t="str">
        <f>VLOOKUP(Table4[[#This Row],[A ID]],Assets[#All],3,FALSE())</f>
        <v>Smart medic app (Azure Portal Administrator)</v>
      </c>
      <c r="H102" s="19" t="s">
        <v>322</v>
      </c>
      <c r="I102" s="19" t="s">
        <v>465</v>
      </c>
      <c r="J102" s="96" t="s">
        <v>267</v>
      </c>
      <c r="K102" s="96" t="s">
        <v>267</v>
      </c>
      <c r="L102" s="96" t="s">
        <v>276</v>
      </c>
      <c r="M102" s="98" t="s">
        <v>273</v>
      </c>
      <c r="N102" s="98" t="s">
        <v>276</v>
      </c>
      <c r="O102" s="98" t="s">
        <v>267</v>
      </c>
      <c r="P102" s="98" t="s">
        <v>274</v>
      </c>
      <c r="Q102" s="98" t="s">
        <v>270</v>
      </c>
      <c r="R102"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2" s="100">
        <f>(1 - ((1 - VLOOKUP(Table4[[#This Row],[Confidentiality]],'Reference - CVSSv3.0'!$B$16:$C$18,2,FALSE())) * (1 - VLOOKUP(Table4[[#This Row],[Integrity]],'Reference - CVSSv3.0'!$B$16:$C$18,2,FALSE())) *  (1 - VLOOKUP(Table4[[#This Row],[Availability]],'Reference - CVSSv3.0'!$B$16:$C$18,2,FALSE()))))</f>
        <v>0.73230400000000007</v>
      </c>
      <c r="T102" s="100">
        <f>IF(Table4[[#This Row],[Scope]]="Unchanged",6.42*Table4[[#This Row],[ISC Base]],IF(Table4[[#This Row],[Scope]]="Changed",7.52*(Table4[[#This Row],[ISC Base]] - 0.029) - 3.25 * POWER(Table4[[#This Row],[ISC Base]] - 0.02,15),NA()))</f>
        <v>4.7013916800000004</v>
      </c>
      <c r="U102"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01" t="s">
        <v>277</v>
      </c>
      <c r="W102" s="100">
        <f>VLOOKUP(Table4[[#This Row],[Threat Event Initiation]],NIST_Scale_LOAI[],2,FALSE())</f>
        <v>0.5</v>
      </c>
      <c r="X102"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19" t="s">
        <v>336</v>
      </c>
      <c r="AA102" s="19" t="s">
        <v>456</v>
      </c>
      <c r="AB102" s="19" t="s">
        <v>509</v>
      </c>
      <c r="AC102" s="38"/>
      <c r="AD102" s="38"/>
      <c r="AE102" s="38"/>
      <c r="AF102" s="98"/>
      <c r="AG102" s="98"/>
      <c r="AH102" s="98"/>
      <c r="AI102" s="98"/>
      <c r="AJ102" s="98"/>
      <c r="AK102"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2" s="100" t="e">
        <f>(1 - ((1 - VLOOKUP(Table4[[#This Row],[ConfidentialityP]],'Reference - CVSSv3.0'!$B$16:$C$18,2,FALSE())) * (1 - VLOOKUP(Table4[[#This Row],[IntegrityP]],'Reference - CVSSv3.0'!$B$16:$C$18,2,FALSE())) *  (1 - VLOOKUP(Table4[[#This Row],[AvailabilityP]],'Reference - CVSSv3.0'!$B$16:$C$18,2,FALSE()))))</f>
        <v>#N/A</v>
      </c>
      <c r="AM102" s="100" t="e">
        <f>IF(Table4[[#This Row],[ScopeP]]="Unchanged",6.42*Table4[[#This Row],[ISC BaseP]],IF(Table4[[#This Row],[ScopeP]]="Changed",7.52*(Table4[[#This Row],[ISC BaseP]] - 0.029) - 3.25 * POWER(Table4[[#This Row],[ISC BaseP]] - 0.02,15),NA()))</f>
        <v>#N/A</v>
      </c>
      <c r="AN10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38"/>
    </row>
    <row r="103" spans="1:43" ht="168">
      <c r="A103" s="55">
        <v>99</v>
      </c>
      <c r="B103" s="85" t="s">
        <v>215</v>
      </c>
      <c r="C103" s="86" t="str">
        <f>IF(VLOOKUP(Table4[[#This Row],[T ID]],Table5[#All],5,FALSE())="No","Not in scope",VLOOKUP(Table4[[#This Row],[T ID]],Table5[#All],2,FALSE()))</f>
        <v>Unauthorized Alterations
(S[T]RIDE)</v>
      </c>
      <c r="D103" s="57" t="s">
        <v>146</v>
      </c>
      <c r="E103" s="86" t="str">
        <f>IF(VLOOKUP(Table4[[#This Row],[V ID]],Vulnerabilities[#All],3,FALSE())="No","Not in scope",VLOOKUP(Table4[[#This Row],[V ID]],Vulnerabilities[#All],2,FALSE()))</f>
        <v>Improper/insufficient provisioning of IOT hub</v>
      </c>
      <c r="F103" s="87" t="s">
        <v>42</v>
      </c>
      <c r="G103" s="88" t="str">
        <f>VLOOKUP(Table4[[#This Row],[A ID]],Assets[#All],3,FALSE())</f>
        <v>Tablet OS/network details &amp; Tablet Application</v>
      </c>
      <c r="H103" s="21" t="s">
        <v>340</v>
      </c>
      <c r="I103" s="19" t="s">
        <v>465</v>
      </c>
      <c r="J103" s="96" t="s">
        <v>274</v>
      </c>
      <c r="K103" s="96" t="s">
        <v>274</v>
      </c>
      <c r="L103" s="96" t="s">
        <v>276</v>
      </c>
      <c r="M103" s="98" t="s">
        <v>273</v>
      </c>
      <c r="N103" s="98" t="s">
        <v>276</v>
      </c>
      <c r="O103" s="98" t="s">
        <v>276</v>
      </c>
      <c r="P103" s="98" t="s">
        <v>274</v>
      </c>
      <c r="Q103" s="98" t="s">
        <v>270</v>
      </c>
      <c r="R103"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3" s="100">
        <f>(1 - ((1 - VLOOKUP(Table4[[#This Row],[Confidentiality]],'Reference - CVSSv3.0'!$B$16:$C$18,2,FALSE())) * (1 - VLOOKUP(Table4[[#This Row],[Integrity]],'Reference - CVSSv3.0'!$B$16:$C$18,2,FALSE())) *  (1 - VLOOKUP(Table4[[#This Row],[Availability]],'Reference - CVSSv3.0'!$B$16:$C$18,2,FALSE()))))</f>
        <v>0.56000000000000005</v>
      </c>
      <c r="T103" s="100">
        <f>IF(Table4[[#This Row],[Scope]]="Unchanged",6.42*Table4[[#This Row],[ISC Base]],IF(Table4[[#This Row],[Scope]]="Changed",7.52*(Table4[[#This Row],[ISC Base]] - 0.029) - 3.25 * POWER(Table4[[#This Row],[ISC Base]] - 0.02,15),NA()))</f>
        <v>3.5952000000000002</v>
      </c>
      <c r="U103" s="100">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01" t="s">
        <v>267</v>
      </c>
      <c r="W103" s="100">
        <f>VLOOKUP(Table4[[#This Row],[Threat Event Initiation]],NIST_Scale_LOAI[],2,FALSE())</f>
        <v>0.2</v>
      </c>
      <c r="X103"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19" t="s">
        <v>341</v>
      </c>
      <c r="AA103" s="19" t="s">
        <v>447</v>
      </c>
      <c r="AB103" s="19" t="s">
        <v>510</v>
      </c>
      <c r="AC103" s="38"/>
      <c r="AD103" s="38"/>
      <c r="AE103" s="38"/>
      <c r="AF103" s="98"/>
      <c r="AG103" s="98"/>
      <c r="AH103" s="98"/>
      <c r="AI103" s="98"/>
      <c r="AJ103" s="98"/>
      <c r="AK103"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3" s="100" t="e">
        <f>(1 - ((1 - VLOOKUP(Table4[[#This Row],[ConfidentialityP]],'Reference - CVSSv3.0'!$B$16:$C$18,2,FALSE())) * (1 - VLOOKUP(Table4[[#This Row],[IntegrityP]],'Reference - CVSSv3.0'!$B$16:$C$18,2,FALSE())) *  (1 - VLOOKUP(Table4[[#This Row],[AvailabilityP]],'Reference - CVSSv3.0'!$B$16:$C$18,2,FALSE()))))</f>
        <v>#N/A</v>
      </c>
      <c r="AM103" s="100" t="e">
        <f>IF(Table4[[#This Row],[ScopeP]]="Unchanged",6.42*Table4[[#This Row],[ISC BaseP]],IF(Table4[[#This Row],[ScopeP]]="Changed",7.52*(Table4[[#This Row],[ISC BaseP]] - 0.029) - 3.25 * POWER(Table4[[#This Row],[ISC BaseP]] - 0.02,15),NA()))</f>
        <v>#N/A</v>
      </c>
      <c r="AN10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38"/>
    </row>
    <row r="104" spans="1:43" ht="182">
      <c r="A104" s="49">
        <v>100</v>
      </c>
      <c r="B104" s="85" t="s">
        <v>215</v>
      </c>
      <c r="C104" s="86" t="str">
        <f>IF(VLOOKUP(Table4[[#This Row],[T ID]],Table5[#All],5,FALSE())="No","Not in scope",VLOOKUP(Table4[[#This Row],[T ID]],Table5[#All],2,FALSE()))</f>
        <v>Unauthorized Alterations
(S[T]RIDE)</v>
      </c>
      <c r="D104" s="57" t="s">
        <v>148</v>
      </c>
      <c r="E104" s="86" t="str">
        <f>IF(VLOOKUP(Table4[[#This Row],[V ID]],Vulnerabilities[#All],3,FALSE())="No","Not in scope",VLOOKUP(Table4[[#This Row],[V ID]],Vulnerabilities[#All],2,FALSE()))</f>
        <v>Unsecured communication with unauthenticated 3rd party devices</v>
      </c>
      <c r="F104" s="87" t="s">
        <v>42</v>
      </c>
      <c r="G104" s="88" t="str">
        <f>VLOOKUP(Table4[[#This Row],[A ID]],Assets[#All],3,FALSE())</f>
        <v>Tablet OS/network details &amp; Tablet Application</v>
      </c>
      <c r="H104" s="19" t="s">
        <v>342</v>
      </c>
      <c r="I104" s="19" t="s">
        <v>465</v>
      </c>
      <c r="J104" s="87" t="s">
        <v>274</v>
      </c>
      <c r="K104" s="87" t="s">
        <v>274</v>
      </c>
      <c r="L104" s="87" t="s">
        <v>276</v>
      </c>
      <c r="M104" s="90" t="s">
        <v>273</v>
      </c>
      <c r="N104" s="90" t="s">
        <v>276</v>
      </c>
      <c r="O104" s="90" t="s">
        <v>276</v>
      </c>
      <c r="P104" s="90" t="s">
        <v>274</v>
      </c>
      <c r="Q104" s="90" t="s">
        <v>270</v>
      </c>
      <c r="R10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4" s="91">
        <f>(1 - ((1 - VLOOKUP(Table4[[#This Row],[Confidentiality]],'Reference - CVSSv3.0'!$B$16:$C$18,2,FALSE())) * (1 - VLOOKUP(Table4[[#This Row],[Integrity]],'Reference - CVSSv3.0'!$B$16:$C$18,2,FALSE())) *  (1 - VLOOKUP(Table4[[#This Row],[Availability]],'Reference - CVSSv3.0'!$B$16:$C$18,2,FALSE()))))</f>
        <v>0.56000000000000005</v>
      </c>
      <c r="T104" s="91">
        <f>IF(Table4[[#This Row],[Scope]]="Unchanged",6.42*Table4[[#This Row],[ISC Base]],IF(Table4[[#This Row],[Scope]]="Changed",7.52*(Table4[[#This Row],[ISC Base]] - 0.029) - 3.25 * POWER(Table4[[#This Row],[ISC Base]] - 0.02,15),NA()))</f>
        <v>3.5952000000000002</v>
      </c>
      <c r="U104"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02" t="s">
        <v>267</v>
      </c>
      <c r="W104" s="91">
        <f>VLOOKUP(Table4[[#This Row],[Threat Event Initiation]],NIST_Scale_LOAI[],2,FALSE())</f>
        <v>0.2</v>
      </c>
      <c r="X10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19" t="s">
        <v>343</v>
      </c>
      <c r="AA104" s="19" t="s">
        <v>448</v>
      </c>
      <c r="AB104" s="19" t="s">
        <v>511</v>
      </c>
      <c r="AC104" s="36"/>
      <c r="AD104" s="36"/>
      <c r="AE104" s="36"/>
      <c r="AF104" s="90"/>
      <c r="AG104" s="90"/>
      <c r="AH104" s="90"/>
      <c r="AI104" s="90"/>
      <c r="AJ104" s="90"/>
      <c r="AK10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4" s="91" t="e">
        <f>(1 - ((1 - VLOOKUP(Table4[[#This Row],[ConfidentialityP]],'Reference - CVSSv3.0'!$B$16:$C$18,2,FALSE())) * (1 - VLOOKUP(Table4[[#This Row],[IntegrityP]],'Reference - CVSSv3.0'!$B$16:$C$18,2,FALSE())) *  (1 - VLOOKUP(Table4[[#This Row],[AvailabilityP]],'Reference - CVSSv3.0'!$B$16:$C$18,2,FALSE()))))</f>
        <v>#N/A</v>
      </c>
      <c r="AM104" s="91" t="e">
        <f>IF(Table4[[#This Row],[ScopeP]]="Unchanged",6.42*Table4[[#This Row],[ISC BaseP]],IF(Table4[[#This Row],[ScopeP]]="Changed",7.52*(Table4[[#This Row],[ISC BaseP]] - 0.029) - 3.25 * POWER(Table4[[#This Row],[ISC BaseP]] - 0.02,15),NA()))</f>
        <v>#N/A</v>
      </c>
      <c r="AN10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36"/>
    </row>
  </sheetData>
  <mergeCells count="4">
    <mergeCell ref="F3:I3"/>
    <mergeCell ref="J3:Y3"/>
    <mergeCell ref="Z3:AB3"/>
    <mergeCell ref="AC3:AQ3"/>
  </mergeCells>
  <conditionalFormatting sqref="Y5:Y104 AP5:AP104">
    <cfRule type="cellIs" dxfId="21" priority="2" operator="equal">
      <formula>"Critical"</formula>
    </cfRule>
    <cfRule type="cellIs" dxfId="20" priority="3" operator="equal">
      <formula>"HIGH"</formula>
    </cfRule>
    <cfRule type="cellIs" dxfId="19" priority="4" operator="equal">
      <formula>"Medium"</formula>
    </cfRule>
    <cfRule type="cellIs" dxfId="18" priority="5" operator="equal">
      <formula>"None"</formula>
    </cfRule>
    <cfRule type="cellIs" dxfId="17"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4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4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4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400-000008000000}">
      <formula1>0</formula1>
      <formula2>0</formula2>
    </dataValidation>
  </dataValidations>
  <pageMargins left="0.25" right="0.25" top="0.75" bottom="0.75" header="0.3" footer="0.3"/>
  <pageSetup paperSize="8" scale="26" firstPageNumber="0" fitToHeight="0" orientation="landscape" r:id="rId1"/>
  <headerFooter>
    <oddFooter>&amp;L&amp;"Cambria,Regular"&amp;8Stryker Confidential&amp;R&amp;"Cambria,Regular"&amp;8Page &amp;P of &amp;N</oddFooter>
  </headerFooter>
  <legacyDrawing r:id="rId2"/>
  <legacyDrawingHF r:id="rId3"/>
  <tableParts count="1">
    <tablePart r:id="rId4"/>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400-000009000000}">
          <x14:formula1>
            <xm:f>'Reference - CVSSv3.0'!$B$16:$B$19</xm:f>
          </x14:formula1>
          <x14:formula2>
            <xm:f>0</xm:f>
          </x14:formula2>
          <xm:sqref>J5:L104 AC5:AE104 N96:O96</xm:sqref>
        </x14:dataValidation>
        <x14:dataValidation type="list" allowBlank="1" showInputMessage="1" showErrorMessage="1" xr:uid="{00000000-0002-0000-0400-00000A000000}">
          <x14:formula1>
            <xm:f>'Reference - CVSSv3.0'!$E$7:$E$9</xm:f>
          </x14:formula1>
          <x14:formula2>
            <xm:f>0</xm:f>
          </x14:formula2>
          <xm:sqref>N5:O95 AG5:AG104 N97:O104</xm:sqref>
        </x14:dataValidation>
        <x14:dataValidation type="list" allowBlank="1" showInputMessage="1" showErrorMessage="1" xr:uid="{00000000-0002-0000-0400-00000B000000}">
          <x14:formula1>
            <xm:f>'Reference - CVSSv3.0'!$B$22:$B$24</xm:f>
          </x14:formula1>
          <x14:formula2>
            <xm:f>0</xm:f>
          </x14:formula2>
          <xm:sqref>Q5:Q104 AJ5:AJ104</xm:sqref>
        </x14:dataValidation>
        <x14:dataValidation type="list" allowBlank="1" showInputMessage="1" showErrorMessage="1" xr:uid="{00000000-0002-0000-0400-00000C000000}">
          <x14:formula1>
            <xm:f>'Reference - CVSSv3.0'!$B$7:$B$11</xm:f>
          </x14:formula1>
          <x14:formula2>
            <xm:f>0</xm:f>
          </x14:formula2>
          <xm:sqref>M5:M104 AF5:AF104</xm:sqref>
        </x14:dataValidation>
        <x14:dataValidation type="list" allowBlank="1" showInputMessage="1" showErrorMessage="1" xr:uid="{00000000-0002-0000-0400-00000D000000}">
          <x14:formula1>
            <xm:f>'Reference - CVSSv3.0'!$H$7:$H$10</xm:f>
          </x14:formula1>
          <x14:formula2>
            <xm:f>0</xm:f>
          </x14:formula2>
          <xm:sqref>AH5:AH104</xm:sqref>
        </x14:dataValidation>
        <x14:dataValidation type="list" allowBlank="1" showInputMessage="1" showErrorMessage="1" xr:uid="{00000000-0002-0000-0400-00000E000000}">
          <x14:formula1>
            <xm:f>'Reference - CVSSv3.0'!$L$7:$L$9</xm:f>
          </x14:formula1>
          <x14:formula2>
            <xm:f>0</xm:f>
          </x14:formula2>
          <xm:sqref>P5:P104 AI5:AI104</xm:sqref>
        </x14:dataValidation>
        <x14:dataValidation type="list" allowBlank="1" showInputMessage="1" showErrorMessage="1" xr:uid="{00000000-0002-0000-0400-00000F000000}">
          <x14:formula1>
            <xm:f>'Reference - CVSSv3.0'!$Q$6:$Q$11</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5:AMJ96"/>
  <sheetViews>
    <sheetView view="pageBreakPreview" zoomScale="60" zoomScaleNormal="77" workbookViewId="0">
      <selection activeCell="K12" sqref="K12"/>
    </sheetView>
  </sheetViews>
  <sheetFormatPr defaultColWidth="9.1796875" defaultRowHeight="14.5"/>
  <cols>
    <col min="1" max="1" width="9.1796875" style="24"/>
    <col min="2" max="2" width="4.81640625" style="24" customWidth="1"/>
    <col min="3" max="3" width="25.453125" style="44" customWidth="1"/>
    <col min="4" max="4" width="5" style="24" customWidth="1"/>
    <col min="5" max="5" width="22" style="25" customWidth="1"/>
    <col min="6" max="6" width="6.1796875" style="24" customWidth="1"/>
    <col min="7" max="7" width="28.81640625" style="24" customWidth="1"/>
    <col min="8" max="8" width="38" style="24" customWidth="1"/>
    <col min="9" max="9" width="25.453125" style="24" customWidth="1"/>
    <col min="10" max="10" width="15" style="24" customWidth="1"/>
    <col min="11" max="11" width="35.81640625" style="24" customWidth="1"/>
    <col min="12" max="12" width="15" style="24" customWidth="1"/>
    <col min="13" max="13" width="36.81640625" style="24" customWidth="1"/>
    <col min="14" max="1024" width="9.1796875" style="24"/>
  </cols>
  <sheetData>
    <row r="5" spans="1:14" s="26" customFormat="1" ht="14">
      <c r="A5" s="2" t="s">
        <v>344</v>
      </c>
      <c r="B5" s="60"/>
      <c r="C5" s="60"/>
      <c r="D5" s="60"/>
      <c r="E5" s="61"/>
      <c r="F5" s="60"/>
      <c r="G5" s="60"/>
      <c r="H5" s="60"/>
      <c r="I5" s="60"/>
      <c r="J5" s="60"/>
      <c r="K5" s="60"/>
      <c r="L5" s="60"/>
      <c r="M5" s="60"/>
    </row>
    <row r="6" spans="1:14" s="26" customFormat="1" ht="14">
      <c r="A6" s="2"/>
      <c r="B6" s="60"/>
      <c r="C6" s="60"/>
      <c r="D6" s="60"/>
      <c r="E6" s="61"/>
      <c r="F6" s="60"/>
      <c r="G6" s="60"/>
      <c r="H6" s="60"/>
      <c r="I6" s="60"/>
      <c r="J6" s="60"/>
      <c r="K6" s="60"/>
      <c r="L6" s="60"/>
      <c r="M6" s="60"/>
    </row>
    <row r="7" spans="1:14" s="26" customFormat="1" ht="14">
      <c r="A7" s="2"/>
      <c r="B7" s="60"/>
      <c r="C7" s="60"/>
      <c r="D7" s="60"/>
      <c r="E7" s="61"/>
      <c r="F7" s="60"/>
      <c r="G7" s="60"/>
      <c r="H7" s="60"/>
      <c r="I7" s="60"/>
      <c r="J7" s="60"/>
      <c r="K7" s="60"/>
      <c r="L7" s="60"/>
      <c r="M7" s="60"/>
    </row>
    <row r="8" spans="1:14" s="26" customFormat="1" ht="28">
      <c r="A8" s="103" t="s">
        <v>224</v>
      </c>
      <c r="B8" s="104" t="s">
        <v>225</v>
      </c>
      <c r="C8" s="105" t="s">
        <v>226</v>
      </c>
      <c r="D8" s="106" t="s">
        <v>227</v>
      </c>
      <c r="E8" s="107" t="s">
        <v>228</v>
      </c>
      <c r="F8" s="108" t="s">
        <v>229</v>
      </c>
      <c r="G8" s="109" t="s">
        <v>345</v>
      </c>
      <c r="H8" s="109" t="s">
        <v>230</v>
      </c>
      <c r="I8" s="110" t="s">
        <v>231</v>
      </c>
      <c r="J8" s="111" t="s">
        <v>346</v>
      </c>
      <c r="K8" s="112" t="s">
        <v>248</v>
      </c>
      <c r="L8" s="113" t="s">
        <v>347</v>
      </c>
      <c r="M8" s="114" t="s">
        <v>265</v>
      </c>
      <c r="N8"/>
    </row>
    <row r="9" spans="1:14" s="26" customFormat="1" ht="126">
      <c r="A9" s="49">
        <f>Table4[[#This Row],[
ID '#]]</f>
        <v>5</v>
      </c>
      <c r="B9" s="115" t="str">
        <f>IF(Table4[[#This Row],[T ID]]&gt;0,Table4[[#This Row],[T ID]],"")</f>
        <v>T01</v>
      </c>
      <c r="C9" s="19" t="str">
        <f>Table4[[#This Row],[Threat Event(s)]]</f>
        <v>Deliver undirected malware
(CAPEC-185)</v>
      </c>
      <c r="D9" s="36" t="str">
        <f>IF(Table4[[#This Row],[V ID]]&gt;0,Table4[[#This Row],[V ID]],"")</f>
        <v>V22</v>
      </c>
      <c r="E9" s="19" t="str">
        <f>Table4[[#This Row],[Vulnerabilities]]</f>
        <v>Legacy system identification if any</v>
      </c>
      <c r="F9" s="36" t="str">
        <f>IF(Table4[[#This Row],[A ID]]&gt;0,Table4[[#This Row],[A ID]],"")</f>
        <v>A03</v>
      </c>
      <c r="G9" s="19" t="str">
        <f>Table4[[#This Row],[Asset]]</f>
        <v>Smart medic (Stryker device) System Component</v>
      </c>
      <c r="H9" s="19" t="str">
        <f>IF(Table4[[#This Row],[Impact Description]]&gt;0,Table4[[#This Row],[Impact Description]],"")</f>
        <v xml:space="preserve">1) Malicious utilization of  computer resources 
2) computing power  
3) denial of service attacks, 
4) ransomware attack 
5) Bitcoin mining, etc </v>
      </c>
      <c r="I9" s="36" t="str">
        <f>IF(Table4[[#This Row],[Safety Impact 
(Risk ID'# or N/A)]]&gt;0,Table4[[#This Row],[Safety Impact 
(Risk ID'# or N/A)]],"")</f>
        <v>NA</v>
      </c>
      <c r="J9" s="89" t="str">
        <f>Table4[[#This Row],[Security 
Risk 
Level]]</f>
        <v>LOW</v>
      </c>
      <c r="K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9" s="89" t="str">
        <f>Table4[[#This Row],[Security Risk LevelP]]</f>
        <v/>
      </c>
      <c r="M9" s="36" t="str">
        <f>IF(Table4[[#This Row],[Residual Security Risk Acceptability Justification]]&gt;0,Table4[[#This Row],[Residual Security Risk Acceptability Justification]],"")</f>
        <v/>
      </c>
    </row>
    <row r="10" spans="1:14" s="26" customFormat="1" ht="126">
      <c r="A10" s="49">
        <f>Table4[[#This Row],[
ID '#]]</f>
        <v>6</v>
      </c>
      <c r="B10" s="115" t="str">
        <f>IF(Table4[[#This Row],[T ID]]&gt;0,Table4[[#This Row],[T ID]],"")</f>
        <v>T01</v>
      </c>
      <c r="C10" s="88" t="str">
        <f>Table4[[#This Row],[Threat Event(s)]]</f>
        <v>Deliver undirected malware
(CAPEC-185)</v>
      </c>
      <c r="D10" s="36" t="str">
        <f>IF(Table4[[#This Row],[V ID]]&gt;0,Table4[[#This Row],[V ID]],"")</f>
        <v>V22</v>
      </c>
      <c r="E10" s="88" t="str">
        <f>Table4[[#This Row],[Vulnerabilities]]</f>
        <v>Legacy system identification if any</v>
      </c>
      <c r="F10" s="116" t="str">
        <f>IF(Table4[[#This Row],[A ID]]&gt;0,Table4[[#This Row],[A ID]],"")</f>
        <v>A01</v>
      </c>
      <c r="G10" s="88" t="str">
        <f>Table4[[#This Row],[Asset]]</f>
        <v>Tablet Resources - web cam, microphone, OTG devices, Removable USB, Tablet Application, Network interfaces (Bluetooth, Wifi)</v>
      </c>
      <c r="H10" s="19" t="str">
        <f>IF(Table4[[#This Row],[Impact Description]]&gt;0,Table4[[#This Row],[Impact Description]],"")</f>
        <v xml:space="preserve">1) Malicious utilization of  computer resources 
2) computing power  
3) denial of service attacks, 
4) ransomware attack 
5) Bitcoin mining, etc </v>
      </c>
      <c r="I10" s="36" t="str">
        <f>IF(Table4[[#This Row],[Safety Impact 
(Risk ID'# or N/A)]]&gt;0,Table4[[#This Row],[Safety Impact 
(Risk ID'# or N/A)]],"")</f>
        <v>NA</v>
      </c>
      <c r="J10" s="18" t="str">
        <f>Table4[[#This Row],[Security 
Risk 
Level]]</f>
        <v>LOW</v>
      </c>
      <c r="K1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0" s="94" t="str">
        <f>Table4[[#This Row],[Security Risk LevelP]]</f>
        <v/>
      </c>
      <c r="M10" s="36" t="str">
        <f>IF(Table4[[#This Row],[Residual Security Risk Acceptability Justification]]&gt;0,Table4[[#This Row],[Residual Security Risk Acceptability Justification]],"")</f>
        <v/>
      </c>
    </row>
    <row r="11" spans="1:14" s="26" customFormat="1" ht="126">
      <c r="A11" s="49">
        <f>Table4[[#This Row],[
ID '#]]</f>
        <v>7</v>
      </c>
      <c r="B11" s="115" t="str">
        <f>IF(Table4[[#This Row],[T ID]]&gt;0,Table4[[#This Row],[T ID]],"")</f>
        <v>T01</v>
      </c>
      <c r="C11" s="19" t="str">
        <f>Table4[[#This Row],[Threat Event(s)]]</f>
        <v>Deliver undirected malware
(CAPEC-185)</v>
      </c>
      <c r="D11" s="36" t="str">
        <f>IF(Table4[[#This Row],[V ID]]&gt;0,Table4[[#This Row],[V ID]],"")</f>
        <v>V08</v>
      </c>
      <c r="E11" s="19" t="str">
        <f>Table4[[#This Row],[Vulnerabilities]]</f>
        <v>Ineffective patch management of firware, OS and applications thoughout the information system plan</v>
      </c>
      <c r="F11" s="36" t="str">
        <f>IF(Table4[[#This Row],[A ID]]&gt;0,Table4[[#This Row],[A ID]],"")</f>
        <v>A05</v>
      </c>
      <c r="G11" s="19" t="str">
        <f>Table4[[#This Row],[Asset]]</f>
        <v>Device Maintainence tool (Hardware/Software)</v>
      </c>
      <c r="H11" s="19" t="str">
        <f>IF(Table4[[#This Row],[Impact Description]]&gt;0,Table4[[#This Row],[Impact Description]],"")</f>
        <v xml:space="preserve">1) Malicious utilization of  computer resources 
2) computing power  
3) denial of service attacks, 
4) ransomware attack 
5) Bitcoin mining, etc </v>
      </c>
      <c r="I11" s="36" t="str">
        <f>IF(Table4[[#This Row],[Safety Impact 
(Risk ID'# or N/A)]]&gt;0,Table4[[#This Row],[Safety Impact 
(Risk ID'# or N/A)]],"")</f>
        <v>NA</v>
      </c>
      <c r="J11" s="89" t="str">
        <f>Table4[[#This Row],[Security 
Risk 
Level]]</f>
        <v>LOW</v>
      </c>
      <c r="K1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1" s="89" t="str">
        <f>Table4[[#This Row],[Security Risk LevelP]]</f>
        <v/>
      </c>
      <c r="M11" s="36" t="str">
        <f>IF(Table4[[#This Row],[Residual Security Risk Acceptability Justification]]&gt;0,Table4[[#This Row],[Residual Security Risk Acceptability Justification]],"")</f>
        <v/>
      </c>
    </row>
    <row r="12" spans="1:14" s="26" customFormat="1" ht="126">
      <c r="A12" s="49">
        <f>Table4[[#This Row],[
ID '#]]</f>
        <v>8</v>
      </c>
      <c r="B12" s="115" t="str">
        <f>IF(Table4[[#This Row],[T ID]]&gt;0,Table4[[#This Row],[T ID]],"")</f>
        <v>T01</v>
      </c>
      <c r="C12" s="88" t="str">
        <f>Table4[[#This Row],[Threat Event(s)]]</f>
        <v>Deliver undirected malware
(CAPEC-185)</v>
      </c>
      <c r="D12" s="36" t="str">
        <f>IF(Table4[[#This Row],[V ID]]&gt;0,Table4[[#This Row],[V ID]],"")</f>
        <v>V08</v>
      </c>
      <c r="E12" s="88" t="str">
        <f>Table4[[#This Row],[Vulnerabilities]]</f>
        <v>Ineffective patch management of firware, OS and applications thoughout the information system plan</v>
      </c>
      <c r="F12" s="116" t="str">
        <f>IF(Table4[[#This Row],[A ID]]&gt;0,Table4[[#This Row],[A ID]],"")</f>
        <v>A01</v>
      </c>
      <c r="G12" s="88" t="str">
        <f>Table4[[#This Row],[Asset]]</f>
        <v>Tablet Resources - web cam, microphone, OTG devices, Removable USB, Tablet Application, Network interfaces (Bluetooth, Wifi)</v>
      </c>
      <c r="H12" s="19" t="str">
        <f>IF(Table4[[#This Row],[Impact Description]]&gt;0,Table4[[#This Row],[Impact Description]],"")</f>
        <v xml:space="preserve">1) Malicious utilization of  computer resources 
2) computing power  
3) denial of service attacks, 
4) ransomware attack 
5) Bitcoin mining, etc </v>
      </c>
      <c r="I12" s="36" t="str">
        <f>IF(Table4[[#This Row],[Safety Impact 
(Risk ID'# or N/A)]]&gt;0,Table4[[#This Row],[Safety Impact 
(Risk ID'# or N/A)]],"")</f>
        <v>NA</v>
      </c>
      <c r="J12" s="18" t="str">
        <f>Table4[[#This Row],[Security 
Risk 
Level]]</f>
        <v>LOW</v>
      </c>
      <c r="K1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2" s="94" t="str">
        <f>Table4[[#This Row],[Security Risk LevelP]]</f>
        <v/>
      </c>
      <c r="M12" s="36" t="str">
        <f>IF(Table4[[#This Row],[Residual Security Risk Acceptability Justification]]&gt;0,Table4[[#This Row],[Residual Security Risk Acceptability Justification]],"")</f>
        <v/>
      </c>
    </row>
    <row r="13" spans="1:14" s="26" customFormat="1" ht="126">
      <c r="A13" s="49">
        <f>Table4[[#This Row],[
ID '#]]</f>
        <v>9</v>
      </c>
      <c r="B13" s="115" t="str">
        <f>IF(Table4[[#This Row],[T ID]]&gt;0,Table4[[#This Row],[T ID]],"")</f>
        <v>T01</v>
      </c>
      <c r="C13" s="88" t="str">
        <f>Table4[[#This Row],[Threat Event(s)]]</f>
        <v>Deliver undirected malware
(CAPEC-185)</v>
      </c>
      <c r="D13" s="36" t="str">
        <f>IF(Table4[[#This Row],[V ID]]&gt;0,Table4[[#This Row],[V ID]],"")</f>
        <v>V08</v>
      </c>
      <c r="E13" s="88" t="str">
        <f>Table4[[#This Row],[Vulnerabilities]]</f>
        <v>Ineffective patch management of firware, OS and applications thoughout the information system plan</v>
      </c>
      <c r="F13" s="116" t="str">
        <f>IF(Table4[[#This Row],[A ID]]&gt;0,Table4[[#This Row],[A ID]],"")</f>
        <v>A03</v>
      </c>
      <c r="G13" s="88" t="str">
        <f>Table4[[#This Row],[Asset]]</f>
        <v>Smart medic (Stryker device) System Component</v>
      </c>
      <c r="H13" s="19" t="str">
        <f>IF(Table4[[#This Row],[Impact Description]]&gt;0,Table4[[#This Row],[Impact Description]],"")</f>
        <v xml:space="preserve">1) Malicious utilization of  computer resources 
2) computing power  
3) denial of service attacks, 
4) ransomware attack 
5) Bitcoin mining, etc </v>
      </c>
      <c r="I13" s="36" t="str">
        <f>IF(Table4[[#This Row],[Safety Impact 
(Risk ID'# or N/A)]]&gt;0,Table4[[#This Row],[Safety Impact 
(Risk ID'# or N/A)]],"")</f>
        <v>NA</v>
      </c>
      <c r="J13" s="18" t="str">
        <f>Table4[[#This Row],[Security 
Risk 
Level]]</f>
        <v>LOW</v>
      </c>
      <c r="K1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3" s="94" t="str">
        <f>Table4[[#This Row],[Security Risk LevelP]]</f>
        <v/>
      </c>
      <c r="M13" s="36" t="str">
        <f>IF(Table4[[#This Row],[Residual Security Risk Acceptability Justification]]&gt;0,Table4[[#This Row],[Residual Security Risk Acceptability Justification]],"")</f>
        <v/>
      </c>
    </row>
    <row r="14" spans="1:14" s="26" customFormat="1" ht="126">
      <c r="A14" s="49">
        <f>Table4[[#This Row],[
ID '#]]</f>
        <v>10</v>
      </c>
      <c r="B14" s="115" t="str">
        <f>IF(Table4[[#This Row],[T ID]]&gt;0,Table4[[#This Row],[T ID]],"")</f>
        <v>T01</v>
      </c>
      <c r="C14" s="88" t="str">
        <f>Table4[[#This Row],[Threat Event(s)]]</f>
        <v>Deliver undirected malware
(CAPEC-185)</v>
      </c>
      <c r="D14" s="36" t="str">
        <f>IF(Table4[[#This Row],[V ID]]&gt;0,Table4[[#This Row],[V ID]],"")</f>
        <v>V09</v>
      </c>
      <c r="E14" s="88" t="str">
        <f>Table4[[#This Row],[Vulnerabilities]]</f>
        <v xml:space="preserve">Lack of plan for periodic Software Vulnerability Management </v>
      </c>
      <c r="F14" s="116" t="str">
        <f>IF(Table4[[#This Row],[A ID]]&gt;0,Table4[[#This Row],[A ID]],"")</f>
        <v>A05</v>
      </c>
      <c r="G14" s="88" t="str">
        <f>Table4[[#This Row],[Asset]]</f>
        <v>Device Maintainence tool (Hardware/Software)</v>
      </c>
      <c r="H14" s="19" t="str">
        <f>IF(Table4[[#This Row],[Impact Description]]&gt;0,Table4[[#This Row],[Impact Description]],"")</f>
        <v xml:space="preserve">1) Malicious utilization of  computer resources 
2) computing power  
3) denial of service attacks, 
4) ransomware attack 
5) Bitcoin mining, etc </v>
      </c>
      <c r="I14" s="36" t="str">
        <f>IF(Table4[[#This Row],[Safety Impact 
(Risk ID'# or N/A)]]&gt;0,Table4[[#This Row],[Safety Impact 
(Risk ID'# or N/A)]],"")</f>
        <v>NA</v>
      </c>
      <c r="J14" s="18" t="str">
        <f>Table4[[#This Row],[Security 
Risk 
Level]]</f>
        <v>LOW</v>
      </c>
      <c r="K1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4" s="94" t="str">
        <f>Table4[[#This Row],[Security Risk LevelP]]</f>
        <v/>
      </c>
      <c r="M14" s="36" t="str">
        <f>IF(Table4[[#This Row],[Residual Security Risk Acceptability Justification]]&gt;0,Table4[[#This Row],[Residual Security Risk Acceptability Justification]],"")</f>
        <v/>
      </c>
    </row>
    <row r="15" spans="1:14" s="26" customFormat="1" ht="126">
      <c r="A15" s="49">
        <f>Table4[[#This Row],[
ID '#]]</f>
        <v>11</v>
      </c>
      <c r="B15" s="115" t="str">
        <f>IF(Table4[[#This Row],[T ID]]&gt;0,Table4[[#This Row],[T ID]],"")</f>
        <v>T01</v>
      </c>
      <c r="C15" s="88" t="str">
        <f>Table4[[#This Row],[Threat Event(s)]]</f>
        <v>Deliver undirected malware
(CAPEC-185)</v>
      </c>
      <c r="D15" s="36" t="str">
        <f>IF(Table4[[#This Row],[V ID]]&gt;0,Table4[[#This Row],[V ID]],"")</f>
        <v>V09</v>
      </c>
      <c r="E15" s="88" t="str">
        <f>Table4[[#This Row],[Vulnerabilities]]</f>
        <v xml:space="preserve">Lack of plan for periodic Software Vulnerability Management </v>
      </c>
      <c r="F15" s="116" t="str">
        <f>IF(Table4[[#This Row],[A ID]]&gt;0,Table4[[#This Row],[A ID]],"")</f>
        <v>A01</v>
      </c>
      <c r="G15" s="88" t="str">
        <f>Table4[[#This Row],[Asset]]</f>
        <v>Tablet Resources - web cam, microphone, OTG devices, Removable USB, Tablet Application, Network interfaces (Bluetooth, Wifi)</v>
      </c>
      <c r="H15" s="19" t="str">
        <f>IF(Table4[[#This Row],[Impact Description]]&gt;0,Table4[[#This Row],[Impact Description]],"")</f>
        <v xml:space="preserve">1) Malicious utilization of  computer resources 
2) computing power  
3) denial of service attacks, 
4) ransomware attack 
5) Bitcoin mining, etc </v>
      </c>
      <c r="I15" s="36" t="str">
        <f>IF(Table4[[#This Row],[Safety Impact 
(Risk ID'# or N/A)]]&gt;0,Table4[[#This Row],[Safety Impact 
(Risk ID'# or N/A)]],"")</f>
        <v>NA</v>
      </c>
      <c r="J15" s="18" t="str">
        <f>Table4[[#This Row],[Security 
Risk 
Level]]</f>
        <v>LOW</v>
      </c>
      <c r="K1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5" s="94" t="str">
        <f>Table4[[#This Row],[Security Risk LevelP]]</f>
        <v/>
      </c>
      <c r="M15" s="36" t="str">
        <f>IF(Table4[[#This Row],[Residual Security Risk Acceptability Justification]]&gt;0,Table4[[#This Row],[Residual Security Risk Acceptability Justification]],"")</f>
        <v/>
      </c>
    </row>
    <row r="16" spans="1:14" s="26" customFormat="1" ht="126">
      <c r="A16" s="49">
        <f>Table4[[#This Row],[
ID '#]]</f>
        <v>12</v>
      </c>
      <c r="B16" s="115" t="str">
        <f>IF(Table4[[#This Row],[T ID]]&gt;0,Table4[[#This Row],[T ID]],"")</f>
        <v>T01</v>
      </c>
      <c r="C16" s="88" t="str">
        <f>Table4[[#This Row],[Threat Event(s)]]</f>
        <v>Deliver undirected malware
(CAPEC-185)</v>
      </c>
      <c r="D16" s="36" t="str">
        <f>IF(Table4[[#This Row],[V ID]]&gt;0,Table4[[#This Row],[V ID]],"")</f>
        <v>V09</v>
      </c>
      <c r="E16" s="88" t="str">
        <f>Table4[[#This Row],[Vulnerabilities]]</f>
        <v xml:space="preserve">Lack of plan for periodic Software Vulnerability Management </v>
      </c>
      <c r="F16" s="116" t="str">
        <f>IF(Table4[[#This Row],[A ID]]&gt;0,Table4[[#This Row],[A ID]],"")</f>
        <v>A03</v>
      </c>
      <c r="G16" s="88" t="str">
        <f>Table4[[#This Row],[Asset]]</f>
        <v>Smart medic (Stryker device) System Component</v>
      </c>
      <c r="H16" s="19" t="str">
        <f>IF(Table4[[#This Row],[Impact Description]]&gt;0,Table4[[#This Row],[Impact Description]],"")</f>
        <v xml:space="preserve">1) Malicious utilization of  computer resources 2) computing power  
3) denial of service attacks, 
4) ransomware attack 
5) Bitcoin mining, etc </v>
      </c>
      <c r="I16" s="36" t="str">
        <f>IF(Table4[[#This Row],[Safety Impact 
(Risk ID'# or N/A)]]&gt;0,Table4[[#This Row],[Safety Impact 
(Risk ID'# or N/A)]],"")</f>
        <v>NA</v>
      </c>
      <c r="J16" s="18" t="str">
        <f>Table4[[#This Row],[Security 
Risk 
Level]]</f>
        <v>LOW</v>
      </c>
      <c r="K1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6" s="94" t="str">
        <f>Table4[[#This Row],[Security Risk LevelP]]</f>
        <v/>
      </c>
      <c r="M16" s="36" t="str">
        <f>IF(Table4[[#This Row],[Residual Security Risk Acceptability Justification]]&gt;0,Table4[[#This Row],[Residual Security Risk Acceptability Justification]],"")</f>
        <v/>
      </c>
    </row>
    <row r="17" spans="1:13" s="26" customFormat="1" ht="126">
      <c r="A17" s="49">
        <f>Table4[[#This Row],[
ID '#]]</f>
        <v>13</v>
      </c>
      <c r="B17" s="115" t="str">
        <f>IF(Table4[[#This Row],[T ID]]&gt;0,Table4[[#This Row],[T ID]],"")</f>
        <v>T01</v>
      </c>
      <c r="C17" s="88" t="str">
        <f>Table4[[#This Row],[Threat Event(s)]]</f>
        <v>Deliver undirected malware
(CAPEC-185)</v>
      </c>
      <c r="D17" s="36" t="str">
        <f>IF(Table4[[#This Row],[V ID]]&gt;0,Table4[[#This Row],[V ID]],"")</f>
        <v>V12</v>
      </c>
      <c r="E17" s="88" t="str">
        <f>Table4[[#This Row],[Vulnerabilities]]</f>
        <v>Unprotected network port(s) on network devices and connection points</v>
      </c>
      <c r="F17" s="116" t="str">
        <f>IF(Table4[[#This Row],[A ID]]&gt;0,Table4[[#This Row],[A ID]],"")</f>
        <v>A01</v>
      </c>
      <c r="G17" s="88" t="str">
        <f>Table4[[#This Row],[Asset]]</f>
        <v>Tablet Resources - web cam, microphone, OTG devices, Removable USB, Tablet Application, Network interfaces (Bluetooth, Wifi)</v>
      </c>
      <c r="H17" s="19" t="str">
        <f>IF(Table4[[#This Row],[Impact Description]]&gt;0,Table4[[#This Row],[Impact Description]],"")</f>
        <v xml:space="preserve">1) Malicious utilization of  computer resources 
2) computing power  
3) denial of service attacks, 
4) ransomware attack 
5) Bitcoin mining, etc </v>
      </c>
      <c r="I17" s="36" t="str">
        <f>IF(Table4[[#This Row],[Safety Impact 
(Risk ID'# or N/A)]]&gt;0,Table4[[#This Row],[Safety Impact 
(Risk ID'# or N/A)]],"")</f>
        <v>NA</v>
      </c>
      <c r="J17" s="18" t="str">
        <f>Table4[[#This Row],[Security 
Risk 
Level]]</f>
        <v>LOW</v>
      </c>
      <c r="K1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7" s="94" t="str">
        <f>Table4[[#This Row],[Security Risk LevelP]]</f>
        <v/>
      </c>
      <c r="M17" s="36" t="str">
        <f>IF(Table4[[#This Row],[Residual Security Risk Acceptability Justification]]&gt;0,Table4[[#This Row],[Residual Security Risk Acceptability Justification]],"")</f>
        <v/>
      </c>
    </row>
    <row r="18" spans="1:13" s="26" customFormat="1" ht="126">
      <c r="A18" s="49">
        <f>Table4[[#This Row],[
ID '#]]</f>
        <v>14</v>
      </c>
      <c r="B18" s="115" t="str">
        <f>IF(Table4[[#This Row],[T ID]]&gt;0,Table4[[#This Row],[T ID]],"")</f>
        <v>T01</v>
      </c>
      <c r="C18" s="88" t="str">
        <f>Table4[[#This Row],[Threat Event(s)]]</f>
        <v>Deliver undirected malware
(CAPEC-185)</v>
      </c>
      <c r="D18" s="36" t="str">
        <f>IF(Table4[[#This Row],[V ID]]&gt;0,Table4[[#This Row],[V ID]],"")</f>
        <v>V12</v>
      </c>
      <c r="E18" s="88" t="str">
        <f>Table4[[#This Row],[Vulnerabilities]]</f>
        <v>Unprotected network port(s) on network devices and connection points</v>
      </c>
      <c r="F18" s="116" t="str">
        <f>IF(Table4[[#This Row],[A ID]]&gt;0,Table4[[#This Row],[A ID]],"")</f>
        <v>A03</v>
      </c>
      <c r="G18" s="88" t="str">
        <f>Table4[[#This Row],[Asset]]</f>
        <v>Smart medic (Stryker device) System Component</v>
      </c>
      <c r="H18" s="19" t="str">
        <f>IF(Table4[[#This Row],[Impact Description]]&gt;0,Table4[[#This Row],[Impact Description]],"")</f>
        <v xml:space="preserve">1) Malicious utilization of  computer resources 
2) computing power  
3) denial of service attacks, 
4) ransomware attack 
5) Bitcoin mining, etc </v>
      </c>
      <c r="I18" s="36" t="str">
        <f>IF(Table4[[#This Row],[Safety Impact 
(Risk ID'# or N/A)]]&gt;0,Table4[[#This Row],[Safety Impact 
(Risk ID'# or N/A)]],"")</f>
        <v>NA</v>
      </c>
      <c r="J18" s="18" t="str">
        <f>Table4[[#This Row],[Security 
Risk 
Level]]</f>
        <v>LOW</v>
      </c>
      <c r="K1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8" s="94" t="str">
        <f>Table4[[#This Row],[Security Risk LevelP]]</f>
        <v/>
      </c>
      <c r="M18" s="36" t="str">
        <f>IF(Table4[[#This Row],[Residual Security Risk Acceptability Justification]]&gt;0,Table4[[#This Row],[Residual Security Risk Acceptability Justification]],"")</f>
        <v/>
      </c>
    </row>
    <row r="19" spans="1:13" s="26" customFormat="1" ht="126">
      <c r="A19" s="49">
        <f>Table4[[#This Row],[
ID '#]]</f>
        <v>15</v>
      </c>
      <c r="B19" s="115" t="str">
        <f>IF(Table4[[#This Row],[T ID]]&gt;0,Table4[[#This Row],[T ID]],"")</f>
        <v>T01</v>
      </c>
      <c r="C19" s="88" t="str">
        <f>Table4[[#This Row],[Threat Event(s)]]</f>
        <v>Deliver undirected malware
(CAPEC-185)</v>
      </c>
      <c r="D19" s="36" t="str">
        <f>IF(Table4[[#This Row],[V ID]]&gt;0,Table4[[#This Row],[V ID]],"")</f>
        <v>V16</v>
      </c>
      <c r="E19" s="88" t="str">
        <f>Table4[[#This Row],[Vulnerabilities]]</f>
        <v>Unencrypted data at rest in all possible locations</v>
      </c>
      <c r="F19" s="116" t="str">
        <f>IF(Table4[[#This Row],[A ID]]&gt;0,Table4[[#This Row],[A ID]],"")</f>
        <v>A01</v>
      </c>
      <c r="G19" s="88" t="str">
        <f>Table4[[#This Row],[Asset]]</f>
        <v>Tablet Resources - web cam, microphone, OTG devices, Removable USB, Tablet Application, Network interfaces (Bluetooth, Wifi)</v>
      </c>
      <c r="H19" s="19" t="str">
        <f>IF(Table4[[#This Row],[Impact Description]]&gt;0,Table4[[#This Row],[Impact Description]],"")</f>
        <v xml:space="preserve">1) Malicious utilization of  computer resources 
2) computing power  
3) denial of service attacks, 
4) ransomware attack 
5) Bitcoin mining, etc </v>
      </c>
      <c r="I19" s="36" t="str">
        <f>IF(Table4[[#This Row],[Safety Impact 
(Risk ID'# or N/A)]]&gt;0,Table4[[#This Row],[Safety Impact 
(Risk ID'# or N/A)]],"")</f>
        <v>NA</v>
      </c>
      <c r="J19" s="18" t="str">
        <f>Table4[[#This Row],[Security 
Risk 
Level]]</f>
        <v>LOW</v>
      </c>
      <c r="K1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9" s="94" t="str">
        <f>Table4[[#This Row],[Security Risk LevelP]]</f>
        <v/>
      </c>
      <c r="M19" s="36" t="str">
        <f>IF(Table4[[#This Row],[Residual Security Risk Acceptability Justification]]&gt;0,Table4[[#This Row],[Residual Security Risk Acceptability Justification]],"")</f>
        <v/>
      </c>
    </row>
    <row r="20" spans="1:13" s="26" customFormat="1" ht="126">
      <c r="A20" s="49">
        <f>Table4[[#This Row],[
ID '#]]</f>
        <v>16</v>
      </c>
      <c r="B20" s="115" t="str">
        <f>IF(Table4[[#This Row],[T ID]]&gt;0,Table4[[#This Row],[T ID]],"")</f>
        <v>T01</v>
      </c>
      <c r="C20" s="88" t="str">
        <f>Table4[[#This Row],[Threat Event(s)]]</f>
        <v>Deliver undirected malware
(CAPEC-185)</v>
      </c>
      <c r="D20" s="36" t="str">
        <f>IF(Table4[[#This Row],[V ID]]&gt;0,Table4[[#This Row],[V ID]],"")</f>
        <v>V17</v>
      </c>
      <c r="E20" s="88" t="str">
        <f>Table4[[#This Row],[Vulnerabilities]]</f>
        <v>Unencrypted data in transit in all flowchannels</v>
      </c>
      <c r="F20" s="116" t="str">
        <f>IF(Table4[[#This Row],[A ID]]&gt;0,Table4[[#This Row],[A ID]],"")</f>
        <v>A03</v>
      </c>
      <c r="G20" s="88" t="str">
        <f>Table4[[#This Row],[Asset]]</f>
        <v>Smart medic (Stryker device) System Component</v>
      </c>
      <c r="H20" s="19" t="str">
        <f>IF(Table4[[#This Row],[Impact Description]]&gt;0,Table4[[#This Row],[Impact Description]],"")</f>
        <v xml:space="preserve">1) Malicious utilization of  computer resources 
2) computing power  
3) denial of service attacks, 
4) ransomware attack 
5) Bitcoin mining, etc </v>
      </c>
      <c r="I20" s="36" t="str">
        <f>IF(Table4[[#This Row],[Safety Impact 
(Risk ID'# or N/A)]]&gt;0,Table4[[#This Row],[Safety Impact 
(Risk ID'# or N/A)]],"")</f>
        <v>NA</v>
      </c>
      <c r="J20" s="18" t="str">
        <f>Table4[[#This Row],[Security 
Risk 
Level]]</f>
        <v>LOW</v>
      </c>
      <c r="K2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0" s="94" t="str">
        <f>Table4[[#This Row],[Security Risk LevelP]]</f>
        <v/>
      </c>
      <c r="M20" s="36" t="str">
        <f>IF(Table4[[#This Row],[Residual Security Risk Acceptability Justification]]&gt;0,Table4[[#This Row],[Residual Security Risk Acceptability Justification]],"")</f>
        <v/>
      </c>
    </row>
    <row r="21" spans="1:13" s="26" customFormat="1" ht="126">
      <c r="A21" s="49">
        <f>Table4[[#This Row],[
ID '#]]</f>
        <v>17</v>
      </c>
      <c r="B21" s="115" t="str">
        <f>IF(Table4[[#This Row],[T ID]]&gt;0,Table4[[#This Row],[T ID]],"")</f>
        <v>T01</v>
      </c>
      <c r="C21" s="88" t="str">
        <f>Table4[[#This Row],[Threat Event(s)]]</f>
        <v>Deliver undirected malware
(CAPEC-185)</v>
      </c>
      <c r="D21" s="36" t="str">
        <f>IF(Table4[[#This Row],[V ID]]&gt;0,Table4[[#This Row],[V ID]],"")</f>
        <v>V17</v>
      </c>
      <c r="E21" s="88" t="str">
        <f>Table4[[#This Row],[Vulnerabilities]]</f>
        <v>Unencrypted data in transit in all flowchannels</v>
      </c>
      <c r="F21" s="116" t="str">
        <f>IF(Table4[[#This Row],[A ID]]&gt;0,Table4[[#This Row],[A ID]],"")</f>
        <v>A01</v>
      </c>
      <c r="G21" s="88" t="str">
        <f>Table4[[#This Row],[Asset]]</f>
        <v>Tablet Resources - web cam, microphone, OTG devices, Removable USB, Tablet Application, Network interfaces (Bluetooth, Wifi)</v>
      </c>
      <c r="H21" s="19" t="str">
        <f>IF(Table4[[#This Row],[Impact Description]]&gt;0,Table4[[#This Row],[Impact Description]],"")</f>
        <v xml:space="preserve">1) Malicious utilization of  computer resources 
2) computing power  
3) denial of service attacks, 
4) ransomware attack 
5) Bitcoin mining, etc </v>
      </c>
      <c r="I21" s="36" t="str">
        <f>IF(Table4[[#This Row],[Safety Impact 
(Risk ID'# or N/A)]]&gt;0,Table4[[#This Row],[Safety Impact 
(Risk ID'# or N/A)]],"")</f>
        <v>NA</v>
      </c>
      <c r="J21" s="18" t="str">
        <f>Table4[[#This Row],[Security 
Risk 
Level]]</f>
        <v>LOW</v>
      </c>
      <c r="K2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1" s="94" t="str">
        <f>Table4[[#This Row],[Security Risk LevelP]]</f>
        <v/>
      </c>
      <c r="M21" s="36" t="str">
        <f>IF(Table4[[#This Row],[Residual Security Risk Acceptability Justification]]&gt;0,Table4[[#This Row],[Residual Security Risk Acceptability Justification]],"")</f>
        <v/>
      </c>
    </row>
    <row r="22" spans="1:13" s="26" customFormat="1" ht="126">
      <c r="A22" s="49">
        <f>Table4[[#This Row],[
ID '#]]</f>
        <v>18</v>
      </c>
      <c r="B22" s="115" t="str">
        <f>IF(Table4[[#This Row],[T ID]]&gt;0,Table4[[#This Row],[T ID]],"")</f>
        <v>T01</v>
      </c>
      <c r="C22" s="88" t="str">
        <f>Table4[[#This Row],[Threat Event(s)]]</f>
        <v>Deliver undirected malware
(CAPEC-185)</v>
      </c>
      <c r="D22" s="36" t="str">
        <f>IF(Table4[[#This Row],[V ID]]&gt;0,Table4[[#This Row],[V ID]],"")</f>
        <v>V23</v>
      </c>
      <c r="E22" s="88" t="str">
        <f>Table4[[#This Row],[Vulnerabilities]]</f>
        <v>Outdated  - Software/Hardware</v>
      </c>
      <c r="F22" s="116" t="str">
        <f>IF(Table4[[#This Row],[A ID]]&gt;0,Table4[[#This Row],[A ID]],"")</f>
        <v>A05</v>
      </c>
      <c r="G22" s="88" t="str">
        <f>Table4[[#This Row],[Asset]]</f>
        <v>Device Maintainence tool (Hardware/Software)</v>
      </c>
      <c r="H22" s="19" t="str">
        <f>IF(Table4[[#This Row],[Impact Description]]&gt;0,Table4[[#This Row],[Impact Description]],"")</f>
        <v xml:space="preserve">1) Malicious utilization of  computer resources 
2) computing power  
3) denial of service attacks, 
4) ransomware attack 
5) Bitcoin mining, etc </v>
      </c>
      <c r="I22" s="36" t="str">
        <f>IF(Table4[[#This Row],[Safety Impact 
(Risk ID'# or N/A)]]&gt;0,Table4[[#This Row],[Safety Impact 
(Risk ID'# or N/A)]],"")</f>
        <v>NA</v>
      </c>
      <c r="J22" s="18" t="str">
        <f>Table4[[#This Row],[Security 
Risk 
Level]]</f>
        <v>LOW</v>
      </c>
      <c r="K2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2" s="94" t="str">
        <f>Table4[[#This Row],[Security Risk LevelP]]</f>
        <v/>
      </c>
      <c r="M22" s="36" t="str">
        <f>IF(Table4[[#This Row],[Residual Security Risk Acceptability Justification]]&gt;0,Table4[[#This Row],[Residual Security Risk Acceptability Justification]],"")</f>
        <v/>
      </c>
    </row>
    <row r="23" spans="1:13" s="26" customFormat="1" ht="126">
      <c r="A23" s="49">
        <f>Table4[[#This Row],[
ID '#]]</f>
        <v>19</v>
      </c>
      <c r="B23" s="115" t="str">
        <f>IF(Table4[[#This Row],[T ID]]&gt;0,Table4[[#This Row],[T ID]],"")</f>
        <v>T01</v>
      </c>
      <c r="C23" s="88" t="str">
        <f>Table4[[#This Row],[Threat Event(s)]]</f>
        <v>Deliver undirected malware
(CAPEC-185)</v>
      </c>
      <c r="D23" s="36" t="str">
        <f>IF(Table4[[#This Row],[V ID]]&gt;0,Table4[[#This Row],[V ID]],"")</f>
        <v>V23</v>
      </c>
      <c r="E23" s="88" t="str">
        <f>Table4[[#This Row],[Vulnerabilities]]</f>
        <v>Outdated  - Software/Hardware</v>
      </c>
      <c r="F23" s="116" t="str">
        <f>IF(Table4[[#This Row],[A ID]]&gt;0,Table4[[#This Row],[A ID]],"")</f>
        <v>A03</v>
      </c>
      <c r="G23" s="88" t="str">
        <f>Table4[[#This Row],[Asset]]</f>
        <v>Smart medic (Stryker device) System Component</v>
      </c>
      <c r="H23" s="19" t="str">
        <f>IF(Table4[[#This Row],[Impact Description]]&gt;0,Table4[[#This Row],[Impact Description]],"")</f>
        <v xml:space="preserve">1) Malicious utilization of  computer resources 
2) computing power  
3) denial of service attacks, 
4) ransomware attack 
5) Bitcoin mining, etc </v>
      </c>
      <c r="I23" s="36" t="str">
        <f>IF(Table4[[#This Row],[Safety Impact 
(Risk ID'# or N/A)]]&gt;0,Table4[[#This Row],[Safety Impact 
(Risk ID'# or N/A)]],"")</f>
        <v>NA</v>
      </c>
      <c r="J23" s="18" t="str">
        <f>Table4[[#This Row],[Security 
Risk 
Level]]</f>
        <v>LOW</v>
      </c>
      <c r="K2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3" s="94" t="str">
        <f>Table4[[#This Row],[Security Risk LevelP]]</f>
        <v/>
      </c>
      <c r="M23" s="36" t="str">
        <f>IF(Table4[[#This Row],[Residual Security Risk Acceptability Justification]]&gt;0,Table4[[#This Row],[Residual Security Risk Acceptability Justification]],"")</f>
        <v/>
      </c>
    </row>
    <row r="24" spans="1:13" s="26" customFormat="1" ht="126">
      <c r="A24" s="49">
        <f>Table4[[#This Row],[
ID '#]]</f>
        <v>20</v>
      </c>
      <c r="B24" s="115" t="str">
        <f>IF(Table4[[#This Row],[T ID]]&gt;0,Table4[[#This Row],[T ID]],"")</f>
        <v>T01</v>
      </c>
      <c r="C24" s="88" t="str">
        <f>Table4[[#This Row],[Threat Event(s)]]</f>
        <v>Deliver undirected malware
(CAPEC-185)</v>
      </c>
      <c r="D24" s="36" t="str">
        <f>IF(Table4[[#This Row],[V ID]]&gt;0,Table4[[#This Row],[V ID]],"")</f>
        <v>V23</v>
      </c>
      <c r="E24" s="88" t="str">
        <f>Table4[[#This Row],[Vulnerabilities]]</f>
        <v>Outdated  - Software/Hardware</v>
      </c>
      <c r="F24" s="116" t="str">
        <f>IF(Table4[[#This Row],[A ID]]&gt;0,Table4[[#This Row],[A ID]],"")</f>
        <v>A01</v>
      </c>
      <c r="G24" s="88" t="str">
        <f>Table4[[#This Row],[Asset]]</f>
        <v>Tablet Resources - web cam, microphone, OTG devices, Removable USB, Tablet Application, Network interfaces (Bluetooth, Wifi)</v>
      </c>
      <c r="H24" s="19" t="str">
        <f>IF(Table4[[#This Row],[Impact Description]]&gt;0,Table4[[#This Row],[Impact Description]],"")</f>
        <v xml:space="preserve">1) Malicious utilization of  computer resources 
2) computing power  
3) denial of service attacks, 
4) ransomware attack 
5) Bitcoin mining, etc </v>
      </c>
      <c r="I24" s="36" t="str">
        <f>IF(Table4[[#This Row],[Safety Impact 
(Risk ID'# or N/A)]]&gt;0,Table4[[#This Row],[Safety Impact 
(Risk ID'# or N/A)]],"")</f>
        <v>NA</v>
      </c>
      <c r="J24" s="18" t="str">
        <f>Table4[[#This Row],[Security 
Risk 
Level]]</f>
        <v>LOW</v>
      </c>
      <c r="K2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4" s="94" t="str">
        <f>Table4[[#This Row],[Security Risk LevelP]]</f>
        <v/>
      </c>
      <c r="M24" s="36" t="str">
        <f>IF(Table4[[#This Row],[Residual Security Risk Acceptability Justification]]&gt;0,Table4[[#This Row],[Residual Security Risk Acceptability Justification]],"")</f>
        <v/>
      </c>
    </row>
    <row r="25" spans="1:13" s="26" customFormat="1" ht="126">
      <c r="A25" s="49">
        <f>Table4[[#This Row],[
ID '#]]</f>
        <v>21</v>
      </c>
      <c r="B25" s="115" t="str">
        <f>IF(Table4[[#This Row],[T ID]]&gt;0,Table4[[#This Row],[T ID]],"")</f>
        <v>T02</v>
      </c>
      <c r="C25" s="88" t="str">
        <f>Table4[[#This Row],[Threat Event(s)]]</f>
        <v>Deliver directed malware
(CAPEC-185)</v>
      </c>
      <c r="D25" s="36" t="str">
        <f>IF(Table4[[#This Row],[V ID]]&gt;0,Table4[[#This Row],[V ID]],"")</f>
        <v>V21</v>
      </c>
      <c r="E25" s="88" t="str">
        <f>Table4[[#This Row],[Vulnerabilities]]</f>
        <v>InSecure Configuration for Software/OS on Mobile Devices, Laptops, Workstations, and Servers</v>
      </c>
      <c r="F25" s="116" t="str">
        <f>IF(Table4[[#This Row],[A ID]]&gt;0,Table4[[#This Row],[A ID]],"")</f>
        <v>A05</v>
      </c>
      <c r="G25" s="88" t="str">
        <f>Table4[[#This Row],[Asset]]</f>
        <v>Device Maintainence tool (Hardware/Software)</v>
      </c>
      <c r="H25" s="19" t="str">
        <f>IF(Table4[[#This Row],[Impact Description]]&gt;0,Table4[[#This Row],[Impact Description]],"")</f>
        <v xml:space="preserve">1) Malicious utilization of  computer resources 
2) computing power  
3) denial of service attacks, 
4) ransomware attack 
5) Bitcoin mining, etc </v>
      </c>
      <c r="I25" s="36" t="str">
        <f>IF(Table4[[#This Row],[Safety Impact 
(Risk ID'# or N/A)]]&gt;0,Table4[[#This Row],[Safety Impact 
(Risk ID'# or N/A)]],"")</f>
        <v>NA</v>
      </c>
      <c r="J25" s="18" t="str">
        <f>Table4[[#This Row],[Security 
Risk 
Level]]</f>
        <v>LOW</v>
      </c>
      <c r="K2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5" s="94" t="str">
        <f>Table4[[#This Row],[Security Risk LevelP]]</f>
        <v/>
      </c>
      <c r="M25" s="36" t="str">
        <f>IF(Table4[[#This Row],[Residual Security Risk Acceptability Justification]]&gt;0,Table4[[#This Row],[Residual Security Risk Acceptability Justification]],"")</f>
        <v/>
      </c>
    </row>
    <row r="26" spans="1:13" s="26" customFormat="1" ht="126">
      <c r="A26" s="49">
        <f>Table4[[#This Row],[
ID '#]]</f>
        <v>22</v>
      </c>
      <c r="B26" s="115" t="str">
        <f>IF(Table4[[#This Row],[T ID]]&gt;0,Table4[[#This Row],[T ID]],"")</f>
        <v>T02</v>
      </c>
      <c r="C26" s="88" t="str">
        <f>Table4[[#This Row],[Threat Event(s)]]</f>
        <v>Deliver directed malware
(CAPEC-185)</v>
      </c>
      <c r="D26" s="36" t="str">
        <f>IF(Table4[[#This Row],[V ID]]&gt;0,Table4[[#This Row],[V ID]],"")</f>
        <v>V21</v>
      </c>
      <c r="E26" s="88" t="str">
        <f>Table4[[#This Row],[Vulnerabilities]]</f>
        <v>InSecure Configuration for Software/OS on Mobile Devices, Laptops, Workstations, and Servers</v>
      </c>
      <c r="F26" s="116" t="str">
        <f>IF(Table4[[#This Row],[A ID]]&gt;0,Table4[[#This Row],[A ID]],"")</f>
        <v>A03</v>
      </c>
      <c r="G26" s="88" t="str">
        <f>Table4[[#This Row],[Asset]]</f>
        <v>Smart medic (Stryker device) System Component</v>
      </c>
      <c r="H26" s="19" t="str">
        <f>IF(Table4[[#This Row],[Impact Description]]&gt;0,Table4[[#This Row],[Impact Description]],"")</f>
        <v xml:space="preserve">1) Malicious utilization of  computer resources 
2) computing power  
3) denial of service attacks, 
4) ransomware attack 
5) Bitcoin mining, etc </v>
      </c>
      <c r="I26" s="36" t="str">
        <f>IF(Table4[[#This Row],[Safety Impact 
(Risk ID'# or N/A)]]&gt;0,Table4[[#This Row],[Safety Impact 
(Risk ID'# or N/A)]],"")</f>
        <v>NA</v>
      </c>
      <c r="J26" s="18" t="str">
        <f>Table4[[#This Row],[Security 
Risk 
Level]]</f>
        <v>LOW</v>
      </c>
      <c r="K2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6" s="94" t="str">
        <f>Table4[[#This Row],[Security Risk LevelP]]</f>
        <v/>
      </c>
      <c r="M26" s="36" t="str">
        <f>IF(Table4[[#This Row],[Residual Security Risk Acceptability Justification]]&gt;0,Table4[[#This Row],[Residual Security Risk Acceptability Justification]],"")</f>
        <v/>
      </c>
    </row>
    <row r="27" spans="1:13" s="26" customFormat="1" ht="126">
      <c r="A27" s="49">
        <f>Table4[[#This Row],[
ID '#]]</f>
        <v>23</v>
      </c>
      <c r="B27" s="115" t="str">
        <f>IF(Table4[[#This Row],[T ID]]&gt;0,Table4[[#This Row],[T ID]],"")</f>
        <v>T02</v>
      </c>
      <c r="C27" s="88" t="str">
        <f>Table4[[#This Row],[Threat Event(s)]]</f>
        <v>Deliver directed malware
(CAPEC-185)</v>
      </c>
      <c r="D27" s="36" t="str">
        <f>IF(Table4[[#This Row],[V ID]]&gt;0,Table4[[#This Row],[V ID]],"")</f>
        <v>V21</v>
      </c>
      <c r="E27" s="88" t="str">
        <f>Table4[[#This Row],[Vulnerabilities]]</f>
        <v>InSecure Configuration for Software/OS on Mobile Devices, Laptops, Workstations, and Servers</v>
      </c>
      <c r="F27" s="116" t="str">
        <f>IF(Table4[[#This Row],[A ID]]&gt;0,Table4[[#This Row],[A ID]],"")</f>
        <v>A01</v>
      </c>
      <c r="G27" s="88" t="str">
        <f>Table4[[#This Row],[Asset]]</f>
        <v>Tablet Resources - web cam, microphone, OTG devices, Removable USB, Tablet Application, Network interfaces (Bluetooth, Wifi)</v>
      </c>
      <c r="H27" s="19" t="str">
        <f>IF(Table4[[#This Row],[Impact Description]]&gt;0,Table4[[#This Row],[Impact Description]],"")</f>
        <v xml:space="preserve">1) Malicious utilization of  computer resources 
2) computing power  
3) denial of service attacks, 
4) ransomware attack 
5) Bitcoin mining, etc </v>
      </c>
      <c r="I27" s="36" t="str">
        <f>IF(Table4[[#This Row],[Safety Impact 
(Risk ID'# or N/A)]]&gt;0,Table4[[#This Row],[Safety Impact 
(Risk ID'# or N/A)]],"")</f>
        <v>NA</v>
      </c>
      <c r="J27" s="18" t="str">
        <f>Table4[[#This Row],[Security 
Risk 
Level]]</f>
        <v>LOW</v>
      </c>
      <c r="K2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7" s="94" t="str">
        <f>Table4[[#This Row],[Security Risk LevelP]]</f>
        <v/>
      </c>
      <c r="M27" s="36" t="str">
        <f>IF(Table4[[#This Row],[Residual Security Risk Acceptability Justification]]&gt;0,Table4[[#This Row],[Residual Security Risk Acceptability Justification]],"")</f>
        <v/>
      </c>
    </row>
    <row r="28" spans="1:13" s="26" customFormat="1" ht="70">
      <c r="A28" s="49">
        <f>Table4[[#This Row],[
ID '#]]</f>
        <v>24</v>
      </c>
      <c r="B28" s="115" t="str">
        <f>IF(Table4[[#This Row],[T ID]]&gt;0,Table4[[#This Row],[T ID]],"")</f>
        <v>T02</v>
      </c>
      <c r="C28" s="88" t="str">
        <f>Table4[[#This Row],[Threat Event(s)]]</f>
        <v>Deliver directed malware
(CAPEC-185)</v>
      </c>
      <c r="D28" s="36" t="str">
        <f>IF(Table4[[#This Row],[V ID]]&gt;0,Table4[[#This Row],[V ID]],"")</f>
        <v>V13</v>
      </c>
      <c r="E28" s="88" t="str">
        <f>Table4[[#This Row],[Vulnerabilities]]</f>
        <v>Unprotected external USB Port on the tablet/devices.</v>
      </c>
      <c r="F28" s="116" t="str">
        <f>IF(Table4[[#This Row],[A ID]]&gt;0,Table4[[#This Row],[A ID]],"")</f>
        <v>A08</v>
      </c>
      <c r="G28" s="88" t="str">
        <f>Table4[[#This Row],[Asset]]</f>
        <v>Wireless Network device (Scope of HDO)</v>
      </c>
      <c r="H28" s="19" t="str">
        <f>IF(Table4[[#This Row],[Impact Description]]&gt;0,Table4[[#This Row],[Impact Description]],"")</f>
        <v xml:space="preserve">1) Malicious utilization of  computer resources 
2) computing power  
3) denial of service attacks, 
4) ransomware attack 
5) Bitcoin mining, etc </v>
      </c>
      <c r="I28" s="36" t="str">
        <f>IF(Table4[[#This Row],[Safety Impact 
(Risk ID'# or N/A)]]&gt;0,Table4[[#This Row],[Safety Impact 
(Risk ID'# or N/A)]],"")</f>
        <v>NA</v>
      </c>
      <c r="J28" s="18" t="str">
        <f>Table4[[#This Row],[Security 
Risk 
Level]]</f>
        <v>LOW</v>
      </c>
      <c r="K28" s="19" t="str">
        <f>IF(Table4[[#This Row],[Security Risk Control Measures]]&gt;0,Table4[[#This Row],[Security Risk Control Measures]],"")</f>
        <v>SOM responsibility
1. Statefull Firewall
2. Maintain access control (read/modify) permission list for any sensitive &amp; unencrypted data if present.</v>
      </c>
      <c r="L28" s="94" t="str">
        <f>Table4[[#This Row],[Security Risk LevelP]]</f>
        <v/>
      </c>
      <c r="M28" s="36" t="str">
        <f>IF(Table4[[#This Row],[Residual Security Risk Acceptability Justification]]&gt;0,Table4[[#This Row],[Residual Security Risk Acceptability Justification]],"")</f>
        <v/>
      </c>
    </row>
    <row r="29" spans="1:13" s="26" customFormat="1" ht="126">
      <c r="A29" s="49">
        <f>Table4[[#This Row],[
ID '#]]</f>
        <v>25</v>
      </c>
      <c r="B29" s="115" t="str">
        <f>IF(Table4[[#This Row],[T ID]]&gt;0,Table4[[#This Row],[T ID]],"")</f>
        <v>T02</v>
      </c>
      <c r="C29" s="88" t="str">
        <f>Table4[[#This Row],[Threat Event(s)]]</f>
        <v>Deliver directed malware
(CAPEC-185)</v>
      </c>
      <c r="D29" s="36" t="str">
        <f>IF(Table4[[#This Row],[V ID]]&gt;0,Table4[[#This Row],[V ID]],"")</f>
        <v>V13</v>
      </c>
      <c r="E29" s="88" t="str">
        <f>Table4[[#This Row],[Vulnerabilities]]</f>
        <v>Unprotected external USB Port on the tablet/devices.</v>
      </c>
      <c r="F29" s="116" t="str">
        <f>IF(Table4[[#This Row],[A ID]]&gt;0,Table4[[#This Row],[A ID]],"")</f>
        <v>A01</v>
      </c>
      <c r="G29" s="88" t="str">
        <f>Table4[[#This Row],[Asset]]</f>
        <v>Tablet Resources - web cam, microphone, OTG devices, Removable USB, Tablet Application, Network interfaces (Bluetooth, Wifi)</v>
      </c>
      <c r="H29" s="19" t="str">
        <f>IF(Table4[[#This Row],[Impact Description]]&gt;0,Table4[[#This Row],[Impact Description]],"")</f>
        <v xml:space="preserve">1) Malicious utilization of  computer resources 
2) computing power  
3) denial of service attacks, 
4) ransomware attack 
5) Bitcoin mining, etc </v>
      </c>
      <c r="I29" s="36" t="str">
        <f>IF(Table4[[#This Row],[Safety Impact 
(Risk ID'# or N/A)]]&gt;0,Table4[[#This Row],[Safety Impact 
(Risk ID'# or N/A)]],"")</f>
        <v>NA</v>
      </c>
      <c r="J29" s="18" t="str">
        <f>Table4[[#This Row],[Security 
Risk 
Level]]</f>
        <v>LOW</v>
      </c>
      <c r="K2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9" s="94" t="str">
        <f>Table4[[#This Row],[Security Risk LevelP]]</f>
        <v/>
      </c>
      <c r="M29" s="36" t="str">
        <f>IF(Table4[[#This Row],[Residual Security Risk Acceptability Justification]]&gt;0,Table4[[#This Row],[Residual Security Risk Acceptability Justification]],"")</f>
        <v/>
      </c>
    </row>
    <row r="30" spans="1:13" s="26" customFormat="1" ht="126">
      <c r="A30" s="49">
        <f>Table4[[#This Row],[
ID '#]]</f>
        <v>26</v>
      </c>
      <c r="B30" s="115" t="str">
        <f>IF(Table4[[#This Row],[T ID]]&gt;0,Table4[[#This Row],[T ID]],"")</f>
        <v>T02</v>
      </c>
      <c r="C30" s="88" t="str">
        <f>Table4[[#This Row],[Threat Event(s)]]</f>
        <v>Deliver directed malware
(CAPEC-185)</v>
      </c>
      <c r="D30" s="36" t="str">
        <f>IF(Table4[[#This Row],[V ID]]&gt;0,Table4[[#This Row],[V ID]],"")</f>
        <v>V13</v>
      </c>
      <c r="E30" s="88" t="str">
        <f>Table4[[#This Row],[Vulnerabilities]]</f>
        <v>Unprotected external USB Port on the tablet/devices.</v>
      </c>
      <c r="F30" s="116" t="str">
        <f>IF(Table4[[#This Row],[A ID]]&gt;0,Table4[[#This Row],[A ID]],"")</f>
        <v>A11</v>
      </c>
      <c r="G30" s="88" t="str">
        <f>Table4[[#This Row],[Asset]]</f>
        <v>Smart medic app (Stryker Admin Web Application)</v>
      </c>
      <c r="H30" s="19" t="str">
        <f>IF(Table4[[#This Row],[Impact Description]]&gt;0,Table4[[#This Row],[Impact Description]],"")</f>
        <v xml:space="preserve">1) Malicious utilization of  computer resources 
2) computing power  
3) denial of service attacks, 
4) ransomware attack 
5) Bitcoin mining, etc </v>
      </c>
      <c r="I30" s="36" t="str">
        <f>IF(Table4[[#This Row],[Safety Impact 
(Risk ID'# or N/A)]]&gt;0,Table4[[#This Row],[Safety Impact 
(Risk ID'# or N/A)]],"")</f>
        <v>NA</v>
      </c>
      <c r="J30" s="18" t="str">
        <f>Table4[[#This Row],[Security 
Risk 
Level]]</f>
        <v>LOW</v>
      </c>
      <c r="K3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0" s="94" t="str">
        <f>Table4[[#This Row],[Security Risk LevelP]]</f>
        <v/>
      </c>
      <c r="M30" s="36" t="str">
        <f>IF(Table4[[#This Row],[Residual Security Risk Acceptability Justification]]&gt;0,Table4[[#This Row],[Residual Security Risk Acceptability Justification]],"")</f>
        <v/>
      </c>
    </row>
    <row r="31" spans="1:13" s="26" customFormat="1" ht="112">
      <c r="A31" s="49">
        <f>Table4[[#This Row],[
ID '#]]</f>
        <v>27</v>
      </c>
      <c r="B31" s="115" t="str">
        <f>IF(Table4[[#This Row],[T ID]]&gt;0,Table4[[#This Row],[T ID]],"")</f>
        <v>T02</v>
      </c>
      <c r="C31" s="88" t="str">
        <f>Table4[[#This Row],[Threat Event(s)]]</f>
        <v>Deliver directed malware
(CAPEC-185)</v>
      </c>
      <c r="D31" s="36" t="str">
        <f>IF(Table4[[#This Row],[V ID]]&gt;0,Table4[[#This Row],[V ID]],"")</f>
        <v>V02</v>
      </c>
      <c r="E31" s="88" t="str">
        <f>Table4[[#This Row],[Vulnerabilities]]</f>
        <v>External communications and exposure for communciation channels from and to application and devices like tablet and smartmedic device.</v>
      </c>
      <c r="F31" s="116" t="str">
        <f>IF(Table4[[#This Row],[A ID]]&gt;0,Table4[[#This Row],[A ID]],"")</f>
        <v>A01</v>
      </c>
      <c r="G31" s="88" t="str">
        <f>Table4[[#This Row],[Asset]]</f>
        <v>Tablet Resources - web cam, microphone, OTG devices, Removable USB, Tablet Application, Network interfaces (Bluetooth, Wifi)</v>
      </c>
      <c r="H31" s="19" t="str">
        <f>IF(Table4[[#This Row],[Impact Description]]&gt;0,Table4[[#This Row],[Impact Description]],"")</f>
        <v xml:space="preserve">1) Malicious utilization of  computer resources
2) computing power  
3) denial of service attacks, 
4) ransomware attack 
5) Bitcoin mining, etc </v>
      </c>
      <c r="I31" s="36" t="str">
        <f>IF(Table4[[#This Row],[Safety Impact 
(Risk ID'# or N/A)]]&gt;0,Table4[[#This Row],[Safety Impact 
(Risk ID'# or N/A)]],"")</f>
        <v>NA</v>
      </c>
      <c r="J31" s="18" t="str">
        <f>Table4[[#This Row],[Security 
Risk 
Level]]</f>
        <v>MEDIUM</v>
      </c>
      <c r="K31" s="19"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94" t="str">
        <f>Table4[[#This Row],[Security Risk LevelP]]</f>
        <v/>
      </c>
      <c r="M31" s="36" t="str">
        <f>IF(Table4[[#This Row],[Residual Security Risk Acceptability Justification]]&gt;0,Table4[[#This Row],[Residual Security Risk Acceptability Justification]],"")</f>
        <v/>
      </c>
    </row>
    <row r="32" spans="1:13" s="26" customFormat="1" ht="126">
      <c r="A32" s="49">
        <f>Table4[[#This Row],[
ID '#]]</f>
        <v>28</v>
      </c>
      <c r="B32" s="115" t="str">
        <f>IF(Table4[[#This Row],[T ID]]&gt;0,Table4[[#This Row],[T ID]],"")</f>
        <v>T02</v>
      </c>
      <c r="C32" s="88" t="str">
        <f>Table4[[#This Row],[Threat Event(s)]]</f>
        <v>Deliver directed malware
(CAPEC-185)</v>
      </c>
      <c r="D32" s="36" t="str">
        <f>IF(Table4[[#This Row],[V ID]]&gt;0,Table4[[#This Row],[V ID]],"")</f>
        <v>V08</v>
      </c>
      <c r="E32" s="88" t="str">
        <f>Table4[[#This Row],[Vulnerabilities]]</f>
        <v>Ineffective patch management of firware, OS and applications thoughout the information system plan</v>
      </c>
      <c r="F32" s="116" t="str">
        <f>IF(Table4[[#This Row],[A ID]]&gt;0,Table4[[#This Row],[A ID]],"")</f>
        <v>A05</v>
      </c>
      <c r="G32" s="88" t="str">
        <f>Table4[[#This Row],[Asset]]</f>
        <v>Device Maintainence tool (Hardware/Software)</v>
      </c>
      <c r="H32" s="19" t="str">
        <f>IF(Table4[[#This Row],[Impact Description]]&gt;0,Table4[[#This Row],[Impact Description]],"")</f>
        <v xml:space="preserve">1) Malicious utilization of  computer resources 
2) computing power  
3) denial of service attacks, 
4) ransomware attack 
5) Bitcoin mining, etc </v>
      </c>
      <c r="I32" s="36" t="str">
        <f>IF(Table4[[#This Row],[Safety Impact 
(Risk ID'# or N/A)]]&gt;0,Table4[[#This Row],[Safety Impact 
(Risk ID'# or N/A)]],"")</f>
        <v>NA</v>
      </c>
      <c r="J32" s="18" t="str">
        <f>Table4[[#This Row],[Security 
Risk 
Level]]</f>
        <v>LOW</v>
      </c>
      <c r="K3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2" s="94" t="str">
        <f>Table4[[#This Row],[Security Risk LevelP]]</f>
        <v/>
      </c>
      <c r="M32" s="36" t="str">
        <f>IF(Table4[[#This Row],[Residual Security Risk Acceptability Justification]]&gt;0,Table4[[#This Row],[Residual Security Risk Acceptability Justification]],"")</f>
        <v/>
      </c>
    </row>
    <row r="33" spans="1:13" s="26" customFormat="1" ht="126">
      <c r="A33" s="49">
        <f>Table4[[#This Row],[
ID '#]]</f>
        <v>29</v>
      </c>
      <c r="B33" s="115" t="str">
        <f>IF(Table4[[#This Row],[T ID]]&gt;0,Table4[[#This Row],[T ID]],"")</f>
        <v>T02</v>
      </c>
      <c r="C33" s="88" t="str">
        <f>Table4[[#This Row],[Threat Event(s)]]</f>
        <v>Deliver directed malware
(CAPEC-185)</v>
      </c>
      <c r="D33" s="36" t="str">
        <f>IF(Table4[[#This Row],[V ID]]&gt;0,Table4[[#This Row],[V ID]],"")</f>
        <v>V08</v>
      </c>
      <c r="E33" s="88" t="str">
        <f>Table4[[#This Row],[Vulnerabilities]]</f>
        <v>Ineffective patch management of firware, OS and applications thoughout the information system plan</v>
      </c>
      <c r="F33" s="116" t="str">
        <f>IF(Table4[[#This Row],[A ID]]&gt;0,Table4[[#This Row],[A ID]],"")</f>
        <v>A03</v>
      </c>
      <c r="G33" s="88" t="str">
        <f>Table4[[#This Row],[Asset]]</f>
        <v>Smart medic (Stryker device) System Component</v>
      </c>
      <c r="H33" s="19" t="str">
        <f>IF(Table4[[#This Row],[Impact Description]]&gt;0,Table4[[#This Row],[Impact Description]],"")</f>
        <v xml:space="preserve">1) Malicious utilization of  computer resources 
2) computing power  
3) denial of service attacks, 
4) ransomware attack 
5) Bitcoin mining, etc </v>
      </c>
      <c r="I33" s="36" t="str">
        <f>IF(Table4[[#This Row],[Safety Impact 
(Risk ID'# or N/A)]]&gt;0,Table4[[#This Row],[Safety Impact 
(Risk ID'# or N/A)]],"")</f>
        <v>NA</v>
      </c>
      <c r="J33" s="18" t="str">
        <f>Table4[[#This Row],[Security 
Risk 
Level]]</f>
        <v>LOW</v>
      </c>
      <c r="K3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3" s="94" t="str">
        <f>Table4[[#This Row],[Security Risk LevelP]]</f>
        <v/>
      </c>
      <c r="M33" s="36" t="str">
        <f>IF(Table4[[#This Row],[Residual Security Risk Acceptability Justification]]&gt;0,Table4[[#This Row],[Residual Security Risk Acceptability Justification]],"")</f>
        <v/>
      </c>
    </row>
    <row r="34" spans="1:13" s="26" customFormat="1" ht="126">
      <c r="A34" s="49">
        <f>Table4[[#This Row],[
ID '#]]</f>
        <v>30</v>
      </c>
      <c r="B34" s="115" t="str">
        <f>IF(Table4[[#This Row],[T ID]]&gt;0,Table4[[#This Row],[T ID]],"")</f>
        <v>T02</v>
      </c>
      <c r="C34" s="88" t="str">
        <f>Table4[[#This Row],[Threat Event(s)]]</f>
        <v>Deliver directed malware
(CAPEC-185)</v>
      </c>
      <c r="D34" s="36" t="str">
        <f>IF(Table4[[#This Row],[V ID]]&gt;0,Table4[[#This Row],[V ID]],"")</f>
        <v>V08</v>
      </c>
      <c r="E34" s="88" t="str">
        <f>Table4[[#This Row],[Vulnerabilities]]</f>
        <v>Ineffective patch management of firware, OS and applications thoughout the information system plan</v>
      </c>
      <c r="F34" s="116" t="str">
        <f>IF(Table4[[#This Row],[A ID]]&gt;0,Table4[[#This Row],[A ID]],"")</f>
        <v>A01</v>
      </c>
      <c r="G34" s="88" t="str">
        <f>Table4[[#This Row],[Asset]]</f>
        <v>Tablet Resources - web cam, microphone, OTG devices, Removable USB, Tablet Application, Network interfaces (Bluetooth, Wifi)</v>
      </c>
      <c r="H34" s="19" t="str">
        <f>IF(Table4[[#This Row],[Impact Description]]&gt;0,Table4[[#This Row],[Impact Description]],"")</f>
        <v xml:space="preserve">1) Malicious utilization of  computer resources 
2) computing power  
3) denial of service attacks, 
4) ransomware attack 
5) Bitcoin mining, etc </v>
      </c>
      <c r="I34" s="36" t="str">
        <f>IF(Table4[[#This Row],[Safety Impact 
(Risk ID'# or N/A)]]&gt;0,Table4[[#This Row],[Safety Impact 
(Risk ID'# or N/A)]],"")</f>
        <v>NA</v>
      </c>
      <c r="J34" s="18" t="str">
        <f>Table4[[#This Row],[Security 
Risk 
Level]]</f>
        <v>LOW</v>
      </c>
      <c r="K3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4" s="94" t="str">
        <f>Table4[[#This Row],[Security Risk LevelP]]</f>
        <v/>
      </c>
      <c r="M34" s="36" t="str">
        <f>IF(Table4[[#This Row],[Residual Security Risk Acceptability Justification]]&gt;0,Table4[[#This Row],[Residual Security Risk Acceptability Justification]],"")</f>
        <v/>
      </c>
    </row>
    <row r="35" spans="1:13" s="26" customFormat="1" ht="98">
      <c r="A35" s="49">
        <f>Table4[[#This Row],[
ID '#]]</f>
        <v>31</v>
      </c>
      <c r="B35" s="115" t="str">
        <f>IF(Table4[[#This Row],[T ID]]&gt;0,Table4[[#This Row],[T ID]],"")</f>
        <v>T02</v>
      </c>
      <c r="C35" s="88" t="str">
        <f>Table4[[#This Row],[Threat Event(s)]]</f>
        <v>Deliver directed malware
(CAPEC-185)</v>
      </c>
      <c r="D35" s="36" t="str">
        <f>IF(Table4[[#This Row],[V ID]]&gt;0,Table4[[#This Row],[V ID]],"")</f>
        <v>V12</v>
      </c>
      <c r="E35" s="88" t="str">
        <f>Table4[[#This Row],[Vulnerabilities]]</f>
        <v>Unprotected network port(s) on network devices and connection points</v>
      </c>
      <c r="F35" s="116" t="str">
        <f>IF(Table4[[#This Row],[A ID]]&gt;0,Table4[[#This Row],[A ID]],"")</f>
        <v>A03</v>
      </c>
      <c r="G35" s="88" t="str">
        <f>Table4[[#This Row],[Asset]]</f>
        <v>Smart medic (Stryker device) System Component</v>
      </c>
      <c r="H35" s="19" t="str">
        <f>IF(Table4[[#This Row],[Impact Description]]&gt;0,Table4[[#This Row],[Impact Description]],"")</f>
        <v xml:space="preserve">1) Malicious utilization of  computer resources 
2) computing power  
3) denial of service attacks, 
4) ransomware attack 
5) Bitcoin mining, etc </v>
      </c>
      <c r="I35" s="36" t="str">
        <f>IF(Table4[[#This Row],[Safety Impact 
(Risk ID'# or N/A)]]&gt;0,Table4[[#This Row],[Safety Impact 
(Risk ID'# or N/A)]],"")</f>
        <v>NA</v>
      </c>
      <c r="J35" s="18" t="str">
        <f>Table4[[#This Row],[Security 
Risk 
Level]]</f>
        <v>MEDIUM</v>
      </c>
      <c r="K35" s="19"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94" t="str">
        <f>Table4[[#This Row],[Security Risk LevelP]]</f>
        <v/>
      </c>
      <c r="M35" s="36" t="str">
        <f>IF(Table4[[#This Row],[Residual Security Risk Acceptability Justification]]&gt;0,Table4[[#This Row],[Residual Security Risk Acceptability Justification]],"")</f>
        <v/>
      </c>
    </row>
    <row r="36" spans="1:13" s="26" customFormat="1" ht="126">
      <c r="A36" s="49">
        <f>Table4[[#This Row],[
ID '#]]</f>
        <v>32</v>
      </c>
      <c r="B36" s="115" t="str">
        <f>IF(Table4[[#This Row],[T ID]]&gt;0,Table4[[#This Row],[T ID]],"")</f>
        <v>T02</v>
      </c>
      <c r="C36" s="88" t="str">
        <f>Table4[[#This Row],[Threat Event(s)]]</f>
        <v>Deliver directed malware
(CAPEC-185)</v>
      </c>
      <c r="D36" s="36" t="str">
        <f>IF(Table4[[#This Row],[V ID]]&gt;0,Table4[[#This Row],[V ID]],"")</f>
        <v>V12</v>
      </c>
      <c r="E36" s="88" t="str">
        <f>Table4[[#This Row],[Vulnerabilities]]</f>
        <v>Unprotected network port(s) on network devices and connection points</v>
      </c>
      <c r="F36" s="116" t="str">
        <f>IF(Table4[[#This Row],[A ID]]&gt;0,Table4[[#This Row],[A ID]],"")</f>
        <v>A01</v>
      </c>
      <c r="G36" s="88" t="str">
        <f>Table4[[#This Row],[Asset]]</f>
        <v>Tablet Resources - web cam, microphone, OTG devices, Removable USB, Tablet Application, Network interfaces (Bluetooth, Wifi)</v>
      </c>
      <c r="H36" s="19" t="str">
        <f>IF(Table4[[#This Row],[Impact Description]]&gt;0,Table4[[#This Row],[Impact Description]],"")</f>
        <v xml:space="preserve">1) Malicious utilization of  computer resources 
2) computing power  
3) denial of service attacks, 
4) ransomware attack 
5) Bitcoin mining, etc </v>
      </c>
      <c r="I36" s="36" t="str">
        <f>IF(Table4[[#This Row],[Safety Impact 
(Risk ID'# or N/A)]]&gt;0,Table4[[#This Row],[Safety Impact 
(Risk ID'# or N/A)]],"")</f>
        <v>NA</v>
      </c>
      <c r="J36" s="18" t="str">
        <f>Table4[[#This Row],[Security 
Risk 
Level]]</f>
        <v>LOW</v>
      </c>
      <c r="K3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6" s="94" t="str">
        <f>Table4[[#This Row],[Security Risk LevelP]]</f>
        <v/>
      </c>
      <c r="M36" s="36" t="str">
        <f>IF(Table4[[#This Row],[Residual Security Risk Acceptability Justification]]&gt;0,Table4[[#This Row],[Residual Security Risk Acceptability Justification]],"")</f>
        <v/>
      </c>
    </row>
    <row r="37" spans="1:13" s="26" customFormat="1" ht="196">
      <c r="A37" s="49">
        <f>Table4[[#This Row],[
ID '#]]</f>
        <v>33</v>
      </c>
      <c r="B37" s="115" t="str">
        <f>IF(Table4[[#This Row],[T ID]]&gt;0,Table4[[#This Row],[T ID]],"")</f>
        <v>T02</v>
      </c>
      <c r="C37" s="88" t="str">
        <f>Table4[[#This Row],[Threat Event(s)]]</f>
        <v>Deliver directed malware
(CAPEC-185)</v>
      </c>
      <c r="D37" s="36" t="str">
        <f>IF(Table4[[#This Row],[V ID]]&gt;0,Table4[[#This Row],[V ID]],"")</f>
        <v>V21</v>
      </c>
      <c r="E37" s="88" t="str">
        <f>Table4[[#This Row],[Vulnerabilities]]</f>
        <v>InSecure Configuration for Software/OS on Mobile Devices, Laptops, Workstations, and Servers</v>
      </c>
      <c r="F37" s="116" t="str">
        <f>IF(Table4[[#This Row],[A ID]]&gt;0,Table4[[#This Row],[A ID]],"")</f>
        <v>A11</v>
      </c>
      <c r="G37" s="88" t="str">
        <f>Table4[[#This Row],[Asset]]</f>
        <v>Smart medic app (Stryker Admin Web Application)</v>
      </c>
      <c r="H37" s="19" t="str">
        <f>IF(Table4[[#This Row],[Impact Description]]&gt;0,Table4[[#This Row],[Impact Description]],"")</f>
        <v xml:space="preserve">1) Malicious utilization of  computer resources 
2) computing power  
3) denial of service attacks, 
4) ransomware attack 
5) Bitcoin mining, etc </v>
      </c>
      <c r="I37" s="36" t="str">
        <f>IF(Table4[[#This Row],[Safety Impact 
(Risk ID'# or N/A)]]&gt;0,Table4[[#This Row],[Safety Impact 
(Risk ID'# or N/A)]],"")</f>
        <v>NA</v>
      </c>
      <c r="J37" s="18" t="str">
        <f>Table4[[#This Row],[Security 
Risk 
Level]]</f>
        <v>LOW</v>
      </c>
      <c r="K37" s="19" t="str">
        <f>IF(Table4[[#This Row],[Security Risk Control Measures]]&gt;0,Table4[[#This Row],[Security Risk Control Measures]],"")</f>
        <v>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v>
      </c>
      <c r="L37" s="94" t="str">
        <f>Table4[[#This Row],[Security Risk LevelP]]</f>
        <v/>
      </c>
      <c r="M37" s="36" t="str">
        <f>IF(Table4[[#This Row],[Residual Security Risk Acceptability Justification]]&gt;0,Table4[[#This Row],[Residual Security Risk Acceptability Justification]],"")</f>
        <v/>
      </c>
    </row>
    <row r="38" spans="1:13" s="26" customFormat="1" ht="126">
      <c r="A38" s="49">
        <f>Table4[[#This Row],[
ID '#]]</f>
        <v>34</v>
      </c>
      <c r="B38" s="115" t="str">
        <f>IF(Table4[[#This Row],[T ID]]&gt;0,Table4[[#This Row],[T ID]],"")</f>
        <v>T02</v>
      </c>
      <c r="C38" s="88" t="str">
        <f>Table4[[#This Row],[Threat Event(s)]]</f>
        <v>Deliver directed malware
(CAPEC-185)</v>
      </c>
      <c r="D38" s="36" t="str">
        <f>IF(Table4[[#This Row],[V ID]]&gt;0,Table4[[#This Row],[V ID]],"")</f>
        <v>V21</v>
      </c>
      <c r="E38" s="88" t="str">
        <f>Table4[[#This Row],[Vulnerabilities]]</f>
        <v>InSecure Configuration for Software/OS on Mobile Devices, Laptops, Workstations, and Servers</v>
      </c>
      <c r="F38" s="116" t="str">
        <f>IF(Table4[[#This Row],[A ID]]&gt;0,Table4[[#This Row],[A ID]],"")</f>
        <v>A01</v>
      </c>
      <c r="G38" s="88" t="str">
        <f>Table4[[#This Row],[Asset]]</f>
        <v>Tablet Resources - web cam, microphone, OTG devices, Removable USB, Tablet Application, Network interfaces (Bluetooth, Wifi)</v>
      </c>
      <c r="H38" s="19" t="str">
        <f>IF(Table4[[#This Row],[Impact Description]]&gt;0,Table4[[#This Row],[Impact Description]],"")</f>
        <v xml:space="preserve">1) Malicious utilization of  computer resources 
2) computing power  
3) denial of service attacks, 
4) ransomware attack 
5) Bitcoin mining, etc </v>
      </c>
      <c r="I38" s="36" t="str">
        <f>IF(Table4[[#This Row],[Safety Impact 
(Risk ID'# or N/A)]]&gt;0,Table4[[#This Row],[Safety Impact 
(Risk ID'# or N/A)]],"")</f>
        <v>NA</v>
      </c>
      <c r="J38" s="18" t="str">
        <f>Table4[[#This Row],[Security 
Risk 
Level]]</f>
        <v>LOW</v>
      </c>
      <c r="K3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8" s="94" t="str">
        <f>Table4[[#This Row],[Security Risk LevelP]]</f>
        <v/>
      </c>
      <c r="M38" s="36" t="str">
        <f>IF(Table4[[#This Row],[Residual Security Risk Acceptability Justification]]&gt;0,Table4[[#This Row],[Residual Security Risk Acceptability Justification]],"")</f>
        <v/>
      </c>
    </row>
    <row r="39" spans="1:13" s="26" customFormat="1" ht="126">
      <c r="A39" s="49">
        <f>Table4[[#This Row],[
ID '#]]</f>
        <v>35</v>
      </c>
      <c r="B39" s="115" t="str">
        <f>IF(Table4[[#This Row],[T ID]]&gt;0,Table4[[#This Row],[T ID]],"")</f>
        <v>T02</v>
      </c>
      <c r="C39" s="88" t="str">
        <f>Table4[[#This Row],[Threat Event(s)]]</f>
        <v>Deliver directed malware
(CAPEC-185)</v>
      </c>
      <c r="D39" s="36" t="str">
        <f>IF(Table4[[#This Row],[V ID]]&gt;0,Table4[[#This Row],[V ID]],"")</f>
        <v>V16</v>
      </c>
      <c r="E39" s="88" t="str">
        <f>Table4[[#This Row],[Vulnerabilities]]</f>
        <v>Unencrypted data at rest in all possible locations</v>
      </c>
      <c r="F39" s="116" t="str">
        <f>IF(Table4[[#This Row],[A ID]]&gt;0,Table4[[#This Row],[A ID]],"")</f>
        <v>A01</v>
      </c>
      <c r="G39" s="88" t="str">
        <f>Table4[[#This Row],[Asset]]</f>
        <v>Tablet Resources - web cam, microphone, OTG devices, Removable USB, Tablet Application, Network interfaces (Bluetooth, Wifi)</v>
      </c>
      <c r="H39" s="19" t="str">
        <f>IF(Table4[[#This Row],[Impact Description]]&gt;0,Table4[[#This Row],[Impact Description]],"")</f>
        <v xml:space="preserve">1) Malicious utilization of  computer resources 
2) computing power  
3) denial of service attacks, 
4) ransomware attack 
5) Bitcoin mining, etc </v>
      </c>
      <c r="I39" s="36" t="str">
        <f>IF(Table4[[#This Row],[Safety Impact 
(Risk ID'# or N/A)]]&gt;0,Table4[[#This Row],[Safety Impact 
(Risk ID'# or N/A)]],"")</f>
        <v>NA</v>
      </c>
      <c r="J39" s="18" t="str">
        <f>Table4[[#This Row],[Security 
Risk 
Level]]</f>
        <v>LOW</v>
      </c>
      <c r="K3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9" s="94" t="str">
        <f>Table4[[#This Row],[Security Risk LevelP]]</f>
        <v/>
      </c>
      <c r="M39" s="36" t="str">
        <f>IF(Table4[[#This Row],[Residual Security Risk Acceptability Justification]]&gt;0,Table4[[#This Row],[Residual Security Risk Acceptability Justification]],"")</f>
        <v/>
      </c>
    </row>
    <row r="40" spans="1:13" s="26" customFormat="1" ht="126">
      <c r="A40" s="49">
        <f>Table4[[#This Row],[
ID '#]]</f>
        <v>36</v>
      </c>
      <c r="B40" s="115" t="str">
        <f>IF(Table4[[#This Row],[T ID]]&gt;0,Table4[[#This Row],[T ID]],"")</f>
        <v>T02</v>
      </c>
      <c r="C40" s="88" t="str">
        <f>Table4[[#This Row],[Threat Event(s)]]</f>
        <v>Deliver directed malware
(CAPEC-185)</v>
      </c>
      <c r="D40" s="36" t="str">
        <f>IF(Table4[[#This Row],[V ID]]&gt;0,Table4[[#This Row],[V ID]],"")</f>
        <v>V16</v>
      </c>
      <c r="E40" s="88" t="str">
        <f>Table4[[#This Row],[Vulnerabilities]]</f>
        <v>Unencrypted data at rest in all possible locations</v>
      </c>
      <c r="F40" s="116" t="str">
        <f>IF(Table4[[#This Row],[A ID]]&gt;0,Table4[[#This Row],[A ID]],"")</f>
        <v>A02</v>
      </c>
      <c r="G40" s="88" t="str">
        <f>Table4[[#This Row],[Asset]]</f>
        <v>Tablet OS/network details &amp; Tablet Application</v>
      </c>
      <c r="H40" s="19" t="str">
        <f>IF(Table4[[#This Row],[Impact Description]]&gt;0,Table4[[#This Row],[Impact Description]],"")</f>
        <v xml:space="preserve">1) Malicious utilization of  computer resources 
2) computing power  
3) denial of service attacks, 
4) ransomware attack 
5) Bitcoin mining, etc </v>
      </c>
      <c r="I40" s="36" t="str">
        <f>IF(Table4[[#This Row],[Safety Impact 
(Risk ID'# or N/A)]]&gt;0,Table4[[#This Row],[Safety Impact 
(Risk ID'# or N/A)]],"")</f>
        <v>NA</v>
      </c>
      <c r="J40" s="18" t="str">
        <f>Table4[[#This Row],[Security 
Risk 
Level]]</f>
        <v>LOW</v>
      </c>
      <c r="K4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0" s="94" t="str">
        <f>Table4[[#This Row],[Security Risk LevelP]]</f>
        <v/>
      </c>
      <c r="M40" s="36" t="str">
        <f>IF(Table4[[#This Row],[Residual Security Risk Acceptability Justification]]&gt;0,Table4[[#This Row],[Residual Security Risk Acceptability Justification]],"")</f>
        <v/>
      </c>
    </row>
    <row r="41" spans="1:13" s="26" customFormat="1" ht="140">
      <c r="A41" s="49">
        <f>Table4[[#This Row],[
ID '#]]</f>
        <v>37</v>
      </c>
      <c r="B41" s="115" t="str">
        <f>IF(Table4[[#This Row],[T ID]]&gt;0,Table4[[#This Row],[T ID]],"")</f>
        <v>T02</v>
      </c>
      <c r="C41" s="88" t="str">
        <f>Table4[[#This Row],[Threat Event(s)]]</f>
        <v>Deliver directed malware
(CAPEC-185)</v>
      </c>
      <c r="D41" s="36" t="str">
        <f>IF(Table4[[#This Row],[V ID]]&gt;0,Table4[[#This Row],[V ID]],"")</f>
        <v>V16</v>
      </c>
      <c r="E41" s="88" t="str">
        <f>Table4[[#This Row],[Vulnerabilities]]</f>
        <v>Unencrypted data at rest in all possible locations</v>
      </c>
      <c r="F41" s="116" t="str">
        <f>IF(Table4[[#This Row],[A ID]]&gt;0,Table4[[#This Row],[A ID]],"")</f>
        <v>A11</v>
      </c>
      <c r="G41" s="88" t="str">
        <f>Table4[[#This Row],[Asset]]</f>
        <v>Smart medic app (Stryker Admin Web Application)</v>
      </c>
      <c r="H41" s="19" t="str">
        <f>IF(Table4[[#This Row],[Impact Description]]&gt;0,Table4[[#This Row],[Impact Description]],"")</f>
        <v xml:space="preserve">1) Malicious utilization of  computer resources 
2) computing power  
3) denial of service attacks, 
4) ransomware attack 
5) Bitcoin mining, etc </v>
      </c>
      <c r="I41" s="36" t="str">
        <f>IF(Table4[[#This Row],[Safety Impact 
(Risk ID'# or N/A)]]&gt;0,Table4[[#This Row],[Safety Impact 
(Risk ID'# or N/A)]],"")</f>
        <v>NA</v>
      </c>
      <c r="J41" s="18" t="str">
        <f>Table4[[#This Row],[Security 
Risk 
Level]]</f>
        <v>LOW</v>
      </c>
      <c r="K41"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v>
      </c>
      <c r="L41" s="94" t="str">
        <f>Table4[[#This Row],[Security Risk LevelP]]</f>
        <v/>
      </c>
      <c r="M41" s="36" t="str">
        <f>IF(Table4[[#This Row],[Residual Security Risk Acceptability Justification]]&gt;0,Table4[[#This Row],[Residual Security Risk Acceptability Justification]],"")</f>
        <v/>
      </c>
    </row>
    <row r="42" spans="1:13" s="26" customFormat="1" ht="126">
      <c r="A42" s="49">
        <f>Table4[[#This Row],[
ID '#]]</f>
        <v>38</v>
      </c>
      <c r="B42" s="115" t="str">
        <f>IF(Table4[[#This Row],[T ID]]&gt;0,Table4[[#This Row],[T ID]],"")</f>
        <v>T03</v>
      </c>
      <c r="C42" s="88" t="str">
        <f>Table4[[#This Row],[Threat Event(s)]]</f>
        <v>Gaining Access
([S]TRID[E])</v>
      </c>
      <c r="D42" s="36" t="str">
        <f>IF(Table4[[#This Row],[V ID]]&gt;0,Table4[[#This Row],[V ID]],"")</f>
        <v>V12</v>
      </c>
      <c r="E42" s="88" t="str">
        <f>Table4[[#This Row],[Vulnerabilities]]</f>
        <v>Unprotected network port(s) on network devices and connection points</v>
      </c>
      <c r="F42" s="116" t="str">
        <f>IF(Table4[[#This Row],[A ID]]&gt;0,Table4[[#This Row],[A ID]],"")</f>
        <v>A02</v>
      </c>
      <c r="G42" s="88" t="str">
        <f>Table4[[#This Row],[Asset]]</f>
        <v>Tablet OS/network details &amp; Tablet Application</v>
      </c>
      <c r="H42" s="19" t="str">
        <f>IF(Table4[[#This Row],[Impact Description]]&gt;0,Table4[[#This Row],[Impact Description]],"")</f>
        <v>1)  Obtain knowledge about system internals
2)  Attempt to find attack vectors 
3)  Possibilities for exploitation of publicly known Vulnerabilities.</v>
      </c>
      <c r="I42" s="36" t="str">
        <f>IF(Table4[[#This Row],[Safety Impact 
(Risk ID'# or N/A)]]&gt;0,Table4[[#This Row],[Safety Impact 
(Risk ID'# or N/A)]],"")</f>
        <v>NA</v>
      </c>
      <c r="J42" s="18" t="str">
        <f>Table4[[#This Row],[Security 
Risk 
Level]]</f>
        <v>LOW</v>
      </c>
      <c r="K4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2" s="94" t="str">
        <f>Table4[[#This Row],[Security Risk LevelP]]</f>
        <v/>
      </c>
      <c r="M42" s="36" t="str">
        <f>IF(Table4[[#This Row],[Residual Security Risk Acceptability Justification]]&gt;0,Table4[[#This Row],[Residual Security Risk Acceptability Justification]],"")</f>
        <v/>
      </c>
    </row>
    <row r="43" spans="1:13" s="26" customFormat="1" ht="210">
      <c r="A43" s="49">
        <f>Table4[[#This Row],[
ID '#]]</f>
        <v>39</v>
      </c>
      <c r="B43" s="115" t="str">
        <f>IF(Table4[[#This Row],[T ID]]&gt;0,Table4[[#This Row],[T ID]],"")</f>
        <v>T03</v>
      </c>
      <c r="C43" s="88" t="str">
        <f>Table4[[#This Row],[Threat Event(s)]]</f>
        <v>Gaining Access
([S]TRID[E])</v>
      </c>
      <c r="D43" s="36" t="str">
        <f>IF(Table4[[#This Row],[V ID]]&gt;0,Table4[[#This Row],[V ID]],"")</f>
        <v>V12</v>
      </c>
      <c r="E43" s="88" t="str">
        <f>Table4[[#This Row],[Vulnerabilities]]</f>
        <v>Unprotected network port(s) on network devices and connection points</v>
      </c>
      <c r="F43" s="116" t="str">
        <f>IF(Table4[[#This Row],[A ID]]&gt;0,Table4[[#This Row],[A ID]],"")</f>
        <v>A11</v>
      </c>
      <c r="G43" s="88" t="str">
        <f>Table4[[#This Row],[Asset]]</f>
        <v>Smart medic app (Stryker Admin Web Application)</v>
      </c>
      <c r="H43" s="19" t="str">
        <f>IF(Table4[[#This Row],[Impact Description]]&gt;0,Table4[[#This Row],[Impact Description]],"")</f>
        <v>1)  Obtain knowledge about system internals
2)  Attempt to find attack vectors 
3)  Possibilities for exploitation of publicly known Vulnerabilities.</v>
      </c>
      <c r="I43" s="36" t="str">
        <f>IF(Table4[[#This Row],[Safety Impact 
(Risk ID'# or N/A)]]&gt;0,Table4[[#This Row],[Safety Impact 
(Risk ID'# or N/A)]],"")</f>
        <v>NA</v>
      </c>
      <c r="J43" s="18" t="str">
        <f>Table4[[#This Row],[Security 
Risk 
Level]]</f>
        <v>MEDIUM</v>
      </c>
      <c r="K43" s="19"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94" t="str">
        <f>Table4[[#This Row],[Security Risk LevelP]]</f>
        <v/>
      </c>
      <c r="M43" s="36" t="str">
        <f>IF(Table4[[#This Row],[Residual Security Risk Acceptability Justification]]&gt;0,Table4[[#This Row],[Residual Security Risk Acceptability Justification]],"")</f>
        <v/>
      </c>
    </row>
    <row r="44" spans="1:13" s="26" customFormat="1" ht="126">
      <c r="A44" s="49">
        <f>Table4[[#This Row],[
ID '#]]</f>
        <v>40</v>
      </c>
      <c r="B44" s="115" t="str">
        <f>IF(Table4[[#This Row],[T ID]]&gt;0,Table4[[#This Row],[T ID]],"")</f>
        <v>T03</v>
      </c>
      <c r="C44" s="88" t="str">
        <f>Table4[[#This Row],[Threat Event(s)]]</f>
        <v>Gaining Access
([S]TRID[E])</v>
      </c>
      <c r="D44" s="36" t="str">
        <f>IF(Table4[[#This Row],[V ID]]&gt;0,Table4[[#This Row],[V ID]],"")</f>
        <v>V12</v>
      </c>
      <c r="E44" s="88" t="str">
        <f>Table4[[#This Row],[Vulnerabilities]]</f>
        <v>Unprotected network port(s) on network devices and connection points</v>
      </c>
      <c r="F44" s="116" t="str">
        <f>IF(Table4[[#This Row],[A ID]]&gt;0,Table4[[#This Row],[A ID]],"")</f>
        <v>A01</v>
      </c>
      <c r="G44" s="88" t="str">
        <f>Table4[[#This Row],[Asset]]</f>
        <v>Tablet Resources - web cam, microphone, OTG devices, Removable USB, Tablet Application, Network interfaces (Bluetooth, Wifi)</v>
      </c>
      <c r="H44" s="19" t="str">
        <f>IF(Table4[[#This Row],[Impact Description]]&gt;0,Table4[[#This Row],[Impact Description]],"")</f>
        <v>1)  Obtain knowledge about system internals
2)  Attempt to find attack vectors 
3)  Possibilities for exploitation of publicly known Vulnerabilities.</v>
      </c>
      <c r="I44" s="36" t="str">
        <f>IF(Table4[[#This Row],[Safety Impact 
(Risk ID'# or N/A)]]&gt;0,Table4[[#This Row],[Safety Impact 
(Risk ID'# or N/A)]],"")</f>
        <v>NA</v>
      </c>
      <c r="J44" s="18" t="str">
        <f>Table4[[#This Row],[Security 
Risk 
Level]]</f>
        <v>LOW</v>
      </c>
      <c r="K4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4" s="94" t="str">
        <f>Table4[[#This Row],[Security Risk LevelP]]</f>
        <v/>
      </c>
      <c r="M44" s="36" t="str">
        <f>IF(Table4[[#This Row],[Residual Security Risk Acceptability Justification]]&gt;0,Table4[[#This Row],[Residual Security Risk Acceptability Justification]],"")</f>
        <v/>
      </c>
    </row>
    <row r="45" spans="1:13" s="26" customFormat="1" ht="126">
      <c r="A45" s="49">
        <f>Table4[[#This Row],[
ID '#]]</f>
        <v>41</v>
      </c>
      <c r="B45" s="115" t="str">
        <f>IF(Table4[[#This Row],[T ID]]&gt;0,Table4[[#This Row],[T ID]],"")</f>
        <v>T03</v>
      </c>
      <c r="C45" s="88" t="str">
        <f>Table4[[#This Row],[Threat Event(s)]]</f>
        <v>Gaining Access
([S]TRID[E])</v>
      </c>
      <c r="D45" s="36" t="str">
        <f>IF(Table4[[#This Row],[V ID]]&gt;0,Table4[[#This Row],[V ID]],"")</f>
        <v>V01</v>
      </c>
      <c r="E45" s="88" t="str">
        <f>Table4[[#This Row],[Vulnerabilities]]</f>
        <v>Devices with default passwords needs to be checked for bruteforce attacks</v>
      </c>
      <c r="F45" s="116" t="str">
        <f>IF(Table4[[#This Row],[A ID]]&gt;0,Table4[[#This Row],[A ID]],"")</f>
        <v>A04</v>
      </c>
      <c r="G45" s="88" t="str">
        <f>Table4[[#This Row],[Asset]]</f>
        <v>Authentication/Authorisation method of all device(s)/app</v>
      </c>
      <c r="H45" s="19" t="str">
        <f>IF(Table4[[#This Row],[Impact Description]]&gt;0,Table4[[#This Row],[Impact Description]],"")</f>
        <v>1)  Obtain knowledge about system internals
2)  Attempt to find attack vectors 
3)  Possibilities for exploitation of publicly known Vulnerabilities.</v>
      </c>
      <c r="I45" s="36" t="str">
        <f>IF(Table4[[#This Row],[Safety Impact 
(Risk ID'# or N/A)]]&gt;0,Table4[[#This Row],[Safety Impact 
(Risk ID'# or N/A)]],"")</f>
        <v>NA</v>
      </c>
      <c r="J45" s="18" t="str">
        <f>Table4[[#This Row],[Security 
Risk 
Level]]</f>
        <v>MEDIUM</v>
      </c>
      <c r="K45" s="19"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94" t="str">
        <f>Table4[[#This Row],[Security Risk LevelP]]</f>
        <v/>
      </c>
      <c r="M45" s="36" t="str">
        <f>IF(Table4[[#This Row],[Residual Security Risk Acceptability Justification]]&gt;0,Table4[[#This Row],[Residual Security Risk Acceptability Justification]],"")</f>
        <v/>
      </c>
    </row>
    <row r="46" spans="1:13" s="26" customFormat="1" ht="224">
      <c r="A46" s="49">
        <f>Table4[[#This Row],[
ID '#]]</f>
        <v>42</v>
      </c>
      <c r="B46" s="115" t="str">
        <f>IF(Table4[[#This Row],[T ID]]&gt;0,Table4[[#This Row],[T ID]],"")</f>
        <v>T03</v>
      </c>
      <c r="C46" s="88" t="str">
        <f>Table4[[#This Row],[Threat Event(s)]]</f>
        <v>Gaining Access
([S]TRID[E])</v>
      </c>
      <c r="D46" s="36" t="str">
        <f>IF(Table4[[#This Row],[V ID]]&gt;0,Table4[[#This Row],[V ID]],"")</f>
        <v>V01</v>
      </c>
      <c r="E46" s="88" t="str">
        <f>Table4[[#This Row],[Vulnerabilities]]</f>
        <v>Devices with default passwords needs to be checked for bruteforce attacks</v>
      </c>
      <c r="F46" s="116" t="str">
        <f>IF(Table4[[#This Row],[A ID]]&gt;0,Table4[[#This Row],[A ID]],"")</f>
        <v>A07</v>
      </c>
      <c r="G46" s="88" t="str">
        <f>Table4[[#This Row],[Asset]]</f>
        <v>Interface/API Communication</v>
      </c>
      <c r="H46" s="19" t="str">
        <f>IF(Table4[[#This Row],[Impact Description]]&gt;0,Table4[[#This Row],[Impact Description]],"")</f>
        <v>1)  Obtain knowledge about system internals
2)  Attempt to find attack vectors 
3)  Possibilities for exploitation of publicly known Vulnerabilities.</v>
      </c>
      <c r="I46" s="36" t="str">
        <f>IF(Table4[[#This Row],[Safety Impact 
(Risk ID'# or N/A)]]&gt;0,Table4[[#This Row],[Safety Impact 
(Risk ID'# or N/A)]],"")</f>
        <v>NA</v>
      </c>
      <c r="J46" s="18" t="str">
        <f>Table4[[#This Row],[Security 
Risk 
Level]]</f>
        <v>LOW</v>
      </c>
      <c r="K46"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6" s="94" t="str">
        <f>Table4[[#This Row],[Security Risk LevelP]]</f>
        <v/>
      </c>
      <c r="M46" s="36" t="str">
        <f>IF(Table4[[#This Row],[Residual Security Risk Acceptability Justification]]&gt;0,Table4[[#This Row],[Residual Security Risk Acceptability Justification]],"")</f>
        <v/>
      </c>
    </row>
    <row r="47" spans="1:13" s="26" customFormat="1" ht="210">
      <c r="A47" s="49">
        <f>Table4[[#This Row],[
ID '#]]</f>
        <v>43</v>
      </c>
      <c r="B47" s="115" t="str">
        <f>IF(Table4[[#This Row],[T ID]]&gt;0,Table4[[#This Row],[T ID]],"")</f>
        <v>T03</v>
      </c>
      <c r="C47" s="88" t="str">
        <f>Table4[[#This Row],[Threat Event(s)]]</f>
        <v>Gaining Access
([S]TRID[E])</v>
      </c>
      <c r="D47" s="36" t="str">
        <f>IF(Table4[[#This Row],[V ID]]&gt;0,Table4[[#This Row],[V ID]],"")</f>
        <v>V03</v>
      </c>
      <c r="E47" s="88" t="str">
        <f>Table4[[#This Row],[Vulnerabilities]]</f>
        <v>The password complexity or location vulnerability. Like weak passwords and hardcoded passwords.</v>
      </c>
      <c r="F47" s="116" t="str">
        <f>IF(Table4[[#This Row],[A ID]]&gt;0,Table4[[#This Row],[A ID]],"")</f>
        <v>A04</v>
      </c>
      <c r="G47" s="88" t="str">
        <f>Table4[[#This Row],[Asset]]</f>
        <v>Authentication/Authorisation method of all device(s)/app</v>
      </c>
      <c r="H47" s="19" t="str">
        <f>IF(Table4[[#This Row],[Impact Description]]&gt;0,Table4[[#This Row],[Impact Description]],"")</f>
        <v>1)  Obtain knowledge about system internals
2)  Attempt to find attack vectors 
3)  Possibilities for exploitation of publicly known Vulnerabilities.</v>
      </c>
      <c r="I47" s="36" t="str">
        <f>IF(Table4[[#This Row],[Safety Impact 
(Risk ID'# or N/A)]]&gt;0,Table4[[#This Row],[Safety Impact 
(Risk ID'# or N/A)]],"")</f>
        <v>NA</v>
      </c>
      <c r="J47" s="18" t="str">
        <f>Table4[[#This Row],[Security 
Risk 
Level]]</f>
        <v>MEDIUM</v>
      </c>
      <c r="K47"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7" s="94" t="str">
        <f>Table4[[#This Row],[Security Risk LevelP]]</f>
        <v/>
      </c>
      <c r="M47" s="36" t="str">
        <f>IF(Table4[[#This Row],[Residual Security Risk Acceptability Justification]]&gt;0,Table4[[#This Row],[Residual Security Risk Acceptability Justification]],"")</f>
        <v/>
      </c>
    </row>
    <row r="48" spans="1:13" s="26" customFormat="1" ht="196">
      <c r="A48" s="49">
        <f>Table4[[#This Row],[
ID '#]]</f>
        <v>44</v>
      </c>
      <c r="B48" s="115" t="str">
        <f>IF(Table4[[#This Row],[T ID]]&gt;0,Table4[[#This Row],[T ID]],"")</f>
        <v>T03</v>
      </c>
      <c r="C48" s="88" t="str">
        <f>Table4[[#This Row],[Threat Event(s)]]</f>
        <v>Gaining Access
([S]TRID[E])</v>
      </c>
      <c r="D48" s="36" t="str">
        <f>IF(Table4[[#This Row],[V ID]]&gt;0,Table4[[#This Row],[V ID]],"")</f>
        <v>V04</v>
      </c>
      <c r="E48" s="88" t="str">
        <f>Table4[[#This Row],[Vulnerabilities]]</f>
        <v>Checking authentication modes for possible hacks and bypasses</v>
      </c>
      <c r="F48" s="116" t="str">
        <f>IF(Table4[[#This Row],[A ID]]&gt;0,Table4[[#This Row],[A ID]],"")</f>
        <v>A04</v>
      </c>
      <c r="G48" s="88" t="str">
        <f>Table4[[#This Row],[Asset]]</f>
        <v>Authentication/Authorisation method of all device(s)/app</v>
      </c>
      <c r="H48" s="19" t="str">
        <f>IF(Table4[[#This Row],[Impact Description]]&gt;0,Table4[[#This Row],[Impact Description]],"")</f>
        <v>1)  Obtain knowledge about system internals
2)  Attempt to find attack vectors 
3)  Possibilities for exploitation of publicly known Vulnerabilities.</v>
      </c>
      <c r="I48" s="36" t="str">
        <f>IF(Table4[[#This Row],[Safety Impact 
(Risk ID'# or N/A)]]&gt;0,Table4[[#This Row],[Safety Impact 
(Risk ID'# or N/A)]],"")</f>
        <v>NA</v>
      </c>
      <c r="J48" s="18" t="str">
        <f>Table4[[#This Row],[Security 
Risk 
Level]]</f>
        <v>LOW</v>
      </c>
      <c r="K48"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94" t="str">
        <f>Table4[[#This Row],[Security Risk LevelP]]</f>
        <v/>
      </c>
      <c r="M48" s="36" t="str">
        <f>IF(Table4[[#This Row],[Residual Security Risk Acceptability Justification]]&gt;0,Table4[[#This Row],[Residual Security Risk Acceptability Justification]],"")</f>
        <v/>
      </c>
    </row>
    <row r="49" spans="1:13" s="26" customFormat="1" ht="196">
      <c r="A49" s="49">
        <f>Table4[[#This Row],[
ID '#]]</f>
        <v>45</v>
      </c>
      <c r="B49" s="115" t="str">
        <f>IF(Table4[[#This Row],[T ID]]&gt;0,Table4[[#This Row],[T ID]],"")</f>
        <v>T03</v>
      </c>
      <c r="C49" s="88" t="str">
        <f>Table4[[#This Row],[Threat Event(s)]]</f>
        <v>Gaining Access
([S]TRID[E])</v>
      </c>
      <c r="D49" s="36" t="str">
        <f>IF(Table4[[#This Row],[V ID]]&gt;0,Table4[[#This Row],[V ID]],"")</f>
        <v>V04</v>
      </c>
      <c r="E49" s="88" t="str">
        <f>Table4[[#This Row],[Vulnerabilities]]</f>
        <v>Checking authentication modes for possible hacks and bypasses</v>
      </c>
      <c r="F49" s="116" t="str">
        <f>IF(Table4[[#This Row],[A ID]]&gt;0,Table4[[#This Row],[A ID]],"")</f>
        <v>A11</v>
      </c>
      <c r="G49" s="88" t="str">
        <f>Table4[[#This Row],[Asset]]</f>
        <v>Smart medic app (Stryker Admin Web Application)</v>
      </c>
      <c r="H49" s="19" t="str">
        <f>IF(Table4[[#This Row],[Impact Description]]&gt;0,Table4[[#This Row],[Impact Description]],"")</f>
        <v>1)  Obtain knowledge about system internals
2)  Attempt to find attack vectors 
3)  Possibilities for exploitation of publicly known Vulnerabilities.</v>
      </c>
      <c r="I49" s="36" t="str">
        <f>IF(Table4[[#This Row],[Safety Impact 
(Risk ID'# or N/A)]]&gt;0,Table4[[#This Row],[Safety Impact 
(Risk ID'# or N/A)]],"")</f>
        <v>NA</v>
      </c>
      <c r="J49" s="18" t="str">
        <f>Table4[[#This Row],[Security 
Risk 
Level]]</f>
        <v>LOW</v>
      </c>
      <c r="K49" s="19" t="str">
        <f>IF(Table4[[#This Row],[Security Risk Control Measures]]&gt;0,Table4[[#This Row],[Security Risk Control Measures]],"")</f>
        <v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94" t="str">
        <f>Table4[[#This Row],[Security Risk LevelP]]</f>
        <v/>
      </c>
      <c r="M49" s="36" t="str">
        <f>IF(Table4[[#This Row],[Residual Security Risk Acceptability Justification]]&gt;0,Table4[[#This Row],[Residual Security Risk Acceptability Justification]],"")</f>
        <v/>
      </c>
    </row>
    <row r="50" spans="1:13" s="26" customFormat="1" ht="196">
      <c r="A50" s="49">
        <f>Table4[[#This Row],[
ID '#]]</f>
        <v>46</v>
      </c>
      <c r="B50" s="115" t="str">
        <f>IF(Table4[[#This Row],[T ID]]&gt;0,Table4[[#This Row],[T ID]],"")</f>
        <v>T03</v>
      </c>
      <c r="C50" s="88" t="str">
        <f>Table4[[#This Row],[Threat Event(s)]]</f>
        <v>Gaining Access
([S]TRID[E])</v>
      </c>
      <c r="D50" s="36" t="str">
        <f>IF(Table4[[#This Row],[V ID]]&gt;0,Table4[[#This Row],[V ID]],"")</f>
        <v>V04</v>
      </c>
      <c r="E50" s="88" t="str">
        <f>Table4[[#This Row],[Vulnerabilities]]</f>
        <v>Checking authentication modes for possible hacks and bypasses</v>
      </c>
      <c r="F50" s="116" t="str">
        <f>IF(Table4[[#This Row],[A ID]]&gt;0,Table4[[#This Row],[A ID]],"")</f>
        <v>A12</v>
      </c>
      <c r="G50" s="88" t="str">
        <f>Table4[[#This Row],[Asset]]</f>
        <v>Smart medic app (Azure Portal Administrator)</v>
      </c>
      <c r="H50" s="19" t="str">
        <f>IF(Table4[[#This Row],[Impact Description]]&gt;0,Table4[[#This Row],[Impact Description]],"")</f>
        <v>1)  Obtain knowledge about system internals
2)  Attempt to find attack vectors 
3)  Possibilities for exploitation of publicly known Vulnerabilities.</v>
      </c>
      <c r="I50" s="36" t="str">
        <f>IF(Table4[[#This Row],[Safety Impact 
(Risk ID'# or N/A)]]&gt;0,Table4[[#This Row],[Safety Impact 
(Risk ID'# or N/A)]],"")</f>
        <v>NA</v>
      </c>
      <c r="J50" s="18" t="str">
        <f>Table4[[#This Row],[Security 
Risk 
Level]]</f>
        <v>LOW</v>
      </c>
      <c r="K50"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94" t="str">
        <f>Table4[[#This Row],[Security Risk LevelP]]</f>
        <v/>
      </c>
      <c r="M50" s="36" t="str">
        <f>IF(Table4[[#This Row],[Residual Security Risk Acceptability Justification]]&gt;0,Table4[[#This Row],[Residual Security Risk Acceptability Justification]],"")</f>
        <v/>
      </c>
    </row>
    <row r="51" spans="1:13" s="26" customFormat="1" ht="126">
      <c r="A51" s="49">
        <f>Table4[[#This Row],[
ID '#]]</f>
        <v>47</v>
      </c>
      <c r="B51" s="115" t="str">
        <f>IF(Table4[[#This Row],[T ID]]&gt;0,Table4[[#This Row],[T ID]],"")</f>
        <v>T03</v>
      </c>
      <c r="C51" s="88" t="str">
        <f>Table4[[#This Row],[Threat Event(s)]]</f>
        <v>Gaining Access
([S]TRID[E])</v>
      </c>
      <c r="D51" s="36" t="str">
        <f>IF(Table4[[#This Row],[V ID]]&gt;0,Table4[[#This Row],[V ID]],"")</f>
        <v>V13</v>
      </c>
      <c r="E51" s="88" t="str">
        <f>Table4[[#This Row],[Vulnerabilities]]</f>
        <v>Unprotected external USB Port on the tablet/devices.</v>
      </c>
      <c r="F51" s="116" t="str">
        <f>IF(Table4[[#This Row],[A ID]]&gt;0,Table4[[#This Row],[A ID]],"")</f>
        <v>A01</v>
      </c>
      <c r="G51" s="88" t="str">
        <f>Table4[[#This Row],[Asset]]</f>
        <v>Tablet Resources - web cam, microphone, OTG devices, Removable USB, Tablet Application, Network interfaces (Bluetooth, Wifi)</v>
      </c>
      <c r="H51" s="19" t="str">
        <f>IF(Table4[[#This Row],[Impact Description]]&gt;0,Table4[[#This Row],[Impact Description]],"")</f>
        <v>1)  Obtain knowledge about system internals
2)  Attempt to find attack vectors 
3)  Possibilities for exploitation of publicly known Vulnerabilities.</v>
      </c>
      <c r="I51" s="36" t="str">
        <f>IF(Table4[[#This Row],[Safety Impact 
(Risk ID'# or N/A)]]&gt;0,Table4[[#This Row],[Safety Impact 
(Risk ID'# or N/A)]],"")</f>
        <v>NA</v>
      </c>
      <c r="J51" s="18" t="str">
        <f>Table4[[#This Row],[Security 
Risk 
Level]]</f>
        <v>LOW</v>
      </c>
      <c r="K5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1" s="94" t="str">
        <f>Table4[[#This Row],[Security Risk LevelP]]</f>
        <v/>
      </c>
      <c r="M51" s="36" t="str">
        <f>IF(Table4[[#This Row],[Residual Security Risk Acceptability Justification]]&gt;0,Table4[[#This Row],[Residual Security Risk Acceptability Justification]],"")</f>
        <v/>
      </c>
    </row>
    <row r="52" spans="1:13" s="26" customFormat="1" ht="224">
      <c r="A52" s="49">
        <f>Table4[[#This Row],[
ID '#]]</f>
        <v>48</v>
      </c>
      <c r="B52" s="115" t="str">
        <f>IF(Table4[[#This Row],[T ID]]&gt;0,Table4[[#This Row],[T ID]],"")</f>
        <v>T04</v>
      </c>
      <c r="C52" s="88" t="str">
        <f>Table4[[#This Row],[Threat Event(s)]]</f>
        <v>Maintaining Access
(TTP)</v>
      </c>
      <c r="D52" s="36" t="str">
        <f>IF(Table4[[#This Row],[V ID]]&gt;0,Table4[[#This Row],[V ID]],"")</f>
        <v>V01</v>
      </c>
      <c r="E52" s="88" t="str">
        <f>Table4[[#This Row],[Vulnerabilities]]</f>
        <v>Devices with default passwords needs to be checked for bruteforce attacks</v>
      </c>
      <c r="F52" s="116" t="str">
        <f>IF(Table4[[#This Row],[A ID]]&gt;0,Table4[[#This Row],[A ID]],"")</f>
        <v>A04</v>
      </c>
      <c r="G52" s="88" t="str">
        <f>Table4[[#This Row],[Asset]]</f>
        <v>Authentication/Authorisation method of all device(s)/app</v>
      </c>
      <c r="H52" s="19" t="str">
        <f>IF(Table4[[#This Row],[Impact Description]]&gt;0,Table4[[#This Row],[Impact Description]],"")</f>
        <v>1)  Obtain knowledge about system internals
2)  Attempt to find attack vectors 
3)  Possibilities for exploitation of publicly known Vulnerabilities.</v>
      </c>
      <c r="I52" s="36" t="str">
        <f>IF(Table4[[#This Row],[Safety Impact 
(Risk ID'# or N/A)]]&gt;0,Table4[[#This Row],[Safety Impact 
(Risk ID'# or N/A)]],"")</f>
        <v>NA</v>
      </c>
      <c r="J52" s="18" t="str">
        <f>Table4[[#This Row],[Security 
Risk 
Level]]</f>
        <v>LOW</v>
      </c>
      <c r="K52"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2" s="94" t="str">
        <f>Table4[[#This Row],[Security Risk LevelP]]</f>
        <v/>
      </c>
      <c r="M52" s="36" t="str">
        <f>IF(Table4[[#This Row],[Residual Security Risk Acceptability Justification]]&gt;0,Table4[[#This Row],[Residual Security Risk Acceptability Justification]],"")</f>
        <v/>
      </c>
    </row>
    <row r="53" spans="1:13" s="26" customFormat="1" ht="210">
      <c r="A53" s="49">
        <f>Table4[[#This Row],[
ID '#]]</f>
        <v>49</v>
      </c>
      <c r="B53" s="115" t="str">
        <f>IF(Table4[[#This Row],[T ID]]&gt;0,Table4[[#This Row],[T ID]],"")</f>
        <v>T04</v>
      </c>
      <c r="C53" s="88" t="str">
        <f>Table4[[#This Row],[Threat Event(s)]]</f>
        <v>Maintaining Access
(TTP)</v>
      </c>
      <c r="D53" s="36" t="str">
        <f>IF(Table4[[#This Row],[V ID]]&gt;0,Table4[[#This Row],[V ID]],"")</f>
        <v>V03</v>
      </c>
      <c r="E53" s="88" t="str">
        <f>Table4[[#This Row],[Vulnerabilities]]</f>
        <v>The password complexity or location vulnerability. Like weak passwords and hardcoded passwords.</v>
      </c>
      <c r="F53" s="116" t="str">
        <f>IF(Table4[[#This Row],[A ID]]&gt;0,Table4[[#This Row],[A ID]],"")</f>
        <v>A04</v>
      </c>
      <c r="G53" s="88" t="str">
        <f>Table4[[#This Row],[Asset]]</f>
        <v>Authentication/Authorisation method of all device(s)/app</v>
      </c>
      <c r="H53" s="19" t="str">
        <f>IF(Table4[[#This Row],[Impact Description]]&gt;0,Table4[[#This Row],[Impact Description]],"")</f>
        <v>1)  Obtain knowledge about system internals
2)  Attempt to find attack vectors 
3)  Possibilities for exploitation of publicly known Vulnerabilities.</v>
      </c>
      <c r="I53" s="36" t="str">
        <f>IF(Table4[[#This Row],[Safety Impact 
(Risk ID'# or N/A)]]&gt;0,Table4[[#This Row],[Safety Impact 
(Risk ID'# or N/A)]],"")</f>
        <v>NA</v>
      </c>
      <c r="J53" s="18" t="str">
        <f>Table4[[#This Row],[Security 
Risk 
Level]]</f>
        <v>LOW</v>
      </c>
      <c r="K53"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3" s="94" t="str">
        <f>Table4[[#This Row],[Security Risk LevelP]]</f>
        <v/>
      </c>
      <c r="M53" s="36" t="str">
        <f>IF(Table4[[#This Row],[Residual Security Risk Acceptability Justification]]&gt;0,Table4[[#This Row],[Residual Security Risk Acceptability Justification]],"")</f>
        <v/>
      </c>
    </row>
    <row r="54" spans="1:13" s="26" customFormat="1" ht="126">
      <c r="A54" s="49">
        <f>Table4[[#This Row],[
ID '#]]</f>
        <v>50</v>
      </c>
      <c r="B54" s="115" t="str">
        <f>IF(Table4[[#This Row],[T ID]]&gt;0,Table4[[#This Row],[T ID]],"")</f>
        <v>T05</v>
      </c>
      <c r="C54" s="88" t="str">
        <f>Table4[[#This Row],[Threat Event(s)]]</f>
        <v>Clearing Track
(TTP)</v>
      </c>
      <c r="D54" s="36" t="str">
        <f>IF(Table4[[#This Row],[V ID]]&gt;0,Table4[[#This Row],[V ID]],"")</f>
        <v>V21</v>
      </c>
      <c r="E54" s="88" t="str">
        <f>Table4[[#This Row],[Vulnerabilities]]</f>
        <v>InSecure Configuration for Software/OS on Mobile Devices, Laptops, Workstations, and Servers</v>
      </c>
      <c r="F54" s="116" t="str">
        <f>IF(Table4[[#This Row],[A ID]]&gt;0,Table4[[#This Row],[A ID]],"")</f>
        <v>A01</v>
      </c>
      <c r="G54" s="88" t="str">
        <f>Table4[[#This Row],[Asset]]</f>
        <v>Tablet Resources - web cam, microphone, OTG devices, Removable USB, Tablet Application, Network interfaces (Bluetooth, Wifi)</v>
      </c>
      <c r="H54"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36" t="str">
        <f>IF(Table4[[#This Row],[Safety Impact 
(Risk ID'# or N/A)]]&gt;0,Table4[[#This Row],[Safety Impact 
(Risk ID'# or N/A)]],"")</f>
        <v>NA</v>
      </c>
      <c r="J54" s="18" t="str">
        <f>Table4[[#This Row],[Security 
Risk 
Level]]</f>
        <v>LOW</v>
      </c>
      <c r="K5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4" s="94" t="str">
        <f>Table4[[#This Row],[Security Risk LevelP]]</f>
        <v/>
      </c>
      <c r="M54" s="36" t="str">
        <f>IF(Table4[[#This Row],[Residual Security Risk Acceptability Justification]]&gt;0,Table4[[#This Row],[Residual Security Risk Acceptability Justification]],"")</f>
        <v/>
      </c>
    </row>
    <row r="55" spans="1:13" s="26" customFormat="1" ht="126">
      <c r="A55" s="49">
        <f>Table4[[#This Row],[
ID '#]]</f>
        <v>51</v>
      </c>
      <c r="B55" s="115" t="str">
        <f>IF(Table4[[#This Row],[T ID]]&gt;0,Table4[[#This Row],[T ID]],"")</f>
        <v>T05</v>
      </c>
      <c r="C55" s="88" t="str">
        <f>Table4[[#This Row],[Threat Event(s)]]</f>
        <v>Clearing Track
(TTP)</v>
      </c>
      <c r="D55" s="36" t="str">
        <f>IF(Table4[[#This Row],[V ID]]&gt;0,Table4[[#This Row],[V ID]],"")</f>
        <v>V23</v>
      </c>
      <c r="E55" s="88" t="str">
        <f>Table4[[#This Row],[Vulnerabilities]]</f>
        <v>Outdated  - Software/Hardware</v>
      </c>
      <c r="F55" s="116" t="str">
        <f>IF(Table4[[#This Row],[A ID]]&gt;0,Table4[[#This Row],[A ID]],"")</f>
        <v>A01</v>
      </c>
      <c r="G55" s="88" t="str">
        <f>Table4[[#This Row],[Asset]]</f>
        <v>Tablet Resources - web cam, microphone, OTG devices, Removable USB, Tablet Application, Network interfaces (Bluetooth, Wifi)</v>
      </c>
      <c r="H55"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36" t="str">
        <f>IF(Table4[[#This Row],[Safety Impact 
(Risk ID'# or N/A)]]&gt;0,Table4[[#This Row],[Safety Impact 
(Risk ID'# or N/A)]],"")</f>
        <v>B-L2(Reference Risk Table and Risk Matrix SmartMedic Document # D001020010)</v>
      </c>
      <c r="J55" s="18" t="str">
        <f>Table4[[#This Row],[Security 
Risk 
Level]]</f>
        <v>LOW</v>
      </c>
      <c r="K5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5" s="94" t="str">
        <f>Table4[[#This Row],[Security Risk LevelP]]</f>
        <v/>
      </c>
      <c r="M55" s="36" t="str">
        <f>IF(Table4[[#This Row],[Residual Security Risk Acceptability Justification]]&gt;0,Table4[[#This Row],[Residual Security Risk Acceptability Justification]],"")</f>
        <v/>
      </c>
    </row>
    <row r="56" spans="1:13" s="26" customFormat="1" ht="126">
      <c r="A56" s="49">
        <f>Table4[[#This Row],[
ID '#]]</f>
        <v>52</v>
      </c>
      <c r="B56" s="115" t="str">
        <f>IF(Table4[[#This Row],[T ID]]&gt;0,Table4[[#This Row],[T ID]],"")</f>
        <v>T05</v>
      </c>
      <c r="C56" s="88" t="str">
        <f>Table4[[#This Row],[Threat Event(s)]]</f>
        <v>Clearing Track
(TTP)</v>
      </c>
      <c r="D56" s="36" t="str">
        <f>IF(Table4[[#This Row],[V ID]]&gt;0,Table4[[#This Row],[V ID]],"")</f>
        <v>V07</v>
      </c>
      <c r="E56" s="88" t="str">
        <f>Table4[[#This Row],[Vulnerabilities]]</f>
        <v>Lack of configuration controls for IT assets in the informaion system plan</v>
      </c>
      <c r="F56" s="116" t="str">
        <f>IF(Table4[[#This Row],[A ID]]&gt;0,Table4[[#This Row],[A ID]],"")</f>
        <v>A01</v>
      </c>
      <c r="G56" s="88" t="str">
        <f>Table4[[#This Row],[Asset]]</f>
        <v>Tablet Resources - web cam, microphone, OTG devices, Removable USB, Tablet Application, Network interfaces (Bluetooth, Wifi)</v>
      </c>
      <c r="H56"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36" t="str">
        <f>IF(Table4[[#This Row],[Safety Impact 
(Risk ID'# or N/A)]]&gt;0,Table4[[#This Row],[Safety Impact 
(Risk ID'# or N/A)]],"")</f>
        <v>B-L2(Reference Risk Table and Risk Matrix SmartMedic Document # D001020010)</v>
      </c>
      <c r="J56" s="18" t="str">
        <f>Table4[[#This Row],[Security 
Risk 
Level]]</f>
        <v>LOW</v>
      </c>
      <c r="K5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6" s="94" t="str">
        <f>Table4[[#This Row],[Security Risk LevelP]]</f>
        <v/>
      </c>
      <c r="M56" s="36" t="str">
        <f>IF(Table4[[#This Row],[Residual Security Risk Acceptability Justification]]&gt;0,Table4[[#This Row],[Residual Security Risk Acceptability Justification]],"")</f>
        <v/>
      </c>
    </row>
    <row r="57" spans="1:13" s="26" customFormat="1" ht="126">
      <c r="A57" s="49">
        <f>Table4[[#This Row],[
ID '#]]</f>
        <v>53</v>
      </c>
      <c r="B57" s="115" t="str">
        <f>IF(Table4[[#This Row],[T ID]]&gt;0,Table4[[#This Row],[T ID]],"")</f>
        <v>T05</v>
      </c>
      <c r="C57" s="88" t="str">
        <f>Table4[[#This Row],[Threat Event(s)]]</f>
        <v>Clearing Track
(TTP)</v>
      </c>
      <c r="D57" s="36" t="str">
        <f>IF(Table4[[#This Row],[V ID]]&gt;0,Table4[[#This Row],[V ID]],"")</f>
        <v>V07</v>
      </c>
      <c r="E57" s="88" t="str">
        <f>Table4[[#This Row],[Vulnerabilities]]</f>
        <v>Lack of configuration controls for IT assets in the informaion system plan</v>
      </c>
      <c r="F57" s="116" t="str">
        <f>IF(Table4[[#This Row],[A ID]]&gt;0,Table4[[#This Row],[A ID]],"")</f>
        <v>A05</v>
      </c>
      <c r="G57" s="88" t="str">
        <f>Table4[[#This Row],[Asset]]</f>
        <v>Device Maintainence tool (Hardware/Software)</v>
      </c>
      <c r="H57"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36" t="str">
        <f>IF(Table4[[#This Row],[Safety Impact 
(Risk ID'# or N/A)]]&gt;0,Table4[[#This Row],[Safety Impact 
(Risk ID'# or N/A)]],"")</f>
        <v>B-L2(Reference Risk Table and Risk Matrix SmartMedic Document # D001020010)</v>
      </c>
      <c r="J57" s="18" t="str">
        <f>Table4[[#This Row],[Security 
Risk 
Level]]</f>
        <v>LOW</v>
      </c>
      <c r="K5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7" s="94" t="str">
        <f>Table4[[#This Row],[Security Risk LevelP]]</f>
        <v/>
      </c>
      <c r="M57" s="36" t="str">
        <f>IF(Table4[[#This Row],[Residual Security Risk Acceptability Justification]]&gt;0,Table4[[#This Row],[Residual Security Risk Acceptability Justification]],"")</f>
        <v/>
      </c>
    </row>
    <row r="58" spans="1:13" s="26" customFormat="1" ht="126">
      <c r="A58" s="49">
        <f>Table4[[#This Row],[
ID '#]]</f>
        <v>54</v>
      </c>
      <c r="B58" s="115" t="str">
        <f>IF(Table4[[#This Row],[T ID]]&gt;0,Table4[[#This Row],[T ID]],"")</f>
        <v>T05</v>
      </c>
      <c r="C58" s="88" t="str">
        <f>Table4[[#This Row],[Threat Event(s)]]</f>
        <v>Clearing Track
(TTP)</v>
      </c>
      <c r="D58" s="36" t="str">
        <f>IF(Table4[[#This Row],[V ID]]&gt;0,Table4[[#This Row],[V ID]],"")</f>
        <v>V08</v>
      </c>
      <c r="E58" s="88" t="str">
        <f>Table4[[#This Row],[Vulnerabilities]]</f>
        <v>Ineffective patch management of firware, OS and applications thoughout the information system plan</v>
      </c>
      <c r="F58" s="116" t="str">
        <f>IF(Table4[[#This Row],[A ID]]&gt;0,Table4[[#This Row],[A ID]],"")</f>
        <v>A01</v>
      </c>
      <c r="G58" s="88" t="str">
        <f>Table4[[#This Row],[Asset]]</f>
        <v>Tablet Resources - web cam, microphone, OTG devices, Removable USB, Tablet Application, Network interfaces (Bluetooth, Wifi)</v>
      </c>
      <c r="H58"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36" t="str">
        <f>IF(Table4[[#This Row],[Safety Impact 
(Risk ID'# or N/A)]]&gt;0,Table4[[#This Row],[Safety Impact 
(Risk ID'# or N/A)]],"")</f>
        <v>B-L2(Reference Risk Table and Risk Matrix SmartMedic Document # D001020010)</v>
      </c>
      <c r="J58" s="18" t="str">
        <f>Table4[[#This Row],[Security 
Risk 
Level]]</f>
        <v>LOW</v>
      </c>
      <c r="K5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8" s="94" t="str">
        <f>Table4[[#This Row],[Security Risk LevelP]]</f>
        <v/>
      </c>
      <c r="M58" s="36" t="str">
        <f>IF(Table4[[#This Row],[Residual Security Risk Acceptability Justification]]&gt;0,Table4[[#This Row],[Residual Security Risk Acceptability Justification]],"")</f>
        <v/>
      </c>
    </row>
    <row r="59" spans="1:13" s="26" customFormat="1" ht="126">
      <c r="A59" s="49">
        <f>Table4[[#This Row],[
ID '#]]</f>
        <v>55</v>
      </c>
      <c r="B59" s="115" t="str">
        <f>IF(Table4[[#This Row],[T ID]]&gt;0,Table4[[#This Row],[T ID]],"")</f>
        <v>T05</v>
      </c>
      <c r="C59" s="88" t="str">
        <f>Table4[[#This Row],[Threat Event(s)]]</f>
        <v>Clearing Track
(TTP)</v>
      </c>
      <c r="D59" s="36" t="str">
        <f>IF(Table4[[#This Row],[V ID]]&gt;0,Table4[[#This Row],[V ID]],"")</f>
        <v>V08</v>
      </c>
      <c r="E59" s="88" t="str">
        <f>Table4[[#This Row],[Vulnerabilities]]</f>
        <v>Ineffective patch management of firware, OS and applications thoughout the information system plan</v>
      </c>
      <c r="F59" s="116" t="str">
        <f>IF(Table4[[#This Row],[A ID]]&gt;0,Table4[[#This Row],[A ID]],"")</f>
        <v>A05</v>
      </c>
      <c r="G59" s="88" t="str">
        <f>Table4[[#This Row],[Asset]]</f>
        <v>Device Maintainence tool (Hardware/Software)</v>
      </c>
      <c r="H59"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36" t="str">
        <f>IF(Table4[[#This Row],[Safety Impact 
(Risk ID'# or N/A)]]&gt;0,Table4[[#This Row],[Safety Impact 
(Risk ID'# or N/A)]],"")</f>
        <v>B-L2(Reference Risk Table and Risk Matrix SmartMedic Document # D001020010)</v>
      </c>
      <c r="J59" s="18" t="str">
        <f>Table4[[#This Row],[Security 
Risk 
Level]]</f>
        <v>LOW</v>
      </c>
      <c r="K5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9" s="94" t="str">
        <f>Table4[[#This Row],[Security Risk LevelP]]</f>
        <v/>
      </c>
      <c r="M59" s="36" t="str">
        <f>IF(Table4[[#This Row],[Residual Security Risk Acceptability Justification]]&gt;0,Table4[[#This Row],[Residual Security Risk Acceptability Justification]],"")</f>
        <v/>
      </c>
    </row>
    <row r="60" spans="1:13" s="26" customFormat="1" ht="126">
      <c r="A60" s="49">
        <f>Table4[[#This Row],[
ID '#]]</f>
        <v>56</v>
      </c>
      <c r="B60" s="115" t="str">
        <f>IF(Table4[[#This Row],[T ID]]&gt;0,Table4[[#This Row],[T ID]],"")</f>
        <v>T05</v>
      </c>
      <c r="C60" s="88" t="str">
        <f>Table4[[#This Row],[Threat Event(s)]]</f>
        <v>Clearing Track
(TTP)</v>
      </c>
      <c r="D60" s="36" t="str">
        <f>IF(Table4[[#This Row],[V ID]]&gt;0,Table4[[#This Row],[V ID]],"")</f>
        <v>V08</v>
      </c>
      <c r="E60" s="88" t="str">
        <f>Table4[[#This Row],[Vulnerabilities]]</f>
        <v>Ineffective patch management of firware, OS and applications thoughout the information system plan</v>
      </c>
      <c r="F60" s="116" t="str">
        <f>IF(Table4[[#This Row],[A ID]]&gt;0,Table4[[#This Row],[A ID]],"")</f>
        <v>A02</v>
      </c>
      <c r="G60" s="88" t="str">
        <f>Table4[[#This Row],[Asset]]</f>
        <v>Tablet OS/network details &amp; Tablet Application</v>
      </c>
      <c r="H60"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36" t="str">
        <f>IF(Table4[[#This Row],[Safety Impact 
(Risk ID'# or N/A)]]&gt;0,Table4[[#This Row],[Safety Impact 
(Risk ID'# or N/A)]],"")</f>
        <v>B-L2(Reference Risk Table and Risk Matrix SmartMedic Document # D001020010)</v>
      </c>
      <c r="J60" s="18" t="str">
        <f>Table4[[#This Row],[Security 
Risk 
Level]]</f>
        <v>LOW</v>
      </c>
      <c r="K6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0" s="94" t="str">
        <f>Table4[[#This Row],[Security Risk LevelP]]</f>
        <v/>
      </c>
      <c r="M60" s="36" t="str">
        <f>IF(Table4[[#This Row],[Residual Security Risk Acceptability Justification]]&gt;0,Table4[[#This Row],[Residual Security Risk Acceptability Justification]],"")</f>
        <v/>
      </c>
    </row>
    <row r="61" spans="1:13" s="26" customFormat="1" ht="126">
      <c r="A61" s="49">
        <f>Table4[[#This Row],[
ID '#]]</f>
        <v>57</v>
      </c>
      <c r="B61" s="115" t="str">
        <f>IF(Table4[[#This Row],[T ID]]&gt;0,Table4[[#This Row],[T ID]],"")</f>
        <v>T05</v>
      </c>
      <c r="C61" s="88" t="str">
        <f>Table4[[#This Row],[Threat Event(s)]]</f>
        <v>Clearing Track
(TTP)</v>
      </c>
      <c r="D61" s="36" t="str">
        <f>IF(Table4[[#This Row],[V ID]]&gt;0,Table4[[#This Row],[V ID]],"")</f>
        <v>V10</v>
      </c>
      <c r="E61" s="88" t="str">
        <f>Table4[[#This Row],[Vulnerabilities]]</f>
        <v>The  static connection digaram between devices and applications with provision for periodic updation as per changes</v>
      </c>
      <c r="F61" s="116" t="str">
        <f>IF(Table4[[#This Row],[A ID]]&gt;0,Table4[[#This Row],[A ID]],"")</f>
        <v>A05</v>
      </c>
      <c r="G61" s="88" t="str">
        <f>Table4[[#This Row],[Asset]]</f>
        <v>Device Maintainence tool (Hardware/Software)</v>
      </c>
      <c r="H61"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36" t="str">
        <f>IF(Table4[[#This Row],[Safety Impact 
(Risk ID'# or N/A)]]&gt;0,Table4[[#This Row],[Safety Impact 
(Risk ID'# or N/A)]],"")</f>
        <v>B-L2(Reference Risk Table and Risk Matrix SmartMedic Document # D001020010)</v>
      </c>
      <c r="J61" s="18" t="str">
        <f>Table4[[#This Row],[Security 
Risk 
Level]]</f>
        <v>LOW</v>
      </c>
      <c r="K6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1" s="94" t="str">
        <f>Table4[[#This Row],[Security Risk LevelP]]</f>
        <v/>
      </c>
      <c r="M61" s="36" t="str">
        <f>IF(Table4[[#This Row],[Residual Security Risk Acceptability Justification]]&gt;0,Table4[[#This Row],[Residual Security Risk Acceptability Justification]],"")</f>
        <v/>
      </c>
    </row>
    <row r="62" spans="1:13" s="26" customFormat="1" ht="126">
      <c r="A62" s="49">
        <f>Table4[[#This Row],[
ID '#]]</f>
        <v>58</v>
      </c>
      <c r="B62" s="115" t="str">
        <f>IF(Table4[[#This Row],[T ID]]&gt;0,Table4[[#This Row],[T ID]],"")</f>
        <v>T05</v>
      </c>
      <c r="C62" s="88" t="str">
        <f>Table4[[#This Row],[Threat Event(s)]]</f>
        <v>Clearing Track
(TTP)</v>
      </c>
      <c r="D62" s="36" t="str">
        <f>IF(Table4[[#This Row],[V ID]]&gt;0,Table4[[#This Row],[V ID]],"")</f>
        <v>V10</v>
      </c>
      <c r="E62" s="88" t="str">
        <f>Table4[[#This Row],[Vulnerabilities]]</f>
        <v>The  static connection digaram between devices and applications with provision for periodic updation as per changes</v>
      </c>
      <c r="F62" s="116" t="str">
        <f>IF(Table4[[#This Row],[A ID]]&gt;0,Table4[[#This Row],[A ID]],"")</f>
        <v>A01</v>
      </c>
      <c r="G62" s="88" t="str">
        <f>Table4[[#This Row],[Asset]]</f>
        <v>Tablet Resources - web cam, microphone, OTG devices, Removable USB, Tablet Application, Network interfaces (Bluetooth, Wifi)</v>
      </c>
      <c r="H62"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36" t="str">
        <f>IF(Table4[[#This Row],[Safety Impact 
(Risk ID'# or N/A)]]&gt;0,Table4[[#This Row],[Safety Impact 
(Risk ID'# or N/A)]],"")</f>
        <v>B-L2(Reference Risk Table and Risk Matrix SmartMedic Document # D001020010)</v>
      </c>
      <c r="J62" s="18" t="str">
        <f>Table4[[#This Row],[Security 
Risk 
Level]]</f>
        <v>LOW</v>
      </c>
      <c r="K6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2" s="94" t="str">
        <f>Table4[[#This Row],[Security Risk LevelP]]</f>
        <v/>
      </c>
      <c r="M62" s="36" t="str">
        <f>IF(Table4[[#This Row],[Residual Security Risk Acceptability Justification]]&gt;0,Table4[[#This Row],[Residual Security Risk Acceptability Justification]],"")</f>
        <v/>
      </c>
    </row>
    <row r="63" spans="1:13" s="26" customFormat="1" ht="168">
      <c r="A63" s="49">
        <f>Table4[[#This Row],[
ID '#]]</f>
        <v>59</v>
      </c>
      <c r="B63" s="115" t="str">
        <f>IF(Table4[[#This Row],[T ID]]&gt;0,Table4[[#This Row],[T ID]],"")</f>
        <v>T06</v>
      </c>
      <c r="C63" s="88" t="str">
        <f>Table4[[#This Row],[Threat Event(s)]]</f>
        <v>Elevation of privilege
(STRID[E])</v>
      </c>
      <c r="D63" s="36" t="str">
        <f>IF(Table4[[#This Row],[V ID]]&gt;0,Table4[[#This Row],[V ID]],"")</f>
        <v>V15</v>
      </c>
      <c r="E63" s="88" t="str">
        <f>Table4[[#This Row],[Vulnerabilities]]</f>
        <v>Controlled Use of Administrative Privileges over the network</v>
      </c>
      <c r="F63" s="116" t="str">
        <f>IF(Table4[[#This Row],[A ID]]&gt;0,Table4[[#This Row],[A ID]],"")</f>
        <v>A04</v>
      </c>
      <c r="G63" s="88" t="str">
        <f>Table4[[#This Row],[Asset]]</f>
        <v>Authentication/Authorisation method of all device(s)/app</v>
      </c>
      <c r="H63" s="19" t="str">
        <f>IF(Table4[[#This Row],[Impact Description]]&gt;0,Table4[[#This Row],[Impact Description]],"")</f>
        <v>1) Gaining access to the portal 
2) Accessing confidential data, 
3) Lead misuse of confidential data
4)  Company defamation</v>
      </c>
      <c r="I63" s="36" t="str">
        <f>IF(Table4[[#This Row],[Safety Impact 
(Risk ID'# or N/A)]]&gt;0,Table4[[#This Row],[Safety Impact 
(Risk ID'# or N/A)]],"")</f>
        <v>NA</v>
      </c>
      <c r="J63" s="18" t="str">
        <f>Table4[[#This Row],[Security 
Risk 
Level]]</f>
        <v>LOW</v>
      </c>
      <c r="K63"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94" t="str">
        <f>Table4[[#This Row],[Security Risk LevelP]]</f>
        <v/>
      </c>
      <c r="M63" s="36" t="str">
        <f>IF(Table4[[#This Row],[Residual Security Risk Acceptability Justification]]&gt;0,Table4[[#This Row],[Residual Security Risk Acceptability Justification]],"")</f>
        <v/>
      </c>
    </row>
    <row r="64" spans="1:13" s="26" customFormat="1" ht="168">
      <c r="A64" s="49">
        <f>Table4[[#This Row],[
ID '#]]</f>
        <v>60</v>
      </c>
      <c r="B64" s="115" t="str">
        <f>IF(Table4[[#This Row],[T ID]]&gt;0,Table4[[#This Row],[T ID]],"")</f>
        <v>T06</v>
      </c>
      <c r="C64" s="88" t="str">
        <f>Table4[[#This Row],[Threat Event(s)]]</f>
        <v>Elevation of privilege
(STRID[E])</v>
      </c>
      <c r="D64" s="36" t="str">
        <f>IF(Table4[[#This Row],[V ID]]&gt;0,Table4[[#This Row],[V ID]],"")</f>
        <v>V15</v>
      </c>
      <c r="E64" s="88" t="str">
        <f>Table4[[#This Row],[Vulnerabilities]]</f>
        <v>Controlled Use of Administrative Privileges over the network</v>
      </c>
      <c r="F64" s="116" t="str">
        <f>IF(Table4[[#This Row],[A ID]]&gt;0,Table4[[#This Row],[A ID]],"")</f>
        <v>A12</v>
      </c>
      <c r="G64" s="88" t="str">
        <f>Table4[[#This Row],[Asset]]</f>
        <v>Smart medic app (Azure Portal Administrator)</v>
      </c>
      <c r="H64" s="19" t="str">
        <f>IF(Table4[[#This Row],[Impact Description]]&gt;0,Table4[[#This Row],[Impact Description]],"")</f>
        <v>1) Gaining access to the portal 
2) Accessing confidential data, 
3) Lead misuse of confidential data
4)  Company defamation</v>
      </c>
      <c r="I64" s="36" t="str">
        <f>IF(Table4[[#This Row],[Safety Impact 
(Risk ID'# or N/A)]]&gt;0,Table4[[#This Row],[Safety Impact 
(Risk ID'# or N/A)]],"")</f>
        <v>NA</v>
      </c>
      <c r="J64" s="18" t="str">
        <f>Table4[[#This Row],[Security 
Risk 
Level]]</f>
        <v>MEDIUM</v>
      </c>
      <c r="K64"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94" t="str">
        <f>Table4[[#This Row],[Security Risk LevelP]]</f>
        <v/>
      </c>
      <c r="M64" s="36" t="str">
        <f>IF(Table4[[#This Row],[Residual Security Risk Acceptability Justification]]&gt;0,Table4[[#This Row],[Residual Security Risk Acceptability Justification]],"")</f>
        <v/>
      </c>
    </row>
    <row r="65" spans="1:13" s="26" customFormat="1" ht="126">
      <c r="A65" s="49">
        <f>Table4[[#This Row],[
ID '#]]</f>
        <v>61</v>
      </c>
      <c r="B65" s="115" t="str">
        <f>IF(Table4[[#This Row],[T ID]]&gt;0,Table4[[#This Row],[T ID]],"")</f>
        <v>T07</v>
      </c>
      <c r="C65" s="88" t="str">
        <f>Table4[[#This Row],[Threat Event(s)]]</f>
        <v>Denial of service
(STRI(D)E)</v>
      </c>
      <c r="D65" s="36" t="str">
        <f>IF(Table4[[#This Row],[V ID]]&gt;0,Table4[[#This Row],[V ID]],"")</f>
        <v>V12</v>
      </c>
      <c r="E65" s="88" t="str">
        <f>Table4[[#This Row],[Vulnerabilities]]</f>
        <v>Unprotected network port(s) on network devices and connection points</v>
      </c>
      <c r="F65" s="116" t="str">
        <f>IF(Table4[[#This Row],[A ID]]&gt;0,Table4[[#This Row],[A ID]],"")</f>
        <v>A02</v>
      </c>
      <c r="G65" s="88" t="str">
        <f>Table4[[#This Row],[Asset]]</f>
        <v>Tablet OS/network details &amp; Tablet Application</v>
      </c>
      <c r="H65" s="19" t="str">
        <f>IF(Table4[[#This Row],[Impact Description]]&gt;0,Table4[[#This Row],[Impact Description]],"")</f>
        <v>1) Bring down the service availability 
2) Blocking the end user usage</v>
      </c>
      <c r="I65" s="36" t="str">
        <f>IF(Table4[[#This Row],[Safety Impact 
(Risk ID'# or N/A)]]&gt;0,Table4[[#This Row],[Safety Impact 
(Risk ID'# or N/A)]],"")</f>
        <v>NA</v>
      </c>
      <c r="J65" s="18" t="str">
        <f>Table4[[#This Row],[Security 
Risk 
Level]]</f>
        <v>MEDIUM</v>
      </c>
      <c r="K65" s="19" t="str">
        <f>IF(Table4[[#This Row],[Security Risk Control Measures]]&gt;0,Table4[[#This Row],[Security Risk Control Measures]],"")</f>
        <v xml:space="preserve">1. Asset should be behind stateful firewall
2. Anti-virus with updated virus definitions
3. System log capturing any abnormal activity identified/reported by the application
4.  Use hardened interfaces (n/w) &amp; secure tunnel communications channel </v>
      </c>
      <c r="L65" s="94" t="str">
        <f>Table4[[#This Row],[Security Risk LevelP]]</f>
        <v/>
      </c>
      <c r="M65" s="36" t="str">
        <f>IF(Table4[[#This Row],[Residual Security Risk Acceptability Justification]]&gt;0,Table4[[#This Row],[Residual Security Risk Acceptability Justification]],"")</f>
        <v/>
      </c>
    </row>
    <row r="66" spans="1:13" s="26" customFormat="1" ht="140">
      <c r="A66" s="49">
        <f>Table4[[#This Row],[
ID '#]]</f>
        <v>62</v>
      </c>
      <c r="B66" s="115" t="str">
        <f>IF(Table4[[#This Row],[T ID]]&gt;0,Table4[[#This Row],[T ID]],"")</f>
        <v>T08</v>
      </c>
      <c r="C66" s="88" t="str">
        <f>Table4[[#This Row],[Threat Event(s)]]</f>
        <v>Information disclosure
(STR(I)DE)</v>
      </c>
      <c r="D66" s="36" t="str">
        <f>IF(Table4[[#This Row],[V ID]]&gt;0,Table4[[#This Row],[V ID]],"")</f>
        <v>V16</v>
      </c>
      <c r="E66" s="88" t="str">
        <f>Table4[[#This Row],[Vulnerabilities]]</f>
        <v>Unencrypted data at rest in all possible locations</v>
      </c>
      <c r="F66" s="116" t="str">
        <f>IF(Table4[[#This Row],[A ID]]&gt;0,Table4[[#This Row],[A ID]],"")</f>
        <v>A09</v>
      </c>
      <c r="G66" s="88" t="str">
        <f>Table4[[#This Row],[Asset]]</f>
        <v>Data at Rest</v>
      </c>
      <c r="H66" s="19" t="str">
        <f>IF(Table4[[#This Row],[Impact Description]]&gt;0,Table4[[#This Row],[Impact Description]],"")</f>
        <v>Information of health data can be exploit and disclose with various means like network, tablet etc.  .</v>
      </c>
      <c r="I66" s="36" t="str">
        <f>IF(Table4[[#This Row],[Safety Impact 
(Risk ID'# or N/A)]]&gt;0,Table4[[#This Row],[Safety Impact 
(Risk ID'# or N/A)]],"")</f>
        <v>NA</v>
      </c>
      <c r="J66" s="18" t="str">
        <f>Table4[[#This Row],[Security 
Risk 
Level]]</f>
        <v>LOW</v>
      </c>
      <c r="K66"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94" t="str">
        <f>Table4[[#This Row],[Security Risk LevelP]]</f>
        <v/>
      </c>
      <c r="M66" s="36" t="str">
        <f>IF(Table4[[#This Row],[Residual Security Risk Acceptability Justification]]&gt;0,Table4[[#This Row],[Residual Security Risk Acceptability Justification]],"")</f>
        <v/>
      </c>
    </row>
    <row r="67" spans="1:13" s="26" customFormat="1" ht="168">
      <c r="A67" s="49">
        <f>Table4[[#This Row],[
ID '#]]</f>
        <v>63</v>
      </c>
      <c r="B67" s="115" t="str">
        <f>IF(Table4[[#This Row],[T ID]]&gt;0,Table4[[#This Row],[T ID]],"")</f>
        <v>T08</v>
      </c>
      <c r="C67" s="88" t="str">
        <f>Table4[[#This Row],[Threat Event(s)]]</f>
        <v>Information disclosure
(STR(I)DE)</v>
      </c>
      <c r="D67" s="36" t="str">
        <f>IF(Table4[[#This Row],[V ID]]&gt;0,Table4[[#This Row],[V ID]],"")</f>
        <v>V17</v>
      </c>
      <c r="E67" s="88" t="str">
        <f>Table4[[#This Row],[Vulnerabilities]]</f>
        <v>Unencrypted data in transit in all flowchannels</v>
      </c>
      <c r="F67" s="116" t="str">
        <f>IF(Table4[[#This Row],[A ID]]&gt;0,Table4[[#This Row],[A ID]],"")</f>
        <v>A10</v>
      </c>
      <c r="G67" s="88" t="str">
        <f>Table4[[#This Row],[Asset]]</f>
        <v>Data in Transit</v>
      </c>
      <c r="H67" s="19" t="str">
        <f>IF(Table4[[#This Row],[Impact Description]]&gt;0,Table4[[#This Row],[Impact Description]],"")</f>
        <v>Information of health data can be exploit and disclose with various means like network, tablet etc.  .</v>
      </c>
      <c r="I67" s="36" t="str">
        <f>IF(Table4[[#This Row],[Safety Impact 
(Risk ID'# or N/A)]]&gt;0,Table4[[#This Row],[Safety Impact 
(Risk ID'# or N/A)]],"")</f>
        <v>NA</v>
      </c>
      <c r="J67" s="18" t="str">
        <f>Table4[[#This Row],[Security 
Risk 
Level]]</f>
        <v>LOW</v>
      </c>
      <c r="K67" s="19"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94" t="str">
        <f>Table4[[#This Row],[Security Risk LevelP]]</f>
        <v/>
      </c>
      <c r="M67" s="36" t="str">
        <f>IF(Table4[[#This Row],[Residual Security Risk Acceptability Justification]]&gt;0,Table4[[#This Row],[Residual Security Risk Acceptability Justification]],"")</f>
        <v/>
      </c>
    </row>
    <row r="68" spans="1:13" s="26" customFormat="1" ht="140">
      <c r="A68" s="49">
        <f>Table4[[#This Row],[
ID '#]]</f>
        <v>64</v>
      </c>
      <c r="B68" s="115" t="str">
        <f>IF(Table4[[#This Row],[T ID]]&gt;0,Table4[[#This Row],[T ID]],"")</f>
        <v>T08</v>
      </c>
      <c r="C68" s="88" t="str">
        <f>Table4[[#This Row],[Threat Event(s)]]</f>
        <v>Information disclosure
(STR(I)DE)</v>
      </c>
      <c r="D68" s="36" t="str">
        <f>IF(Table4[[#This Row],[V ID]]&gt;0,Table4[[#This Row],[V ID]],"")</f>
        <v>V18</v>
      </c>
      <c r="E68" s="88" t="str">
        <f>Table4[[#This Row],[Vulnerabilities]]</f>
        <v>Weak Encryption Implementaion in data at rest and in transit tactical and design wise</v>
      </c>
      <c r="F68" s="116" t="str">
        <f>IF(Table4[[#This Row],[A ID]]&gt;0,Table4[[#This Row],[A ID]],"")</f>
        <v>A09</v>
      </c>
      <c r="G68" s="88" t="str">
        <f>Table4[[#This Row],[Asset]]</f>
        <v>Data at Rest</v>
      </c>
      <c r="H68" s="19" t="str">
        <f>IF(Table4[[#This Row],[Impact Description]]&gt;0,Table4[[#This Row],[Impact Description]],"")</f>
        <v>Information of health data can be exploit and disclose with various means like network, tablet etc.  .</v>
      </c>
      <c r="I68" s="36" t="str">
        <f>IF(Table4[[#This Row],[Safety Impact 
(Risk ID'# or N/A)]]&gt;0,Table4[[#This Row],[Safety Impact 
(Risk ID'# or N/A)]],"")</f>
        <v>NA</v>
      </c>
      <c r="J68" s="18" t="str">
        <f>Table4[[#This Row],[Security 
Risk 
Level]]</f>
        <v>LOW</v>
      </c>
      <c r="K68" s="19"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94" t="str">
        <f>Table4[[#This Row],[Security Risk LevelP]]</f>
        <v/>
      </c>
      <c r="M68" s="36" t="str">
        <f>IF(Table4[[#This Row],[Residual Security Risk Acceptability Justification]]&gt;0,Table4[[#This Row],[Residual Security Risk Acceptability Justification]],"")</f>
        <v/>
      </c>
    </row>
    <row r="69" spans="1:13" s="26" customFormat="1" ht="98">
      <c r="A69" s="49">
        <f>Table4[[#This Row],[
ID '#]]</f>
        <v>65</v>
      </c>
      <c r="B69" s="115" t="str">
        <f>IF(Table4[[#This Row],[T ID]]&gt;0,Table4[[#This Row],[T ID]],"")</f>
        <v>T08</v>
      </c>
      <c r="C69" s="88" t="str">
        <f>Table4[[#This Row],[Threat Event(s)]]</f>
        <v>Information disclosure
(STR(I)DE)</v>
      </c>
      <c r="D69" s="36" t="str">
        <f>IF(Table4[[#This Row],[V ID]]&gt;0,Table4[[#This Row],[V ID]],"")</f>
        <v>V18</v>
      </c>
      <c r="E69" s="88" t="str">
        <f>Table4[[#This Row],[Vulnerabilities]]</f>
        <v>Weak Encryption Implementaion in data at rest and in transit tactical and design wise</v>
      </c>
      <c r="F69" s="116" t="str">
        <f>IF(Table4[[#This Row],[A ID]]&gt;0,Table4[[#This Row],[A ID]],"")</f>
        <v>A10</v>
      </c>
      <c r="G69" s="88" t="str">
        <f>Table4[[#This Row],[Asset]]</f>
        <v>Data in Transit</v>
      </c>
      <c r="H69" s="19" t="str">
        <f>IF(Table4[[#This Row],[Impact Description]]&gt;0,Table4[[#This Row],[Impact Description]],"")</f>
        <v>Information of health data can be exploit and disclose with various means like network, tablet etc.  .</v>
      </c>
      <c r="I69" s="36" t="str">
        <f>IF(Table4[[#This Row],[Safety Impact 
(Risk ID'# or N/A)]]&gt;0,Table4[[#This Row],[Safety Impact 
(Risk ID'# or N/A)]],"")</f>
        <v>NA</v>
      </c>
      <c r="J69" s="18" t="str">
        <f>Table4[[#This Row],[Security 
Risk 
Level]]</f>
        <v>LOW</v>
      </c>
      <c r="K69" s="19"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94" t="str">
        <f>Table4[[#This Row],[Security Risk LevelP]]</f>
        <v/>
      </c>
      <c r="M69" s="36" t="str">
        <f>IF(Table4[[#This Row],[Residual Security Risk Acceptability Justification]]&gt;0,Table4[[#This Row],[Residual Security Risk Acceptability Justification]],"")</f>
        <v/>
      </c>
    </row>
    <row r="70" spans="1:13" s="26" customFormat="1" ht="112">
      <c r="A70" s="49">
        <f>Table4[[#This Row],[
ID '#]]</f>
        <v>66</v>
      </c>
      <c r="B70" s="115" t="str">
        <f>IF(Table4[[#This Row],[T ID]]&gt;0,Table4[[#This Row],[T ID]],"")</f>
        <v>T08</v>
      </c>
      <c r="C70" s="88" t="str">
        <f>Table4[[#This Row],[Threat Event(s)]]</f>
        <v>Information disclosure
(STR(I)DE)</v>
      </c>
      <c r="D70" s="36" t="str">
        <f>IF(Table4[[#This Row],[V ID]]&gt;0,Table4[[#This Row],[V ID]],"")</f>
        <v>V19</v>
      </c>
      <c r="E70" s="88" t="str">
        <f>Table4[[#This Row],[Vulnerabilities]]</f>
        <v>Weak Algorthim implementation with respect cipher key size</v>
      </c>
      <c r="F70" s="116" t="str">
        <f>IF(Table4[[#This Row],[A ID]]&gt;0,Table4[[#This Row],[A ID]],"")</f>
        <v>A09</v>
      </c>
      <c r="G70" s="88" t="str">
        <f>Table4[[#This Row],[Asset]]</f>
        <v>Data at Rest</v>
      </c>
      <c r="H70" s="19" t="str">
        <f>IF(Table4[[#This Row],[Impact Description]]&gt;0,Table4[[#This Row],[Impact Description]],"")</f>
        <v>Information of health data can be exploit and disclose with various means like network, tablet etc.  .</v>
      </c>
      <c r="I70" s="36" t="str">
        <f>IF(Table4[[#This Row],[Safety Impact 
(Risk ID'# or N/A)]]&gt;0,Table4[[#This Row],[Safety Impact 
(Risk ID'# or N/A)]],"")</f>
        <v>NA</v>
      </c>
      <c r="J70" s="18" t="str">
        <f>Table4[[#This Row],[Security 
Risk 
Level]]</f>
        <v>LOW</v>
      </c>
      <c r="K70"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94" t="str">
        <f>Table4[[#This Row],[Security Risk LevelP]]</f>
        <v/>
      </c>
      <c r="M70" s="36" t="str">
        <f>IF(Table4[[#This Row],[Residual Security Risk Acceptability Justification]]&gt;0,Table4[[#This Row],[Residual Security Risk Acceptability Justification]],"")</f>
        <v/>
      </c>
    </row>
    <row r="71" spans="1:13" s="26" customFormat="1" ht="112">
      <c r="A71" s="49">
        <f>Table4[[#This Row],[
ID '#]]</f>
        <v>67</v>
      </c>
      <c r="B71" s="115" t="str">
        <f>IF(Table4[[#This Row],[T ID]]&gt;0,Table4[[#This Row],[T ID]],"")</f>
        <v>T08</v>
      </c>
      <c r="C71" s="88" t="str">
        <f>Table4[[#This Row],[Threat Event(s)]]</f>
        <v>Information disclosure
(STR(I)DE)</v>
      </c>
      <c r="D71" s="36" t="str">
        <f>IF(Table4[[#This Row],[V ID]]&gt;0,Table4[[#This Row],[V ID]],"")</f>
        <v>V19</v>
      </c>
      <c r="E71" s="88" t="str">
        <f>Table4[[#This Row],[Vulnerabilities]]</f>
        <v>Weak Algorthim implementation with respect cipher key size</v>
      </c>
      <c r="F71" s="116" t="str">
        <f>IF(Table4[[#This Row],[A ID]]&gt;0,Table4[[#This Row],[A ID]],"")</f>
        <v>A10</v>
      </c>
      <c r="G71" s="88" t="str">
        <f>Table4[[#This Row],[Asset]]</f>
        <v>Data in Transit</v>
      </c>
      <c r="H71" s="19" t="str">
        <f>IF(Table4[[#This Row],[Impact Description]]&gt;0,Table4[[#This Row],[Impact Description]],"")</f>
        <v>Information of health data can be exploit and disclose with various means like network, tablet etc.  .</v>
      </c>
      <c r="I71" s="36" t="str">
        <f>IF(Table4[[#This Row],[Safety Impact 
(Risk ID'# or N/A)]]&gt;0,Table4[[#This Row],[Safety Impact 
(Risk ID'# or N/A)]],"")</f>
        <v>NA</v>
      </c>
      <c r="J71" s="18" t="str">
        <f>Table4[[#This Row],[Security 
Risk 
Level]]</f>
        <v>LOW</v>
      </c>
      <c r="K71"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94" t="str">
        <f>Table4[[#This Row],[Security Risk LevelP]]</f>
        <v/>
      </c>
      <c r="M71" s="36" t="str">
        <f>IF(Table4[[#This Row],[Residual Security Risk Acceptability Justification]]&gt;0,Table4[[#This Row],[Residual Security Risk Acceptability Justification]],"")</f>
        <v/>
      </c>
    </row>
    <row r="72" spans="1:13" s="26" customFormat="1" ht="140">
      <c r="A72" s="49">
        <f>Table4[[#This Row],[
ID '#]]</f>
        <v>68</v>
      </c>
      <c r="B72" s="115" t="str">
        <f>IF(Table4[[#This Row],[T ID]]&gt;0,Table4[[#This Row],[T ID]],"")</f>
        <v>T08</v>
      </c>
      <c r="C72" s="88" t="str">
        <f>Table4[[#This Row],[Threat Event(s)]]</f>
        <v>Information disclosure
(STR(I)DE)</v>
      </c>
      <c r="D72" s="36" t="str">
        <f>IF(Table4[[#This Row],[V ID]]&gt;0,Table4[[#This Row],[V ID]],"")</f>
        <v>V21</v>
      </c>
      <c r="E72" s="88" t="str">
        <f>Table4[[#This Row],[Vulnerabilities]]</f>
        <v>InSecure Configuration for Software/OS on Mobile Devices, Laptops, Workstations, and Servers</v>
      </c>
      <c r="F72" s="116" t="str">
        <f>IF(Table4[[#This Row],[A ID]]&gt;0,Table4[[#This Row],[A ID]],"")</f>
        <v>A01</v>
      </c>
      <c r="G72" s="88" t="str">
        <f>Table4[[#This Row],[Asset]]</f>
        <v>Tablet Resources - web cam, microphone, OTG devices, Removable USB, Tablet Application, Network interfaces (Bluetooth, Wifi)</v>
      </c>
      <c r="H72" s="19" t="str">
        <f>IF(Table4[[#This Row],[Impact Description]]&gt;0,Table4[[#This Row],[Impact Description]],"")</f>
        <v>Information of health data can be exploit and disclose with various means like network, tablet etc.  .</v>
      </c>
      <c r="I72" s="36" t="str">
        <f>IF(Table4[[#This Row],[Safety Impact 
(Risk ID'# or N/A)]]&gt;0,Table4[[#This Row],[Safety Impact 
(Risk ID'# or N/A)]],"")</f>
        <v>NA</v>
      </c>
      <c r="J72" s="18" t="str">
        <f>Table4[[#This Row],[Security 
Risk 
Level]]</f>
        <v>LOW</v>
      </c>
      <c r="K7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v>
      </c>
      <c r="L72" s="94" t="str">
        <f>Table4[[#This Row],[Security Risk LevelP]]</f>
        <v/>
      </c>
      <c r="M72" s="36" t="str">
        <f>IF(Table4[[#This Row],[Residual Security Risk Acceptability Justification]]&gt;0,Table4[[#This Row],[Residual Security Risk Acceptability Justification]],"")</f>
        <v/>
      </c>
    </row>
    <row r="73" spans="1:13" s="26" customFormat="1" ht="140">
      <c r="A73" s="49">
        <f>Table4[[#This Row],[
ID '#]]</f>
        <v>69</v>
      </c>
      <c r="B73" s="115" t="str">
        <f>IF(Table4[[#This Row],[T ID]]&gt;0,Table4[[#This Row],[T ID]],"")</f>
        <v>T08</v>
      </c>
      <c r="C73" s="88" t="str">
        <f>Table4[[#This Row],[Threat Event(s)]]</f>
        <v>Information disclosure
(STR(I)DE)</v>
      </c>
      <c r="D73" s="36" t="str">
        <f>IF(Table4[[#This Row],[V ID]]&gt;0,Table4[[#This Row],[V ID]],"")</f>
        <v>V14</v>
      </c>
      <c r="E73" s="88" t="str">
        <f>Table4[[#This Row],[Vulnerabilities]]</f>
        <v>Unencrypted Network segment through out the information flow</v>
      </c>
      <c r="F73" s="116" t="str">
        <f>IF(Table4[[#This Row],[A ID]]&gt;0,Table4[[#This Row],[A ID]],"")</f>
        <v>A10</v>
      </c>
      <c r="G73" s="88" t="str">
        <f>Table4[[#This Row],[Asset]]</f>
        <v>Data in Transit</v>
      </c>
      <c r="H73" s="19" t="str">
        <f>IF(Table4[[#This Row],[Impact Description]]&gt;0,Table4[[#This Row],[Impact Description]],"")</f>
        <v>Information of health data can be exploit and disclose with various means like network, tablet etc.  .</v>
      </c>
      <c r="I73" s="36" t="str">
        <f>IF(Table4[[#This Row],[Safety Impact 
(Risk ID'# or N/A)]]&gt;0,Table4[[#This Row],[Safety Impact 
(Risk ID'# or N/A)]],"")</f>
        <v>NA</v>
      </c>
      <c r="J73" s="18" t="str">
        <f>Table4[[#This Row],[Security 
Risk 
Level]]</f>
        <v>LOW</v>
      </c>
      <c r="K73" s="19" t="str">
        <f>IF(Table4[[#This Row],[Security Risk Control Measures]]&gt;0,Table4[[#This Row],[Security Risk Control Measures]],"")</f>
        <v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v>
      </c>
      <c r="L73" s="94" t="str">
        <f>Table4[[#This Row],[Security Risk LevelP]]</f>
        <v/>
      </c>
      <c r="M73" s="36" t="str">
        <f>IF(Table4[[#This Row],[Residual Security Risk Acceptability Justification]]&gt;0,Table4[[#This Row],[Residual Security Risk Acceptability Justification]],"")</f>
        <v/>
      </c>
    </row>
    <row r="74" spans="1:13" s="26" customFormat="1" ht="112">
      <c r="A74" s="49">
        <f>Table4[[#This Row],[
ID '#]]</f>
        <v>70</v>
      </c>
      <c r="B74" s="115" t="str">
        <f>IF(Table4[[#This Row],[T ID]]&gt;0,Table4[[#This Row],[T ID]],"")</f>
        <v>T08</v>
      </c>
      <c r="C74" s="88" t="str">
        <f>Table4[[#This Row],[Threat Event(s)]]</f>
        <v>Information disclosure
(STR(I)DE)</v>
      </c>
      <c r="D74" s="36" t="str">
        <f>IF(Table4[[#This Row],[V ID]]&gt;0,Table4[[#This Row],[V ID]],"")</f>
        <v>V05</v>
      </c>
      <c r="E74" s="88" t="str">
        <f>Table4[[#This Row],[Vulnerabilities]]</f>
        <v>Insecure communications in networks (hospital)</v>
      </c>
      <c r="F74" s="116" t="str">
        <f>IF(Table4[[#This Row],[A ID]]&gt;0,Table4[[#This Row],[A ID]],"")</f>
        <v>A10</v>
      </c>
      <c r="G74" s="88" t="str">
        <f>Table4[[#This Row],[Asset]]</f>
        <v>Data in Transit</v>
      </c>
      <c r="H74" s="19" t="str">
        <f>IF(Table4[[#This Row],[Impact Description]]&gt;0,Table4[[#This Row],[Impact Description]],"")</f>
        <v>Information of health data can be exploit and disclose with various means like network, tablet etc.  .</v>
      </c>
      <c r="I74" s="36" t="str">
        <f>IF(Table4[[#This Row],[Safety Impact 
(Risk ID'# or N/A)]]&gt;0,Table4[[#This Row],[Safety Impact 
(Risk ID'# or N/A)]],"")</f>
        <v>NA</v>
      </c>
      <c r="J74" s="18" t="str">
        <f>Table4[[#This Row],[Security 
Risk 
Level]]</f>
        <v>LOW</v>
      </c>
      <c r="K74" s="19"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94" t="str">
        <f>Table4[[#This Row],[Security Risk LevelP]]</f>
        <v/>
      </c>
      <c r="M74" s="36" t="str">
        <f>IF(Table4[[#This Row],[Residual Security Risk Acceptability Justification]]&gt;0,Table4[[#This Row],[Residual Security Risk Acceptability Justification]],"")</f>
        <v/>
      </c>
    </row>
    <row r="75" spans="1:13" s="26" customFormat="1" ht="126">
      <c r="A75" s="49">
        <f>Table4[[#This Row],[
ID '#]]</f>
        <v>71</v>
      </c>
      <c r="B75" s="115" t="str">
        <f>IF(Table4[[#This Row],[T ID]]&gt;0,Table4[[#This Row],[T ID]],"")</f>
        <v>T09</v>
      </c>
      <c r="C75" s="88" t="str">
        <f>Table4[[#This Row],[Threat Event(s)]]</f>
        <v>Data Access
(STR[I]DE)</v>
      </c>
      <c r="D75" s="36" t="str">
        <f>IF(Table4[[#This Row],[V ID]]&gt;0,Table4[[#This Row],[V ID]],"")</f>
        <v>V12</v>
      </c>
      <c r="E75" s="88" t="str">
        <f>Table4[[#This Row],[Vulnerabilities]]</f>
        <v>Unprotected network port(s) on network devices and connection points</v>
      </c>
      <c r="F75" s="116" t="str">
        <f>IF(Table4[[#This Row],[A ID]]&gt;0,Table4[[#This Row],[A ID]],"")</f>
        <v>A01</v>
      </c>
      <c r="G75" s="88" t="str">
        <f>Table4[[#This Row],[Asset]]</f>
        <v>Tablet Resources - web cam, microphone, OTG devices, Removable USB, Tablet Application, Network interfaces (Bluetooth, Wifi)</v>
      </c>
      <c r="H75"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5" s="36" t="str">
        <f>IF(Table4[[#This Row],[Safety Impact 
(Risk ID'# or N/A)]]&gt;0,Table4[[#This Row],[Safety Impact 
(Risk ID'# or N/A)]],"")</f>
        <v>NA</v>
      </c>
      <c r="J75" s="18" t="str">
        <f>Table4[[#This Row],[Security 
Risk 
Level]]</f>
        <v>LOW</v>
      </c>
      <c r="K7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5" s="94" t="str">
        <f>Table4[[#This Row],[Security Risk LevelP]]</f>
        <v/>
      </c>
      <c r="M75" s="36" t="str">
        <f>IF(Table4[[#This Row],[Residual Security Risk Acceptability Justification]]&gt;0,Table4[[#This Row],[Residual Security Risk Acceptability Justification]],"")</f>
        <v/>
      </c>
    </row>
    <row r="76" spans="1:13" s="26" customFormat="1" ht="126">
      <c r="A76" s="49">
        <f>Table4[[#This Row],[
ID '#]]</f>
        <v>72</v>
      </c>
      <c r="B76" s="115" t="str">
        <f>IF(Table4[[#This Row],[T ID]]&gt;0,Table4[[#This Row],[T ID]],"")</f>
        <v>T09</v>
      </c>
      <c r="C76" s="88" t="str">
        <f>Table4[[#This Row],[Threat Event(s)]]</f>
        <v>Data Access
(STR[I]DE)</v>
      </c>
      <c r="D76" s="36" t="str">
        <f>IF(Table4[[#This Row],[V ID]]&gt;0,Table4[[#This Row],[V ID]],"")</f>
        <v>V12</v>
      </c>
      <c r="E76" s="88" t="str">
        <f>Table4[[#This Row],[Vulnerabilities]]</f>
        <v>Unprotected network port(s) on network devices and connection points</v>
      </c>
      <c r="F76" s="116" t="str">
        <f>IF(Table4[[#This Row],[A ID]]&gt;0,Table4[[#This Row],[A ID]],"")</f>
        <v>A02</v>
      </c>
      <c r="G76" s="88" t="str">
        <f>Table4[[#This Row],[Asset]]</f>
        <v>Tablet OS/network details &amp; Tablet Application</v>
      </c>
      <c r="H76"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6" s="36" t="str">
        <f>IF(Table4[[#This Row],[Safety Impact 
(Risk ID'# or N/A)]]&gt;0,Table4[[#This Row],[Safety Impact 
(Risk ID'# or N/A)]],"")</f>
        <v>NA</v>
      </c>
      <c r="J76" s="18" t="str">
        <f>Table4[[#This Row],[Security 
Risk 
Level]]</f>
        <v>LOW</v>
      </c>
      <c r="K7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6" s="94" t="str">
        <f>Table4[[#This Row],[Security Risk LevelP]]</f>
        <v/>
      </c>
      <c r="M76" s="36" t="str">
        <f>IF(Table4[[#This Row],[Residual Security Risk Acceptability Justification]]&gt;0,Table4[[#This Row],[Residual Security Risk Acceptability Justification]],"")</f>
        <v/>
      </c>
    </row>
    <row r="77" spans="1:13" s="26" customFormat="1" ht="168">
      <c r="A77" s="49">
        <f>Table4[[#This Row],[
ID '#]]</f>
        <v>73</v>
      </c>
      <c r="B77" s="115" t="str">
        <f>IF(Table4[[#This Row],[T ID]]&gt;0,Table4[[#This Row],[T ID]],"")</f>
        <v>T09</v>
      </c>
      <c r="C77" s="88" t="str">
        <f>Table4[[#This Row],[Threat Event(s)]]</f>
        <v>Data Access
(STR[I]DE)</v>
      </c>
      <c r="D77" s="36" t="str">
        <f>IF(Table4[[#This Row],[V ID]]&gt;0,Table4[[#This Row],[V ID]],"")</f>
        <v>V01</v>
      </c>
      <c r="E77" s="88" t="str">
        <f>Table4[[#This Row],[Vulnerabilities]]</f>
        <v>Devices with default passwords needs to be checked for bruteforce attacks</v>
      </c>
      <c r="F77" s="116" t="str">
        <f>IF(Table4[[#This Row],[A ID]]&gt;0,Table4[[#This Row],[A ID]],"")</f>
        <v>A09</v>
      </c>
      <c r="G77" s="88" t="str">
        <f>Table4[[#This Row],[Asset]]</f>
        <v>Data at Rest</v>
      </c>
      <c r="H77"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7" s="36" t="str">
        <f>IF(Table4[[#This Row],[Safety Impact 
(Risk ID'# or N/A)]]&gt;0,Table4[[#This Row],[Safety Impact 
(Risk ID'# or N/A)]],"")</f>
        <v>NA</v>
      </c>
      <c r="J77" s="18" t="str">
        <f>Table4[[#This Row],[Security 
Risk 
Level]]</f>
        <v>LOW</v>
      </c>
      <c r="K77"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7" s="94" t="str">
        <f>Table4[[#This Row],[Security Risk LevelP]]</f>
        <v/>
      </c>
      <c r="M77" s="36" t="str">
        <f>IF(Table4[[#This Row],[Residual Security Risk Acceptability Justification]]&gt;0,Table4[[#This Row],[Residual Security Risk Acceptability Justification]],"")</f>
        <v/>
      </c>
    </row>
    <row r="78" spans="1:13" s="26" customFormat="1" ht="168">
      <c r="A78" s="49">
        <f>Table4[[#This Row],[
ID '#]]</f>
        <v>74</v>
      </c>
      <c r="B78" s="115" t="str">
        <f>IF(Table4[[#This Row],[T ID]]&gt;0,Table4[[#This Row],[T ID]],"")</f>
        <v>T09</v>
      </c>
      <c r="C78" s="88" t="str">
        <f>Table4[[#This Row],[Threat Event(s)]]</f>
        <v>Data Access
(STR[I]DE)</v>
      </c>
      <c r="D78" s="36" t="str">
        <f>IF(Table4[[#This Row],[V ID]]&gt;0,Table4[[#This Row],[V ID]],"")</f>
        <v>V01</v>
      </c>
      <c r="E78" s="88" t="str">
        <f>Table4[[#This Row],[Vulnerabilities]]</f>
        <v>Devices with default passwords needs to be checked for bruteforce attacks</v>
      </c>
      <c r="F78" s="116" t="str">
        <f>IF(Table4[[#This Row],[A ID]]&gt;0,Table4[[#This Row],[A ID]],"")</f>
        <v>A04</v>
      </c>
      <c r="G78" s="88" t="str">
        <f>Table4[[#This Row],[Asset]]</f>
        <v>Authentication/Authorisation method of all device(s)/app</v>
      </c>
      <c r="H78"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8" s="36" t="str">
        <f>IF(Table4[[#This Row],[Safety Impact 
(Risk ID'# or N/A)]]&gt;0,Table4[[#This Row],[Safety Impact 
(Risk ID'# or N/A)]],"")</f>
        <v>NA</v>
      </c>
      <c r="J78" s="18" t="str">
        <f>Table4[[#This Row],[Security 
Risk 
Level]]</f>
        <v>MEDIUM</v>
      </c>
      <c r="K78"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8" s="94" t="str">
        <f>Table4[[#This Row],[Security Risk LevelP]]</f>
        <v/>
      </c>
      <c r="M78" s="36" t="str">
        <f>IF(Table4[[#This Row],[Residual Security Risk Acceptability Justification]]&gt;0,Table4[[#This Row],[Residual Security Risk Acceptability Justification]],"")</f>
        <v/>
      </c>
    </row>
    <row r="79" spans="1:13" s="26" customFormat="1" ht="168">
      <c r="A79" s="49">
        <f>Table4[[#This Row],[
ID '#]]</f>
        <v>75</v>
      </c>
      <c r="B79" s="115" t="str">
        <f>IF(Table4[[#This Row],[T ID]]&gt;0,Table4[[#This Row],[T ID]],"")</f>
        <v>T09</v>
      </c>
      <c r="C79" s="88" t="str">
        <f>Table4[[#This Row],[Threat Event(s)]]</f>
        <v>Data Access
(STR[I]DE)</v>
      </c>
      <c r="D79" s="36" t="str">
        <f>IF(Table4[[#This Row],[V ID]]&gt;0,Table4[[#This Row],[V ID]],"")</f>
        <v>V01</v>
      </c>
      <c r="E79" s="88" t="str">
        <f>Table4[[#This Row],[Vulnerabilities]]</f>
        <v>Devices with default passwords needs to be checked for bruteforce attacks</v>
      </c>
      <c r="F79" s="116" t="str">
        <f>IF(Table4[[#This Row],[A ID]]&gt;0,Table4[[#This Row],[A ID]],"")</f>
        <v>A10</v>
      </c>
      <c r="G79" s="88" t="str">
        <f>Table4[[#This Row],[Asset]]</f>
        <v>Data in Transit</v>
      </c>
      <c r="H79"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9" s="36" t="str">
        <f>IF(Table4[[#This Row],[Safety Impact 
(Risk ID'# or N/A)]]&gt;0,Table4[[#This Row],[Safety Impact 
(Risk ID'# or N/A)]],"")</f>
        <v>NA</v>
      </c>
      <c r="J79" s="18" t="str">
        <f>Table4[[#This Row],[Security 
Risk 
Level]]</f>
        <v>LOW</v>
      </c>
      <c r="K79"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9" s="94" t="str">
        <f>Table4[[#This Row],[Security Risk LevelP]]</f>
        <v/>
      </c>
      <c r="M79" s="36" t="str">
        <f>IF(Table4[[#This Row],[Residual Security Risk Acceptability Justification]]&gt;0,Table4[[#This Row],[Residual Security Risk Acceptability Justification]],"")</f>
        <v/>
      </c>
    </row>
    <row r="80" spans="1:13" s="26" customFormat="1" ht="196">
      <c r="A80" s="49">
        <f>Table4[[#This Row],[
ID '#]]</f>
        <v>76</v>
      </c>
      <c r="B80" s="115" t="str">
        <f>IF(Table4[[#This Row],[T ID]]&gt;0,Table4[[#This Row],[T ID]],"")</f>
        <v>T09</v>
      </c>
      <c r="C80" s="88" t="str">
        <f>Table4[[#This Row],[Threat Event(s)]]</f>
        <v>Data Access
(STR[I]DE)</v>
      </c>
      <c r="D80" s="36" t="str">
        <f>IF(Table4[[#This Row],[V ID]]&gt;0,Table4[[#This Row],[V ID]],"")</f>
        <v>V03</v>
      </c>
      <c r="E80" s="88" t="str">
        <f>Table4[[#This Row],[Vulnerabilities]]</f>
        <v>The password complexity or location vulnerability. Like weak passwords and hardcoded passwords.</v>
      </c>
      <c r="F80" s="116" t="str">
        <f>IF(Table4[[#This Row],[A ID]]&gt;0,Table4[[#This Row],[A ID]],"")</f>
        <v>A09</v>
      </c>
      <c r="G80" s="88" t="str">
        <f>Table4[[#This Row],[Asset]]</f>
        <v>Data at Rest</v>
      </c>
      <c r="H80"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80" s="36" t="str">
        <f>IF(Table4[[#This Row],[Safety Impact 
(Risk ID'# or N/A)]]&gt;0,Table4[[#This Row],[Safety Impact 
(Risk ID'# or N/A)]],"")</f>
        <v>NA</v>
      </c>
      <c r="J80" s="18" t="str">
        <f>Table4[[#This Row],[Security 
Risk 
Level]]</f>
        <v>LOW</v>
      </c>
      <c r="K80" s="19" t="str">
        <f>IF(Table4[[#This Row],[Security Risk Control Measures]]&gt;0,Table4[[#This Row],[Security Risk Control Measures]],"")</f>
        <v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v>
      </c>
      <c r="L80" s="94" t="str">
        <f>Table4[[#This Row],[Security Risk LevelP]]</f>
        <v/>
      </c>
      <c r="M80" s="36" t="str">
        <f>IF(Table4[[#This Row],[Residual Security Risk Acceptability Justification]]&gt;0,Table4[[#This Row],[Residual Security Risk Acceptability Justification]],"")</f>
        <v/>
      </c>
    </row>
    <row r="81" spans="1:13" s="26" customFormat="1" ht="14">
      <c r="A81" s="49"/>
      <c r="B81" s="36"/>
      <c r="C81" s="88"/>
      <c r="D81" s="36"/>
      <c r="E81" s="88"/>
      <c r="F81" s="116"/>
      <c r="G81" s="88"/>
      <c r="H81" s="19"/>
      <c r="I81" s="36"/>
      <c r="J81" s="18"/>
      <c r="K81" s="36"/>
      <c r="L81" s="94"/>
      <c r="M81" s="36"/>
    </row>
    <row r="82" spans="1:13" s="26" customFormat="1" ht="14">
      <c r="A82" s="49"/>
      <c r="B82" s="36"/>
      <c r="C82" s="88"/>
      <c r="D82" s="36"/>
      <c r="E82" s="88"/>
      <c r="F82" s="116"/>
      <c r="G82" s="88"/>
      <c r="H82" s="19"/>
      <c r="I82" s="36"/>
      <c r="J82" s="18"/>
      <c r="K82" s="36"/>
      <c r="L82" s="94"/>
      <c r="M82" s="36"/>
    </row>
    <row r="83" spans="1:13" s="26" customFormat="1" ht="14">
      <c r="A83" s="49"/>
      <c r="B83" s="36"/>
      <c r="C83" s="88"/>
      <c r="D83" s="36"/>
      <c r="E83" s="88"/>
      <c r="F83" s="116"/>
      <c r="G83" s="88"/>
      <c r="H83" s="19"/>
      <c r="I83" s="36"/>
      <c r="J83" s="18"/>
      <c r="K83" s="36"/>
      <c r="L83" s="94"/>
      <c r="M83" s="36"/>
    </row>
    <row r="84" spans="1:13" s="26" customFormat="1" ht="14">
      <c r="A84" s="49"/>
      <c r="B84" s="36"/>
      <c r="C84" s="88"/>
      <c r="D84" s="36"/>
      <c r="E84" s="88"/>
      <c r="F84" s="116"/>
      <c r="G84" s="88"/>
      <c r="H84" s="19"/>
      <c r="I84" s="36"/>
      <c r="J84" s="18"/>
      <c r="K84" s="36"/>
      <c r="L84" s="94"/>
      <c r="M84" s="36"/>
    </row>
    <row r="85" spans="1:13" s="26" customFormat="1" ht="14">
      <c r="A85" s="49"/>
      <c r="B85" s="36"/>
      <c r="C85" s="88"/>
      <c r="D85" s="36"/>
      <c r="E85" s="88"/>
      <c r="F85" s="116"/>
      <c r="G85" s="88"/>
      <c r="H85" s="19"/>
      <c r="I85" s="36"/>
      <c r="J85" s="18"/>
      <c r="K85" s="36"/>
      <c r="L85" s="94"/>
      <c r="M85" s="36"/>
    </row>
    <row r="86" spans="1:13" s="26" customFormat="1" ht="14">
      <c r="A86" s="49"/>
      <c r="B86" s="36"/>
      <c r="C86" s="88"/>
      <c r="D86" s="36"/>
      <c r="E86" s="88"/>
      <c r="F86" s="116"/>
      <c r="G86" s="88"/>
      <c r="H86" s="19"/>
      <c r="I86" s="36"/>
      <c r="J86" s="18"/>
      <c r="K86" s="36"/>
      <c r="L86" s="94"/>
      <c r="M86" s="36"/>
    </row>
    <row r="87" spans="1:13" s="26" customFormat="1" ht="14">
      <c r="A87" s="49"/>
      <c r="B87" s="36"/>
      <c r="C87" s="88"/>
      <c r="D87" s="36"/>
      <c r="E87" s="88"/>
      <c r="F87" s="116"/>
      <c r="G87" s="88"/>
      <c r="H87" s="19"/>
      <c r="I87" s="36"/>
      <c r="J87" s="18"/>
      <c r="K87" s="36"/>
      <c r="L87" s="94"/>
      <c r="M87" s="36"/>
    </row>
    <row r="88" spans="1:13" s="26" customFormat="1" ht="14">
      <c r="A88" s="49"/>
      <c r="B88" s="115"/>
      <c r="C88" s="19"/>
      <c r="D88" s="36"/>
      <c r="E88" s="19"/>
      <c r="F88" s="36"/>
      <c r="G88" s="19"/>
      <c r="H88" s="19"/>
      <c r="I88" s="36"/>
      <c r="J88" s="89"/>
      <c r="K88" s="36"/>
      <c r="L88" s="90"/>
      <c r="M88" s="36"/>
    </row>
    <row r="89" spans="1:13" s="26" customFormat="1">
      <c r="E89" s="58"/>
    </row>
    <row r="90" spans="1:13" s="26" customFormat="1">
      <c r="A90" s="24"/>
      <c r="B90" s="24"/>
      <c r="C90" s="44"/>
      <c r="D90" s="24"/>
      <c r="E90" s="25"/>
      <c r="F90" s="24"/>
      <c r="G90" s="24"/>
    </row>
    <row r="91" spans="1:13" s="26" customFormat="1" ht="14">
      <c r="A91" s="22" t="s">
        <v>86</v>
      </c>
      <c r="C91" s="45"/>
      <c r="E91" s="3"/>
    </row>
    <row r="92" spans="1:13" s="26" customFormat="1" ht="32.25" customHeight="1">
      <c r="B92" s="253" t="s">
        <v>87</v>
      </c>
      <c r="C92" s="253"/>
      <c r="D92" s="253"/>
      <c r="E92" s="253"/>
      <c r="F92" s="253"/>
      <c r="G92" s="253"/>
      <c r="H92" s="253"/>
    </row>
    <row r="93" spans="1:13" s="26" customFormat="1">
      <c r="A93" s="24"/>
      <c r="B93" s="24"/>
      <c r="C93" s="44"/>
      <c r="D93" s="24"/>
      <c r="E93" s="25"/>
      <c r="F93" s="24"/>
      <c r="G93" s="24"/>
    </row>
    <row r="94" spans="1:13" s="26" customFormat="1">
      <c r="A94" s="24"/>
      <c r="B94" s="24"/>
      <c r="C94" s="44"/>
      <c r="D94" s="24"/>
      <c r="E94" s="25"/>
      <c r="F94" s="24"/>
      <c r="G94" s="24"/>
    </row>
    <row r="95" spans="1:13" s="26" customFormat="1">
      <c r="A95" s="24"/>
      <c r="B95" s="24"/>
      <c r="C95" s="44"/>
      <c r="D95" s="24"/>
      <c r="E95" s="25"/>
      <c r="F95" s="24"/>
      <c r="G95" s="24"/>
    </row>
    <row r="96" spans="1:13" s="26" customFormat="1" ht="32.25" customHeight="1">
      <c r="A96" s="24"/>
      <c r="B96" s="24"/>
      <c r="C96" s="44"/>
      <c r="D96" s="24"/>
      <c r="E96" s="25"/>
      <c r="F96" s="24"/>
      <c r="G96" s="24"/>
      <c r="H96" s="23"/>
    </row>
  </sheetData>
  <mergeCells count="1">
    <mergeCell ref="B92:H92"/>
  </mergeCells>
  <conditionalFormatting sqref="L9:L88 J9:J88">
    <cfRule type="cellIs" dxfId="13" priority="2" operator="equal">
      <formula>"Critical"</formula>
    </cfRule>
    <cfRule type="cellIs" dxfId="12" priority="3" operator="equal">
      <formula>"HIGH"</formula>
    </cfRule>
    <cfRule type="cellIs" dxfId="11" priority="4" operator="equal">
      <formula>"Medium"</formula>
    </cfRule>
    <cfRule type="cellIs" dxfId="10" priority="5" operator="equal">
      <formula>"None"</formula>
    </cfRule>
    <cfRule type="cellIs" dxfId="9" priority="6" operator="equal">
      <formula>"Low"</formula>
    </cfRule>
  </conditionalFormatting>
  <pageMargins left="0.25" right="0.25" top="0.75" bottom="0.75" header="0.3" footer="0.3"/>
  <pageSetup paperSize="8" scale="76" firstPageNumber="0" fitToHeight="0" orientation="landscape" r:id="rId1"/>
  <headerFoot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R31"/>
  <sheetViews>
    <sheetView view="pageBreakPreview" zoomScale="60" zoomScaleNormal="95" workbookViewId="0">
      <selection activeCell="Q27" sqref="Q27"/>
    </sheetView>
  </sheetViews>
  <sheetFormatPr defaultColWidth="9.1796875" defaultRowHeight="14.5"/>
  <cols>
    <col min="1" max="1" width="2.1796875" customWidth="1"/>
    <col min="2" max="2" width="15.1796875" customWidth="1"/>
    <col min="4" max="4" width="5.1796875" customWidth="1"/>
    <col min="7" max="7" width="5.453125" customWidth="1"/>
    <col min="11" max="11" width="5.1796875" customWidth="1"/>
    <col min="14" max="14" width="5.1796875" customWidth="1"/>
    <col min="16" max="16" width="13.81640625" customWidth="1"/>
    <col min="17" max="17" width="11" customWidth="1"/>
    <col min="18" max="18" width="17" customWidth="1"/>
  </cols>
  <sheetData>
    <row r="1" spans="2:18" ht="58.25" customHeight="1"/>
    <row r="2" spans="2:18" s="60" customFormat="1" ht="19.75" customHeight="1">
      <c r="B2" s="117" t="s">
        <v>348</v>
      </c>
    </row>
    <row r="3" spans="2:18" s="60" customFormat="1" ht="14"/>
    <row r="4" spans="2:18" s="60" customFormat="1" ht="17.5">
      <c r="B4" s="261" t="s">
        <v>349</v>
      </c>
      <c r="C4" s="261"/>
      <c r="D4" s="261"/>
      <c r="E4" s="261"/>
      <c r="F4" s="261"/>
      <c r="G4" s="261"/>
      <c r="H4" s="261"/>
      <c r="I4" s="261"/>
      <c r="J4" s="261"/>
      <c r="K4" s="261"/>
      <c r="L4" s="261"/>
      <c r="M4" s="261"/>
      <c r="N4" s="261"/>
      <c r="P4" s="261" t="s">
        <v>350</v>
      </c>
      <c r="Q4" s="261"/>
      <c r="R4" s="261"/>
    </row>
    <row r="5" spans="2:18" s="60" customFormat="1" ht="15">
      <c r="B5" s="264" t="s">
        <v>235</v>
      </c>
      <c r="C5" s="264"/>
      <c r="D5" s="264"/>
      <c r="E5" s="264" t="s">
        <v>236</v>
      </c>
      <c r="F5" s="264"/>
      <c r="G5" s="264"/>
      <c r="H5" s="264" t="s">
        <v>351</v>
      </c>
      <c r="I5" s="264"/>
      <c r="J5" s="264"/>
      <c r="K5" s="264"/>
      <c r="L5" s="265" t="s">
        <v>238</v>
      </c>
      <c r="M5" s="265"/>
      <c r="N5" s="265"/>
      <c r="P5" s="119"/>
      <c r="Q5" s="120" t="s">
        <v>352</v>
      </c>
      <c r="R5" s="121" t="s">
        <v>353</v>
      </c>
    </row>
    <row r="6" spans="2:18" s="60" customFormat="1" ht="15">
      <c r="B6" s="122" t="s">
        <v>354</v>
      </c>
      <c r="C6" s="122" t="s">
        <v>355</v>
      </c>
      <c r="D6" s="122" t="s">
        <v>356</v>
      </c>
      <c r="E6" s="122" t="s">
        <v>357</v>
      </c>
      <c r="F6" s="122" t="s">
        <v>355</v>
      </c>
      <c r="G6" s="122" t="s">
        <v>356</v>
      </c>
      <c r="H6" s="122" t="s">
        <v>354</v>
      </c>
      <c r="I6" s="260" t="s">
        <v>355</v>
      </c>
      <c r="J6" s="260"/>
      <c r="K6" s="122" t="s">
        <v>356</v>
      </c>
      <c r="L6" s="122" t="s">
        <v>354</v>
      </c>
      <c r="M6" s="122" t="s">
        <v>355</v>
      </c>
      <c r="N6" s="122" t="s">
        <v>356</v>
      </c>
      <c r="P6" s="123"/>
      <c r="Q6" s="124" t="s">
        <v>358</v>
      </c>
      <c r="R6" s="125">
        <v>0.04</v>
      </c>
    </row>
    <row r="7" spans="2:18" s="60" customFormat="1" ht="15">
      <c r="B7" s="126" t="s">
        <v>273</v>
      </c>
      <c r="C7" s="127">
        <v>0.85</v>
      </c>
      <c r="D7" s="59" t="s">
        <v>359</v>
      </c>
      <c r="E7" s="126" t="s">
        <v>267</v>
      </c>
      <c r="F7" s="127">
        <v>0.77</v>
      </c>
      <c r="G7" s="59" t="s">
        <v>360</v>
      </c>
      <c r="H7" s="126" t="s">
        <v>274</v>
      </c>
      <c r="I7" s="128">
        <v>0.85</v>
      </c>
      <c r="J7" s="129">
        <v>0.85</v>
      </c>
      <c r="K7" s="59" t="s">
        <v>359</v>
      </c>
      <c r="L7" s="126" t="s">
        <v>274</v>
      </c>
      <c r="M7" s="130">
        <v>0.85</v>
      </c>
      <c r="N7" s="131" t="s">
        <v>359</v>
      </c>
      <c r="P7" s="123"/>
      <c r="Q7" s="132" t="s">
        <v>267</v>
      </c>
      <c r="R7" s="133">
        <v>0.2</v>
      </c>
    </row>
    <row r="8" spans="2:18" s="60" customFormat="1" ht="15">
      <c r="B8" s="126" t="s">
        <v>329</v>
      </c>
      <c r="C8" s="134">
        <v>0.62</v>
      </c>
      <c r="D8" s="59" t="s">
        <v>361</v>
      </c>
      <c r="E8" s="126" t="s">
        <v>276</v>
      </c>
      <c r="F8" s="134">
        <v>0.44</v>
      </c>
      <c r="G8" s="59" t="s">
        <v>362</v>
      </c>
      <c r="H8" s="126" t="s">
        <v>267</v>
      </c>
      <c r="I8" s="135">
        <v>0.62</v>
      </c>
      <c r="J8" s="129">
        <v>0.68</v>
      </c>
      <c r="K8" s="59" t="s">
        <v>360</v>
      </c>
      <c r="L8" s="126" t="s">
        <v>269</v>
      </c>
      <c r="M8" s="136">
        <v>0.62</v>
      </c>
      <c r="N8" s="131" t="s">
        <v>363</v>
      </c>
      <c r="P8" s="123"/>
      <c r="Q8" s="137" t="s">
        <v>277</v>
      </c>
      <c r="R8" s="133">
        <v>0.5</v>
      </c>
    </row>
    <row r="9" spans="2:18" s="60" customFormat="1" ht="15">
      <c r="B9" s="126" t="s">
        <v>275</v>
      </c>
      <c r="C9" s="134">
        <v>0.55000000000000004</v>
      </c>
      <c r="D9" s="59" t="s">
        <v>360</v>
      </c>
      <c r="E9" s="126"/>
      <c r="F9" s="134"/>
      <c r="G9" s="59"/>
      <c r="H9" s="126" t="s">
        <v>276</v>
      </c>
      <c r="I9" s="135">
        <v>0.27</v>
      </c>
      <c r="J9" s="129">
        <v>0.5</v>
      </c>
      <c r="K9" s="59" t="s">
        <v>362</v>
      </c>
      <c r="L9" s="126"/>
      <c r="M9" s="129"/>
      <c r="N9" s="131"/>
      <c r="P9" s="123"/>
      <c r="Q9" s="138" t="s">
        <v>276</v>
      </c>
      <c r="R9" s="133">
        <v>0.8</v>
      </c>
    </row>
    <row r="10" spans="2:18" s="60" customFormat="1" ht="15">
      <c r="B10" s="126" t="s">
        <v>268</v>
      </c>
      <c r="C10" s="134">
        <v>0.2</v>
      </c>
      <c r="D10" s="131" t="s">
        <v>364</v>
      </c>
      <c r="E10" s="139"/>
      <c r="G10" s="140"/>
      <c r="H10" s="126"/>
      <c r="I10" s="135"/>
      <c r="J10" s="129"/>
      <c r="K10" s="131"/>
      <c r="L10" s="126"/>
      <c r="M10" s="129"/>
      <c r="N10" s="131"/>
      <c r="P10" s="123"/>
      <c r="Q10" s="141" t="s">
        <v>365</v>
      </c>
      <c r="R10" s="133">
        <v>1</v>
      </c>
    </row>
    <row r="11" spans="2:18" s="60" customFormat="1" ht="15">
      <c r="B11" s="142"/>
      <c r="C11" s="143"/>
      <c r="D11" s="144"/>
      <c r="E11" s="145"/>
      <c r="F11" s="146"/>
      <c r="G11" s="147"/>
      <c r="H11" s="142"/>
      <c r="I11" s="148"/>
      <c r="J11" s="149"/>
      <c r="K11" s="144"/>
      <c r="L11" s="142"/>
      <c r="M11" s="149"/>
      <c r="N11" s="144"/>
      <c r="P11" s="118"/>
      <c r="R11" s="133"/>
    </row>
    <row r="12" spans="2:18" s="60" customFormat="1" ht="14"/>
    <row r="13" spans="2:18" s="60" customFormat="1" ht="17.5">
      <c r="B13" s="261" t="s">
        <v>366</v>
      </c>
      <c r="C13" s="261"/>
      <c r="D13" s="261"/>
      <c r="E13" s="261"/>
      <c r="F13" s="261"/>
      <c r="G13" s="261"/>
      <c r="H13" s="261"/>
      <c r="I13" s="261"/>
      <c r="J13" s="261"/>
      <c r="K13" s="261"/>
      <c r="L13" s="261"/>
      <c r="M13" s="261"/>
      <c r="N13" s="261"/>
      <c r="P13" s="150" t="s">
        <v>367</v>
      </c>
      <c r="Q13" s="151" t="s">
        <v>96</v>
      </c>
    </row>
    <row r="14" spans="2:18" s="60" customFormat="1" ht="15">
      <c r="B14" s="262" t="s">
        <v>368</v>
      </c>
      <c r="C14" s="262"/>
      <c r="D14" s="262"/>
      <c r="E14" s="262"/>
      <c r="F14" s="262"/>
      <c r="G14" s="262"/>
      <c r="H14" s="262"/>
      <c r="I14" s="262"/>
      <c r="J14" s="262"/>
      <c r="K14" s="262"/>
      <c r="L14" s="262"/>
      <c r="M14" s="262"/>
      <c r="N14" s="262"/>
      <c r="P14" s="126"/>
      <c r="Q14" s="129" t="s">
        <v>369</v>
      </c>
    </row>
    <row r="15" spans="2:18" s="60" customFormat="1" ht="14">
      <c r="B15" s="122" t="s">
        <v>354</v>
      </c>
      <c r="C15" s="122" t="s">
        <v>355</v>
      </c>
      <c r="D15" s="122" t="s">
        <v>356</v>
      </c>
      <c r="E15" s="152"/>
      <c r="F15" s="152"/>
      <c r="G15" s="152"/>
      <c r="H15" s="152"/>
      <c r="I15" s="152"/>
      <c r="J15" s="152"/>
      <c r="K15" s="152"/>
      <c r="L15" s="152"/>
      <c r="M15" s="152"/>
      <c r="N15" s="151"/>
      <c r="P15" s="142"/>
      <c r="Q15" s="149"/>
    </row>
    <row r="16" spans="2:18" s="60" customFormat="1" ht="16">
      <c r="B16" s="153" t="s">
        <v>274</v>
      </c>
      <c r="C16" s="127">
        <v>0</v>
      </c>
      <c r="D16" s="154" t="s">
        <v>359</v>
      </c>
      <c r="E16" s="155" t="s">
        <v>370</v>
      </c>
      <c r="N16" s="129"/>
    </row>
    <row r="17" spans="2:17" s="60" customFormat="1" ht="14">
      <c r="B17" s="139" t="s">
        <v>267</v>
      </c>
      <c r="C17" s="134">
        <v>0.22</v>
      </c>
      <c r="D17" s="156" t="s">
        <v>360</v>
      </c>
      <c r="N17" s="129"/>
    </row>
    <row r="18" spans="2:17" s="60" customFormat="1" ht="14">
      <c r="B18" s="139" t="s">
        <v>276</v>
      </c>
      <c r="C18" s="134">
        <v>0.56000000000000005</v>
      </c>
      <c r="D18" s="156" t="s">
        <v>362</v>
      </c>
      <c r="N18" s="129"/>
    </row>
    <row r="19" spans="2:17" s="60" customFormat="1" ht="14">
      <c r="B19" s="145"/>
      <c r="C19" s="143"/>
      <c r="D19" s="157"/>
      <c r="E19" s="146"/>
      <c r="F19" s="146"/>
      <c r="G19" s="146"/>
      <c r="H19" s="146"/>
      <c r="I19" s="146"/>
      <c r="J19" s="146"/>
      <c r="K19" s="146"/>
      <c r="L19" s="146"/>
      <c r="M19" s="146"/>
      <c r="N19" s="149"/>
    </row>
    <row r="20" spans="2:17" s="60" customFormat="1" ht="14"/>
    <row r="21" spans="2:17" s="60" customFormat="1" ht="17.5">
      <c r="B21" s="261" t="s">
        <v>239</v>
      </c>
      <c r="C21" s="261"/>
      <c r="D21" s="261"/>
      <c r="E21" s="261"/>
      <c r="F21" s="261"/>
      <c r="G21" s="261"/>
      <c r="H21" s="261"/>
      <c r="I21" s="261"/>
      <c r="J21" s="261"/>
      <c r="K21" s="261"/>
      <c r="L21" s="261"/>
      <c r="M21" s="261"/>
      <c r="N21" s="261"/>
    </row>
    <row r="22" spans="2:17" s="60" customFormat="1" ht="42.75" customHeight="1">
      <c r="B22" s="158" t="s">
        <v>270</v>
      </c>
      <c r="C22" s="263" t="s">
        <v>371</v>
      </c>
      <c r="D22" s="263"/>
      <c r="E22" s="263"/>
      <c r="F22" s="263"/>
      <c r="G22" s="263"/>
      <c r="H22" s="263"/>
      <c r="I22" s="263"/>
      <c r="J22" s="263"/>
      <c r="K22" s="263"/>
      <c r="L22" s="263"/>
      <c r="M22" s="263"/>
      <c r="N22" s="159" t="s">
        <v>372</v>
      </c>
    </row>
    <row r="23" spans="2:17" s="60" customFormat="1" ht="44.15" customHeight="1">
      <c r="B23" s="160" t="s">
        <v>373</v>
      </c>
      <c r="C23" s="258" t="s">
        <v>374</v>
      </c>
      <c r="D23" s="258"/>
      <c r="E23" s="258"/>
      <c r="F23" s="258"/>
      <c r="G23" s="258"/>
      <c r="H23" s="258"/>
      <c r="I23" s="258"/>
      <c r="J23" s="258"/>
      <c r="K23" s="258"/>
      <c r="L23" s="258"/>
      <c r="M23" s="258"/>
      <c r="N23" s="161" t="s">
        <v>375</v>
      </c>
      <c r="O23" s="22"/>
      <c r="P23" s="22"/>
      <c r="Q23" s="22"/>
    </row>
    <row r="24" spans="2:17" s="60" customFormat="1" ht="15">
      <c r="B24" s="160"/>
      <c r="C24" s="258"/>
      <c r="D24" s="258"/>
      <c r="E24" s="258"/>
      <c r="F24" s="258"/>
      <c r="G24" s="258"/>
      <c r="H24" s="258"/>
      <c r="I24" s="258"/>
      <c r="J24" s="258"/>
      <c r="K24" s="258"/>
      <c r="L24" s="258"/>
      <c r="M24" s="258"/>
      <c r="N24" s="161"/>
    </row>
    <row r="25" spans="2:17" s="60" customFormat="1" ht="14"/>
    <row r="26" spans="2:17" s="60" customFormat="1" ht="14">
      <c r="B26" s="60" t="s">
        <v>376</v>
      </c>
    </row>
    <row r="27" spans="2:17" s="60" customFormat="1" ht="262.5" customHeight="1">
      <c r="B27" s="26" t="s">
        <v>377</v>
      </c>
      <c r="C27" s="259" t="s">
        <v>378</v>
      </c>
      <c r="D27" s="259"/>
      <c r="E27" s="259"/>
      <c r="F27" s="259"/>
      <c r="G27" s="259"/>
      <c r="H27" s="259"/>
      <c r="I27" s="259"/>
      <c r="J27" s="259"/>
    </row>
    <row r="30" spans="2:17">
      <c r="B30" s="22" t="s">
        <v>86</v>
      </c>
    </row>
    <row r="31" spans="2:17" ht="48" customHeight="1">
      <c r="C31" s="253" t="s">
        <v>87</v>
      </c>
      <c r="D31" s="253"/>
      <c r="E31" s="253"/>
      <c r="F31" s="253"/>
      <c r="G31" s="253"/>
      <c r="H31" s="253"/>
      <c r="I31" s="253"/>
    </row>
  </sheetData>
  <mergeCells count="15">
    <mergeCell ref="B4:N4"/>
    <mergeCell ref="P4:R4"/>
    <mergeCell ref="B5:D5"/>
    <mergeCell ref="E5:G5"/>
    <mergeCell ref="H5:K5"/>
    <mergeCell ref="L5:N5"/>
    <mergeCell ref="C23:M23"/>
    <mergeCell ref="C24:M24"/>
    <mergeCell ref="C27:J27"/>
    <mergeCell ref="C31:I31"/>
    <mergeCell ref="I6:J6"/>
    <mergeCell ref="B13:N13"/>
    <mergeCell ref="B14:N14"/>
    <mergeCell ref="B21:N21"/>
    <mergeCell ref="C22:M22"/>
  </mergeCells>
  <pageMargins left="0.25" right="0.25" top="0.75" bottom="0.75" header="0.3" footer="0.3"/>
  <pageSetup paperSize="9" scale="60" firstPageNumber="0" fitToHeight="0" orientation="portrait" r:id="rId1"/>
  <headerFooter>
    <oddFooter>&amp;L&amp;"Cambria,Regular"&amp;8Stryker Confidential&amp;R&amp;"Cambria,Regular"&amp;8Page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16"/>
  <sheetViews>
    <sheetView view="pageBreakPreview" zoomScale="60" zoomScaleNormal="95" workbookViewId="0">
      <selection activeCell="C9" sqref="C9"/>
    </sheetView>
  </sheetViews>
  <sheetFormatPr defaultColWidth="9.1796875" defaultRowHeight="14.5"/>
  <cols>
    <col min="1" max="1" width="7.1796875" style="24" customWidth="1"/>
    <col min="2" max="2" width="34.81640625" style="24" customWidth="1"/>
    <col min="3" max="3" width="15.81640625" style="44" customWidth="1"/>
    <col min="4" max="4" width="2.81640625" style="24" customWidth="1"/>
    <col min="5" max="5" width="9.1796875" style="24"/>
    <col min="6" max="6" width="44.81640625" style="24" customWidth="1"/>
    <col min="7" max="7" width="15.81640625" style="24" customWidth="1"/>
    <col min="8" max="1024" width="9.1796875" style="24"/>
  </cols>
  <sheetData>
    <row r="1" spans="1:8" ht="65.400000000000006" customHeight="1"/>
    <row r="2" spans="1:8" s="26" customFormat="1" ht="14">
      <c r="A2" s="117" t="s">
        <v>379</v>
      </c>
      <c r="C2" s="45"/>
    </row>
    <row r="3" spans="1:8" s="26" customFormat="1" ht="14">
      <c r="C3" s="45"/>
    </row>
    <row r="4" spans="1:8" s="26" customFormat="1" ht="14.5" customHeight="1">
      <c r="A4" s="266" t="s">
        <v>380</v>
      </c>
      <c r="B4" s="266"/>
      <c r="C4" s="266"/>
      <c r="E4" s="267" t="s">
        <v>381</v>
      </c>
      <c r="F4" s="267"/>
      <c r="G4" s="267"/>
    </row>
    <row r="5" spans="1:8" s="26" customFormat="1" ht="14">
      <c r="A5" s="162" t="s">
        <v>382</v>
      </c>
      <c r="B5" s="163" t="s">
        <v>171</v>
      </c>
      <c r="C5" s="164" t="s">
        <v>383</v>
      </c>
      <c r="E5" s="165" t="s">
        <v>382</v>
      </c>
      <c r="F5" s="166" t="s">
        <v>384</v>
      </c>
      <c r="G5" s="167" t="s">
        <v>383</v>
      </c>
    </row>
    <row r="6" spans="1:8" s="26" customFormat="1" ht="42">
      <c r="A6" s="168" t="s">
        <v>385</v>
      </c>
      <c r="B6" s="6" t="s">
        <v>386</v>
      </c>
      <c r="C6" s="169" t="s">
        <v>387</v>
      </c>
      <c r="E6" s="168" t="s">
        <v>388</v>
      </c>
      <c r="F6" s="170" t="s">
        <v>389</v>
      </c>
      <c r="G6" s="171" t="s">
        <v>387</v>
      </c>
    </row>
    <row r="7" spans="1:8" s="26" customFormat="1" ht="28">
      <c r="A7" s="14" t="s">
        <v>390</v>
      </c>
      <c r="B7" s="6" t="s">
        <v>391</v>
      </c>
      <c r="C7" s="169" t="s">
        <v>387</v>
      </c>
      <c r="E7" s="14" t="s">
        <v>392</v>
      </c>
      <c r="F7" s="170" t="s">
        <v>393</v>
      </c>
      <c r="G7" s="172" t="s">
        <v>387</v>
      </c>
    </row>
    <row r="8" spans="1:8" s="26" customFormat="1" ht="28">
      <c r="A8" s="14" t="s">
        <v>394</v>
      </c>
      <c r="B8" s="6" t="s">
        <v>395</v>
      </c>
      <c r="C8" s="169" t="s">
        <v>387</v>
      </c>
      <c r="E8" s="14" t="s">
        <v>396</v>
      </c>
      <c r="F8" s="170" t="s">
        <v>397</v>
      </c>
      <c r="G8" s="172" t="s">
        <v>387</v>
      </c>
    </row>
    <row r="9" spans="1:8" s="26" customFormat="1" ht="28">
      <c r="A9" s="14" t="s">
        <v>398</v>
      </c>
      <c r="B9" s="6" t="s">
        <v>399</v>
      </c>
      <c r="C9" s="169" t="s">
        <v>359</v>
      </c>
      <c r="E9" s="14" t="s">
        <v>400</v>
      </c>
      <c r="F9" s="170" t="s">
        <v>401</v>
      </c>
      <c r="G9" s="172" t="s">
        <v>387</v>
      </c>
    </row>
    <row r="10" spans="1:8" s="26" customFormat="1" ht="42">
      <c r="A10" s="14" t="s">
        <v>402</v>
      </c>
      <c r="B10" s="6" t="s">
        <v>403</v>
      </c>
      <c r="C10" s="169" t="s">
        <v>359</v>
      </c>
      <c r="E10" s="14" t="s">
        <v>404</v>
      </c>
      <c r="F10" s="170" t="s">
        <v>405</v>
      </c>
      <c r="G10" s="172" t="s">
        <v>387</v>
      </c>
    </row>
    <row r="11" spans="1:8" s="26" customFormat="1" ht="56">
      <c r="A11" s="173" t="s">
        <v>406</v>
      </c>
      <c r="B11" s="174" t="s">
        <v>407</v>
      </c>
      <c r="C11" s="175" t="s">
        <v>359</v>
      </c>
      <c r="E11" s="173" t="s">
        <v>408</v>
      </c>
      <c r="F11" s="176" t="s">
        <v>409</v>
      </c>
      <c r="G11" s="177" t="s">
        <v>359</v>
      </c>
    </row>
    <row r="12" spans="1:8" s="26" customFormat="1" ht="14">
      <c r="C12" s="45"/>
    </row>
    <row r="13" spans="1:8" s="26" customFormat="1" ht="14">
      <c r="C13" s="45"/>
    </row>
    <row r="14" spans="1:8" s="26" customFormat="1" ht="14">
      <c r="C14" s="45"/>
    </row>
    <row r="15" spans="1:8" s="26" customFormat="1" ht="14">
      <c r="A15" s="22" t="s">
        <v>86</v>
      </c>
      <c r="C15" s="45"/>
    </row>
    <row r="16" spans="1:8" s="26" customFormat="1" ht="32.25" customHeight="1">
      <c r="B16" s="253" t="s">
        <v>87</v>
      </c>
      <c r="C16" s="253"/>
      <c r="D16" s="253"/>
      <c r="E16" s="253"/>
      <c r="F16" s="253"/>
      <c r="G16" s="253"/>
      <c r="H16" s="253"/>
    </row>
  </sheetData>
  <mergeCells count="3">
    <mergeCell ref="A4:C4"/>
    <mergeCell ref="E4:G4"/>
    <mergeCell ref="B16:H16"/>
  </mergeCells>
  <pageMargins left="0.25" right="0.25" top="0.75" bottom="0.75" header="0.3" footer="0.3"/>
  <pageSetup paperSize="9" scale="70" firstPageNumber="0" fitToHeight="0" orientation="portrait" r:id="rId1"/>
  <headerFooter>
    <oddFooter>&amp;L&amp;"Cambria,Regular"&amp;8Stryker Confidential&amp;R&amp;"Cambria,Regular"&amp;8Page &amp;P of &amp;N</oddFooter>
  </headerFooter>
  <legacyDrawingHF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zoomScale="95" zoomScaleNormal="95" workbookViewId="0">
      <selection activeCell="H13" sqref="H13"/>
    </sheetView>
  </sheetViews>
  <sheetFormatPr defaultColWidth="9.1796875" defaultRowHeight="14.5"/>
  <cols>
    <col min="1" max="1" width="6.1796875" customWidth="1"/>
    <col min="2" max="2" width="38.1796875" customWidth="1"/>
    <col min="3" max="3" width="49.453125" customWidth="1"/>
    <col min="4" max="4" width="27.81640625" customWidth="1"/>
    <col min="5" max="5" width="14.81640625" customWidth="1"/>
    <col min="6" max="6" width="16.1796875" customWidth="1"/>
    <col min="7" max="8" width="20.1796875" customWidth="1"/>
  </cols>
  <sheetData>
    <row r="1" spans="1:8" ht="14.5" customHeight="1">
      <c r="A1" s="268" t="s">
        <v>410</v>
      </c>
      <c r="B1" s="268"/>
      <c r="C1" s="268"/>
      <c r="D1" s="268"/>
      <c r="E1" s="268"/>
      <c r="F1" s="268"/>
      <c r="G1" s="268"/>
      <c r="H1" s="268"/>
    </row>
    <row r="2" spans="1:8" ht="58">
      <c r="A2" s="178" t="s">
        <v>168</v>
      </c>
      <c r="B2" s="178" t="s">
        <v>169</v>
      </c>
      <c r="C2" s="178" t="s">
        <v>170</v>
      </c>
      <c r="D2" s="179" t="s">
        <v>171</v>
      </c>
      <c r="E2" s="180" t="s">
        <v>411</v>
      </c>
      <c r="F2" s="178" t="s">
        <v>412</v>
      </c>
      <c r="G2" s="178" t="s">
        <v>413</v>
      </c>
      <c r="H2" s="178" t="s">
        <v>414</v>
      </c>
    </row>
    <row r="3" spans="1:8" s="187" customFormat="1" ht="48">
      <c r="A3" s="181" t="s">
        <v>415</v>
      </c>
      <c r="B3" s="182" t="s">
        <v>416</v>
      </c>
      <c r="C3" s="182" t="s">
        <v>417</v>
      </c>
      <c r="D3" s="183" t="s">
        <v>385</v>
      </c>
      <c r="E3" s="184" t="s">
        <v>418</v>
      </c>
      <c r="F3" s="185" t="s">
        <v>358</v>
      </c>
      <c r="G3" s="185" t="s">
        <v>358</v>
      </c>
      <c r="H3" s="186" t="s">
        <v>358</v>
      </c>
    </row>
    <row r="4" spans="1:8">
      <c r="A4" s="188"/>
      <c r="B4" s="188"/>
      <c r="C4" s="188"/>
      <c r="D4" s="188"/>
      <c r="E4" s="189"/>
      <c r="F4" s="188"/>
      <c r="G4" s="188"/>
      <c r="H4" s="188"/>
    </row>
    <row r="5" spans="1:8">
      <c r="A5" s="188"/>
      <c r="B5" s="188"/>
      <c r="C5" s="188"/>
      <c r="D5" s="188"/>
      <c r="E5" s="189"/>
      <c r="F5" s="188"/>
      <c r="G5" s="188"/>
      <c r="H5" s="188"/>
    </row>
    <row r="6" spans="1:8">
      <c r="A6" s="188"/>
      <c r="B6" s="188"/>
      <c r="C6" s="188"/>
      <c r="D6" s="188"/>
      <c r="E6" s="189"/>
      <c r="F6" s="188"/>
      <c r="G6" s="188"/>
      <c r="H6" s="188"/>
    </row>
    <row r="7" spans="1:8">
      <c r="A7" s="188"/>
      <c r="B7" s="188"/>
      <c r="C7" s="188"/>
      <c r="D7" s="188"/>
      <c r="E7" s="189"/>
      <c r="F7" s="188"/>
      <c r="G7" s="188"/>
      <c r="H7" s="188"/>
    </row>
    <row r="8" spans="1:8">
      <c r="A8" s="188"/>
      <c r="B8" s="188"/>
      <c r="C8" s="188"/>
      <c r="D8" s="188"/>
      <c r="E8" s="189"/>
      <c r="F8" s="188"/>
      <c r="G8" s="188"/>
      <c r="H8" s="188"/>
    </row>
    <row r="9" spans="1:8">
      <c r="A9" s="188"/>
      <c r="B9" s="188"/>
      <c r="C9" s="188"/>
      <c r="D9" s="188"/>
      <c r="E9" s="189"/>
      <c r="F9" s="188"/>
      <c r="G9" s="188"/>
      <c r="H9" s="188"/>
    </row>
    <row r="10" spans="1:8">
      <c r="A10" s="188"/>
      <c r="B10" s="188"/>
      <c r="C10" s="188"/>
      <c r="D10" s="188"/>
      <c r="E10" s="189"/>
      <c r="F10" s="188"/>
      <c r="G10" s="188"/>
      <c r="H10" s="188"/>
    </row>
  </sheetData>
  <mergeCells count="1">
    <mergeCell ref="A1:H1"/>
  </mergeCells>
  <dataValidations count="2">
    <dataValidation type="list" allowBlank="1" showInputMessage="1" showErrorMessage="1" sqref="F3:H3" xr:uid="{00000000-0002-0000-0800-000000000000}">
      <formula1>"Very High,High,Moderate,Low,Very Low"</formula1>
      <formula2>0</formula2>
    </dataValidation>
    <dataValidation type="list" allowBlank="1" showInputMessage="1" showErrorMessage="1" sqref="E3" xr:uid="{00000000-0002-0000-08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'Security Risk Assess'!Print_Titles</vt:lpstr>
      <vt:lpstr>Summary!Print_Titles</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5</cp:revision>
  <cp:lastPrinted>2022-04-18T10:10:06Z</cp:lastPrinted>
  <dcterms:created xsi:type="dcterms:W3CDTF">2017-03-06T20:58:36Z</dcterms:created>
  <dcterms:modified xsi:type="dcterms:W3CDTF">2022-04-18T11:07:50Z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